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7.xml" ContentType="application/vnd.openxmlformats-officedocument.drawing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8.xml" ContentType="application/vnd.openxmlformats-officedocument.drawing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9.xml" ContentType="application/vnd.openxmlformats-officedocument.drawing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0.xml" ContentType="application/vnd.openxmlformats-officedocument.drawing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7"/>
  <workbookPr filterPrivacy="1" codeName="ThisWorkbook" defaultThemeVersion="124226"/>
  <xr:revisionPtr revIDLastSave="140" documentId="8_{85B3AD1F-77C8-4A9B-A662-D17D7583D144}" xr6:coauthVersionLast="47" xr6:coauthVersionMax="47" xr10:uidLastSave="{5FB73AE9-648E-4EEE-A74D-825C4C1A54C9}"/>
  <bookViews>
    <workbookView xWindow="-28920" yWindow="1650" windowWidth="29040" windowHeight="15720" tabRatio="825" firstSheet="17" activeTab="17" xr2:uid="{00000000-000D-0000-FFFF-FFFF00000000}"/>
  </bookViews>
  <sheets>
    <sheet name="Monthly Data (14-23) Used" sheetId="99" r:id="rId1"/>
    <sheet name="Monthly Data (longer 09-23)" sheetId="39" r:id="rId2"/>
    <sheet name="Historic CDM" sheetId="9" r:id="rId3"/>
    <sheet name="Weather Data" sheetId="6" r:id="rId4"/>
    <sheet name="Economic Data" sheetId="7" r:id="rId5"/>
    <sheet name="Sheet6" sheetId="102" state="hidden" r:id="rId6"/>
    <sheet name="Res Predicted Monthly" sheetId="41" r:id="rId7"/>
    <sheet name="GS&lt;50 Predicted Monthly" sheetId="47" r:id="rId8"/>
    <sheet name="GS&gt;50 Predicted Monthly" sheetId="58" r:id="rId9"/>
    <sheet name="ED Predicted Monthly (1)" sheetId="105" r:id="rId10"/>
    <sheet name="ED Predicted Monthly (2)" sheetId="104" r:id="rId11"/>
    <sheet name="Model Summary" sheetId="26" r:id="rId12"/>
    <sheet name="Res Normalized Monthly" sheetId="27" r:id="rId13"/>
    <sheet name="GS&lt;50 Normalized Monthly" sheetId="28" r:id="rId14"/>
    <sheet name="GS&gt;50 Normalized Monthly" sheetId="29" r:id="rId15"/>
    <sheet name="ED Normalized Monthly" sheetId="30" r:id="rId16"/>
    <sheet name="ED Normalized Monthly (2)" sheetId="106" r:id="rId17"/>
    <sheet name="EV Data" sheetId="98" r:id="rId18"/>
    <sheet name="EV Forecast" sheetId="103" r:id="rId19"/>
    <sheet name="Heating" sheetId="108" r:id="rId20"/>
    <sheet name="Customer Expansions" sheetId="107" r:id="rId21"/>
    <sheet name="Total Additional Loads" sheetId="109" r:id="rId22"/>
    <sheet name="Normalized Annual Summary" sheetId="33" r:id="rId23"/>
    <sheet name="Connection Count" sheetId="32" r:id="rId24"/>
    <sheet name="kW Forecast" sheetId="35" r:id="rId25"/>
    <sheet name="CDM Framework" sheetId="70" r:id="rId26"/>
    <sheet name="CDM Adjustment" sheetId="67" r:id="rId27"/>
    <sheet name="Summary Tables" sheetId="36" r:id="rId28"/>
    <sheet name="App 2-IB Summary" sheetId="110" state="hidden" r:id="rId29"/>
    <sheet name="Variance Analysis" sheetId="111" state="hidden" r:id="rId30"/>
    <sheet name="Res Normalized Monthly WN" sheetId="84" r:id="rId31"/>
    <sheet name="GS&lt;50 Normalized Monthly WN" sheetId="85" r:id="rId32"/>
    <sheet name="GS&gt;50 Normalized Monthly WN" sheetId="86" r:id="rId33"/>
    <sheet name="ED Normalized Monthly WN" sheetId="87" r:id="rId34"/>
    <sheet name="Normalized Annual Summary WN" sheetId="91" r:id="rId35"/>
  </sheets>
  <externalReferences>
    <externalReference r:id="rId36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#REF!</definedName>
    <definedName name="_OP1000">#REF!</definedName>
    <definedName name="_Order1" hidden="1">255</definedName>
    <definedName name="_Order2" hidden="1">0</definedName>
    <definedName name="_Sort" hidden="1">#REF!</definedName>
    <definedName name="ALL">#REF!</definedName>
    <definedName name="ApprovedYr">#REF!</definedName>
    <definedName name="CAfile">#REF!</definedName>
    <definedName name="CAPCOSTS">#REF!</definedName>
    <definedName name="CAPITAL">#REF!</definedName>
    <definedName name="CapitalExpListing">#REF!</definedName>
    <definedName name="CArevReq">#REF!</definedName>
    <definedName name="CASHFLOW">#REF!</definedName>
    <definedName name="cc">#REF!</definedName>
    <definedName name="ClassRange1">#REF!</definedName>
    <definedName name="ClassRange2">#REF!</definedName>
    <definedName name="contactf">#REF!</definedName>
    <definedName name="_xlnm.Criteria">#REF!</definedName>
    <definedName name="CRLF">#REF!</definedName>
    <definedName name="_xlnm.Database">#REF!</definedName>
    <definedName name="DaysInPreviousYear">#REF!</definedName>
    <definedName name="DaysInYear">#REF!</definedName>
    <definedName name="DEBTREPAY">#REF!</definedName>
    <definedName name="DeptDiv">#REF!</definedName>
    <definedName name="ExpenseAccountListing">#REF!</definedName>
    <definedName name="_xlnm.Extract">#REF!</definedName>
    <definedName name="FakeBlank">#REF!</definedName>
    <definedName name="FolderPath">#REF!</definedName>
    <definedName name="histdate">#REF!</definedName>
    <definedName name="Incr2000">#REF!</definedName>
    <definedName name="INTERIM">#REF!</definedName>
    <definedName name="LDC_Name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#REF!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#REF!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#REF!</definedName>
    <definedName name="RevReqLookupKey">#REF!</definedName>
    <definedName name="RevReqRange">#REF!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#REF!</definedName>
    <definedName name="TestYrPL">#REF!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#REF!</definedName>
    <definedName name="utitliy1">#REF!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35" i="98" l="1"/>
  <c r="AY35" i="98"/>
  <c r="AX35" i="98"/>
  <c r="D6" i="103" s="1"/>
  <c r="AW35" i="98"/>
  <c r="AV35" i="98"/>
  <c r="AU35" i="98"/>
  <c r="AT35" i="98"/>
  <c r="AS35" i="98"/>
  <c r="AR35" i="98"/>
  <c r="AQ35" i="98"/>
  <c r="AP35" i="98"/>
  <c r="AO35" i="98"/>
  <c r="AN35" i="98"/>
  <c r="AM35" i="98"/>
  <c r="AL35" i="98"/>
  <c r="D5" i="103"/>
  <c r="D4" i="103"/>
  <c r="D3" i="103"/>
  <c r="G25" i="108"/>
  <c r="F25" i="108"/>
  <c r="E25" i="108"/>
  <c r="D25" i="108"/>
  <c r="E14" i="108"/>
  <c r="F14" i="108"/>
  <c r="G14" i="108"/>
  <c r="D14" i="108"/>
  <c r="E24" i="108"/>
  <c r="F13" i="108"/>
  <c r="C21" i="108"/>
  <c r="D11" i="108"/>
  <c r="D15" i="108" s="1"/>
  <c r="C10" i="108"/>
  <c r="D10" i="108"/>
  <c r="U8" i="108"/>
  <c r="U7" i="108"/>
  <c r="U6" i="108"/>
  <c r="D16" i="108" l="1"/>
  <c r="F5" i="108" l="1"/>
  <c r="E120" i="103"/>
  <c r="E121" i="103"/>
  <c r="E119" i="103"/>
  <c r="J111" i="103"/>
  <c r="K111" i="103"/>
  <c r="L111" i="103"/>
  <c r="M111" i="103"/>
  <c r="N111" i="103"/>
  <c r="I111" i="103"/>
  <c r="F111" i="103"/>
  <c r="G111" i="103"/>
  <c r="H111" i="103"/>
  <c r="F112" i="103"/>
  <c r="G112" i="103"/>
  <c r="H112" i="103"/>
  <c r="F113" i="103"/>
  <c r="G113" i="103"/>
  <c r="H113" i="103"/>
  <c r="F114" i="103"/>
  <c r="G114" i="103"/>
  <c r="H114" i="103"/>
  <c r="E112" i="103"/>
  <c r="E113" i="103"/>
  <c r="E114" i="103"/>
  <c r="I36" i="103"/>
  <c r="E105" i="103"/>
  <c r="E101" i="103"/>
  <c r="E97" i="103"/>
  <c r="E89" i="103"/>
  <c r="F86" i="103"/>
  <c r="I86" i="103"/>
  <c r="I88" i="103"/>
  <c r="E73" i="103"/>
  <c r="E74" i="103"/>
  <c r="E75" i="103"/>
  <c r="E72" i="103"/>
  <c r="L9" i="103" l="1"/>
  <c r="L81" i="103" s="1"/>
  <c r="F9" i="103"/>
  <c r="E4" i="103"/>
  <c r="E5" i="103"/>
  <c r="F19" i="103" s="1"/>
  <c r="E3" i="103"/>
  <c r="F14" i="103" s="1"/>
  <c r="G35" i="103"/>
  <c r="H35" i="103"/>
  <c r="I35" i="103"/>
  <c r="J35" i="103"/>
  <c r="K35" i="103"/>
  <c r="L35" i="103"/>
  <c r="F87" i="103" s="1"/>
  <c r="F35" i="103"/>
  <c r="F36" i="103"/>
  <c r="G37" i="103"/>
  <c r="H37" i="103"/>
  <c r="I37" i="103"/>
  <c r="J37" i="103"/>
  <c r="K37" i="103"/>
  <c r="L37" i="103"/>
  <c r="G38" i="103"/>
  <c r="H38" i="103"/>
  <c r="I38" i="103"/>
  <c r="J38" i="103"/>
  <c r="K38" i="103"/>
  <c r="L38" i="103"/>
  <c r="G39" i="103"/>
  <c r="H39" i="103"/>
  <c r="I39" i="103"/>
  <c r="J39" i="103"/>
  <c r="K39" i="103"/>
  <c r="L39" i="103"/>
  <c r="F39" i="103"/>
  <c r="F38" i="103"/>
  <c r="F37" i="103"/>
  <c r="G32" i="103"/>
  <c r="G70" i="103" s="1"/>
  <c r="H32" i="103"/>
  <c r="H70" i="103" s="1"/>
  <c r="I32" i="103"/>
  <c r="I70" i="103" s="1"/>
  <c r="J32" i="103"/>
  <c r="J70" i="103" s="1"/>
  <c r="K32" i="103"/>
  <c r="K70" i="103" s="1"/>
  <c r="L32" i="103"/>
  <c r="L70" i="103" s="1"/>
  <c r="F32" i="103"/>
  <c r="F70" i="103" s="1"/>
  <c r="F31" i="103"/>
  <c r="F69" i="103" s="1"/>
  <c r="G31" i="103"/>
  <c r="G69" i="103" s="1"/>
  <c r="H31" i="103"/>
  <c r="H69" i="103" s="1"/>
  <c r="I31" i="103"/>
  <c r="I69" i="103" s="1"/>
  <c r="J31" i="103"/>
  <c r="J69" i="103" s="1"/>
  <c r="K31" i="103"/>
  <c r="K69" i="103" s="1"/>
  <c r="L31" i="103"/>
  <c r="L69" i="103" s="1"/>
  <c r="F30" i="103"/>
  <c r="F68" i="103" s="1"/>
  <c r="G33" i="103"/>
  <c r="G71" i="103" s="1"/>
  <c r="H33" i="103"/>
  <c r="H71" i="103" s="1"/>
  <c r="I33" i="103"/>
  <c r="I71" i="103" s="1"/>
  <c r="J33" i="103"/>
  <c r="J71" i="103" s="1"/>
  <c r="K33" i="103"/>
  <c r="K71" i="103" s="1"/>
  <c r="L33" i="103"/>
  <c r="L71" i="103" s="1"/>
  <c r="F33" i="103"/>
  <c r="F71" i="103" s="1"/>
  <c r="G30" i="103"/>
  <c r="G68" i="103" s="1"/>
  <c r="H30" i="103"/>
  <c r="H68" i="103" s="1"/>
  <c r="I30" i="103"/>
  <c r="I68" i="103" s="1"/>
  <c r="J30" i="103"/>
  <c r="J68" i="103" s="1"/>
  <c r="K30" i="103"/>
  <c r="K68" i="103" s="1"/>
  <c r="L30" i="103"/>
  <c r="L68" i="103" s="1"/>
  <c r="C6" i="103"/>
  <c r="E6" i="103" s="1"/>
  <c r="F24" i="103" s="1"/>
  <c r="G24" i="103" l="1"/>
  <c r="G14" i="103"/>
  <c r="M35" i="103"/>
  <c r="G87" i="103" s="1"/>
  <c r="F10" i="103"/>
  <c r="F81" i="103"/>
  <c r="AF6" i="98"/>
  <c r="AF7" i="98"/>
  <c r="AF8" i="98"/>
  <c r="AF9" i="98"/>
  <c r="AF10" i="98"/>
  <c r="AF11" i="98"/>
  <c r="AF12" i="98"/>
  <c r="AF13" i="98"/>
  <c r="AF14" i="98"/>
  <c r="AF15" i="98"/>
  <c r="AF16" i="98"/>
  <c r="AF17" i="98"/>
  <c r="AF18" i="98"/>
  <c r="AF19" i="98"/>
  <c r="AF20" i="98"/>
  <c r="AF21" i="98"/>
  <c r="AF22" i="98"/>
  <c r="AF23" i="98"/>
  <c r="AF24" i="98"/>
  <c r="AF25" i="98"/>
  <c r="AF26" i="98"/>
  <c r="AF27" i="98"/>
  <c r="AF28" i="98"/>
  <c r="AF29" i="98"/>
  <c r="AF30" i="98"/>
  <c r="AF31" i="98"/>
  <c r="AF32" i="98"/>
  <c r="AF33" i="98"/>
  <c r="X86" i="98"/>
  <c r="X85" i="98"/>
  <c r="X84" i="98"/>
  <c r="X83" i="98"/>
  <c r="X82" i="98"/>
  <c r="X10" i="98"/>
  <c r="O84" i="98"/>
  <c r="J30" i="98"/>
  <c r="C30" i="98"/>
  <c r="J29" i="103" s="1"/>
  <c r="J47" i="103" s="1"/>
  <c r="J75" i="103" s="1"/>
  <c r="Q83" i="98"/>
  <c r="F79" i="103"/>
  <c r="F64" i="103" s="1"/>
  <c r="G79" i="103"/>
  <c r="G64" i="103" s="1"/>
  <c r="H79" i="103"/>
  <c r="H64" i="103" s="1"/>
  <c r="I79" i="103"/>
  <c r="I64" i="103" s="1"/>
  <c r="K79" i="103"/>
  <c r="K64" i="103" s="1"/>
  <c r="L79" i="103"/>
  <c r="L64" i="103" s="1"/>
  <c r="G86" i="103"/>
  <c r="H86" i="103"/>
  <c r="J79" i="103"/>
  <c r="J64" i="103" s="1"/>
  <c r="H14" i="103" l="1"/>
  <c r="H24" i="103"/>
  <c r="N35" i="103"/>
  <c r="O35" i="103" s="1"/>
  <c r="P35" i="103" s="1"/>
  <c r="H87" i="103"/>
  <c r="J66" i="103"/>
  <c r="J46" i="103"/>
  <c r="J74" i="103" s="1"/>
  <c r="J44" i="103"/>
  <c r="J72" i="103" s="1"/>
  <c r="J45" i="103"/>
  <c r="J73" i="103" s="1"/>
  <c r="J42" i="103"/>
  <c r="I24" i="103" l="1"/>
  <c r="I14" i="103"/>
  <c r="I87" i="103"/>
  <c r="Q35" i="103"/>
  <c r="J14" i="103" l="1"/>
  <c r="J24" i="103"/>
  <c r="R35" i="103"/>
  <c r="K24" i="103" l="1"/>
  <c r="K14" i="103"/>
  <c r="S35" i="103"/>
  <c r="L14" i="103" l="1"/>
  <c r="L24" i="103"/>
  <c r="T35" i="103"/>
  <c r="M24" i="103" l="1"/>
  <c r="M14" i="103"/>
  <c r="U35" i="103"/>
  <c r="N14" i="103" l="1"/>
  <c r="N24" i="103"/>
  <c r="V35" i="103"/>
  <c r="O14" i="103" l="1"/>
  <c r="O24" i="103"/>
  <c r="W35" i="103"/>
  <c r="P24" i="103" l="1"/>
  <c r="P14" i="103"/>
  <c r="X35" i="103"/>
  <c r="C130" i="9"/>
  <c r="H55" i="70"/>
  <c r="K69" i="70" s="1"/>
  <c r="C14" i="67"/>
  <c r="L36" i="70"/>
  <c r="O36" i="70"/>
  <c r="N36" i="70"/>
  <c r="Q67" i="70"/>
  <c r="Q68" i="70"/>
  <c r="Q70" i="70"/>
  <c r="K70" i="70"/>
  <c r="L70" i="70"/>
  <c r="M70" i="70"/>
  <c r="L63" i="70"/>
  <c r="K68" i="70"/>
  <c r="L68" i="70"/>
  <c r="M68" i="70"/>
  <c r="D58" i="70"/>
  <c r="E58" i="70"/>
  <c r="F58" i="70"/>
  <c r="H54" i="70"/>
  <c r="H56" i="70"/>
  <c r="E47" i="70"/>
  <c r="F47" i="70"/>
  <c r="E48" i="70"/>
  <c r="F48" i="70"/>
  <c r="E49" i="70"/>
  <c r="F49" i="70"/>
  <c r="E50" i="70"/>
  <c r="F50" i="70"/>
  <c r="E51" i="70"/>
  <c r="F51" i="70"/>
  <c r="E52" i="70"/>
  <c r="F52" i="70"/>
  <c r="E53" i="70"/>
  <c r="F53" i="70"/>
  <c r="E54" i="70"/>
  <c r="F54" i="70"/>
  <c r="E55" i="70"/>
  <c r="F55" i="70"/>
  <c r="E56" i="70"/>
  <c r="F56" i="70"/>
  <c r="D53" i="70"/>
  <c r="D54" i="70"/>
  <c r="D55" i="70"/>
  <c r="D56" i="70"/>
  <c r="D52" i="70"/>
  <c r="P4" i="70"/>
  <c r="D48" i="70"/>
  <c r="D49" i="70"/>
  <c r="D50" i="70"/>
  <c r="D51" i="70"/>
  <c r="D47" i="70"/>
  <c r="H12" i="70"/>
  <c r="Q14" i="103" l="1"/>
  <c r="Q24" i="103"/>
  <c r="K72" i="70"/>
  <c r="L69" i="70"/>
  <c r="L72" i="70" s="1"/>
  <c r="M69" i="70"/>
  <c r="M72" i="70" s="1"/>
  <c r="H58" i="70"/>
  <c r="R24" i="103" l="1"/>
  <c r="R14" i="103"/>
  <c r="S14" i="103" s="1"/>
  <c r="T14" i="103" s="1"/>
  <c r="U14" i="103" s="1"/>
  <c r="V14" i="103" s="1"/>
  <c r="W14" i="103" s="1"/>
  <c r="X14" i="103" s="1"/>
  <c r="Q72" i="70"/>
  <c r="Q69" i="70"/>
  <c r="S24" i="103" l="1"/>
  <c r="Z28" i="35"/>
  <c r="G13" i="107"/>
  <c r="G6" i="107"/>
  <c r="F38" i="35"/>
  <c r="E38" i="35"/>
  <c r="E37" i="35"/>
  <c r="F37" i="35"/>
  <c r="E28" i="35"/>
  <c r="E29" i="35" s="1"/>
  <c r="C32" i="35"/>
  <c r="E32" i="35"/>
  <c r="D33" i="35"/>
  <c r="M16" i="33"/>
  <c r="M15" i="33"/>
  <c r="R122" i="85"/>
  <c r="P122" i="85"/>
  <c r="Q122" i="85"/>
  <c r="I121" i="85"/>
  <c r="P2" i="28"/>
  <c r="O2" i="28"/>
  <c r="N2" i="28"/>
  <c r="K14" i="32"/>
  <c r="H14" i="32"/>
  <c r="D3" i="105"/>
  <c r="D4" i="105"/>
  <c r="D5" i="105"/>
  <c r="D6" i="105"/>
  <c r="D7" i="105"/>
  <c r="D8" i="105"/>
  <c r="D9" i="105"/>
  <c r="D10" i="105"/>
  <c r="D11" i="105"/>
  <c r="D12" i="105"/>
  <c r="D13" i="105"/>
  <c r="D14" i="105"/>
  <c r="D15" i="105"/>
  <c r="D16" i="105"/>
  <c r="D17" i="105"/>
  <c r="D18" i="105"/>
  <c r="D19" i="105"/>
  <c r="D20" i="105"/>
  <c r="D21" i="105"/>
  <c r="D22" i="105"/>
  <c r="D23" i="105"/>
  <c r="D2" i="105"/>
  <c r="B2" i="105"/>
  <c r="C2" i="105"/>
  <c r="B3" i="105"/>
  <c r="C3" i="105"/>
  <c r="R4" i="26"/>
  <c r="B4" i="105"/>
  <c r="C4" i="105"/>
  <c r="B5" i="105"/>
  <c r="C5" i="105"/>
  <c r="B6" i="105"/>
  <c r="C6" i="105"/>
  <c r="B7" i="105"/>
  <c r="C7" i="105"/>
  <c r="B8" i="105"/>
  <c r="C8" i="105"/>
  <c r="B9" i="105"/>
  <c r="C9" i="105"/>
  <c r="B10" i="105"/>
  <c r="C10" i="105"/>
  <c r="B11" i="105"/>
  <c r="C11" i="105"/>
  <c r="B12" i="105"/>
  <c r="C12" i="105"/>
  <c r="B13" i="105"/>
  <c r="C13" i="105"/>
  <c r="B14" i="105"/>
  <c r="C14" i="105"/>
  <c r="B15" i="105"/>
  <c r="C15" i="105"/>
  <c r="B16" i="105"/>
  <c r="C16" i="105"/>
  <c r="B17" i="105"/>
  <c r="C17" i="105"/>
  <c r="B18" i="105"/>
  <c r="C18" i="105"/>
  <c r="B19" i="105"/>
  <c r="C19" i="105"/>
  <c r="B20" i="105"/>
  <c r="C20" i="105"/>
  <c r="B21" i="105"/>
  <c r="C21" i="105"/>
  <c r="B22" i="105"/>
  <c r="C22" i="105"/>
  <c r="B23" i="105"/>
  <c r="C23" i="105"/>
  <c r="R23" i="111"/>
  <c r="W54" i="111"/>
  <c r="W53" i="111"/>
  <c r="W52" i="111"/>
  <c r="S52" i="111"/>
  <c r="W51" i="111"/>
  <c r="S51" i="111"/>
  <c r="W50" i="111"/>
  <c r="S50" i="111"/>
  <c r="W49" i="111"/>
  <c r="S49" i="111"/>
  <c r="W48" i="111"/>
  <c r="W59" i="111" s="1" a="1"/>
  <c r="W59" i="111" s="1"/>
  <c r="W60" i="111" s="1"/>
  <c r="S48" i="111"/>
  <c r="S59" i="111" s="1" a="1"/>
  <c r="S59" i="111" s="1"/>
  <c r="S60" i="111" s="1"/>
  <c r="W37" i="111"/>
  <c r="W36" i="111"/>
  <c r="W35" i="111"/>
  <c r="S35" i="111"/>
  <c r="W34" i="111"/>
  <c r="S34" i="111"/>
  <c r="W33" i="111"/>
  <c r="S33" i="111"/>
  <c r="W32" i="111"/>
  <c r="S32" i="111"/>
  <c r="W31" i="111"/>
  <c r="W42" i="111" s="1" a="1"/>
  <c r="W42" i="111" s="1"/>
  <c r="W43" i="111" s="1"/>
  <c r="S31" i="111"/>
  <c r="S42" i="111" s="1" a="1"/>
  <c r="S42" i="111" s="1"/>
  <c r="S43" i="111" s="1"/>
  <c r="W23" i="111"/>
  <c r="W26" i="111"/>
  <c r="W25" i="111" a="1"/>
  <c r="W25" i="111"/>
  <c r="W22" i="111" a="1"/>
  <c r="W22" i="111" s="1"/>
  <c r="S15" i="111"/>
  <c r="S16" i="111"/>
  <c r="S17" i="111"/>
  <c r="S18" i="111"/>
  <c r="S14" i="111"/>
  <c r="S25" i="111" s="1" a="1"/>
  <c r="S25" i="111" s="1"/>
  <c r="S26" i="111" s="1"/>
  <c r="W15" i="111"/>
  <c r="W16" i="111"/>
  <c r="W17" i="111"/>
  <c r="W18" i="111"/>
  <c r="W19" i="111"/>
  <c r="W20" i="111"/>
  <c r="W14" i="111"/>
  <c r="M39" i="111"/>
  <c r="N39" i="111"/>
  <c r="M40" i="111"/>
  <c r="N40" i="111"/>
  <c r="S67" i="110"/>
  <c r="R67" i="110"/>
  <c r="Q67" i="110"/>
  <c r="P67" i="110"/>
  <c r="O67" i="110"/>
  <c r="N67" i="110"/>
  <c r="M67" i="110"/>
  <c r="L67" i="110"/>
  <c r="I67" i="110"/>
  <c r="H67" i="110"/>
  <c r="G67" i="110"/>
  <c r="F67" i="110"/>
  <c r="E67" i="110"/>
  <c r="D67" i="110"/>
  <c r="C67" i="110"/>
  <c r="B67" i="110"/>
  <c r="S51" i="110"/>
  <c r="R51" i="110"/>
  <c r="Q51" i="110"/>
  <c r="P51" i="110"/>
  <c r="O51" i="110"/>
  <c r="N51" i="110"/>
  <c r="M51" i="110"/>
  <c r="S49" i="110"/>
  <c r="R49" i="110"/>
  <c r="Q49" i="110"/>
  <c r="P49" i="110"/>
  <c r="O49" i="110"/>
  <c r="N49" i="110"/>
  <c r="M49" i="110"/>
  <c r="S46" i="110"/>
  <c r="R46" i="110"/>
  <c r="Q46" i="110"/>
  <c r="P46" i="110"/>
  <c r="O46" i="110"/>
  <c r="N46" i="110"/>
  <c r="M46" i="110"/>
  <c r="Q45" i="110"/>
  <c r="P45" i="110"/>
  <c r="O45" i="110"/>
  <c r="N45" i="110"/>
  <c r="M45" i="110"/>
  <c r="S43" i="110"/>
  <c r="R43" i="110"/>
  <c r="Q43" i="110"/>
  <c r="P43" i="110"/>
  <c r="O43" i="110"/>
  <c r="N43" i="110"/>
  <c r="M43" i="110"/>
  <c r="S42" i="110"/>
  <c r="R42" i="110"/>
  <c r="Q42" i="110"/>
  <c r="P42" i="110"/>
  <c r="O42" i="110"/>
  <c r="N42" i="110"/>
  <c r="M42" i="110"/>
  <c r="S38" i="110"/>
  <c r="R38" i="110"/>
  <c r="Q38" i="110"/>
  <c r="P38" i="110"/>
  <c r="O38" i="110"/>
  <c r="N38" i="110"/>
  <c r="M38" i="110"/>
  <c r="S36" i="110"/>
  <c r="R36" i="110"/>
  <c r="Q36" i="110"/>
  <c r="P36" i="110"/>
  <c r="O36" i="110"/>
  <c r="N36" i="110"/>
  <c r="M36" i="110"/>
  <c r="Q32" i="110"/>
  <c r="P32" i="110"/>
  <c r="O32" i="110"/>
  <c r="N32" i="110"/>
  <c r="M32" i="110"/>
  <c r="S25" i="110"/>
  <c r="R25" i="110"/>
  <c r="Q25" i="110"/>
  <c r="P25" i="110"/>
  <c r="O25" i="110"/>
  <c r="N25" i="110"/>
  <c r="M25" i="110"/>
  <c r="S23" i="110"/>
  <c r="R23" i="110"/>
  <c r="Q23" i="110"/>
  <c r="P23" i="110"/>
  <c r="O23" i="110"/>
  <c r="N23" i="110"/>
  <c r="M23" i="110"/>
  <c r="S19" i="110"/>
  <c r="R19" i="110"/>
  <c r="Q19" i="110"/>
  <c r="P19" i="110"/>
  <c r="O19" i="110"/>
  <c r="N19" i="110"/>
  <c r="S15" i="110"/>
  <c r="R15" i="110"/>
  <c r="Q15" i="110"/>
  <c r="P15" i="110"/>
  <c r="O15" i="110"/>
  <c r="N15" i="110"/>
  <c r="M15" i="110"/>
  <c r="L15" i="110"/>
  <c r="S28" i="110"/>
  <c r="R28" i="110"/>
  <c r="Q28" i="110"/>
  <c r="P28" i="110"/>
  <c r="O28" i="110"/>
  <c r="N28" i="110"/>
  <c r="M28" i="110"/>
  <c r="L28" i="110"/>
  <c r="S41" i="110"/>
  <c r="R41" i="110"/>
  <c r="C28" i="110"/>
  <c r="D28" i="110"/>
  <c r="E28" i="110"/>
  <c r="F28" i="110"/>
  <c r="G28" i="110"/>
  <c r="H28" i="110"/>
  <c r="H41" i="110" s="1"/>
  <c r="H54" i="110" s="1"/>
  <c r="R54" i="110" s="1"/>
  <c r="I28" i="110"/>
  <c r="I41" i="110" s="1"/>
  <c r="I54" i="110" s="1"/>
  <c r="S54" i="110" s="1"/>
  <c r="B28" i="110"/>
  <c r="G134" i="111"/>
  <c r="G133" i="111"/>
  <c r="G121" i="111"/>
  <c r="F134" i="111" s="1"/>
  <c r="G120" i="111"/>
  <c r="F133" i="111" s="1"/>
  <c r="B111" i="111"/>
  <c r="B124" i="111" s="1"/>
  <c r="B137" i="111" s="1"/>
  <c r="B98" i="111"/>
  <c r="B97" i="111"/>
  <c r="B110" i="111" s="1"/>
  <c r="B123" i="111" s="1"/>
  <c r="B136" i="111" s="1"/>
  <c r="B91" i="111"/>
  <c r="B104" i="111" s="1"/>
  <c r="B117" i="111" s="1"/>
  <c r="B130" i="111" s="1"/>
  <c r="B143" i="111" s="1"/>
  <c r="H90" i="111"/>
  <c r="H103" i="111" s="1"/>
  <c r="H116" i="111" s="1"/>
  <c r="H129" i="111" s="1"/>
  <c r="H142" i="111" s="1"/>
  <c r="H89" i="111"/>
  <c r="H102" i="111" s="1"/>
  <c r="H115" i="111" s="1"/>
  <c r="H128" i="111" s="1"/>
  <c r="H141" i="111" s="1"/>
  <c r="H88" i="111"/>
  <c r="H101" i="111" s="1"/>
  <c r="H114" i="111" s="1"/>
  <c r="H127" i="111" s="1"/>
  <c r="H140" i="111" s="1"/>
  <c r="H87" i="111"/>
  <c r="H100" i="111" s="1"/>
  <c r="H113" i="111" s="1"/>
  <c r="H126" i="111" s="1"/>
  <c r="H139" i="111" s="1"/>
  <c r="B85" i="111"/>
  <c r="B84" i="111"/>
  <c r="B78" i="111"/>
  <c r="H77" i="111"/>
  <c r="H76" i="111"/>
  <c r="H75" i="111"/>
  <c r="B75" i="111"/>
  <c r="B88" i="111" s="1"/>
  <c r="B101" i="111" s="1"/>
  <c r="B114" i="111" s="1"/>
  <c r="B127" i="111" s="1"/>
  <c r="B140" i="111" s="1"/>
  <c r="H74" i="111"/>
  <c r="B74" i="111"/>
  <c r="B87" i="111" s="1"/>
  <c r="B100" i="111" s="1"/>
  <c r="B113" i="111" s="1"/>
  <c r="B126" i="111" s="1"/>
  <c r="B139" i="111" s="1"/>
  <c r="H73" i="111"/>
  <c r="H86" i="111" s="1"/>
  <c r="H99" i="111" s="1"/>
  <c r="H112" i="111" s="1"/>
  <c r="H125" i="111" s="1"/>
  <c r="H138" i="111" s="1"/>
  <c r="H72" i="111"/>
  <c r="H85" i="111" s="1"/>
  <c r="H98" i="111" s="1"/>
  <c r="H111" i="111" s="1"/>
  <c r="H124" i="111" s="1"/>
  <c r="H137" i="111" s="1"/>
  <c r="B72" i="111"/>
  <c r="B71" i="111"/>
  <c r="F43" i="111"/>
  <c r="F42" i="111"/>
  <c r="D37" i="111"/>
  <c r="E37" i="111"/>
  <c r="F37" i="111"/>
  <c r="G37" i="111"/>
  <c r="G42" i="111" s="1"/>
  <c r="F55" i="111" s="1"/>
  <c r="H37" i="111"/>
  <c r="G55" i="111" s="1"/>
  <c r="I37" i="111"/>
  <c r="I39" i="111" s="1"/>
  <c r="J37" i="111"/>
  <c r="J39" i="111" s="1"/>
  <c r="K37" i="111"/>
  <c r="K39" i="111" s="1"/>
  <c r="L37" i="111"/>
  <c r="G107" i="111" s="1"/>
  <c r="F120" i="111" s="1"/>
  <c r="M37" i="111"/>
  <c r="N37" i="111"/>
  <c r="D38" i="111"/>
  <c r="E38" i="111"/>
  <c r="F38" i="111"/>
  <c r="G38" i="111"/>
  <c r="G43" i="111" s="1"/>
  <c r="F56" i="111" s="1"/>
  <c r="H38" i="111"/>
  <c r="G56" i="111" s="1"/>
  <c r="I38" i="111"/>
  <c r="G69" i="111" s="1"/>
  <c r="F82" i="111" s="1"/>
  <c r="J38" i="111"/>
  <c r="G82" i="111" s="1"/>
  <c r="F95" i="111" s="1"/>
  <c r="K38" i="111"/>
  <c r="K40" i="111" s="1"/>
  <c r="L38" i="111"/>
  <c r="G108" i="111" s="1"/>
  <c r="F121" i="111" s="1"/>
  <c r="M38" i="111"/>
  <c r="N38" i="111"/>
  <c r="C37" i="111"/>
  <c r="C38" i="111"/>
  <c r="D4" i="111"/>
  <c r="E4" i="111"/>
  <c r="F4" i="111"/>
  <c r="G4" i="111"/>
  <c r="G46" i="111" s="1"/>
  <c r="H4" i="111"/>
  <c r="G59" i="111" s="1"/>
  <c r="F72" i="111" s="1"/>
  <c r="I4" i="111"/>
  <c r="G72" i="111" s="1"/>
  <c r="F85" i="111" s="1"/>
  <c r="J4" i="111"/>
  <c r="G85" i="111" s="1"/>
  <c r="F98" i="111" s="1"/>
  <c r="K4" i="111"/>
  <c r="G98" i="111" s="1"/>
  <c r="F111" i="111" s="1"/>
  <c r="L4" i="111"/>
  <c r="G111" i="111" s="1"/>
  <c r="F124" i="111" s="1"/>
  <c r="D5" i="111"/>
  <c r="E5" i="111"/>
  <c r="F5" i="111"/>
  <c r="G5" i="111"/>
  <c r="G47" i="111" s="1"/>
  <c r="H5" i="111"/>
  <c r="G60" i="111" s="1"/>
  <c r="F73" i="111" s="1"/>
  <c r="I5" i="111"/>
  <c r="G73" i="111" s="1"/>
  <c r="F86" i="111" s="1"/>
  <c r="J5" i="111"/>
  <c r="G86" i="111" s="1"/>
  <c r="F99" i="111" s="1"/>
  <c r="K5" i="111"/>
  <c r="G99" i="111" s="1"/>
  <c r="F112" i="111" s="1"/>
  <c r="L5" i="111"/>
  <c r="G112" i="111" s="1"/>
  <c r="F125" i="111" s="1"/>
  <c r="D6" i="111"/>
  <c r="E6" i="111"/>
  <c r="F6" i="111"/>
  <c r="G6" i="111"/>
  <c r="H6" i="111"/>
  <c r="I6" i="111"/>
  <c r="J6" i="111"/>
  <c r="K6" i="111"/>
  <c r="L6" i="111"/>
  <c r="D7" i="111"/>
  <c r="E7" i="111"/>
  <c r="F7" i="111"/>
  <c r="G7" i="111"/>
  <c r="H7" i="111"/>
  <c r="I7" i="111"/>
  <c r="J7" i="111"/>
  <c r="K7" i="111"/>
  <c r="L7" i="111"/>
  <c r="D8" i="111"/>
  <c r="E8" i="111"/>
  <c r="F8" i="111"/>
  <c r="G8" i="111"/>
  <c r="H8" i="111"/>
  <c r="I8" i="111"/>
  <c r="J8" i="111"/>
  <c r="K8" i="111"/>
  <c r="L8" i="111"/>
  <c r="D9" i="111"/>
  <c r="E9" i="111"/>
  <c r="F9" i="111"/>
  <c r="G9" i="111"/>
  <c r="H9" i="111"/>
  <c r="I9" i="111"/>
  <c r="J9" i="111"/>
  <c r="K9" i="111"/>
  <c r="L9" i="111"/>
  <c r="D10" i="111"/>
  <c r="E10" i="111"/>
  <c r="F10" i="111"/>
  <c r="G10" i="111"/>
  <c r="G52" i="111" s="1"/>
  <c r="H10" i="111"/>
  <c r="G65" i="111" s="1"/>
  <c r="F78" i="111" s="1"/>
  <c r="I10" i="111"/>
  <c r="G78" i="111" s="1"/>
  <c r="F91" i="111" s="1"/>
  <c r="J10" i="111"/>
  <c r="G91" i="111" s="1"/>
  <c r="K10" i="111"/>
  <c r="G104" i="111" s="1"/>
  <c r="F117" i="111" s="1"/>
  <c r="L10" i="111"/>
  <c r="G117" i="111" s="1"/>
  <c r="F130" i="111" s="1"/>
  <c r="C10" i="111"/>
  <c r="C9" i="111"/>
  <c r="C8" i="111"/>
  <c r="C7" i="111"/>
  <c r="C6" i="111"/>
  <c r="C5" i="111"/>
  <c r="C4" i="111"/>
  <c r="D3" i="111"/>
  <c r="H65" i="111"/>
  <c r="H78" i="111" s="1"/>
  <c r="H91" i="111" s="1"/>
  <c r="H104" i="111" s="1"/>
  <c r="H117" i="111" s="1"/>
  <c r="H130" i="111" s="1"/>
  <c r="H143" i="111" s="1"/>
  <c r="B65" i="111"/>
  <c r="H64" i="111"/>
  <c r="H63" i="111"/>
  <c r="H62" i="111"/>
  <c r="H61" i="111"/>
  <c r="B61" i="111"/>
  <c r="H60" i="111"/>
  <c r="B60" i="111"/>
  <c r="B73" i="111" s="1"/>
  <c r="B86" i="111" s="1"/>
  <c r="B99" i="111" s="1"/>
  <c r="B112" i="111" s="1"/>
  <c r="B125" i="111" s="1"/>
  <c r="B138" i="111" s="1"/>
  <c r="H59" i="111"/>
  <c r="B59" i="111"/>
  <c r="B58" i="111"/>
  <c r="F53" i="111"/>
  <c r="C53" i="111"/>
  <c r="F45" i="111"/>
  <c r="N35" i="111"/>
  <c r="B27" i="111"/>
  <c r="B49" i="111" s="1"/>
  <c r="B62" i="111" s="1"/>
  <c r="B17" i="111"/>
  <c r="C15" i="111"/>
  <c r="B31" i="111"/>
  <c r="B30" i="111"/>
  <c r="B18" i="111"/>
  <c r="B26" i="111"/>
  <c r="B25" i="111"/>
  <c r="B24" i="111"/>
  <c r="S77" i="110"/>
  <c r="R77" i="110"/>
  <c r="Q77" i="110"/>
  <c r="P77" i="110"/>
  <c r="O77" i="110"/>
  <c r="N77" i="110"/>
  <c r="M77" i="110"/>
  <c r="S75" i="110"/>
  <c r="R75" i="110"/>
  <c r="Q75" i="110"/>
  <c r="P75" i="110"/>
  <c r="O75" i="110"/>
  <c r="N75" i="110"/>
  <c r="M75" i="110"/>
  <c r="S72" i="110"/>
  <c r="R72" i="110"/>
  <c r="Q72" i="110"/>
  <c r="P72" i="110"/>
  <c r="O72" i="110"/>
  <c r="N72" i="110"/>
  <c r="M72" i="110"/>
  <c r="S69" i="110"/>
  <c r="R69" i="110"/>
  <c r="Q69" i="110"/>
  <c r="P69" i="110"/>
  <c r="O69" i="110"/>
  <c r="N69" i="110"/>
  <c r="M69" i="110"/>
  <c r="S68" i="110"/>
  <c r="R68" i="110"/>
  <c r="Q68" i="110"/>
  <c r="P68" i="110"/>
  <c r="O68" i="110"/>
  <c r="N68" i="110"/>
  <c r="M68" i="110"/>
  <c r="S64" i="110"/>
  <c r="R64" i="110"/>
  <c r="Q64" i="110"/>
  <c r="P64" i="110"/>
  <c r="O64" i="110"/>
  <c r="N64" i="110"/>
  <c r="M64" i="110"/>
  <c r="S62" i="110"/>
  <c r="R62" i="110"/>
  <c r="Q62" i="110"/>
  <c r="P62" i="110"/>
  <c r="O62" i="110"/>
  <c r="N62" i="110"/>
  <c r="M62" i="110"/>
  <c r="T24" i="103" l="1"/>
  <c r="R5" i="26"/>
  <c r="L12" i="111"/>
  <c r="K12" i="111"/>
  <c r="J12" i="111"/>
  <c r="I12" i="111"/>
  <c r="H12" i="111"/>
  <c r="G12" i="111"/>
  <c r="W56" i="111" a="1"/>
  <c r="W56" i="111" s="1"/>
  <c r="W57" i="111" s="1"/>
  <c r="W39" i="111" a="1"/>
  <c r="W39" i="111" s="1"/>
  <c r="W40" i="111" s="1"/>
  <c r="L39" i="111"/>
  <c r="L40" i="111"/>
  <c r="J40" i="111"/>
  <c r="I40" i="111"/>
  <c r="H40" i="111"/>
  <c r="H39" i="111"/>
  <c r="G39" i="111"/>
  <c r="G40" i="111"/>
  <c r="F41" i="110"/>
  <c r="P41" i="110" s="1"/>
  <c r="E41" i="110"/>
  <c r="O41" i="110" s="1"/>
  <c r="D41" i="110"/>
  <c r="N41" i="110" s="1"/>
  <c r="C41" i="110"/>
  <c r="M41" i="110" s="1"/>
  <c r="B41" i="110"/>
  <c r="L41" i="110" s="1"/>
  <c r="G41" i="110"/>
  <c r="Q41" i="110" s="1"/>
  <c r="G94" i="111"/>
  <c r="F107" i="111" s="1"/>
  <c r="H107" i="111" s="1"/>
  <c r="I107" i="111" s="1"/>
  <c r="G95" i="111"/>
  <c r="H95" i="111" s="1"/>
  <c r="I95" i="111" s="1"/>
  <c r="G81" i="111"/>
  <c r="G68" i="111"/>
  <c r="F81" i="111" s="1"/>
  <c r="F68" i="111"/>
  <c r="F69" i="111"/>
  <c r="H69" i="111" s="1"/>
  <c r="I69" i="111" s="1"/>
  <c r="H134" i="111"/>
  <c r="I134" i="111" s="1"/>
  <c r="I117" i="111"/>
  <c r="K117" i="111" s="1"/>
  <c r="I112" i="111"/>
  <c r="K112" i="111" s="1"/>
  <c r="I91" i="111"/>
  <c r="K91" i="111" s="1"/>
  <c r="I111" i="111"/>
  <c r="K111" i="111" s="1"/>
  <c r="F104" i="111"/>
  <c r="I104" i="111" s="1"/>
  <c r="K104" i="111" s="1"/>
  <c r="I99" i="111"/>
  <c r="K99" i="111" s="1"/>
  <c r="I86" i="111"/>
  <c r="K86" i="111" s="1"/>
  <c r="I98" i="111"/>
  <c r="K98" i="111" s="1"/>
  <c r="I85" i="111"/>
  <c r="K85" i="111" s="1"/>
  <c r="H82" i="111"/>
  <c r="I82" i="111" s="1"/>
  <c r="I73" i="111"/>
  <c r="K73" i="111" s="1"/>
  <c r="I72" i="111"/>
  <c r="K72" i="111" s="1"/>
  <c r="I78" i="111"/>
  <c r="K78" i="111" s="1"/>
  <c r="B28" i="111"/>
  <c r="B50" i="111" s="1"/>
  <c r="B63" i="111" s="1"/>
  <c r="C23" i="111"/>
  <c r="D15" i="111"/>
  <c r="E3" i="111"/>
  <c r="F65" i="111"/>
  <c r="C11" i="111"/>
  <c r="P58" i="110"/>
  <c r="Q58" i="110"/>
  <c r="M58" i="110"/>
  <c r="N58" i="110"/>
  <c r="O58" i="110"/>
  <c r="Q71" i="110"/>
  <c r="P71" i="110"/>
  <c r="O71" i="110"/>
  <c r="M71" i="110"/>
  <c r="N71" i="110"/>
  <c r="B29" i="111"/>
  <c r="B51" i="111" s="1"/>
  <c r="B64" i="111" s="1"/>
  <c r="B19" i="111"/>
  <c r="B16" i="111"/>
  <c r="U24" i="103" l="1"/>
  <c r="F54" i="110"/>
  <c r="P54" i="110" s="1"/>
  <c r="C54" i="110"/>
  <c r="M54" i="110" s="1"/>
  <c r="D54" i="110"/>
  <c r="N54" i="110" s="1"/>
  <c r="E54" i="110"/>
  <c r="O54" i="110" s="1"/>
  <c r="B54" i="110"/>
  <c r="L54" i="110" s="1"/>
  <c r="G54" i="110"/>
  <c r="Q54" i="110" s="1"/>
  <c r="F108" i="111"/>
  <c r="H108" i="111" s="1"/>
  <c r="I108" i="111" s="1"/>
  <c r="F94" i="111"/>
  <c r="H94" i="111" s="1"/>
  <c r="I94" i="111" s="1"/>
  <c r="H120" i="111"/>
  <c r="I120" i="111" s="1"/>
  <c r="H133" i="111"/>
  <c r="I133" i="111" s="1"/>
  <c r="H121" i="111"/>
  <c r="I121" i="111" s="1"/>
  <c r="B77" i="111"/>
  <c r="B90" i="111" s="1"/>
  <c r="B103" i="111" s="1"/>
  <c r="B116" i="111" s="1"/>
  <c r="B129" i="111" s="1"/>
  <c r="B142" i="111" s="1"/>
  <c r="B76" i="111"/>
  <c r="B89" i="111" s="1"/>
  <c r="B102" i="111" s="1"/>
  <c r="B115" i="111" s="1"/>
  <c r="B128" i="111" s="1"/>
  <c r="B141" i="111" s="1"/>
  <c r="H68" i="111"/>
  <c r="I68" i="111" s="1"/>
  <c r="H81" i="111"/>
  <c r="I81" i="111" s="1"/>
  <c r="F3" i="111"/>
  <c r="E15" i="111"/>
  <c r="I47" i="111"/>
  <c r="K47" i="111" s="1"/>
  <c r="F60" i="111"/>
  <c r="I60" i="111" s="1"/>
  <c r="K60" i="111" s="1"/>
  <c r="I52" i="111"/>
  <c r="K52" i="111" s="1"/>
  <c r="D23" i="111"/>
  <c r="D36" i="111" s="1"/>
  <c r="D11" i="111"/>
  <c r="F59" i="111"/>
  <c r="I46" i="111"/>
  <c r="K46" i="111" s="1"/>
  <c r="V24" i="103" l="1"/>
  <c r="I65" i="111"/>
  <c r="K65" i="111" s="1"/>
  <c r="E11" i="111"/>
  <c r="E23" i="111"/>
  <c r="E36" i="111" s="1"/>
  <c r="G3" i="111"/>
  <c r="D45" i="111" s="1"/>
  <c r="F15" i="111"/>
  <c r="I59" i="111"/>
  <c r="K59" i="111" s="1"/>
  <c r="W24" i="103" l="1"/>
  <c r="G45" i="111"/>
  <c r="F58" i="111" s="1"/>
  <c r="C58" i="111"/>
  <c r="F11" i="111"/>
  <c r="F23" i="111"/>
  <c r="F36" i="111" s="1"/>
  <c r="H3" i="111"/>
  <c r="D58" i="111" s="1"/>
  <c r="G15" i="111"/>
  <c r="X24" i="103" l="1"/>
  <c r="C71" i="111"/>
  <c r="G58" i="111"/>
  <c r="F71" i="111" s="1"/>
  <c r="G23" i="111"/>
  <c r="G36" i="111" s="1"/>
  <c r="G11" i="111"/>
  <c r="H15" i="111"/>
  <c r="I3" i="111"/>
  <c r="D71" i="111" s="1"/>
  <c r="G71" i="111" l="1"/>
  <c r="F84" i="111" s="1"/>
  <c r="C84" i="111"/>
  <c r="I15" i="111"/>
  <c r="J3" i="111"/>
  <c r="D84" i="111" s="1"/>
  <c r="H23" i="111"/>
  <c r="H36" i="111" s="1"/>
  <c r="H11" i="111"/>
  <c r="G84" i="111" l="1"/>
  <c r="F97" i="111" s="1"/>
  <c r="C97" i="111"/>
  <c r="I23" i="111"/>
  <c r="I36" i="111" s="1"/>
  <c r="J15" i="111"/>
  <c r="K3" i="111"/>
  <c r="D97" i="111" s="1"/>
  <c r="I11" i="111"/>
  <c r="G97" i="111" l="1"/>
  <c r="F110" i="111" s="1"/>
  <c r="C110" i="111"/>
  <c r="K15" i="111"/>
  <c r="L3" i="111"/>
  <c r="D110" i="111" s="1"/>
  <c r="J11" i="111"/>
  <c r="J23" i="111"/>
  <c r="J36" i="111" s="1"/>
  <c r="G110" i="111" l="1"/>
  <c r="F123" i="111" s="1"/>
  <c r="C123" i="111"/>
  <c r="K11" i="111"/>
  <c r="M3" i="111"/>
  <c r="D123" i="111" s="1"/>
  <c r="L15" i="111"/>
  <c r="K23" i="111"/>
  <c r="K36" i="111" s="1"/>
  <c r="G123" i="111" l="1"/>
  <c r="F136" i="111" s="1"/>
  <c r="C136" i="111"/>
  <c r="L11" i="111"/>
  <c r="L23" i="111"/>
  <c r="L36" i="111" s="1"/>
  <c r="N3" i="111"/>
  <c r="D136" i="111" s="1"/>
  <c r="M15" i="111"/>
  <c r="M23" i="111" s="1"/>
  <c r="M36" i="111" s="1"/>
  <c r="G136" i="111" l="1"/>
  <c r="N15" i="111"/>
  <c r="N23" i="111" s="1"/>
  <c r="N36" i="111" s="1"/>
  <c r="H55" i="111" l="1"/>
  <c r="I55" i="111" s="1"/>
  <c r="H42" i="111"/>
  <c r="I42" i="111" s="1"/>
  <c r="H43" i="111"/>
  <c r="I43" i="111" s="1"/>
  <c r="H56" i="111"/>
  <c r="I56" i="111" s="1"/>
  <c r="R32" i="110" l="1"/>
  <c r="S32" i="110" l="1"/>
  <c r="R58" i="110"/>
  <c r="R45" i="110"/>
  <c r="R71" i="110" l="1"/>
  <c r="S58" i="110"/>
  <c r="S45" i="110" l="1"/>
  <c r="S71" i="110" l="1"/>
  <c r="AE35" i="32" l="1"/>
  <c r="AE34" i="32"/>
  <c r="C37" i="32"/>
  <c r="AE45" i="32"/>
  <c r="AE30" i="32"/>
  <c r="AE29" i="32"/>
  <c r="D36" i="32"/>
  <c r="D38" i="32"/>
  <c r="D37" i="32"/>
  <c r="Q4" i="106"/>
  <c r="Q5" i="106"/>
  <c r="Q6" i="106"/>
  <c r="Q7" i="106"/>
  <c r="Q8" i="106"/>
  <c r="Q9" i="106"/>
  <c r="Q10" i="106"/>
  <c r="Q11" i="106"/>
  <c r="Q12" i="106"/>
  <c r="Q13" i="106"/>
  <c r="Q14" i="106"/>
  <c r="Q15" i="106"/>
  <c r="Q16" i="106"/>
  <c r="Q17" i="106"/>
  <c r="Q18" i="106"/>
  <c r="Q19" i="106"/>
  <c r="Q20" i="106"/>
  <c r="Q21" i="106"/>
  <c r="Q22" i="106"/>
  <c r="Q23" i="106"/>
  <c r="Q24" i="106"/>
  <c r="Q25" i="106"/>
  <c r="Q26" i="106"/>
  <c r="Q27" i="106"/>
  <c r="Q28" i="106"/>
  <c r="Q29" i="106"/>
  <c r="Q30" i="106"/>
  <c r="Q31" i="106"/>
  <c r="Q32" i="106"/>
  <c r="Q33" i="106"/>
  <c r="Q34" i="106"/>
  <c r="Q35" i="106"/>
  <c r="Q36" i="106"/>
  <c r="Q37" i="106"/>
  <c r="Q38" i="106"/>
  <c r="Q39" i="106"/>
  <c r="Q40" i="106"/>
  <c r="Q41" i="106"/>
  <c r="Q42" i="106"/>
  <c r="Q43" i="106"/>
  <c r="Q44" i="106"/>
  <c r="Q45" i="106"/>
  <c r="Q46" i="106"/>
  <c r="Q47" i="106"/>
  <c r="Q48" i="106"/>
  <c r="Q49" i="106"/>
  <c r="Q50" i="106"/>
  <c r="Q51" i="106"/>
  <c r="Q52" i="106"/>
  <c r="Q53" i="106"/>
  <c r="Q54" i="106"/>
  <c r="Q55" i="106"/>
  <c r="Q56" i="106"/>
  <c r="Q57" i="106"/>
  <c r="Q58" i="106"/>
  <c r="Q59" i="106"/>
  <c r="Q60" i="106"/>
  <c r="Q61" i="106"/>
  <c r="Q62" i="106"/>
  <c r="Q63" i="106"/>
  <c r="Q64" i="106"/>
  <c r="Q65" i="106"/>
  <c r="Q66" i="106"/>
  <c r="Q67" i="106"/>
  <c r="Q68" i="106"/>
  <c r="Q69" i="106"/>
  <c r="Q70" i="106"/>
  <c r="Q71" i="106"/>
  <c r="Q72" i="106"/>
  <c r="Q73" i="106"/>
  <c r="Q74" i="106"/>
  <c r="Q75" i="106"/>
  <c r="Q76" i="106"/>
  <c r="Q77" i="106"/>
  <c r="Q78" i="106"/>
  <c r="Q79" i="106"/>
  <c r="Q80" i="106"/>
  <c r="Q81" i="106"/>
  <c r="Q82" i="106"/>
  <c r="Q83" i="106"/>
  <c r="Q84" i="106"/>
  <c r="Q85" i="106"/>
  <c r="Q86" i="106"/>
  <c r="Q87" i="106"/>
  <c r="Q88" i="106"/>
  <c r="Q89" i="106"/>
  <c r="Q90" i="106"/>
  <c r="Q91" i="106"/>
  <c r="Q92" i="106"/>
  <c r="Q93" i="106"/>
  <c r="Q94" i="106"/>
  <c r="Q95" i="106"/>
  <c r="Q96" i="106"/>
  <c r="Q97" i="106"/>
  <c r="Q98" i="106"/>
  <c r="Q99" i="106"/>
  <c r="Q100" i="106"/>
  <c r="Q101" i="106"/>
  <c r="Q102" i="106"/>
  <c r="Q103" i="106"/>
  <c r="Q104" i="106"/>
  <c r="Q105" i="106"/>
  <c r="Q106" i="106"/>
  <c r="Q107" i="106"/>
  <c r="Q108" i="106"/>
  <c r="Q109" i="106"/>
  <c r="Q110" i="106"/>
  <c r="Q111" i="106"/>
  <c r="Q112" i="106"/>
  <c r="Q113" i="106"/>
  <c r="Q114" i="106"/>
  <c r="Q115" i="106"/>
  <c r="Q116" i="106"/>
  <c r="Q117" i="106"/>
  <c r="Q118" i="106"/>
  <c r="Q119" i="106"/>
  <c r="Q120" i="106"/>
  <c r="Q121" i="106"/>
  <c r="Q122" i="106"/>
  <c r="Q123" i="106"/>
  <c r="Q124" i="106"/>
  <c r="Q125" i="106"/>
  <c r="Q126" i="106"/>
  <c r="Q127" i="106"/>
  <c r="Q128" i="106"/>
  <c r="Q129" i="106"/>
  <c r="Q130" i="106"/>
  <c r="Q131" i="106"/>
  <c r="Q132" i="106"/>
  <c r="Q133" i="106"/>
  <c r="Q134" i="106"/>
  <c r="Q135" i="106"/>
  <c r="Q136" i="106"/>
  <c r="Q137" i="106"/>
  <c r="Q138" i="106"/>
  <c r="Q139" i="106"/>
  <c r="Q140" i="106"/>
  <c r="Q141" i="106"/>
  <c r="Q142" i="106"/>
  <c r="Q143" i="106"/>
  <c r="Q144" i="106"/>
  <c r="Q145" i="106"/>
  <c r="Q2" i="106"/>
  <c r="Q3" i="106"/>
  <c r="Q1" i="106"/>
  <c r="P3" i="106"/>
  <c r="P4" i="106"/>
  <c r="P5" i="106"/>
  <c r="P6" i="106"/>
  <c r="P7" i="106"/>
  <c r="P8" i="106"/>
  <c r="P9" i="106"/>
  <c r="P10" i="106"/>
  <c r="P11" i="106"/>
  <c r="P12" i="106"/>
  <c r="P13" i="106"/>
  <c r="P14" i="106"/>
  <c r="P15" i="106"/>
  <c r="P16" i="106"/>
  <c r="P17" i="106"/>
  <c r="P18" i="106"/>
  <c r="P19" i="106"/>
  <c r="P20" i="106"/>
  <c r="P21" i="106"/>
  <c r="P22" i="106"/>
  <c r="P23" i="106"/>
  <c r="P24" i="106"/>
  <c r="P25" i="106"/>
  <c r="P26" i="106"/>
  <c r="P27" i="106"/>
  <c r="P28" i="106"/>
  <c r="P29" i="106"/>
  <c r="P30" i="106"/>
  <c r="P31" i="106"/>
  <c r="P32" i="106"/>
  <c r="P33" i="106"/>
  <c r="P34" i="106"/>
  <c r="P35" i="106"/>
  <c r="P36" i="106"/>
  <c r="P37" i="106"/>
  <c r="P38" i="106"/>
  <c r="P39" i="106"/>
  <c r="P40" i="106"/>
  <c r="P41" i="106"/>
  <c r="P42" i="106"/>
  <c r="P43" i="106"/>
  <c r="P44" i="106"/>
  <c r="P45" i="106"/>
  <c r="P46" i="106"/>
  <c r="P47" i="106"/>
  <c r="P48" i="106"/>
  <c r="P49" i="106"/>
  <c r="P50" i="106"/>
  <c r="P51" i="106"/>
  <c r="P52" i="106"/>
  <c r="P53" i="106"/>
  <c r="P54" i="106"/>
  <c r="P55" i="106"/>
  <c r="P56" i="106"/>
  <c r="P57" i="106"/>
  <c r="P58" i="106"/>
  <c r="P59" i="106"/>
  <c r="P60" i="106"/>
  <c r="P61" i="106"/>
  <c r="P62" i="106"/>
  <c r="P63" i="106"/>
  <c r="P64" i="106"/>
  <c r="P65" i="106"/>
  <c r="P66" i="106"/>
  <c r="P67" i="106"/>
  <c r="P68" i="106"/>
  <c r="P69" i="106"/>
  <c r="P70" i="106"/>
  <c r="P71" i="106"/>
  <c r="P72" i="106"/>
  <c r="P73" i="106"/>
  <c r="P74" i="106"/>
  <c r="P75" i="106"/>
  <c r="P76" i="106"/>
  <c r="P77" i="106"/>
  <c r="P78" i="106"/>
  <c r="P79" i="106"/>
  <c r="P80" i="106"/>
  <c r="P81" i="106"/>
  <c r="P82" i="106"/>
  <c r="P83" i="106"/>
  <c r="P84" i="106"/>
  <c r="P85" i="106"/>
  <c r="P86" i="106"/>
  <c r="P87" i="106"/>
  <c r="P88" i="106"/>
  <c r="P89" i="106"/>
  <c r="P90" i="106"/>
  <c r="P91" i="106"/>
  <c r="P92" i="106"/>
  <c r="P93" i="106"/>
  <c r="P94" i="106"/>
  <c r="P95" i="106"/>
  <c r="P96" i="106"/>
  <c r="P97" i="106"/>
  <c r="P98" i="106"/>
  <c r="P99" i="106"/>
  <c r="P100" i="106"/>
  <c r="P101" i="106"/>
  <c r="P102" i="106"/>
  <c r="P103" i="106"/>
  <c r="P104" i="106"/>
  <c r="P105" i="106"/>
  <c r="P106" i="106"/>
  <c r="P107" i="106"/>
  <c r="P108" i="106"/>
  <c r="P109" i="106"/>
  <c r="P110" i="106"/>
  <c r="P111" i="106"/>
  <c r="P112" i="106"/>
  <c r="P113" i="106"/>
  <c r="P114" i="106"/>
  <c r="P115" i="106"/>
  <c r="P116" i="106"/>
  <c r="P117" i="106"/>
  <c r="P118" i="106"/>
  <c r="P119" i="106"/>
  <c r="P120" i="106"/>
  <c r="P121" i="106"/>
  <c r="P122" i="106"/>
  <c r="P123" i="106"/>
  <c r="P124" i="106"/>
  <c r="P125" i="106"/>
  <c r="P126" i="106"/>
  <c r="P127" i="106"/>
  <c r="P128" i="106"/>
  <c r="P129" i="106"/>
  <c r="P130" i="106"/>
  <c r="P131" i="106"/>
  <c r="P132" i="106"/>
  <c r="P133" i="106"/>
  <c r="P134" i="106"/>
  <c r="P135" i="106"/>
  <c r="P136" i="106"/>
  <c r="P137" i="106"/>
  <c r="P138" i="106"/>
  <c r="P139" i="106"/>
  <c r="P140" i="106"/>
  <c r="P141" i="106"/>
  <c r="P142" i="106"/>
  <c r="P143" i="106"/>
  <c r="P144" i="106"/>
  <c r="P145" i="106"/>
  <c r="P2" i="106"/>
  <c r="P1" i="106"/>
  <c r="S2" i="104"/>
  <c r="D2" i="106"/>
  <c r="D3" i="106"/>
  <c r="D4" i="106"/>
  <c r="D5" i="106"/>
  <c r="D6" i="106"/>
  <c r="D7" i="106"/>
  <c r="D8" i="106"/>
  <c r="D9" i="106"/>
  <c r="D10" i="106"/>
  <c r="D11" i="106"/>
  <c r="D12" i="106"/>
  <c r="D13" i="106"/>
  <c r="D14" i="106"/>
  <c r="D15" i="106"/>
  <c r="D16" i="106"/>
  <c r="D17" i="106"/>
  <c r="D18" i="106"/>
  <c r="D19" i="106"/>
  <c r="D20" i="106"/>
  <c r="D21" i="106"/>
  <c r="D22" i="106"/>
  <c r="D23" i="106"/>
  <c r="D24" i="106"/>
  <c r="D25" i="106"/>
  <c r="D26" i="106"/>
  <c r="D27" i="106"/>
  <c r="D28" i="106"/>
  <c r="D29" i="106"/>
  <c r="D30" i="106"/>
  <c r="D31" i="106"/>
  <c r="D32" i="106"/>
  <c r="D33" i="106"/>
  <c r="D34" i="106"/>
  <c r="D35" i="106"/>
  <c r="D36" i="106"/>
  <c r="D37" i="106"/>
  <c r="D38" i="106"/>
  <c r="D39" i="106"/>
  <c r="D40" i="106"/>
  <c r="D41" i="106"/>
  <c r="D42" i="106"/>
  <c r="D43" i="106"/>
  <c r="D44" i="106"/>
  <c r="D45" i="106"/>
  <c r="D46" i="106"/>
  <c r="D47" i="106"/>
  <c r="D48" i="106"/>
  <c r="D49" i="106"/>
  <c r="D50" i="106"/>
  <c r="D51" i="106"/>
  <c r="D52" i="106"/>
  <c r="D53" i="106"/>
  <c r="D54" i="106"/>
  <c r="D55" i="106"/>
  <c r="D56" i="106"/>
  <c r="D57" i="106"/>
  <c r="D58" i="106"/>
  <c r="D59" i="106"/>
  <c r="D60" i="106"/>
  <c r="D61" i="106"/>
  <c r="D62" i="106"/>
  <c r="D63" i="106"/>
  <c r="D64" i="106"/>
  <c r="D65" i="106"/>
  <c r="D66" i="106"/>
  <c r="D67" i="106"/>
  <c r="D68" i="106"/>
  <c r="D69" i="106"/>
  <c r="D70" i="106"/>
  <c r="D71" i="106"/>
  <c r="D72" i="106"/>
  <c r="D73" i="106"/>
  <c r="D74" i="106"/>
  <c r="D75" i="106"/>
  <c r="D76" i="106"/>
  <c r="D77" i="106"/>
  <c r="D78" i="106"/>
  <c r="D79" i="106"/>
  <c r="D80" i="106"/>
  <c r="D81" i="106"/>
  <c r="D82" i="106"/>
  <c r="D83" i="106"/>
  <c r="D84" i="106"/>
  <c r="D85" i="106"/>
  <c r="D86" i="106"/>
  <c r="D87" i="106"/>
  <c r="D88" i="106"/>
  <c r="D89" i="106"/>
  <c r="D90" i="106"/>
  <c r="D91" i="106"/>
  <c r="D92" i="106"/>
  <c r="D93" i="106"/>
  <c r="D94" i="106"/>
  <c r="D95" i="106"/>
  <c r="D96" i="106"/>
  <c r="D97" i="106"/>
  <c r="D98" i="106"/>
  <c r="D99" i="106"/>
  <c r="D100" i="106"/>
  <c r="D101" i="106"/>
  <c r="D102" i="106"/>
  <c r="D103" i="106"/>
  <c r="D104" i="106"/>
  <c r="D105" i="106"/>
  <c r="D106" i="106"/>
  <c r="D107" i="106"/>
  <c r="D108" i="106"/>
  <c r="D109" i="106"/>
  <c r="D110" i="106"/>
  <c r="D111" i="106"/>
  <c r="D112" i="106"/>
  <c r="D113" i="106"/>
  <c r="D114" i="106"/>
  <c r="D115" i="106"/>
  <c r="D116" i="106"/>
  <c r="D117" i="106"/>
  <c r="D118" i="106"/>
  <c r="D119" i="106"/>
  <c r="D120" i="106"/>
  <c r="D121" i="106"/>
  <c r="D1" i="106"/>
  <c r="G123" i="106"/>
  <c r="G124" i="106"/>
  <c r="G125" i="106"/>
  <c r="G126" i="106"/>
  <c r="G127" i="106"/>
  <c r="G139" i="106" s="1"/>
  <c r="G128" i="106"/>
  <c r="G129" i="106"/>
  <c r="G141" i="106" s="1"/>
  <c r="G130" i="106"/>
  <c r="G142" i="106" s="1"/>
  <c r="G131" i="106"/>
  <c r="G143" i="106" s="1"/>
  <c r="G132" i="106"/>
  <c r="G144" i="106" s="1"/>
  <c r="G133" i="106"/>
  <c r="G145" i="106" s="1"/>
  <c r="G134" i="106"/>
  <c r="G135" i="106"/>
  <c r="G136" i="106"/>
  <c r="G137" i="106"/>
  <c r="G138" i="106"/>
  <c r="G140" i="106"/>
  <c r="G122" i="106"/>
  <c r="G2" i="106"/>
  <c r="G3" i="106"/>
  <c r="G4" i="106"/>
  <c r="G5" i="106"/>
  <c r="G6" i="106"/>
  <c r="G7" i="106"/>
  <c r="G8" i="106"/>
  <c r="G9" i="106"/>
  <c r="G10" i="106"/>
  <c r="G11" i="106"/>
  <c r="G12" i="106"/>
  <c r="G13" i="106"/>
  <c r="G14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43" i="106"/>
  <c r="G44" i="106"/>
  <c r="G45" i="106"/>
  <c r="G46" i="106"/>
  <c r="G47" i="106"/>
  <c r="G48" i="106"/>
  <c r="G49" i="106"/>
  <c r="G50" i="106"/>
  <c r="G51" i="106"/>
  <c r="G52" i="106"/>
  <c r="G53" i="106"/>
  <c r="G54" i="106"/>
  <c r="G55" i="106"/>
  <c r="G56" i="106"/>
  <c r="G57" i="106"/>
  <c r="G58" i="106"/>
  <c r="G59" i="106"/>
  <c r="G60" i="106"/>
  <c r="G61" i="106"/>
  <c r="G62" i="106"/>
  <c r="G63" i="106"/>
  <c r="G64" i="106"/>
  <c r="G65" i="106"/>
  <c r="G66" i="106"/>
  <c r="G67" i="106"/>
  <c r="G68" i="106"/>
  <c r="G69" i="106"/>
  <c r="G70" i="106"/>
  <c r="G71" i="106"/>
  <c r="G72" i="106"/>
  <c r="G73" i="106"/>
  <c r="G74" i="106"/>
  <c r="G75" i="106"/>
  <c r="G76" i="106"/>
  <c r="G77" i="106"/>
  <c r="G78" i="106"/>
  <c r="G79" i="106"/>
  <c r="G80" i="106"/>
  <c r="G81" i="106"/>
  <c r="G82" i="106"/>
  <c r="G83" i="106"/>
  <c r="G84" i="106"/>
  <c r="G85" i="106"/>
  <c r="G86" i="106"/>
  <c r="G87" i="106"/>
  <c r="G88" i="106"/>
  <c r="G89" i="106"/>
  <c r="G90" i="106"/>
  <c r="G91" i="106"/>
  <c r="G92" i="106"/>
  <c r="G93" i="106"/>
  <c r="G94" i="106"/>
  <c r="G95" i="106"/>
  <c r="G96" i="106"/>
  <c r="G97" i="106"/>
  <c r="G98" i="106"/>
  <c r="G99" i="106"/>
  <c r="G100" i="106"/>
  <c r="G101" i="106"/>
  <c r="G102" i="106"/>
  <c r="G103" i="106"/>
  <c r="G104" i="106"/>
  <c r="G105" i="106"/>
  <c r="G106" i="106"/>
  <c r="G107" i="106"/>
  <c r="G108" i="106"/>
  <c r="G109" i="106"/>
  <c r="G110" i="106"/>
  <c r="G111" i="106"/>
  <c r="G112" i="106"/>
  <c r="G113" i="106"/>
  <c r="G114" i="106"/>
  <c r="G115" i="106"/>
  <c r="G116" i="106"/>
  <c r="G117" i="106"/>
  <c r="G118" i="106"/>
  <c r="G119" i="106"/>
  <c r="G120" i="106"/>
  <c r="G121" i="106"/>
  <c r="G1" i="106"/>
  <c r="F1" i="106"/>
  <c r="E1" i="106"/>
  <c r="Q179" i="7"/>
  <c r="R179" i="7"/>
  <c r="S179" i="7"/>
  <c r="T179" i="7"/>
  <c r="Q180" i="7"/>
  <c r="Q191" i="7" s="1"/>
  <c r="R180" i="7"/>
  <c r="S180" i="7"/>
  <c r="T180" i="7"/>
  <c r="Q181" i="7"/>
  <c r="R181" i="7"/>
  <c r="S181" i="7"/>
  <c r="S192" i="7" s="1"/>
  <c r="T181" i="7"/>
  <c r="T192" i="7" s="1"/>
  <c r="Q182" i="7"/>
  <c r="R182" i="7"/>
  <c r="S182" i="7"/>
  <c r="S193" i="7" s="1"/>
  <c r="T182" i="7"/>
  <c r="T194" i="7" s="1"/>
  <c r="Q183" i="7"/>
  <c r="R183" i="7"/>
  <c r="S183" i="7"/>
  <c r="T183" i="7"/>
  <c r="Q184" i="7"/>
  <c r="Q195" i="7" s="1"/>
  <c r="R184" i="7"/>
  <c r="R195" i="7" s="1"/>
  <c r="S184" i="7"/>
  <c r="T184" i="7"/>
  <c r="Q185" i="7"/>
  <c r="Q197" i="7" s="1"/>
  <c r="R185" i="7"/>
  <c r="R196" i="7" s="1"/>
  <c r="S185" i="7"/>
  <c r="S196" i="7" s="1"/>
  <c r="T185" i="7"/>
  <c r="Q186" i="7"/>
  <c r="R186" i="7"/>
  <c r="S186" i="7"/>
  <c r="T186" i="7"/>
  <c r="Q187" i="7"/>
  <c r="Q198" i="7" s="1"/>
  <c r="R187" i="7"/>
  <c r="R198" i="7" s="1"/>
  <c r="S187" i="7"/>
  <c r="T187" i="7"/>
  <c r="Q188" i="7"/>
  <c r="Q199" i="7" s="1"/>
  <c r="R188" i="7"/>
  <c r="S188" i="7"/>
  <c r="T188" i="7"/>
  <c r="Q189" i="7"/>
  <c r="Q200" i="7" s="1"/>
  <c r="R189" i="7"/>
  <c r="R200" i="7" s="1"/>
  <c r="S189" i="7"/>
  <c r="S200" i="7" s="1"/>
  <c r="T189" i="7"/>
  <c r="T200" i="7" s="1"/>
  <c r="R191" i="7"/>
  <c r="S191" i="7"/>
  <c r="T191" i="7"/>
  <c r="R192" i="7"/>
  <c r="Q193" i="7"/>
  <c r="R193" i="7"/>
  <c r="T193" i="7"/>
  <c r="Q194" i="7"/>
  <c r="R194" i="7"/>
  <c r="S194" i="7"/>
  <c r="S195" i="7"/>
  <c r="T195" i="7"/>
  <c r="T196" i="7"/>
  <c r="T197" i="7"/>
  <c r="S198" i="7"/>
  <c r="T198" i="7"/>
  <c r="R199" i="7"/>
  <c r="S199" i="7"/>
  <c r="T199" i="7"/>
  <c r="Q196" i="7" l="1"/>
  <c r="S197" i="7"/>
  <c r="Q192" i="7"/>
  <c r="R197" i="7"/>
  <c r="O2" i="84" l="1"/>
  <c r="O3" i="84"/>
  <c r="O4" i="84"/>
  <c r="O5" i="84"/>
  <c r="O6" i="84"/>
  <c r="O7" i="84"/>
  <c r="O8" i="84"/>
  <c r="O9" i="84"/>
  <c r="O10" i="84"/>
  <c r="O11" i="84"/>
  <c r="O12" i="84"/>
  <c r="O13" i="84"/>
  <c r="O14" i="84"/>
  <c r="O15" i="84"/>
  <c r="O16" i="84"/>
  <c r="O17" i="84"/>
  <c r="O18" i="84"/>
  <c r="O19" i="84"/>
  <c r="O20" i="84"/>
  <c r="O21" i="84"/>
  <c r="O22" i="84"/>
  <c r="O23" i="84"/>
  <c r="O24" i="84"/>
  <c r="O25" i="84"/>
  <c r="O26" i="84"/>
  <c r="O27" i="84"/>
  <c r="O28" i="84"/>
  <c r="O29" i="84"/>
  <c r="O30" i="84"/>
  <c r="O31" i="84"/>
  <c r="O32" i="84"/>
  <c r="O33" i="84"/>
  <c r="O34" i="84"/>
  <c r="O35" i="84"/>
  <c r="O36" i="84"/>
  <c r="O37" i="84"/>
  <c r="O38" i="84"/>
  <c r="O39" i="84"/>
  <c r="O40" i="84"/>
  <c r="O41" i="84"/>
  <c r="O42" i="84"/>
  <c r="O43" i="84"/>
  <c r="O44" i="84"/>
  <c r="O45" i="84"/>
  <c r="O46" i="84"/>
  <c r="O47" i="84"/>
  <c r="O48" i="84"/>
  <c r="O49" i="84"/>
  <c r="O50" i="84"/>
  <c r="O51" i="84"/>
  <c r="O52" i="84"/>
  <c r="O53" i="84"/>
  <c r="O54" i="84"/>
  <c r="O55" i="84"/>
  <c r="O56" i="84"/>
  <c r="O57" i="84"/>
  <c r="O58" i="84"/>
  <c r="O59" i="84"/>
  <c r="O60" i="84"/>
  <c r="O61" i="84"/>
  <c r="O62" i="84"/>
  <c r="O63" i="84"/>
  <c r="O64" i="84"/>
  <c r="O65" i="84"/>
  <c r="O66" i="84"/>
  <c r="O67" i="84"/>
  <c r="O68" i="84"/>
  <c r="O69" i="84"/>
  <c r="O70" i="84"/>
  <c r="O71" i="84"/>
  <c r="O72" i="84"/>
  <c r="O73" i="84"/>
  <c r="O74" i="84"/>
  <c r="O1" i="84"/>
  <c r="F2" i="84"/>
  <c r="F3" i="84"/>
  <c r="F4" i="84"/>
  <c r="F5" i="84"/>
  <c r="F6" i="84"/>
  <c r="F7" i="84"/>
  <c r="F8" i="84"/>
  <c r="F9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F104" i="84"/>
  <c r="F105" i="84"/>
  <c r="F106" i="84"/>
  <c r="F107" i="84"/>
  <c r="F108" i="84"/>
  <c r="F109" i="84"/>
  <c r="F110" i="84"/>
  <c r="F111" i="84"/>
  <c r="F112" i="84"/>
  <c r="F113" i="84"/>
  <c r="F114" i="84"/>
  <c r="F115" i="84"/>
  <c r="F116" i="84"/>
  <c r="F117" i="84"/>
  <c r="F118" i="84"/>
  <c r="F119" i="84"/>
  <c r="F120" i="84"/>
  <c r="F121" i="84"/>
  <c r="F1" i="84"/>
  <c r="L2" i="84"/>
  <c r="L3" i="84"/>
  <c r="L4" i="84"/>
  <c r="L5" i="84"/>
  <c r="L6" i="84"/>
  <c r="L7" i="84"/>
  <c r="L8" i="84"/>
  <c r="L9" i="84"/>
  <c r="L10" i="84"/>
  <c r="L11" i="84"/>
  <c r="L12" i="84"/>
  <c r="L13" i="84"/>
  <c r="L14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L35" i="84"/>
  <c r="L36" i="84"/>
  <c r="L37" i="84"/>
  <c r="L38" i="84"/>
  <c r="L39" i="84"/>
  <c r="L40" i="84"/>
  <c r="L41" i="84"/>
  <c r="L42" i="84"/>
  <c r="L43" i="84"/>
  <c r="L44" i="84"/>
  <c r="L45" i="84"/>
  <c r="L46" i="84"/>
  <c r="L47" i="84"/>
  <c r="L48" i="84"/>
  <c r="L49" i="84"/>
  <c r="L50" i="84"/>
  <c r="L51" i="84"/>
  <c r="L52" i="84"/>
  <c r="L53" i="84"/>
  <c r="L54" i="84"/>
  <c r="L55" i="84"/>
  <c r="L56" i="84"/>
  <c r="L57" i="84"/>
  <c r="L58" i="84"/>
  <c r="L59" i="84"/>
  <c r="L60" i="84"/>
  <c r="L61" i="84"/>
  <c r="L62" i="84"/>
  <c r="L63" i="84"/>
  <c r="L64" i="84"/>
  <c r="L65" i="84"/>
  <c r="L66" i="84"/>
  <c r="L67" i="84"/>
  <c r="L68" i="84"/>
  <c r="L69" i="84"/>
  <c r="L70" i="84"/>
  <c r="L71" i="84"/>
  <c r="L72" i="84"/>
  <c r="L73" i="84"/>
  <c r="L74" i="84"/>
  <c r="L75" i="84"/>
  <c r="L76" i="84"/>
  <c r="L77" i="84"/>
  <c r="L78" i="84"/>
  <c r="L79" i="84"/>
  <c r="L80" i="84"/>
  <c r="L81" i="84"/>
  <c r="L82" i="84"/>
  <c r="L83" i="84"/>
  <c r="L84" i="84"/>
  <c r="L85" i="84"/>
  <c r="L86" i="84"/>
  <c r="L87" i="84"/>
  <c r="L88" i="84"/>
  <c r="L89" i="84"/>
  <c r="L90" i="84"/>
  <c r="L91" i="84"/>
  <c r="L92" i="84"/>
  <c r="L93" i="84"/>
  <c r="L94" i="84"/>
  <c r="L95" i="84"/>
  <c r="L96" i="84"/>
  <c r="L97" i="84"/>
  <c r="L98" i="84"/>
  <c r="L99" i="84"/>
  <c r="L100" i="84"/>
  <c r="L101" i="84"/>
  <c r="L102" i="84"/>
  <c r="L103" i="84"/>
  <c r="L104" i="84"/>
  <c r="L105" i="84"/>
  <c r="L106" i="84"/>
  <c r="L107" i="84"/>
  <c r="L108" i="84"/>
  <c r="L109" i="84"/>
  <c r="L110" i="84"/>
  <c r="L111" i="84"/>
  <c r="L112" i="84"/>
  <c r="L113" i="84"/>
  <c r="L114" i="84"/>
  <c r="L115" i="84"/>
  <c r="L116" i="84"/>
  <c r="L117" i="84"/>
  <c r="L118" i="84"/>
  <c r="L119" i="84"/>
  <c r="L120" i="84"/>
  <c r="L121" i="84"/>
  <c r="M2" i="84"/>
  <c r="M3" i="84"/>
  <c r="M4" i="84"/>
  <c r="M5" i="84"/>
  <c r="M6" i="84"/>
  <c r="M7" i="84"/>
  <c r="M8" i="84"/>
  <c r="M9" i="84"/>
  <c r="M10" i="84"/>
  <c r="M11" i="84"/>
  <c r="M12" i="84"/>
  <c r="M13" i="84"/>
  <c r="M14" i="84"/>
  <c r="M15" i="84"/>
  <c r="M16" i="84"/>
  <c r="M17" i="84"/>
  <c r="M18" i="84"/>
  <c r="M19" i="84"/>
  <c r="M20" i="84"/>
  <c r="M21" i="84"/>
  <c r="M22" i="84"/>
  <c r="M23" i="84"/>
  <c r="M24" i="84"/>
  <c r="M25" i="84"/>
  <c r="M26" i="84"/>
  <c r="M27" i="84"/>
  <c r="M28" i="84"/>
  <c r="M29" i="84"/>
  <c r="M30" i="84"/>
  <c r="M31" i="84"/>
  <c r="M32" i="84"/>
  <c r="M33" i="84"/>
  <c r="M34" i="84"/>
  <c r="M35" i="84"/>
  <c r="M36" i="84"/>
  <c r="M37" i="84"/>
  <c r="M38" i="84"/>
  <c r="M39" i="84"/>
  <c r="M40" i="84"/>
  <c r="M41" i="84"/>
  <c r="M42" i="84"/>
  <c r="M43" i="84"/>
  <c r="M44" i="84"/>
  <c r="M45" i="84"/>
  <c r="M46" i="84"/>
  <c r="M47" i="84"/>
  <c r="M48" i="84"/>
  <c r="M49" i="84"/>
  <c r="M50" i="84"/>
  <c r="M51" i="84"/>
  <c r="M52" i="84"/>
  <c r="M53" i="84"/>
  <c r="M54" i="84"/>
  <c r="M55" i="84"/>
  <c r="M56" i="84"/>
  <c r="M57" i="84"/>
  <c r="M58" i="84"/>
  <c r="M59" i="84"/>
  <c r="M60" i="84"/>
  <c r="M61" i="84"/>
  <c r="M62" i="84"/>
  <c r="M63" i="84"/>
  <c r="M64" i="84"/>
  <c r="M65" i="84"/>
  <c r="M66" i="84"/>
  <c r="M67" i="84"/>
  <c r="M68" i="84"/>
  <c r="M69" i="84"/>
  <c r="M70" i="84"/>
  <c r="M71" i="84"/>
  <c r="M72" i="84"/>
  <c r="M73" i="84"/>
  <c r="M74" i="84"/>
  <c r="M75" i="84"/>
  <c r="M76" i="84"/>
  <c r="M77" i="84"/>
  <c r="M78" i="84"/>
  <c r="M79" i="84"/>
  <c r="M80" i="84"/>
  <c r="M81" i="84"/>
  <c r="M82" i="84"/>
  <c r="M83" i="84"/>
  <c r="M84" i="84"/>
  <c r="M85" i="84"/>
  <c r="M86" i="84"/>
  <c r="M87" i="84"/>
  <c r="M88" i="84"/>
  <c r="M89" i="84"/>
  <c r="M90" i="84"/>
  <c r="M91" i="84"/>
  <c r="M92" i="84"/>
  <c r="M93" i="84"/>
  <c r="M94" i="84"/>
  <c r="M95" i="84"/>
  <c r="M96" i="84"/>
  <c r="M97" i="84"/>
  <c r="M98" i="84"/>
  <c r="M99" i="84"/>
  <c r="M100" i="84"/>
  <c r="M101" i="84"/>
  <c r="M102" i="84"/>
  <c r="M103" i="84"/>
  <c r="M104" i="84"/>
  <c r="M105" i="84"/>
  <c r="M106" i="84"/>
  <c r="M107" i="84"/>
  <c r="M108" i="84"/>
  <c r="M109" i="84"/>
  <c r="M110" i="84"/>
  <c r="M111" i="84"/>
  <c r="M112" i="84"/>
  <c r="M113" i="84"/>
  <c r="M114" i="84"/>
  <c r="M115" i="84"/>
  <c r="M116" i="84"/>
  <c r="M117" i="84"/>
  <c r="M118" i="84"/>
  <c r="M119" i="84"/>
  <c r="M120" i="84"/>
  <c r="M121" i="84"/>
  <c r="M1" i="84"/>
  <c r="H2" i="27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1" i="27"/>
  <c r="F1" i="27"/>
  <c r="H2" i="41"/>
  <c r="H3" i="41"/>
  <c r="H4" i="41"/>
  <c r="H5" i="41"/>
  <c r="H6" i="41"/>
  <c r="H7" i="41"/>
  <c r="H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" i="41"/>
  <c r="F2" i="41"/>
  <c r="F3" i="41"/>
  <c r="F4" i="41"/>
  <c r="F5" i="41"/>
  <c r="F6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F104" i="41"/>
  <c r="F105" i="41"/>
  <c r="F106" i="41"/>
  <c r="F107" i="41"/>
  <c r="F108" i="41"/>
  <c r="F109" i="41"/>
  <c r="F110" i="41"/>
  <c r="F111" i="41"/>
  <c r="F112" i="41"/>
  <c r="F113" i="41"/>
  <c r="F114" i="41"/>
  <c r="F115" i="41"/>
  <c r="F116" i="41"/>
  <c r="F117" i="41"/>
  <c r="F118" i="41"/>
  <c r="F119" i="41"/>
  <c r="F120" i="41"/>
  <c r="F121" i="41"/>
  <c r="F1" i="41"/>
  <c r="H1" i="84" s="1"/>
  <c r="CI177" i="39"/>
  <c r="AA37" i="32" l="1"/>
  <c r="G11" i="109"/>
  <c r="H14" i="109"/>
  <c r="H15" i="109" s="1"/>
  <c r="E14" i="109"/>
  <c r="E15" i="109" s="1"/>
  <c r="I14" i="107"/>
  <c r="F14" i="107"/>
  <c r="G14" i="107"/>
  <c r="D20" i="107"/>
  <c r="F20" i="107"/>
  <c r="I21" i="107"/>
  <c r="G14" i="109"/>
  <c r="G15" i="109" s="1"/>
  <c r="D14" i="109"/>
  <c r="D15" i="109" s="1"/>
  <c r="N41" i="108"/>
  <c r="K33" i="108"/>
  <c r="K34" i="108"/>
  <c r="K35" i="108"/>
  <c r="K36" i="108"/>
  <c r="K37" i="108"/>
  <c r="K38" i="108"/>
  <c r="K39" i="108"/>
  <c r="K40" i="108"/>
  <c r="E34" i="108"/>
  <c r="M33" i="108" s="1"/>
  <c r="K42" i="108"/>
  <c r="K43" i="108"/>
  <c r="K44" i="108"/>
  <c r="K41" i="108"/>
  <c r="G4" i="108"/>
  <c r="G3" i="108"/>
  <c r="G5" i="108" s="1"/>
  <c r="T15" i="108"/>
  <c r="U4" i="108"/>
  <c r="U5" i="108"/>
  <c r="U9" i="108"/>
  <c r="U10" i="108"/>
  <c r="U11" i="108"/>
  <c r="U12" i="108"/>
  <c r="U13" i="108"/>
  <c r="U14" i="108"/>
  <c r="U3" i="108"/>
  <c r="W4" i="108"/>
  <c r="W5" i="108"/>
  <c r="W6" i="108"/>
  <c r="W7" i="108"/>
  <c r="W8" i="108"/>
  <c r="W9" i="108"/>
  <c r="W10" i="108"/>
  <c r="W11" i="108"/>
  <c r="W12" i="108"/>
  <c r="W13" i="108"/>
  <c r="W14" i="108"/>
  <c r="W3" i="108"/>
  <c r="V15" i="108"/>
  <c r="F24" i="108"/>
  <c r="F23" i="108"/>
  <c r="G23" i="108" s="1"/>
  <c r="F12" i="108"/>
  <c r="G12" i="108" s="1"/>
  <c r="G13" i="108"/>
  <c r="G24" i="108" l="1"/>
  <c r="U15" i="108"/>
  <c r="F2" i="108" s="1"/>
  <c r="F6" i="108"/>
  <c r="W15" i="108"/>
  <c r="G2" i="108" s="1"/>
  <c r="G6" i="108" s="1"/>
  <c r="E28" i="108" s="1"/>
  <c r="F28" i="108" s="1"/>
  <c r="G28" i="108" s="1"/>
  <c r="D17" i="108" l="1"/>
  <c r="D18" i="108" s="1"/>
  <c r="D42" i="108" s="1"/>
  <c r="D28" i="108"/>
  <c r="F17" i="108"/>
  <c r="E17" i="108"/>
  <c r="G17" i="108"/>
  <c r="G59" i="103" l="1"/>
  <c r="F21" i="107"/>
  <c r="I20" i="107"/>
  <c r="I19" i="107"/>
  <c r="H19" i="107"/>
  <c r="F19" i="107"/>
  <c r="D21" i="107"/>
  <c r="D19" i="107"/>
  <c r="F9" i="107"/>
  <c r="F6" i="107"/>
  <c r="G5" i="107"/>
  <c r="G9" i="107"/>
  <c r="E14" i="107" s="1"/>
  <c r="D14" i="107"/>
  <c r="D13" i="107"/>
  <c r="D15" i="107"/>
  <c r="Y121" i="99"/>
  <c r="T121" i="99"/>
  <c r="H59" i="103" l="1"/>
  <c r="I59" i="103" s="1"/>
  <c r="J59" i="103" s="1"/>
  <c r="K59" i="103" s="1"/>
  <c r="L59" i="103" s="1"/>
  <c r="M59" i="103" s="1"/>
  <c r="N59" i="103" s="1"/>
  <c r="E13" i="107"/>
  <c r="F13" i="107" s="1"/>
  <c r="H13" i="107"/>
  <c r="H15" i="107" s="1"/>
  <c r="I13" i="107"/>
  <c r="E15" i="107"/>
  <c r="F15" i="107" s="1"/>
  <c r="G15" i="107" s="1"/>
  <c r="H21" i="107" l="1"/>
  <c r="I15" i="107"/>
  <c r="I123" i="87" l="1"/>
  <c r="I124" i="87"/>
  <c r="I125" i="87"/>
  <c r="I126" i="87"/>
  <c r="I127" i="87"/>
  <c r="I128" i="87"/>
  <c r="I129" i="87"/>
  <c r="I141" i="87" s="1"/>
  <c r="I130" i="87"/>
  <c r="I142" i="87" s="1"/>
  <c r="I131" i="87"/>
  <c r="I132" i="87"/>
  <c r="I133" i="87"/>
  <c r="I134" i="87"/>
  <c r="I135" i="87"/>
  <c r="I136" i="87"/>
  <c r="I137" i="87"/>
  <c r="I138" i="87"/>
  <c r="I139" i="87"/>
  <c r="I140" i="87"/>
  <c r="I143" i="87"/>
  <c r="I144" i="87"/>
  <c r="I145" i="87"/>
  <c r="I122" i="87"/>
  <c r="I2" i="87"/>
  <c r="I3" i="87"/>
  <c r="I4" i="87"/>
  <c r="I5" i="87"/>
  <c r="I6" i="87"/>
  <c r="I7" i="87"/>
  <c r="I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0" i="87"/>
  <c r="I61" i="87"/>
  <c r="I62" i="87"/>
  <c r="I63" i="87"/>
  <c r="I64" i="87"/>
  <c r="I65" i="87"/>
  <c r="I66" i="87"/>
  <c r="I67" i="87"/>
  <c r="I68" i="87"/>
  <c r="I69" i="87"/>
  <c r="I70" i="87"/>
  <c r="I71" i="87"/>
  <c r="I72" i="87"/>
  <c r="I73" i="87"/>
  <c r="I74" i="87"/>
  <c r="I75" i="87"/>
  <c r="I76" i="87"/>
  <c r="I77" i="87"/>
  <c r="I78" i="87"/>
  <c r="I79" i="87"/>
  <c r="I80" i="87"/>
  <c r="I81" i="87"/>
  <c r="I82" i="87"/>
  <c r="I83" i="87"/>
  <c r="I84" i="87"/>
  <c r="I85" i="87"/>
  <c r="I86" i="87"/>
  <c r="I87" i="87"/>
  <c r="I88" i="87"/>
  <c r="I89" i="87"/>
  <c r="I90" i="87"/>
  <c r="I91" i="87"/>
  <c r="I92" i="87"/>
  <c r="I93" i="87"/>
  <c r="I94" i="87"/>
  <c r="I95" i="87"/>
  <c r="I96" i="87"/>
  <c r="I97" i="87"/>
  <c r="I98" i="87"/>
  <c r="I99" i="87"/>
  <c r="I100" i="87"/>
  <c r="I101" i="87"/>
  <c r="I102" i="87"/>
  <c r="I103" i="87"/>
  <c r="I104" i="87"/>
  <c r="I105" i="87"/>
  <c r="I106" i="87"/>
  <c r="I107" i="87"/>
  <c r="I108" i="87"/>
  <c r="I109" i="87"/>
  <c r="I110" i="87"/>
  <c r="I111" i="87"/>
  <c r="I112" i="87"/>
  <c r="I113" i="87"/>
  <c r="I114" i="87"/>
  <c r="I115" i="87"/>
  <c r="I116" i="87"/>
  <c r="I117" i="87"/>
  <c r="I118" i="87"/>
  <c r="I119" i="87"/>
  <c r="I120" i="87"/>
  <c r="I121" i="87"/>
  <c r="J2" i="87"/>
  <c r="J3" i="87"/>
  <c r="J4" i="87"/>
  <c r="J5" i="87"/>
  <c r="J6" i="87"/>
  <c r="J7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J22" i="87"/>
  <c r="J23" i="87"/>
  <c r="J24" i="87"/>
  <c r="J25" i="87"/>
  <c r="J26" i="87"/>
  <c r="J27" i="87"/>
  <c r="J28" i="87"/>
  <c r="J29" i="87"/>
  <c r="J30" i="87"/>
  <c r="J31" i="87"/>
  <c r="J32" i="87"/>
  <c r="J33" i="87"/>
  <c r="J34" i="87"/>
  <c r="J35" i="87"/>
  <c r="J36" i="87"/>
  <c r="J37" i="87"/>
  <c r="J38" i="87"/>
  <c r="J39" i="87"/>
  <c r="J40" i="87"/>
  <c r="J41" i="87"/>
  <c r="J42" i="87"/>
  <c r="J43" i="87"/>
  <c r="J44" i="87"/>
  <c r="J45" i="87"/>
  <c r="J46" i="87"/>
  <c r="J47" i="87"/>
  <c r="J48" i="87"/>
  <c r="J49" i="87"/>
  <c r="J50" i="87"/>
  <c r="J51" i="87"/>
  <c r="J52" i="87"/>
  <c r="J53" i="87"/>
  <c r="J54" i="87"/>
  <c r="J55" i="87"/>
  <c r="J56" i="87"/>
  <c r="J57" i="87"/>
  <c r="J58" i="87"/>
  <c r="J59" i="87"/>
  <c r="J60" i="87"/>
  <c r="J61" i="87"/>
  <c r="J62" i="87"/>
  <c r="J63" i="87"/>
  <c r="J64" i="87"/>
  <c r="J65" i="87"/>
  <c r="J66" i="87"/>
  <c r="J67" i="87"/>
  <c r="J68" i="87"/>
  <c r="J69" i="87"/>
  <c r="J70" i="87"/>
  <c r="J71" i="87"/>
  <c r="J72" i="87"/>
  <c r="J73" i="87"/>
  <c r="J74" i="87"/>
  <c r="J75" i="87"/>
  <c r="J76" i="87"/>
  <c r="J77" i="87"/>
  <c r="J78" i="87"/>
  <c r="J79" i="87"/>
  <c r="J80" i="87"/>
  <c r="J81" i="87"/>
  <c r="J82" i="87"/>
  <c r="J83" i="87"/>
  <c r="J84" i="87"/>
  <c r="J85" i="87"/>
  <c r="J86" i="87"/>
  <c r="J87" i="87"/>
  <c r="J88" i="87"/>
  <c r="J89" i="87"/>
  <c r="J90" i="87"/>
  <c r="J91" i="87"/>
  <c r="J92" i="87"/>
  <c r="J93" i="87"/>
  <c r="J94" i="87"/>
  <c r="J95" i="87"/>
  <c r="J96" i="87"/>
  <c r="J97" i="87"/>
  <c r="J98" i="87"/>
  <c r="J99" i="87"/>
  <c r="J100" i="87"/>
  <c r="J101" i="87"/>
  <c r="J102" i="87"/>
  <c r="J103" i="87"/>
  <c r="J10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" i="87"/>
  <c r="I1" i="87"/>
  <c r="O2" i="104"/>
  <c r="H2" i="106"/>
  <c r="N2" i="106" s="1"/>
  <c r="H3" i="106"/>
  <c r="N3" i="106" s="1"/>
  <c r="H4" i="106"/>
  <c r="N4" i="106" s="1"/>
  <c r="H5" i="106"/>
  <c r="N5" i="106" s="1"/>
  <c r="H6" i="106"/>
  <c r="N6" i="106" s="1"/>
  <c r="H7" i="106"/>
  <c r="N7" i="106" s="1"/>
  <c r="H8" i="106"/>
  <c r="N8" i="106" s="1"/>
  <c r="H9" i="106"/>
  <c r="N9" i="106" s="1"/>
  <c r="H10" i="106"/>
  <c r="H11" i="106"/>
  <c r="N11" i="106" s="1"/>
  <c r="H12" i="106"/>
  <c r="N12" i="106" s="1"/>
  <c r="H13" i="106"/>
  <c r="N13" i="106" s="1"/>
  <c r="H14" i="106"/>
  <c r="H15" i="106"/>
  <c r="N15" i="106" s="1"/>
  <c r="H16" i="106"/>
  <c r="N16" i="106" s="1"/>
  <c r="H17" i="106"/>
  <c r="N17" i="106" s="1"/>
  <c r="H18" i="106"/>
  <c r="N18" i="106" s="1"/>
  <c r="H19" i="106"/>
  <c r="N19" i="106" s="1"/>
  <c r="H20" i="106"/>
  <c r="N20" i="106" s="1"/>
  <c r="H21" i="106"/>
  <c r="N21" i="106" s="1"/>
  <c r="H22" i="106"/>
  <c r="N22" i="106" s="1"/>
  <c r="H23" i="106"/>
  <c r="N23" i="106" s="1"/>
  <c r="H24" i="106"/>
  <c r="N24" i="106" s="1"/>
  <c r="H25" i="106"/>
  <c r="N25" i="106" s="1"/>
  <c r="H26" i="106"/>
  <c r="H27" i="106"/>
  <c r="N27" i="106" s="1"/>
  <c r="H28" i="106"/>
  <c r="N28" i="106" s="1"/>
  <c r="H29" i="106"/>
  <c r="N29" i="106" s="1"/>
  <c r="H30" i="106"/>
  <c r="N30" i="106" s="1"/>
  <c r="H31" i="106"/>
  <c r="N31" i="106" s="1"/>
  <c r="H32" i="106"/>
  <c r="N32" i="106" s="1"/>
  <c r="H33" i="106"/>
  <c r="N33" i="106" s="1"/>
  <c r="H34" i="106"/>
  <c r="N34" i="106" s="1"/>
  <c r="H35" i="106"/>
  <c r="N35" i="106" s="1"/>
  <c r="H36" i="106"/>
  <c r="N36" i="106" s="1"/>
  <c r="H37" i="106"/>
  <c r="N37" i="106" s="1"/>
  <c r="H38" i="106"/>
  <c r="N38" i="106" s="1"/>
  <c r="H39" i="106"/>
  <c r="N39" i="106" s="1"/>
  <c r="H40" i="106"/>
  <c r="N40" i="106" s="1"/>
  <c r="H41" i="106"/>
  <c r="N41" i="106" s="1"/>
  <c r="H42" i="106"/>
  <c r="H43" i="106"/>
  <c r="N43" i="106" s="1"/>
  <c r="H44" i="106"/>
  <c r="N44" i="106" s="1"/>
  <c r="H45" i="106"/>
  <c r="N45" i="106" s="1"/>
  <c r="H46" i="106"/>
  <c r="N46" i="106" s="1"/>
  <c r="H47" i="106"/>
  <c r="N47" i="106" s="1"/>
  <c r="H48" i="106"/>
  <c r="N48" i="106" s="1"/>
  <c r="H49" i="106"/>
  <c r="N49" i="106" s="1"/>
  <c r="H50" i="106"/>
  <c r="N50" i="106" s="1"/>
  <c r="H51" i="106"/>
  <c r="N51" i="106" s="1"/>
  <c r="H52" i="106"/>
  <c r="N52" i="106" s="1"/>
  <c r="H53" i="106"/>
  <c r="N53" i="106" s="1"/>
  <c r="H54" i="106"/>
  <c r="H55" i="106"/>
  <c r="N55" i="106" s="1"/>
  <c r="H56" i="106"/>
  <c r="N56" i="106" s="1"/>
  <c r="H57" i="106"/>
  <c r="H58" i="106"/>
  <c r="H59" i="106"/>
  <c r="N59" i="106" s="1"/>
  <c r="H60" i="106"/>
  <c r="N60" i="106" s="1"/>
  <c r="H61" i="106"/>
  <c r="N61" i="106" s="1"/>
  <c r="H62" i="106"/>
  <c r="N62" i="106" s="1"/>
  <c r="H63" i="106"/>
  <c r="N63" i="106" s="1"/>
  <c r="H64" i="106"/>
  <c r="N64" i="106" s="1"/>
  <c r="H65" i="106"/>
  <c r="N65" i="106" s="1"/>
  <c r="H66" i="106"/>
  <c r="N66" i="106" s="1"/>
  <c r="H67" i="106"/>
  <c r="N67" i="106" s="1"/>
  <c r="H68" i="106"/>
  <c r="N68" i="106" s="1"/>
  <c r="H69" i="106"/>
  <c r="N69" i="106" s="1"/>
  <c r="H70" i="106"/>
  <c r="N70" i="106" s="1"/>
  <c r="H71" i="106"/>
  <c r="N71" i="106" s="1"/>
  <c r="H72" i="106"/>
  <c r="N72" i="106" s="1"/>
  <c r="H73" i="106"/>
  <c r="H74" i="106"/>
  <c r="H75" i="106"/>
  <c r="N75" i="106" s="1"/>
  <c r="H76" i="106"/>
  <c r="N76" i="106" s="1"/>
  <c r="H77" i="106"/>
  <c r="H78" i="106"/>
  <c r="H79" i="106"/>
  <c r="N79" i="106" s="1"/>
  <c r="H80" i="106"/>
  <c r="N80" i="106" s="1"/>
  <c r="H81" i="106"/>
  <c r="N81" i="106" s="1"/>
  <c r="H82" i="106"/>
  <c r="N82" i="106" s="1"/>
  <c r="H83" i="106"/>
  <c r="N83" i="106" s="1"/>
  <c r="H84" i="106"/>
  <c r="N84" i="106" s="1"/>
  <c r="H85" i="106"/>
  <c r="H86" i="106"/>
  <c r="N86" i="106" s="1"/>
  <c r="H87" i="106"/>
  <c r="N87" i="106" s="1"/>
  <c r="H88" i="106"/>
  <c r="N88" i="106" s="1"/>
  <c r="H89" i="106"/>
  <c r="H90" i="106"/>
  <c r="H91" i="106"/>
  <c r="N91" i="106" s="1"/>
  <c r="H92" i="106"/>
  <c r="N92" i="106" s="1"/>
  <c r="H93" i="106"/>
  <c r="N93" i="106" s="1"/>
  <c r="H94" i="106"/>
  <c r="H95" i="106"/>
  <c r="N95" i="106" s="1"/>
  <c r="H96" i="106"/>
  <c r="N96" i="106" s="1"/>
  <c r="H97" i="106"/>
  <c r="N97" i="106" s="1"/>
  <c r="H98" i="106"/>
  <c r="N98" i="106" s="1"/>
  <c r="H99" i="106"/>
  <c r="N99" i="106" s="1"/>
  <c r="H100" i="106"/>
  <c r="N100" i="106" s="1"/>
  <c r="H101" i="106"/>
  <c r="N101" i="106" s="1"/>
  <c r="H102" i="106"/>
  <c r="N102" i="106" s="1"/>
  <c r="H103" i="106"/>
  <c r="N103" i="106" s="1"/>
  <c r="H104" i="106"/>
  <c r="N104" i="106" s="1"/>
  <c r="H105" i="106"/>
  <c r="H106" i="106"/>
  <c r="H107" i="106"/>
  <c r="N107" i="106" s="1"/>
  <c r="H108" i="106"/>
  <c r="N108" i="106" s="1"/>
  <c r="H109" i="106"/>
  <c r="N109" i="106" s="1"/>
  <c r="H110" i="106"/>
  <c r="N110" i="106" s="1"/>
  <c r="H111" i="106"/>
  <c r="N111" i="106" s="1"/>
  <c r="H112" i="106"/>
  <c r="N112" i="106" s="1"/>
  <c r="H113" i="106"/>
  <c r="N113" i="106" s="1"/>
  <c r="H114" i="106"/>
  <c r="N114" i="106" s="1"/>
  <c r="H115" i="106"/>
  <c r="N115" i="106" s="1"/>
  <c r="H116" i="106"/>
  <c r="N116" i="106" s="1"/>
  <c r="H117" i="106"/>
  <c r="N117" i="106" s="1"/>
  <c r="H118" i="106"/>
  <c r="N118" i="106" s="1"/>
  <c r="H119" i="106"/>
  <c r="N119" i="106" s="1"/>
  <c r="H120" i="106"/>
  <c r="N120" i="106" s="1"/>
  <c r="H121" i="106"/>
  <c r="H1" i="106"/>
  <c r="M59" i="106"/>
  <c r="N10" i="106"/>
  <c r="N14" i="106"/>
  <c r="N26" i="106"/>
  <c r="N42" i="106"/>
  <c r="N54" i="106"/>
  <c r="N57" i="106"/>
  <c r="N58" i="106"/>
  <c r="N73" i="106"/>
  <c r="N74" i="106"/>
  <c r="N77" i="106"/>
  <c r="N78" i="106"/>
  <c r="N85" i="106"/>
  <c r="N89" i="106"/>
  <c r="N90" i="106"/>
  <c r="N94" i="106"/>
  <c r="N105" i="106"/>
  <c r="N106" i="106"/>
  <c r="N121" i="106"/>
  <c r="N1" i="106"/>
  <c r="M2" i="106"/>
  <c r="AK14" i="33"/>
  <c r="AJ14" i="33"/>
  <c r="AK13" i="33"/>
  <c r="AJ13" i="33"/>
  <c r="AK12" i="33"/>
  <c r="AJ12" i="33"/>
  <c r="AK11" i="33"/>
  <c r="AJ11" i="33"/>
  <c r="AK10" i="33"/>
  <c r="AJ10" i="33"/>
  <c r="AK9" i="33"/>
  <c r="AJ9" i="33"/>
  <c r="AK8" i="33"/>
  <c r="AJ8" i="33"/>
  <c r="AK7" i="33"/>
  <c r="AJ7" i="33"/>
  <c r="AK6" i="33"/>
  <c r="AJ6" i="33"/>
  <c r="AK5" i="33"/>
  <c r="AJ5" i="33"/>
  <c r="R6" i="26"/>
  <c r="R7" i="26"/>
  <c r="R8" i="26"/>
  <c r="R9" i="26"/>
  <c r="R10" i="26"/>
  <c r="R11" i="26"/>
  <c r="R12" i="26"/>
  <c r="R13" i="26"/>
  <c r="G126" i="30"/>
  <c r="G130" i="30"/>
  <c r="G138" i="30"/>
  <c r="G142" i="30"/>
  <c r="G122" i="30"/>
  <c r="G134" i="30" s="1"/>
  <c r="G2" i="30"/>
  <c r="G3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23" i="30" s="1"/>
  <c r="G135" i="30" s="1"/>
  <c r="G112" i="30"/>
  <c r="G124" i="30" s="1"/>
  <c r="G136" i="30" s="1"/>
  <c r="G113" i="30"/>
  <c r="G125" i="30" s="1"/>
  <c r="G137" i="30" s="1"/>
  <c r="G114" i="30"/>
  <c r="G115" i="30"/>
  <c r="G127" i="30" s="1"/>
  <c r="G139" i="30" s="1"/>
  <c r="G116" i="30"/>
  <c r="G128" i="30" s="1"/>
  <c r="G140" i="30" s="1"/>
  <c r="G117" i="30"/>
  <c r="G129" i="30" s="1"/>
  <c r="G141" i="30" s="1"/>
  <c r="G118" i="30"/>
  <c r="G119" i="30"/>
  <c r="G131" i="30" s="1"/>
  <c r="G143" i="30" s="1"/>
  <c r="G120" i="30"/>
  <c r="G132" i="30" s="1"/>
  <c r="G144" i="30" s="1"/>
  <c r="G121" i="30"/>
  <c r="G133" i="30" s="1"/>
  <c r="G145" i="30" s="1"/>
  <c r="H2" i="30"/>
  <c r="H3" i="30"/>
  <c r="H4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H118" i="30"/>
  <c r="H119" i="30"/>
  <c r="H120" i="30"/>
  <c r="H121" i="30"/>
  <c r="H1" i="30"/>
  <c r="N1" i="30" s="1"/>
  <c r="G1" i="30"/>
  <c r="M1" i="30" s="1"/>
  <c r="F1" i="30"/>
  <c r="L1" i="30" s="1"/>
  <c r="E1" i="30"/>
  <c r="K1" i="30" s="1"/>
  <c r="D1" i="30"/>
  <c r="J145" i="106"/>
  <c r="C145" i="106"/>
  <c r="B145" i="106"/>
  <c r="J144" i="106"/>
  <c r="C144" i="106"/>
  <c r="B144" i="106"/>
  <c r="J143" i="106"/>
  <c r="C143" i="106"/>
  <c r="B143" i="106"/>
  <c r="J142" i="106"/>
  <c r="C142" i="106"/>
  <c r="B142" i="106"/>
  <c r="J141" i="106"/>
  <c r="C141" i="106"/>
  <c r="B141" i="106"/>
  <c r="J140" i="106"/>
  <c r="C140" i="106"/>
  <c r="B140" i="106"/>
  <c r="J139" i="106"/>
  <c r="C139" i="106"/>
  <c r="B139" i="106"/>
  <c r="J138" i="106"/>
  <c r="C138" i="106"/>
  <c r="B138" i="106"/>
  <c r="J137" i="106"/>
  <c r="C137" i="106"/>
  <c r="B137" i="106"/>
  <c r="J136" i="106"/>
  <c r="C136" i="106"/>
  <c r="B136" i="106"/>
  <c r="J135" i="106"/>
  <c r="C135" i="106"/>
  <c r="B135" i="106"/>
  <c r="J134" i="106"/>
  <c r="C134" i="106"/>
  <c r="B134" i="106"/>
  <c r="J133" i="106"/>
  <c r="C133" i="106"/>
  <c r="B133" i="106"/>
  <c r="J132" i="106"/>
  <c r="C132" i="106"/>
  <c r="B132" i="106"/>
  <c r="J131" i="106"/>
  <c r="C131" i="106"/>
  <c r="B131" i="106"/>
  <c r="J130" i="106"/>
  <c r="C130" i="106"/>
  <c r="B130" i="106"/>
  <c r="J129" i="106"/>
  <c r="C129" i="106"/>
  <c r="B129" i="106"/>
  <c r="J128" i="106"/>
  <c r="C128" i="106"/>
  <c r="B128" i="106"/>
  <c r="J127" i="106"/>
  <c r="C127" i="106"/>
  <c r="B127" i="106"/>
  <c r="J126" i="106"/>
  <c r="C126" i="106"/>
  <c r="B126" i="106"/>
  <c r="J125" i="106"/>
  <c r="C125" i="106"/>
  <c r="B125" i="106"/>
  <c r="J124" i="106"/>
  <c r="C124" i="106"/>
  <c r="B124" i="106"/>
  <c r="J123" i="106"/>
  <c r="C123" i="106"/>
  <c r="B123" i="106"/>
  <c r="J122" i="106"/>
  <c r="C122" i="106"/>
  <c r="B122" i="106"/>
  <c r="J121" i="106"/>
  <c r="C121" i="106"/>
  <c r="B121" i="106"/>
  <c r="J120" i="106"/>
  <c r="C120" i="106"/>
  <c r="B120" i="106"/>
  <c r="J119" i="106"/>
  <c r="M119" i="106"/>
  <c r="C119" i="106"/>
  <c r="B119" i="106"/>
  <c r="J118" i="106"/>
  <c r="C118" i="106"/>
  <c r="B118" i="106"/>
  <c r="J117" i="106"/>
  <c r="C117" i="106"/>
  <c r="B117" i="106"/>
  <c r="J116" i="106"/>
  <c r="C116" i="106"/>
  <c r="B116" i="106"/>
  <c r="J115" i="106"/>
  <c r="C115" i="106"/>
  <c r="B115" i="106"/>
  <c r="J114" i="106"/>
  <c r="C114" i="106"/>
  <c r="B114" i="106"/>
  <c r="J113" i="106"/>
  <c r="C113" i="106"/>
  <c r="B113" i="106"/>
  <c r="J112" i="106"/>
  <c r="C112" i="106"/>
  <c r="B112" i="106"/>
  <c r="J111" i="106"/>
  <c r="M111" i="106"/>
  <c r="C111" i="106"/>
  <c r="B111" i="106"/>
  <c r="J110" i="106"/>
  <c r="C110" i="106"/>
  <c r="B110" i="106"/>
  <c r="J109" i="106"/>
  <c r="C109" i="106"/>
  <c r="B109" i="106"/>
  <c r="J108" i="106"/>
  <c r="C108" i="106"/>
  <c r="B108" i="106"/>
  <c r="J107" i="106"/>
  <c r="C107" i="106"/>
  <c r="B107" i="106"/>
  <c r="J106" i="106"/>
  <c r="C106" i="106"/>
  <c r="B106" i="106"/>
  <c r="J105" i="106"/>
  <c r="C105" i="106"/>
  <c r="B105" i="106"/>
  <c r="J104" i="106"/>
  <c r="C104" i="106"/>
  <c r="B104" i="106"/>
  <c r="J103" i="106"/>
  <c r="C103" i="106"/>
  <c r="B103" i="106"/>
  <c r="J102" i="106"/>
  <c r="C102" i="106"/>
  <c r="B102" i="106"/>
  <c r="J101" i="106"/>
  <c r="C101" i="106"/>
  <c r="B101" i="106"/>
  <c r="J100" i="106"/>
  <c r="C100" i="106"/>
  <c r="B100" i="106"/>
  <c r="J99" i="106"/>
  <c r="C99" i="106"/>
  <c r="B99" i="106"/>
  <c r="J98" i="106"/>
  <c r="C98" i="106"/>
  <c r="B98" i="106"/>
  <c r="J97" i="106"/>
  <c r="C97" i="106"/>
  <c r="B97" i="106"/>
  <c r="J96" i="106"/>
  <c r="C96" i="106"/>
  <c r="B96" i="106"/>
  <c r="J95" i="106"/>
  <c r="C95" i="106"/>
  <c r="B95" i="106"/>
  <c r="J94" i="106"/>
  <c r="C94" i="106"/>
  <c r="B94" i="106"/>
  <c r="J93" i="106"/>
  <c r="C93" i="106"/>
  <c r="B93" i="106"/>
  <c r="J92" i="106"/>
  <c r="C92" i="106"/>
  <c r="B92" i="106"/>
  <c r="J91" i="106"/>
  <c r="M91" i="106"/>
  <c r="C91" i="106"/>
  <c r="B91" i="106"/>
  <c r="J90" i="106"/>
  <c r="C90" i="106"/>
  <c r="B90" i="106"/>
  <c r="J89" i="106"/>
  <c r="C89" i="106"/>
  <c r="B89" i="106"/>
  <c r="J88" i="106"/>
  <c r="C88" i="106"/>
  <c r="B88" i="106"/>
  <c r="J87" i="106"/>
  <c r="M87" i="106"/>
  <c r="C87" i="106"/>
  <c r="B87" i="106"/>
  <c r="J86" i="106"/>
  <c r="C86" i="106"/>
  <c r="B86" i="106"/>
  <c r="J85" i="106"/>
  <c r="C85" i="106"/>
  <c r="B85" i="106"/>
  <c r="J84" i="106"/>
  <c r="C84" i="106"/>
  <c r="B84" i="106"/>
  <c r="J83" i="106"/>
  <c r="C83" i="106"/>
  <c r="B83" i="106"/>
  <c r="J82" i="106"/>
  <c r="C82" i="106"/>
  <c r="B82" i="106"/>
  <c r="J81" i="106"/>
  <c r="C81" i="106"/>
  <c r="B81" i="106"/>
  <c r="J80" i="106"/>
  <c r="C80" i="106"/>
  <c r="B80" i="106"/>
  <c r="J79" i="106"/>
  <c r="C79" i="106"/>
  <c r="B79" i="106"/>
  <c r="J78" i="106"/>
  <c r="C78" i="106"/>
  <c r="B78" i="106"/>
  <c r="J77" i="106"/>
  <c r="C77" i="106"/>
  <c r="B77" i="106"/>
  <c r="J76" i="106"/>
  <c r="C76" i="106"/>
  <c r="B76" i="106"/>
  <c r="J75" i="106"/>
  <c r="C75" i="106"/>
  <c r="B75" i="106"/>
  <c r="J74" i="106"/>
  <c r="C74" i="106"/>
  <c r="B74" i="106"/>
  <c r="J73" i="106"/>
  <c r="C73" i="106"/>
  <c r="B73" i="106"/>
  <c r="J72" i="106"/>
  <c r="C72" i="106"/>
  <c r="B72" i="106"/>
  <c r="J71" i="106"/>
  <c r="C71" i="106"/>
  <c r="B71" i="106"/>
  <c r="J70" i="106"/>
  <c r="C70" i="106"/>
  <c r="B70" i="106"/>
  <c r="J69" i="106"/>
  <c r="C69" i="106"/>
  <c r="B69" i="106"/>
  <c r="J68" i="106"/>
  <c r="C68" i="106"/>
  <c r="B68" i="106"/>
  <c r="J67" i="106"/>
  <c r="C67" i="106"/>
  <c r="B67" i="106"/>
  <c r="J66" i="106"/>
  <c r="C66" i="106"/>
  <c r="B66" i="106"/>
  <c r="J65" i="106"/>
  <c r="C65" i="106"/>
  <c r="B65" i="106"/>
  <c r="J64" i="106"/>
  <c r="C64" i="106"/>
  <c r="B64" i="106"/>
  <c r="J63" i="106"/>
  <c r="M63" i="106"/>
  <c r="C63" i="106"/>
  <c r="B63" i="106"/>
  <c r="J62" i="106"/>
  <c r="C62" i="106"/>
  <c r="B62" i="106"/>
  <c r="J61" i="106"/>
  <c r="C61" i="106"/>
  <c r="B61" i="106"/>
  <c r="J60" i="106"/>
  <c r="C60" i="106"/>
  <c r="B60" i="106"/>
  <c r="J59" i="106"/>
  <c r="C59" i="106"/>
  <c r="B59" i="106"/>
  <c r="J58" i="106"/>
  <c r="C58" i="106"/>
  <c r="B58" i="106"/>
  <c r="J57" i="106"/>
  <c r="C57" i="106"/>
  <c r="B57" i="106"/>
  <c r="J56" i="106"/>
  <c r="C56" i="106"/>
  <c r="B56" i="106"/>
  <c r="J55" i="106"/>
  <c r="C55" i="106"/>
  <c r="B55" i="106"/>
  <c r="J54" i="106"/>
  <c r="C54" i="106"/>
  <c r="B54" i="106"/>
  <c r="J53" i="106"/>
  <c r="C53" i="106"/>
  <c r="B53" i="106"/>
  <c r="J52" i="106"/>
  <c r="C52" i="106"/>
  <c r="B52" i="106"/>
  <c r="J51" i="106"/>
  <c r="C51" i="106"/>
  <c r="B51" i="106"/>
  <c r="J50" i="106"/>
  <c r="C50" i="106"/>
  <c r="B50" i="106"/>
  <c r="J49" i="106"/>
  <c r="C49" i="106"/>
  <c r="B49" i="106"/>
  <c r="J48" i="106"/>
  <c r="C48" i="106"/>
  <c r="B48" i="106"/>
  <c r="J47" i="106"/>
  <c r="C47" i="106"/>
  <c r="B47" i="106"/>
  <c r="J46" i="106"/>
  <c r="C46" i="106"/>
  <c r="B46" i="106"/>
  <c r="J45" i="106"/>
  <c r="C45" i="106"/>
  <c r="B45" i="106"/>
  <c r="J44" i="106"/>
  <c r="C44" i="106"/>
  <c r="B44" i="106"/>
  <c r="J43" i="106"/>
  <c r="C43" i="106"/>
  <c r="B43" i="106"/>
  <c r="J42" i="106"/>
  <c r="M42" i="106"/>
  <c r="C42" i="106"/>
  <c r="B42" i="106"/>
  <c r="J41" i="106"/>
  <c r="C41" i="106"/>
  <c r="B41" i="106"/>
  <c r="J40" i="106"/>
  <c r="C40" i="106"/>
  <c r="B40" i="106"/>
  <c r="J39" i="106"/>
  <c r="M39" i="106"/>
  <c r="C39" i="106"/>
  <c r="B39" i="106"/>
  <c r="J38" i="106"/>
  <c r="C38" i="106"/>
  <c r="B38" i="106"/>
  <c r="J37" i="106"/>
  <c r="C37" i="106"/>
  <c r="B37" i="106"/>
  <c r="J36" i="106"/>
  <c r="C36" i="106"/>
  <c r="B36" i="106"/>
  <c r="J35" i="106"/>
  <c r="C35" i="106"/>
  <c r="B35" i="106"/>
  <c r="J34" i="106"/>
  <c r="C34" i="106"/>
  <c r="B34" i="106"/>
  <c r="J33" i="106"/>
  <c r="C33" i="106"/>
  <c r="B33" i="106"/>
  <c r="J32" i="106"/>
  <c r="C32" i="106"/>
  <c r="B32" i="106"/>
  <c r="J31" i="106"/>
  <c r="M31" i="106"/>
  <c r="C31" i="106"/>
  <c r="B31" i="106"/>
  <c r="J30" i="106"/>
  <c r="C30" i="106"/>
  <c r="B30" i="106"/>
  <c r="J29" i="106"/>
  <c r="C29" i="106"/>
  <c r="B29" i="106"/>
  <c r="J28" i="106"/>
  <c r="C28" i="106"/>
  <c r="B28" i="106"/>
  <c r="J27" i="106"/>
  <c r="C27" i="106"/>
  <c r="B27" i="106"/>
  <c r="J26" i="106"/>
  <c r="C26" i="106"/>
  <c r="B26" i="106"/>
  <c r="J25" i="106"/>
  <c r="C25" i="106"/>
  <c r="B25" i="106"/>
  <c r="J24" i="106"/>
  <c r="C24" i="106"/>
  <c r="B24" i="106"/>
  <c r="J23" i="106"/>
  <c r="M23" i="106"/>
  <c r="C23" i="106"/>
  <c r="B23" i="106"/>
  <c r="J22" i="106"/>
  <c r="C22" i="106"/>
  <c r="B22" i="106"/>
  <c r="J21" i="106"/>
  <c r="C21" i="106"/>
  <c r="B21" i="106"/>
  <c r="J20" i="106"/>
  <c r="C20" i="106"/>
  <c r="B20" i="106"/>
  <c r="J19" i="106"/>
  <c r="C19" i="106"/>
  <c r="B19" i="106"/>
  <c r="J18" i="106"/>
  <c r="C18" i="106"/>
  <c r="B18" i="106"/>
  <c r="J17" i="106"/>
  <c r="C17" i="106"/>
  <c r="B17" i="106"/>
  <c r="J16" i="106"/>
  <c r="C16" i="106"/>
  <c r="B16" i="106"/>
  <c r="J15" i="106"/>
  <c r="C15" i="106"/>
  <c r="B15" i="106"/>
  <c r="J14" i="106"/>
  <c r="C14" i="106"/>
  <c r="B14" i="106"/>
  <c r="J13" i="106"/>
  <c r="M13" i="106"/>
  <c r="C13" i="106"/>
  <c r="B13" i="106"/>
  <c r="J12" i="106"/>
  <c r="C12" i="106"/>
  <c r="B12" i="106"/>
  <c r="J11" i="106"/>
  <c r="C11" i="106"/>
  <c r="B11" i="106"/>
  <c r="J10" i="106"/>
  <c r="C10" i="106"/>
  <c r="B10" i="106"/>
  <c r="J9" i="106"/>
  <c r="C9" i="106"/>
  <c r="B9" i="106"/>
  <c r="J8" i="106"/>
  <c r="C8" i="106"/>
  <c r="B8" i="106"/>
  <c r="J7" i="106"/>
  <c r="C7" i="106"/>
  <c r="B7" i="106"/>
  <c r="J6" i="106"/>
  <c r="C6" i="106"/>
  <c r="B6" i="106"/>
  <c r="J5" i="106"/>
  <c r="C5" i="106"/>
  <c r="B5" i="106"/>
  <c r="J4" i="106"/>
  <c r="M4" i="106"/>
  <c r="C4" i="106"/>
  <c r="B4" i="106"/>
  <c r="J3" i="106"/>
  <c r="M3" i="106"/>
  <c r="C3" i="106"/>
  <c r="B3" i="106"/>
  <c r="J2" i="106"/>
  <c r="C2" i="106"/>
  <c r="B2" i="106"/>
  <c r="M1" i="106"/>
  <c r="N25" i="105"/>
  <c r="N26" i="105"/>
  <c r="N27" i="105"/>
  <c r="N28" i="105"/>
  <c r="N29" i="105"/>
  <c r="N30" i="105"/>
  <c r="N31" i="105"/>
  <c r="N32" i="105"/>
  <c r="N33" i="105"/>
  <c r="N34" i="105"/>
  <c r="N35" i="105"/>
  <c r="N36" i="105"/>
  <c r="N37" i="105"/>
  <c r="N38" i="105"/>
  <c r="N39" i="105"/>
  <c r="N40" i="105"/>
  <c r="N41" i="105"/>
  <c r="N42" i="105"/>
  <c r="N43" i="105"/>
  <c r="N44" i="105"/>
  <c r="N45" i="105"/>
  <c r="N46" i="105"/>
  <c r="N47" i="105"/>
  <c r="N48" i="105"/>
  <c r="N49" i="105"/>
  <c r="N50" i="105"/>
  <c r="N51" i="105"/>
  <c r="N52" i="105"/>
  <c r="N53" i="105"/>
  <c r="N54" i="105"/>
  <c r="N55" i="105"/>
  <c r="N56" i="105"/>
  <c r="N57" i="105"/>
  <c r="N58" i="105"/>
  <c r="N59" i="105"/>
  <c r="N60" i="105"/>
  <c r="N61" i="105"/>
  <c r="N62" i="105"/>
  <c r="N63" i="105"/>
  <c r="N64" i="105"/>
  <c r="N65" i="105"/>
  <c r="N66" i="105"/>
  <c r="N67" i="105"/>
  <c r="N68" i="105"/>
  <c r="N69" i="105"/>
  <c r="N70" i="105"/>
  <c r="N71" i="105"/>
  <c r="N72" i="105"/>
  <c r="N73" i="105"/>
  <c r="N74" i="105"/>
  <c r="N75" i="105"/>
  <c r="N76" i="105"/>
  <c r="N77" i="105"/>
  <c r="N78" i="105"/>
  <c r="N79" i="105"/>
  <c r="N80" i="105"/>
  <c r="N81" i="105"/>
  <c r="N82" i="105"/>
  <c r="N83" i="105"/>
  <c r="N84" i="105"/>
  <c r="N85" i="105"/>
  <c r="N86" i="105"/>
  <c r="N87" i="105"/>
  <c r="N88" i="105"/>
  <c r="N89" i="105"/>
  <c r="N90" i="105"/>
  <c r="N91" i="105"/>
  <c r="N92" i="105"/>
  <c r="N93" i="105"/>
  <c r="N94" i="105"/>
  <c r="N95" i="105"/>
  <c r="N96" i="105"/>
  <c r="N97" i="105"/>
  <c r="N98" i="105"/>
  <c r="N99" i="105"/>
  <c r="N100" i="105"/>
  <c r="N101" i="105"/>
  <c r="N102" i="105"/>
  <c r="N103" i="105"/>
  <c r="N104" i="105"/>
  <c r="N105" i="105"/>
  <c r="N106" i="105"/>
  <c r="N107" i="105"/>
  <c r="N108" i="105"/>
  <c r="N109" i="105"/>
  <c r="N110" i="105"/>
  <c r="N111" i="105"/>
  <c r="N112" i="105"/>
  <c r="N113" i="105"/>
  <c r="N114" i="105"/>
  <c r="N115" i="105"/>
  <c r="N116" i="105"/>
  <c r="N117" i="105"/>
  <c r="N118" i="105"/>
  <c r="N119" i="105"/>
  <c r="N120" i="105"/>
  <c r="N121" i="105"/>
  <c r="N24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24" i="105"/>
  <c r="H25" i="105"/>
  <c r="H1" i="105"/>
  <c r="N1" i="105" s="1"/>
  <c r="D24" i="105"/>
  <c r="D25" i="105"/>
  <c r="D26" i="105"/>
  <c r="D27" i="105"/>
  <c r="D28" i="105"/>
  <c r="D29" i="105"/>
  <c r="D30" i="105"/>
  <c r="D31" i="105"/>
  <c r="D32" i="105"/>
  <c r="D33" i="105"/>
  <c r="D34" i="105"/>
  <c r="D35" i="105"/>
  <c r="D36" i="105"/>
  <c r="D37" i="105"/>
  <c r="D38" i="105"/>
  <c r="D39" i="105"/>
  <c r="D40" i="105"/>
  <c r="D41" i="105"/>
  <c r="D42" i="105"/>
  <c r="D43" i="105"/>
  <c r="D44" i="105"/>
  <c r="D45" i="105"/>
  <c r="D46" i="105"/>
  <c r="D47" i="105"/>
  <c r="D48" i="105"/>
  <c r="D49" i="105"/>
  <c r="D50" i="105"/>
  <c r="D51" i="105"/>
  <c r="D52" i="105"/>
  <c r="D53" i="105"/>
  <c r="D54" i="105"/>
  <c r="D55" i="105"/>
  <c r="D56" i="105"/>
  <c r="D57" i="105"/>
  <c r="D58" i="105"/>
  <c r="D59" i="105"/>
  <c r="D60" i="105"/>
  <c r="D61" i="105"/>
  <c r="D62" i="105"/>
  <c r="D63" i="105"/>
  <c r="D64" i="105"/>
  <c r="D65" i="105"/>
  <c r="D66" i="105"/>
  <c r="D67" i="105"/>
  <c r="D68" i="105"/>
  <c r="D69" i="105"/>
  <c r="D70" i="105"/>
  <c r="D71" i="105"/>
  <c r="D72" i="105"/>
  <c r="D73" i="105"/>
  <c r="D74" i="105"/>
  <c r="D75" i="105"/>
  <c r="D76" i="105"/>
  <c r="D77" i="105"/>
  <c r="D78" i="105"/>
  <c r="D79" i="105"/>
  <c r="D80" i="105"/>
  <c r="D81" i="105"/>
  <c r="D82" i="105"/>
  <c r="D83" i="105"/>
  <c r="D84" i="105"/>
  <c r="D85" i="105"/>
  <c r="D86" i="105"/>
  <c r="D87" i="105"/>
  <c r="D88" i="105"/>
  <c r="D89" i="105"/>
  <c r="D90" i="105"/>
  <c r="D91" i="105"/>
  <c r="D92" i="105"/>
  <c r="D93" i="105"/>
  <c r="D94" i="105"/>
  <c r="D95" i="105"/>
  <c r="D96" i="105"/>
  <c r="D97" i="105"/>
  <c r="D98" i="105"/>
  <c r="D99" i="105"/>
  <c r="D100" i="105"/>
  <c r="D101" i="105"/>
  <c r="D102" i="105"/>
  <c r="D103" i="105"/>
  <c r="D104" i="105"/>
  <c r="D105" i="105"/>
  <c r="D106" i="105"/>
  <c r="D107" i="105"/>
  <c r="D108" i="105"/>
  <c r="D109" i="105"/>
  <c r="D110" i="105"/>
  <c r="D111" i="105"/>
  <c r="D112" i="105"/>
  <c r="D113" i="105"/>
  <c r="D114" i="105"/>
  <c r="D115" i="105"/>
  <c r="D116" i="105"/>
  <c r="D117" i="105"/>
  <c r="D118" i="105"/>
  <c r="D119" i="105"/>
  <c r="D120" i="105"/>
  <c r="D121" i="105"/>
  <c r="D1" i="105"/>
  <c r="S139" i="105"/>
  <c r="S140" i="105" s="1"/>
  <c r="J121" i="105"/>
  <c r="O121" i="105" s="1"/>
  <c r="G121" i="105"/>
  <c r="M121" i="105" s="1"/>
  <c r="F121" i="105"/>
  <c r="L121" i="105" s="1"/>
  <c r="E121" i="105"/>
  <c r="K121" i="105" s="1"/>
  <c r="C121" i="105"/>
  <c r="B121" i="105"/>
  <c r="J120" i="105"/>
  <c r="O120" i="105" s="1"/>
  <c r="G120" i="105"/>
  <c r="M120" i="105" s="1"/>
  <c r="F120" i="105"/>
  <c r="L120" i="105" s="1"/>
  <c r="E120" i="105"/>
  <c r="K120" i="105" s="1"/>
  <c r="C120" i="105"/>
  <c r="B120" i="105"/>
  <c r="J119" i="105"/>
  <c r="O119" i="105" s="1"/>
  <c r="G119" i="105"/>
  <c r="M119" i="105" s="1"/>
  <c r="F119" i="105"/>
  <c r="L119" i="105" s="1"/>
  <c r="E119" i="105"/>
  <c r="K119" i="105" s="1"/>
  <c r="C119" i="105"/>
  <c r="B119" i="105"/>
  <c r="J118" i="105"/>
  <c r="O118" i="105" s="1"/>
  <c r="G118" i="105"/>
  <c r="M118" i="105" s="1"/>
  <c r="F118" i="105"/>
  <c r="L118" i="105" s="1"/>
  <c r="E118" i="105"/>
  <c r="K118" i="105" s="1"/>
  <c r="C118" i="105"/>
  <c r="B118" i="105"/>
  <c r="J117" i="105"/>
  <c r="O117" i="105" s="1"/>
  <c r="G117" i="105"/>
  <c r="M117" i="105" s="1"/>
  <c r="F117" i="105"/>
  <c r="L117" i="105" s="1"/>
  <c r="E117" i="105"/>
  <c r="K117" i="105" s="1"/>
  <c r="C117" i="105"/>
  <c r="B117" i="105"/>
  <c r="J116" i="105"/>
  <c r="O116" i="105" s="1"/>
  <c r="G116" i="105"/>
  <c r="M116" i="105" s="1"/>
  <c r="F116" i="105"/>
  <c r="L116" i="105" s="1"/>
  <c r="E116" i="105"/>
  <c r="K116" i="105" s="1"/>
  <c r="C116" i="105"/>
  <c r="B116" i="105"/>
  <c r="J115" i="105"/>
  <c r="O115" i="105" s="1"/>
  <c r="G115" i="105"/>
  <c r="M115" i="105" s="1"/>
  <c r="F115" i="105"/>
  <c r="L115" i="105" s="1"/>
  <c r="E115" i="105"/>
  <c r="K115" i="105" s="1"/>
  <c r="C115" i="105"/>
  <c r="B115" i="105"/>
  <c r="J114" i="105"/>
  <c r="O114" i="105" s="1"/>
  <c r="G114" i="105"/>
  <c r="M114" i="105" s="1"/>
  <c r="F114" i="105"/>
  <c r="L114" i="105" s="1"/>
  <c r="E114" i="105"/>
  <c r="K114" i="105" s="1"/>
  <c r="C114" i="105"/>
  <c r="B114" i="105"/>
  <c r="J113" i="105"/>
  <c r="O113" i="105" s="1"/>
  <c r="G113" i="105"/>
  <c r="M113" i="105" s="1"/>
  <c r="F113" i="105"/>
  <c r="L113" i="105" s="1"/>
  <c r="E113" i="105"/>
  <c r="K113" i="105" s="1"/>
  <c r="C113" i="105"/>
  <c r="B113" i="105"/>
  <c r="J112" i="105"/>
  <c r="O112" i="105" s="1"/>
  <c r="G112" i="105"/>
  <c r="M112" i="105" s="1"/>
  <c r="F112" i="105"/>
  <c r="L112" i="105" s="1"/>
  <c r="E112" i="105"/>
  <c r="K112" i="105" s="1"/>
  <c r="C112" i="105"/>
  <c r="B112" i="105"/>
  <c r="J111" i="105"/>
  <c r="O111" i="105" s="1"/>
  <c r="G111" i="105"/>
  <c r="M111" i="105" s="1"/>
  <c r="F111" i="105"/>
  <c r="L111" i="105" s="1"/>
  <c r="E111" i="105"/>
  <c r="K111" i="105" s="1"/>
  <c r="C111" i="105"/>
  <c r="B111" i="105"/>
  <c r="J110" i="105"/>
  <c r="O110" i="105" s="1"/>
  <c r="S13" i="26" s="1"/>
  <c r="G110" i="105"/>
  <c r="M110" i="105" s="1"/>
  <c r="F110" i="105"/>
  <c r="L110" i="105" s="1"/>
  <c r="E110" i="105"/>
  <c r="K110" i="105" s="1"/>
  <c r="C110" i="105"/>
  <c r="B110" i="105"/>
  <c r="J109" i="105"/>
  <c r="O109" i="105" s="1"/>
  <c r="G109" i="105"/>
  <c r="M109" i="105" s="1"/>
  <c r="F109" i="105"/>
  <c r="L109" i="105" s="1"/>
  <c r="E109" i="105"/>
  <c r="K109" i="105" s="1"/>
  <c r="C109" i="105"/>
  <c r="B109" i="105"/>
  <c r="J108" i="105"/>
  <c r="O108" i="105" s="1"/>
  <c r="G108" i="105"/>
  <c r="M108" i="105" s="1"/>
  <c r="F108" i="105"/>
  <c r="L108" i="105" s="1"/>
  <c r="E108" i="105"/>
  <c r="K108" i="105" s="1"/>
  <c r="C108" i="105"/>
  <c r="B108" i="105"/>
  <c r="J107" i="105"/>
  <c r="O107" i="105" s="1"/>
  <c r="G107" i="105"/>
  <c r="M107" i="105" s="1"/>
  <c r="F107" i="105"/>
  <c r="L107" i="105" s="1"/>
  <c r="E107" i="105"/>
  <c r="K107" i="105" s="1"/>
  <c r="C107" i="105"/>
  <c r="B107" i="105"/>
  <c r="J106" i="105"/>
  <c r="O106" i="105" s="1"/>
  <c r="G106" i="105"/>
  <c r="M106" i="105" s="1"/>
  <c r="F106" i="105"/>
  <c r="L106" i="105" s="1"/>
  <c r="E106" i="105"/>
  <c r="K106" i="105" s="1"/>
  <c r="C106" i="105"/>
  <c r="B106" i="105"/>
  <c r="J105" i="105"/>
  <c r="O105" i="105" s="1"/>
  <c r="G105" i="105"/>
  <c r="M105" i="105" s="1"/>
  <c r="F105" i="105"/>
  <c r="L105" i="105" s="1"/>
  <c r="E105" i="105"/>
  <c r="K105" i="105" s="1"/>
  <c r="C105" i="105"/>
  <c r="B105" i="105"/>
  <c r="J104" i="105"/>
  <c r="O104" i="105" s="1"/>
  <c r="G104" i="105"/>
  <c r="M104" i="105" s="1"/>
  <c r="F104" i="105"/>
  <c r="L104" i="105" s="1"/>
  <c r="E104" i="105"/>
  <c r="K104" i="105" s="1"/>
  <c r="C104" i="105"/>
  <c r="B104" i="105"/>
  <c r="J103" i="105"/>
  <c r="O103" i="105" s="1"/>
  <c r="G103" i="105"/>
  <c r="M103" i="105" s="1"/>
  <c r="F103" i="105"/>
  <c r="L103" i="105" s="1"/>
  <c r="E103" i="105"/>
  <c r="K103" i="105" s="1"/>
  <c r="C103" i="105"/>
  <c r="B103" i="105"/>
  <c r="J102" i="105"/>
  <c r="O102" i="105" s="1"/>
  <c r="G102" i="105"/>
  <c r="M102" i="105" s="1"/>
  <c r="F102" i="105"/>
  <c r="L102" i="105" s="1"/>
  <c r="E102" i="105"/>
  <c r="K102" i="105" s="1"/>
  <c r="C102" i="105"/>
  <c r="B102" i="105"/>
  <c r="J101" i="105"/>
  <c r="O101" i="105" s="1"/>
  <c r="G101" i="105"/>
  <c r="M101" i="105" s="1"/>
  <c r="F101" i="105"/>
  <c r="L101" i="105" s="1"/>
  <c r="E101" i="105"/>
  <c r="K101" i="105" s="1"/>
  <c r="C101" i="105"/>
  <c r="B101" i="105"/>
  <c r="J100" i="105"/>
  <c r="O100" i="105" s="1"/>
  <c r="G100" i="105"/>
  <c r="M100" i="105" s="1"/>
  <c r="F100" i="105"/>
  <c r="L100" i="105" s="1"/>
  <c r="E100" i="105"/>
  <c r="K100" i="105" s="1"/>
  <c r="C100" i="105"/>
  <c r="B100" i="105"/>
  <c r="J99" i="105"/>
  <c r="O99" i="105" s="1"/>
  <c r="G99" i="105"/>
  <c r="M99" i="105" s="1"/>
  <c r="F99" i="105"/>
  <c r="L99" i="105" s="1"/>
  <c r="E99" i="105"/>
  <c r="K99" i="105" s="1"/>
  <c r="C99" i="105"/>
  <c r="B99" i="105"/>
  <c r="J98" i="105"/>
  <c r="O98" i="105" s="1"/>
  <c r="G98" i="105"/>
  <c r="M98" i="105" s="1"/>
  <c r="F98" i="105"/>
  <c r="L98" i="105" s="1"/>
  <c r="E98" i="105"/>
  <c r="K98" i="105" s="1"/>
  <c r="C98" i="105"/>
  <c r="B98" i="105"/>
  <c r="J97" i="105"/>
  <c r="O97" i="105" s="1"/>
  <c r="G97" i="105"/>
  <c r="M97" i="105" s="1"/>
  <c r="F97" i="105"/>
  <c r="L97" i="105" s="1"/>
  <c r="E97" i="105"/>
  <c r="K97" i="105" s="1"/>
  <c r="C97" i="105"/>
  <c r="B97" i="105"/>
  <c r="J96" i="105"/>
  <c r="O96" i="105" s="1"/>
  <c r="G96" i="105"/>
  <c r="M96" i="105" s="1"/>
  <c r="F96" i="105"/>
  <c r="L96" i="105" s="1"/>
  <c r="E96" i="105"/>
  <c r="K96" i="105" s="1"/>
  <c r="C96" i="105"/>
  <c r="B96" i="105"/>
  <c r="J95" i="105"/>
  <c r="O95" i="105" s="1"/>
  <c r="G95" i="105"/>
  <c r="M95" i="105" s="1"/>
  <c r="F95" i="105"/>
  <c r="L95" i="105" s="1"/>
  <c r="E95" i="105"/>
  <c r="K95" i="105" s="1"/>
  <c r="C95" i="105"/>
  <c r="B95" i="105"/>
  <c r="J94" i="105"/>
  <c r="O94" i="105" s="1"/>
  <c r="G94" i="105"/>
  <c r="M94" i="105" s="1"/>
  <c r="F94" i="105"/>
  <c r="L94" i="105" s="1"/>
  <c r="E94" i="105"/>
  <c r="K94" i="105" s="1"/>
  <c r="C94" i="105"/>
  <c r="B94" i="105"/>
  <c r="J93" i="105"/>
  <c r="O93" i="105" s="1"/>
  <c r="G93" i="105"/>
  <c r="M93" i="105" s="1"/>
  <c r="F93" i="105"/>
  <c r="L93" i="105" s="1"/>
  <c r="E93" i="105"/>
  <c r="K93" i="105" s="1"/>
  <c r="C93" i="105"/>
  <c r="B93" i="105"/>
  <c r="J92" i="105"/>
  <c r="O92" i="105" s="1"/>
  <c r="G92" i="105"/>
  <c r="M92" i="105" s="1"/>
  <c r="F92" i="105"/>
  <c r="L92" i="105" s="1"/>
  <c r="E92" i="105"/>
  <c r="K92" i="105" s="1"/>
  <c r="C92" i="105"/>
  <c r="B92" i="105"/>
  <c r="J91" i="105"/>
  <c r="O91" i="105" s="1"/>
  <c r="G91" i="105"/>
  <c r="M91" i="105" s="1"/>
  <c r="F91" i="105"/>
  <c r="L91" i="105" s="1"/>
  <c r="E91" i="105"/>
  <c r="K91" i="105" s="1"/>
  <c r="C91" i="105"/>
  <c r="B91" i="105"/>
  <c r="J90" i="105"/>
  <c r="O90" i="105" s="1"/>
  <c r="G90" i="105"/>
  <c r="M90" i="105" s="1"/>
  <c r="F90" i="105"/>
  <c r="L90" i="105" s="1"/>
  <c r="E90" i="105"/>
  <c r="K90" i="105" s="1"/>
  <c r="C90" i="105"/>
  <c r="B90" i="105"/>
  <c r="J89" i="105"/>
  <c r="O89" i="105" s="1"/>
  <c r="G89" i="105"/>
  <c r="M89" i="105" s="1"/>
  <c r="F89" i="105"/>
  <c r="L89" i="105" s="1"/>
  <c r="E89" i="105"/>
  <c r="K89" i="105" s="1"/>
  <c r="C89" i="105"/>
  <c r="B89" i="105"/>
  <c r="J88" i="105"/>
  <c r="O88" i="105" s="1"/>
  <c r="G88" i="105"/>
  <c r="M88" i="105" s="1"/>
  <c r="F88" i="105"/>
  <c r="L88" i="105" s="1"/>
  <c r="E88" i="105"/>
  <c r="K88" i="105" s="1"/>
  <c r="C88" i="105"/>
  <c r="B88" i="105"/>
  <c r="J87" i="105"/>
  <c r="O87" i="105" s="1"/>
  <c r="G87" i="105"/>
  <c r="M87" i="105" s="1"/>
  <c r="F87" i="105"/>
  <c r="L87" i="105" s="1"/>
  <c r="E87" i="105"/>
  <c r="K87" i="105" s="1"/>
  <c r="C87" i="105"/>
  <c r="B87" i="105"/>
  <c r="J86" i="105"/>
  <c r="O86" i="105" s="1"/>
  <c r="S11" i="26" s="1"/>
  <c r="G86" i="105"/>
  <c r="M86" i="105" s="1"/>
  <c r="F86" i="105"/>
  <c r="L86" i="105" s="1"/>
  <c r="E86" i="105"/>
  <c r="K86" i="105" s="1"/>
  <c r="C86" i="105"/>
  <c r="B86" i="105"/>
  <c r="J85" i="105"/>
  <c r="O85" i="105" s="1"/>
  <c r="G85" i="105"/>
  <c r="M85" i="105" s="1"/>
  <c r="F85" i="105"/>
  <c r="L85" i="105" s="1"/>
  <c r="E85" i="105"/>
  <c r="K85" i="105" s="1"/>
  <c r="C85" i="105"/>
  <c r="B85" i="105"/>
  <c r="J84" i="105"/>
  <c r="O84" i="105" s="1"/>
  <c r="G84" i="105"/>
  <c r="M84" i="105" s="1"/>
  <c r="F84" i="105"/>
  <c r="L84" i="105" s="1"/>
  <c r="E84" i="105"/>
  <c r="K84" i="105" s="1"/>
  <c r="C84" i="105"/>
  <c r="B84" i="105"/>
  <c r="J83" i="105"/>
  <c r="O83" i="105" s="1"/>
  <c r="G83" i="105"/>
  <c r="M83" i="105" s="1"/>
  <c r="F83" i="105"/>
  <c r="L83" i="105" s="1"/>
  <c r="E83" i="105"/>
  <c r="K83" i="105" s="1"/>
  <c r="C83" i="105"/>
  <c r="B83" i="105"/>
  <c r="J82" i="105"/>
  <c r="O82" i="105" s="1"/>
  <c r="G82" i="105"/>
  <c r="M82" i="105" s="1"/>
  <c r="F82" i="105"/>
  <c r="L82" i="105" s="1"/>
  <c r="E82" i="105"/>
  <c r="K82" i="105" s="1"/>
  <c r="C82" i="105"/>
  <c r="B82" i="105"/>
  <c r="J81" i="105"/>
  <c r="O81" i="105" s="1"/>
  <c r="G81" i="105"/>
  <c r="M81" i="105" s="1"/>
  <c r="F81" i="105"/>
  <c r="L81" i="105" s="1"/>
  <c r="E81" i="105"/>
  <c r="K81" i="105" s="1"/>
  <c r="C81" i="105"/>
  <c r="B81" i="105"/>
  <c r="J80" i="105"/>
  <c r="O80" i="105" s="1"/>
  <c r="G80" i="105"/>
  <c r="M80" i="105" s="1"/>
  <c r="F80" i="105"/>
  <c r="L80" i="105" s="1"/>
  <c r="E80" i="105"/>
  <c r="K80" i="105" s="1"/>
  <c r="C80" i="105"/>
  <c r="B80" i="105"/>
  <c r="J79" i="105"/>
  <c r="O79" i="105" s="1"/>
  <c r="G79" i="105"/>
  <c r="M79" i="105" s="1"/>
  <c r="F79" i="105"/>
  <c r="L79" i="105" s="1"/>
  <c r="E79" i="105"/>
  <c r="K79" i="105" s="1"/>
  <c r="C79" i="105"/>
  <c r="B79" i="105"/>
  <c r="J78" i="105"/>
  <c r="O78" i="105" s="1"/>
  <c r="G78" i="105"/>
  <c r="M78" i="105" s="1"/>
  <c r="F78" i="105"/>
  <c r="L78" i="105" s="1"/>
  <c r="E78" i="105"/>
  <c r="K78" i="105" s="1"/>
  <c r="C78" i="105"/>
  <c r="B78" i="105"/>
  <c r="J77" i="105"/>
  <c r="O77" i="105" s="1"/>
  <c r="G77" i="105"/>
  <c r="M77" i="105" s="1"/>
  <c r="F77" i="105"/>
  <c r="L77" i="105" s="1"/>
  <c r="E77" i="105"/>
  <c r="K77" i="105" s="1"/>
  <c r="C77" i="105"/>
  <c r="B77" i="105"/>
  <c r="J76" i="105"/>
  <c r="O76" i="105" s="1"/>
  <c r="G76" i="105"/>
  <c r="M76" i="105" s="1"/>
  <c r="F76" i="105"/>
  <c r="L76" i="105" s="1"/>
  <c r="E76" i="105"/>
  <c r="K76" i="105" s="1"/>
  <c r="C76" i="105"/>
  <c r="B76" i="105"/>
  <c r="J75" i="105"/>
  <c r="O75" i="105" s="1"/>
  <c r="G75" i="105"/>
  <c r="M75" i="105" s="1"/>
  <c r="F75" i="105"/>
  <c r="L75" i="105" s="1"/>
  <c r="E75" i="105"/>
  <c r="K75" i="105" s="1"/>
  <c r="C75" i="105"/>
  <c r="B75" i="105"/>
  <c r="J74" i="105"/>
  <c r="O74" i="105" s="1"/>
  <c r="G74" i="105"/>
  <c r="M74" i="105" s="1"/>
  <c r="F74" i="105"/>
  <c r="L74" i="105" s="1"/>
  <c r="E74" i="105"/>
  <c r="K74" i="105" s="1"/>
  <c r="C74" i="105"/>
  <c r="B74" i="105"/>
  <c r="J73" i="105"/>
  <c r="O73" i="105" s="1"/>
  <c r="G73" i="105"/>
  <c r="M73" i="105" s="1"/>
  <c r="F73" i="105"/>
  <c r="L73" i="105" s="1"/>
  <c r="E73" i="105"/>
  <c r="K73" i="105" s="1"/>
  <c r="C73" i="105"/>
  <c r="B73" i="105"/>
  <c r="J72" i="105"/>
  <c r="O72" i="105" s="1"/>
  <c r="G72" i="105"/>
  <c r="M72" i="105" s="1"/>
  <c r="F72" i="105"/>
  <c r="L72" i="105" s="1"/>
  <c r="E72" i="105"/>
  <c r="K72" i="105" s="1"/>
  <c r="C72" i="105"/>
  <c r="B72" i="105"/>
  <c r="J71" i="105"/>
  <c r="O71" i="105" s="1"/>
  <c r="G71" i="105"/>
  <c r="M71" i="105" s="1"/>
  <c r="F71" i="105"/>
  <c r="L71" i="105" s="1"/>
  <c r="E71" i="105"/>
  <c r="K71" i="105" s="1"/>
  <c r="C71" i="105"/>
  <c r="B71" i="105"/>
  <c r="J70" i="105"/>
  <c r="O70" i="105" s="1"/>
  <c r="G70" i="105"/>
  <c r="M70" i="105" s="1"/>
  <c r="F70" i="105"/>
  <c r="L70" i="105" s="1"/>
  <c r="E70" i="105"/>
  <c r="K70" i="105" s="1"/>
  <c r="C70" i="105"/>
  <c r="B70" i="105"/>
  <c r="J69" i="105"/>
  <c r="O69" i="105" s="1"/>
  <c r="G69" i="105"/>
  <c r="M69" i="105" s="1"/>
  <c r="F69" i="105"/>
  <c r="L69" i="105" s="1"/>
  <c r="E69" i="105"/>
  <c r="K69" i="105" s="1"/>
  <c r="C69" i="105"/>
  <c r="B69" i="105"/>
  <c r="J68" i="105"/>
  <c r="O68" i="105" s="1"/>
  <c r="G68" i="105"/>
  <c r="M68" i="105" s="1"/>
  <c r="F68" i="105"/>
  <c r="L68" i="105" s="1"/>
  <c r="E68" i="105"/>
  <c r="K68" i="105" s="1"/>
  <c r="C68" i="105"/>
  <c r="B68" i="105"/>
  <c r="J67" i="105"/>
  <c r="O67" i="105" s="1"/>
  <c r="G67" i="105"/>
  <c r="M67" i="105" s="1"/>
  <c r="F67" i="105"/>
  <c r="L67" i="105" s="1"/>
  <c r="E67" i="105"/>
  <c r="K67" i="105" s="1"/>
  <c r="C67" i="105"/>
  <c r="B67" i="105"/>
  <c r="J66" i="105"/>
  <c r="O66" i="105" s="1"/>
  <c r="G66" i="105"/>
  <c r="M66" i="105" s="1"/>
  <c r="F66" i="105"/>
  <c r="L66" i="105" s="1"/>
  <c r="E66" i="105"/>
  <c r="K66" i="105" s="1"/>
  <c r="C66" i="105"/>
  <c r="B66" i="105"/>
  <c r="J65" i="105"/>
  <c r="O65" i="105" s="1"/>
  <c r="G65" i="105"/>
  <c r="M65" i="105" s="1"/>
  <c r="F65" i="105"/>
  <c r="L65" i="105" s="1"/>
  <c r="E65" i="105"/>
  <c r="K65" i="105" s="1"/>
  <c r="C65" i="105"/>
  <c r="B65" i="105"/>
  <c r="J64" i="105"/>
  <c r="O64" i="105" s="1"/>
  <c r="G64" i="105"/>
  <c r="M64" i="105" s="1"/>
  <c r="F64" i="105"/>
  <c r="L64" i="105" s="1"/>
  <c r="E64" i="105"/>
  <c r="K64" i="105" s="1"/>
  <c r="C64" i="105"/>
  <c r="B64" i="105"/>
  <c r="J63" i="105"/>
  <c r="O63" i="105" s="1"/>
  <c r="G63" i="105"/>
  <c r="M63" i="105" s="1"/>
  <c r="F63" i="105"/>
  <c r="L63" i="105" s="1"/>
  <c r="E63" i="105"/>
  <c r="K63" i="105" s="1"/>
  <c r="C63" i="105"/>
  <c r="B63" i="105"/>
  <c r="J62" i="105"/>
  <c r="O62" i="105" s="1"/>
  <c r="S9" i="26" s="1"/>
  <c r="G62" i="105"/>
  <c r="M62" i="105" s="1"/>
  <c r="F62" i="105"/>
  <c r="L62" i="105" s="1"/>
  <c r="E62" i="105"/>
  <c r="K62" i="105" s="1"/>
  <c r="C62" i="105"/>
  <c r="B62" i="105"/>
  <c r="J61" i="105"/>
  <c r="O61" i="105" s="1"/>
  <c r="G61" i="105"/>
  <c r="M61" i="105" s="1"/>
  <c r="F61" i="105"/>
  <c r="L61" i="105" s="1"/>
  <c r="E61" i="105"/>
  <c r="K61" i="105" s="1"/>
  <c r="C61" i="105"/>
  <c r="B61" i="105"/>
  <c r="J60" i="105"/>
  <c r="O60" i="105" s="1"/>
  <c r="G60" i="105"/>
  <c r="M60" i="105" s="1"/>
  <c r="F60" i="105"/>
  <c r="L60" i="105" s="1"/>
  <c r="E60" i="105"/>
  <c r="K60" i="105" s="1"/>
  <c r="C60" i="105"/>
  <c r="B60" i="105"/>
  <c r="J59" i="105"/>
  <c r="O59" i="105" s="1"/>
  <c r="G59" i="105"/>
  <c r="M59" i="105" s="1"/>
  <c r="F59" i="105"/>
  <c r="L59" i="105" s="1"/>
  <c r="E59" i="105"/>
  <c r="K59" i="105" s="1"/>
  <c r="C59" i="105"/>
  <c r="B59" i="105"/>
  <c r="J58" i="105"/>
  <c r="O58" i="105" s="1"/>
  <c r="G58" i="105"/>
  <c r="M58" i="105" s="1"/>
  <c r="F58" i="105"/>
  <c r="L58" i="105" s="1"/>
  <c r="E58" i="105"/>
  <c r="K58" i="105" s="1"/>
  <c r="C58" i="105"/>
  <c r="B58" i="105"/>
  <c r="J57" i="105"/>
  <c r="O57" i="105" s="1"/>
  <c r="G57" i="105"/>
  <c r="M57" i="105" s="1"/>
  <c r="F57" i="105"/>
  <c r="L57" i="105" s="1"/>
  <c r="E57" i="105"/>
  <c r="K57" i="105" s="1"/>
  <c r="C57" i="105"/>
  <c r="B57" i="105"/>
  <c r="J56" i="105"/>
  <c r="O56" i="105" s="1"/>
  <c r="G56" i="105"/>
  <c r="M56" i="105" s="1"/>
  <c r="F56" i="105"/>
  <c r="L56" i="105" s="1"/>
  <c r="E56" i="105"/>
  <c r="K56" i="105" s="1"/>
  <c r="C56" i="105"/>
  <c r="B56" i="105"/>
  <c r="J55" i="105"/>
  <c r="O55" i="105" s="1"/>
  <c r="G55" i="105"/>
  <c r="M55" i="105" s="1"/>
  <c r="F55" i="105"/>
  <c r="L55" i="105" s="1"/>
  <c r="E55" i="105"/>
  <c r="K55" i="105" s="1"/>
  <c r="C55" i="105"/>
  <c r="B55" i="105"/>
  <c r="J54" i="105"/>
  <c r="O54" i="105" s="1"/>
  <c r="G54" i="105"/>
  <c r="M54" i="105" s="1"/>
  <c r="F54" i="105"/>
  <c r="L54" i="105" s="1"/>
  <c r="E54" i="105"/>
  <c r="K54" i="105" s="1"/>
  <c r="C54" i="105"/>
  <c r="B54" i="105"/>
  <c r="J53" i="105"/>
  <c r="O53" i="105" s="1"/>
  <c r="G53" i="105"/>
  <c r="M53" i="105" s="1"/>
  <c r="F53" i="105"/>
  <c r="L53" i="105" s="1"/>
  <c r="E53" i="105"/>
  <c r="K53" i="105" s="1"/>
  <c r="C53" i="105"/>
  <c r="B53" i="105"/>
  <c r="J52" i="105"/>
  <c r="O52" i="105" s="1"/>
  <c r="G52" i="105"/>
  <c r="M52" i="105" s="1"/>
  <c r="F52" i="105"/>
  <c r="L52" i="105" s="1"/>
  <c r="E52" i="105"/>
  <c r="K52" i="105" s="1"/>
  <c r="C52" i="105"/>
  <c r="B52" i="105"/>
  <c r="J51" i="105"/>
  <c r="O51" i="105" s="1"/>
  <c r="G51" i="105"/>
  <c r="M51" i="105" s="1"/>
  <c r="F51" i="105"/>
  <c r="L51" i="105" s="1"/>
  <c r="E51" i="105"/>
  <c r="K51" i="105" s="1"/>
  <c r="C51" i="105"/>
  <c r="B51" i="105"/>
  <c r="J50" i="105"/>
  <c r="O50" i="105" s="1"/>
  <c r="G50" i="105"/>
  <c r="M50" i="105" s="1"/>
  <c r="F50" i="105"/>
  <c r="L50" i="105" s="1"/>
  <c r="E50" i="105"/>
  <c r="K50" i="105" s="1"/>
  <c r="C50" i="105"/>
  <c r="B50" i="105"/>
  <c r="J49" i="105"/>
  <c r="O49" i="105" s="1"/>
  <c r="G49" i="105"/>
  <c r="M49" i="105" s="1"/>
  <c r="F49" i="105"/>
  <c r="L49" i="105" s="1"/>
  <c r="E49" i="105"/>
  <c r="K49" i="105" s="1"/>
  <c r="C49" i="105"/>
  <c r="B49" i="105"/>
  <c r="J48" i="105"/>
  <c r="O48" i="105" s="1"/>
  <c r="G48" i="105"/>
  <c r="M48" i="105" s="1"/>
  <c r="F48" i="105"/>
  <c r="L48" i="105" s="1"/>
  <c r="E48" i="105"/>
  <c r="K48" i="105" s="1"/>
  <c r="C48" i="105"/>
  <c r="B48" i="105"/>
  <c r="J47" i="105"/>
  <c r="O47" i="105" s="1"/>
  <c r="G47" i="105"/>
  <c r="M47" i="105" s="1"/>
  <c r="F47" i="105"/>
  <c r="L47" i="105" s="1"/>
  <c r="E47" i="105"/>
  <c r="K47" i="105" s="1"/>
  <c r="C47" i="105"/>
  <c r="B47" i="105"/>
  <c r="J46" i="105"/>
  <c r="O46" i="105" s="1"/>
  <c r="G46" i="105"/>
  <c r="M46" i="105" s="1"/>
  <c r="F46" i="105"/>
  <c r="L46" i="105" s="1"/>
  <c r="E46" i="105"/>
  <c r="K46" i="105" s="1"/>
  <c r="C46" i="105"/>
  <c r="B46" i="105"/>
  <c r="J45" i="105"/>
  <c r="O45" i="105" s="1"/>
  <c r="G45" i="105"/>
  <c r="M45" i="105" s="1"/>
  <c r="F45" i="105"/>
  <c r="L45" i="105" s="1"/>
  <c r="E45" i="105"/>
  <c r="K45" i="105" s="1"/>
  <c r="C45" i="105"/>
  <c r="B45" i="105"/>
  <c r="J44" i="105"/>
  <c r="O44" i="105" s="1"/>
  <c r="G44" i="105"/>
  <c r="M44" i="105" s="1"/>
  <c r="F44" i="105"/>
  <c r="L44" i="105" s="1"/>
  <c r="E44" i="105"/>
  <c r="K44" i="105" s="1"/>
  <c r="C44" i="105"/>
  <c r="B44" i="105"/>
  <c r="J43" i="105"/>
  <c r="O43" i="105" s="1"/>
  <c r="G43" i="105"/>
  <c r="M43" i="105" s="1"/>
  <c r="F43" i="105"/>
  <c r="L43" i="105" s="1"/>
  <c r="E43" i="105"/>
  <c r="K43" i="105" s="1"/>
  <c r="C43" i="105"/>
  <c r="B43" i="105"/>
  <c r="J42" i="105"/>
  <c r="O42" i="105" s="1"/>
  <c r="G42" i="105"/>
  <c r="M42" i="105" s="1"/>
  <c r="F42" i="105"/>
  <c r="L42" i="105" s="1"/>
  <c r="E42" i="105"/>
  <c r="K42" i="105" s="1"/>
  <c r="C42" i="105"/>
  <c r="B42" i="105"/>
  <c r="J41" i="105"/>
  <c r="O41" i="105" s="1"/>
  <c r="G41" i="105"/>
  <c r="M41" i="105" s="1"/>
  <c r="F41" i="105"/>
  <c r="L41" i="105" s="1"/>
  <c r="E41" i="105"/>
  <c r="K41" i="105" s="1"/>
  <c r="C41" i="105"/>
  <c r="B41" i="105"/>
  <c r="J40" i="105"/>
  <c r="O40" i="105" s="1"/>
  <c r="G40" i="105"/>
  <c r="M40" i="105" s="1"/>
  <c r="F40" i="105"/>
  <c r="L40" i="105" s="1"/>
  <c r="E40" i="105"/>
  <c r="K40" i="105" s="1"/>
  <c r="C40" i="105"/>
  <c r="B40" i="105"/>
  <c r="J39" i="105"/>
  <c r="O39" i="105" s="1"/>
  <c r="G39" i="105"/>
  <c r="M39" i="105" s="1"/>
  <c r="F39" i="105"/>
  <c r="L39" i="105" s="1"/>
  <c r="E39" i="105"/>
  <c r="K39" i="105" s="1"/>
  <c r="C39" i="105"/>
  <c r="B39" i="105"/>
  <c r="J38" i="105"/>
  <c r="O38" i="105" s="1"/>
  <c r="S7" i="26" s="1"/>
  <c r="G38" i="105"/>
  <c r="M38" i="105" s="1"/>
  <c r="F38" i="105"/>
  <c r="L38" i="105" s="1"/>
  <c r="E38" i="105"/>
  <c r="K38" i="105" s="1"/>
  <c r="C38" i="105"/>
  <c r="B38" i="105"/>
  <c r="J37" i="105"/>
  <c r="O37" i="105" s="1"/>
  <c r="G37" i="105"/>
  <c r="M37" i="105" s="1"/>
  <c r="F37" i="105"/>
  <c r="L37" i="105" s="1"/>
  <c r="E37" i="105"/>
  <c r="K37" i="105" s="1"/>
  <c r="C37" i="105"/>
  <c r="B37" i="105"/>
  <c r="J36" i="105"/>
  <c r="O36" i="105" s="1"/>
  <c r="G36" i="105"/>
  <c r="M36" i="105" s="1"/>
  <c r="F36" i="105"/>
  <c r="L36" i="105" s="1"/>
  <c r="E36" i="105"/>
  <c r="K36" i="105" s="1"/>
  <c r="C36" i="105"/>
  <c r="B36" i="105"/>
  <c r="J35" i="105"/>
  <c r="O35" i="105" s="1"/>
  <c r="G35" i="105"/>
  <c r="M35" i="105" s="1"/>
  <c r="F35" i="105"/>
  <c r="L35" i="105" s="1"/>
  <c r="E35" i="105"/>
  <c r="K35" i="105" s="1"/>
  <c r="C35" i="105"/>
  <c r="B35" i="105"/>
  <c r="J34" i="105"/>
  <c r="O34" i="105" s="1"/>
  <c r="G34" i="105"/>
  <c r="M34" i="105" s="1"/>
  <c r="F34" i="105"/>
  <c r="L34" i="105" s="1"/>
  <c r="E34" i="105"/>
  <c r="K34" i="105" s="1"/>
  <c r="C34" i="105"/>
  <c r="B34" i="105"/>
  <c r="J33" i="105"/>
  <c r="O33" i="105" s="1"/>
  <c r="G33" i="105"/>
  <c r="M33" i="105" s="1"/>
  <c r="F33" i="105"/>
  <c r="L33" i="105" s="1"/>
  <c r="E33" i="105"/>
  <c r="K33" i="105" s="1"/>
  <c r="C33" i="105"/>
  <c r="B33" i="105"/>
  <c r="J32" i="105"/>
  <c r="O32" i="105" s="1"/>
  <c r="G32" i="105"/>
  <c r="M32" i="105" s="1"/>
  <c r="F32" i="105"/>
  <c r="L32" i="105" s="1"/>
  <c r="E32" i="105"/>
  <c r="K32" i="105" s="1"/>
  <c r="C32" i="105"/>
  <c r="B32" i="105"/>
  <c r="J31" i="105"/>
  <c r="O31" i="105" s="1"/>
  <c r="G31" i="105"/>
  <c r="M31" i="105" s="1"/>
  <c r="F31" i="105"/>
  <c r="L31" i="105" s="1"/>
  <c r="E31" i="105"/>
  <c r="K31" i="105" s="1"/>
  <c r="C31" i="105"/>
  <c r="B31" i="105"/>
  <c r="J30" i="105"/>
  <c r="O30" i="105" s="1"/>
  <c r="G30" i="105"/>
  <c r="M30" i="105" s="1"/>
  <c r="F30" i="105"/>
  <c r="L30" i="105" s="1"/>
  <c r="E30" i="105"/>
  <c r="K30" i="105" s="1"/>
  <c r="C30" i="105"/>
  <c r="B30" i="105"/>
  <c r="J29" i="105"/>
  <c r="O29" i="105" s="1"/>
  <c r="G29" i="105"/>
  <c r="M29" i="105" s="1"/>
  <c r="F29" i="105"/>
  <c r="L29" i="105" s="1"/>
  <c r="E29" i="105"/>
  <c r="K29" i="105" s="1"/>
  <c r="C29" i="105"/>
  <c r="B29" i="105"/>
  <c r="J28" i="105"/>
  <c r="O28" i="105" s="1"/>
  <c r="G28" i="105"/>
  <c r="M28" i="105" s="1"/>
  <c r="F28" i="105"/>
  <c r="L28" i="105" s="1"/>
  <c r="E28" i="105"/>
  <c r="K28" i="105" s="1"/>
  <c r="C28" i="105"/>
  <c r="B28" i="105"/>
  <c r="J27" i="105"/>
  <c r="O27" i="105" s="1"/>
  <c r="G27" i="105"/>
  <c r="M27" i="105" s="1"/>
  <c r="F27" i="105"/>
  <c r="L27" i="105" s="1"/>
  <c r="E27" i="105"/>
  <c r="K27" i="105" s="1"/>
  <c r="C27" i="105"/>
  <c r="B27" i="105"/>
  <c r="J26" i="105"/>
  <c r="O26" i="105" s="1"/>
  <c r="G26" i="105"/>
  <c r="M26" i="105" s="1"/>
  <c r="F26" i="105"/>
  <c r="L26" i="105" s="1"/>
  <c r="E26" i="105"/>
  <c r="K26" i="105" s="1"/>
  <c r="C26" i="105"/>
  <c r="B26" i="105"/>
  <c r="J25" i="105"/>
  <c r="O25" i="105" s="1"/>
  <c r="G25" i="105"/>
  <c r="M25" i="105" s="1"/>
  <c r="F25" i="105"/>
  <c r="L25" i="105" s="1"/>
  <c r="E25" i="105"/>
  <c r="K25" i="105" s="1"/>
  <c r="C25" i="105"/>
  <c r="B25" i="105"/>
  <c r="J24" i="105"/>
  <c r="O24" i="105" s="1"/>
  <c r="G24" i="105"/>
  <c r="M24" i="105" s="1"/>
  <c r="F24" i="105"/>
  <c r="L24" i="105" s="1"/>
  <c r="E24" i="105"/>
  <c r="K24" i="105" s="1"/>
  <c r="C24" i="105"/>
  <c r="B24" i="105"/>
  <c r="G1" i="105"/>
  <c r="M1" i="105" s="1"/>
  <c r="F1" i="105"/>
  <c r="L1" i="105" s="1"/>
  <c r="E1" i="105"/>
  <c r="K1" i="105" s="1"/>
  <c r="DW25" i="99"/>
  <c r="DW26" i="99"/>
  <c r="DW27" i="99"/>
  <c r="DW28" i="99"/>
  <c r="DW29" i="99"/>
  <c r="DW30" i="99"/>
  <c r="DW31" i="99"/>
  <c r="DW32" i="99"/>
  <c r="DW33" i="99"/>
  <c r="DW34" i="99"/>
  <c r="DW35" i="99"/>
  <c r="DW36" i="99"/>
  <c r="DW37" i="99"/>
  <c r="DW38" i="99"/>
  <c r="DW39" i="99"/>
  <c r="DW40" i="99"/>
  <c r="DW41" i="99"/>
  <c r="DW42" i="99"/>
  <c r="DW43" i="99"/>
  <c r="DW44" i="99"/>
  <c r="DW45" i="99"/>
  <c r="DW46" i="99"/>
  <c r="DW47" i="99"/>
  <c r="DW48" i="99"/>
  <c r="DW49" i="99"/>
  <c r="DW50" i="99"/>
  <c r="DW51" i="99"/>
  <c r="DW52" i="99"/>
  <c r="DW53" i="99"/>
  <c r="DW54" i="99"/>
  <c r="DW55" i="99"/>
  <c r="DW56" i="99"/>
  <c r="DW57" i="99"/>
  <c r="DW58" i="99"/>
  <c r="DW59" i="99"/>
  <c r="DW60" i="99"/>
  <c r="DW61" i="99"/>
  <c r="DW62" i="99"/>
  <c r="DW63" i="99"/>
  <c r="DW64" i="99"/>
  <c r="DW65" i="99"/>
  <c r="DW66" i="99"/>
  <c r="DW67" i="99"/>
  <c r="DW68" i="99"/>
  <c r="DW69" i="99"/>
  <c r="DW70" i="99"/>
  <c r="DW71" i="99"/>
  <c r="DW72" i="99"/>
  <c r="DW73" i="99"/>
  <c r="DW74" i="99"/>
  <c r="DW75" i="99"/>
  <c r="DW76" i="99"/>
  <c r="DW77" i="99"/>
  <c r="DW78" i="99"/>
  <c r="DW79" i="99"/>
  <c r="DW80" i="99"/>
  <c r="DW81" i="99"/>
  <c r="DW82" i="99"/>
  <c r="DW83" i="99"/>
  <c r="DW84" i="99"/>
  <c r="DW85" i="99"/>
  <c r="DW86" i="99"/>
  <c r="DW87" i="99"/>
  <c r="DW88" i="99"/>
  <c r="DW89" i="99"/>
  <c r="DW90" i="99"/>
  <c r="DW91" i="99"/>
  <c r="DW92" i="99"/>
  <c r="DW93" i="99"/>
  <c r="DW94" i="99"/>
  <c r="DW95" i="99"/>
  <c r="DW96" i="99"/>
  <c r="DW97" i="99"/>
  <c r="DW98" i="99"/>
  <c r="DW99" i="99"/>
  <c r="DW100" i="99"/>
  <c r="DW101" i="99"/>
  <c r="DW102" i="99"/>
  <c r="DW103" i="99"/>
  <c r="DW104" i="99"/>
  <c r="DW105" i="99"/>
  <c r="DW106" i="99"/>
  <c r="DW107" i="99"/>
  <c r="DW108" i="99"/>
  <c r="DW109" i="99"/>
  <c r="DW110" i="99"/>
  <c r="DW111" i="99"/>
  <c r="DW112" i="99"/>
  <c r="DW113" i="99"/>
  <c r="DW114" i="99"/>
  <c r="DW115" i="99"/>
  <c r="DW116" i="99"/>
  <c r="DW117" i="99"/>
  <c r="DW118" i="99"/>
  <c r="DW119" i="99"/>
  <c r="DW120" i="99"/>
  <c r="DW121" i="99"/>
  <c r="DW24" i="99"/>
  <c r="W140" i="104"/>
  <c r="W141" i="104" s="1"/>
  <c r="W142" i="104" s="1"/>
  <c r="W143" i="104" s="1"/>
  <c r="W144" i="104" s="1"/>
  <c r="W145" i="104" s="1"/>
  <c r="W146" i="104" s="1"/>
  <c r="W147" i="104" s="1"/>
  <c r="W139" i="104"/>
  <c r="I2" i="104"/>
  <c r="I3" i="104"/>
  <c r="I4" i="104"/>
  <c r="I5" i="104"/>
  <c r="O5" i="104" s="1"/>
  <c r="I6" i="104"/>
  <c r="I7" i="104"/>
  <c r="I8" i="104"/>
  <c r="I9" i="104"/>
  <c r="I10" i="104"/>
  <c r="I11" i="104"/>
  <c r="I12" i="104"/>
  <c r="I13" i="104"/>
  <c r="O13" i="104" s="1"/>
  <c r="I14" i="104"/>
  <c r="I15" i="104"/>
  <c r="I16" i="104"/>
  <c r="I17" i="104"/>
  <c r="O17" i="104" s="1"/>
  <c r="I18" i="104"/>
  <c r="I19" i="104"/>
  <c r="I20" i="104"/>
  <c r="I21" i="104"/>
  <c r="O21" i="104" s="1"/>
  <c r="I22" i="104"/>
  <c r="I23" i="104"/>
  <c r="I24" i="104"/>
  <c r="I25" i="104"/>
  <c r="I26" i="104"/>
  <c r="I27" i="104"/>
  <c r="I28" i="104"/>
  <c r="I29" i="104"/>
  <c r="O29" i="104" s="1"/>
  <c r="I30" i="104"/>
  <c r="I31" i="104"/>
  <c r="I32" i="104"/>
  <c r="I33" i="104"/>
  <c r="O33" i="104" s="1"/>
  <c r="I34" i="104"/>
  <c r="I35" i="104"/>
  <c r="I36" i="104"/>
  <c r="I37" i="104"/>
  <c r="O37" i="104" s="1"/>
  <c r="I38" i="104"/>
  <c r="I39" i="104"/>
  <c r="I40" i="104"/>
  <c r="I41" i="104"/>
  <c r="I42" i="104"/>
  <c r="I43" i="104"/>
  <c r="I44" i="104"/>
  <c r="I45" i="104"/>
  <c r="O45" i="104" s="1"/>
  <c r="I46" i="104"/>
  <c r="I47" i="104"/>
  <c r="I48" i="104"/>
  <c r="I49" i="104"/>
  <c r="O49" i="104" s="1"/>
  <c r="I50" i="104"/>
  <c r="I51" i="104"/>
  <c r="I52" i="104"/>
  <c r="I53" i="104"/>
  <c r="O53" i="104" s="1"/>
  <c r="I54" i="104"/>
  <c r="I55" i="104"/>
  <c r="I56" i="104"/>
  <c r="I57" i="104"/>
  <c r="O57" i="104" s="1"/>
  <c r="I58" i="104"/>
  <c r="I59" i="104"/>
  <c r="I60" i="104"/>
  <c r="I61" i="104"/>
  <c r="O61" i="104" s="1"/>
  <c r="I62" i="104"/>
  <c r="I63" i="104"/>
  <c r="I64" i="104"/>
  <c r="I65" i="104"/>
  <c r="O65" i="104" s="1"/>
  <c r="I66" i="104"/>
  <c r="I67" i="104"/>
  <c r="I68" i="104"/>
  <c r="I69" i="104"/>
  <c r="O69" i="104" s="1"/>
  <c r="I70" i="104"/>
  <c r="I71" i="104"/>
  <c r="I72" i="104"/>
  <c r="I73" i="104"/>
  <c r="I74" i="104"/>
  <c r="I75" i="104"/>
  <c r="I76" i="104"/>
  <c r="I77" i="104"/>
  <c r="I78" i="104"/>
  <c r="I79" i="104"/>
  <c r="I80" i="104"/>
  <c r="I81" i="104"/>
  <c r="I82" i="104"/>
  <c r="I83" i="104"/>
  <c r="I84" i="104"/>
  <c r="I85" i="104"/>
  <c r="O85" i="104" s="1"/>
  <c r="I86" i="104"/>
  <c r="I87" i="104"/>
  <c r="I88" i="104"/>
  <c r="I89" i="104"/>
  <c r="O89" i="104" s="1"/>
  <c r="I90" i="104"/>
  <c r="I91" i="104"/>
  <c r="I92" i="104"/>
  <c r="I93" i="104"/>
  <c r="O93" i="104" s="1"/>
  <c r="I94" i="104"/>
  <c r="I95" i="104"/>
  <c r="I96" i="104"/>
  <c r="I97" i="104"/>
  <c r="I98" i="104"/>
  <c r="I99" i="104"/>
  <c r="I100" i="104"/>
  <c r="I101" i="104"/>
  <c r="O101" i="104" s="1"/>
  <c r="I102" i="104"/>
  <c r="I103" i="104"/>
  <c r="I104" i="104"/>
  <c r="I105" i="104"/>
  <c r="O105" i="104" s="1"/>
  <c r="I106" i="104"/>
  <c r="I107" i="104"/>
  <c r="I108" i="104"/>
  <c r="I109" i="104"/>
  <c r="O109" i="104" s="1"/>
  <c r="I110" i="104"/>
  <c r="I111" i="104"/>
  <c r="I112" i="104"/>
  <c r="I113" i="104"/>
  <c r="I114" i="104"/>
  <c r="I115" i="104"/>
  <c r="I116" i="104"/>
  <c r="I117" i="104"/>
  <c r="O117" i="104" s="1"/>
  <c r="I118" i="104"/>
  <c r="I119" i="104"/>
  <c r="I120" i="104"/>
  <c r="I121" i="104"/>
  <c r="O121" i="104" s="1"/>
  <c r="I1" i="104"/>
  <c r="H2" i="104"/>
  <c r="H3" i="104"/>
  <c r="H4" i="104"/>
  <c r="H5" i="104"/>
  <c r="N5" i="104" s="1"/>
  <c r="H6" i="104"/>
  <c r="H7" i="104"/>
  <c r="H8" i="104"/>
  <c r="H9" i="104"/>
  <c r="N9" i="104" s="1"/>
  <c r="H10" i="104"/>
  <c r="H11" i="104"/>
  <c r="H12" i="104"/>
  <c r="H13" i="104"/>
  <c r="N13" i="104" s="1"/>
  <c r="H14" i="104"/>
  <c r="H15" i="104"/>
  <c r="H16" i="104"/>
  <c r="H17" i="104"/>
  <c r="N17" i="104" s="1"/>
  <c r="H18" i="104"/>
  <c r="H19" i="104"/>
  <c r="H20" i="104"/>
  <c r="H21" i="104"/>
  <c r="N21" i="104" s="1"/>
  <c r="H22" i="104"/>
  <c r="H23" i="104"/>
  <c r="H24" i="104"/>
  <c r="H25" i="104"/>
  <c r="N25" i="104" s="1"/>
  <c r="H26" i="104"/>
  <c r="H27" i="104"/>
  <c r="H28" i="104"/>
  <c r="H29" i="104"/>
  <c r="N29" i="104" s="1"/>
  <c r="H30" i="104"/>
  <c r="H31" i="104"/>
  <c r="H32" i="104"/>
  <c r="H33" i="104"/>
  <c r="N33" i="104" s="1"/>
  <c r="H34" i="104"/>
  <c r="H35" i="104"/>
  <c r="H36" i="104"/>
  <c r="H37" i="104"/>
  <c r="N37" i="104" s="1"/>
  <c r="H38" i="104"/>
  <c r="H39" i="104"/>
  <c r="H40" i="104"/>
  <c r="H41" i="104"/>
  <c r="N41" i="104" s="1"/>
  <c r="H42" i="104"/>
  <c r="H43" i="104"/>
  <c r="H44" i="104"/>
  <c r="H45" i="104"/>
  <c r="N45" i="104" s="1"/>
  <c r="H46" i="104"/>
  <c r="H47" i="104"/>
  <c r="H48" i="104"/>
  <c r="H49" i="104"/>
  <c r="N49" i="104" s="1"/>
  <c r="H50" i="104"/>
  <c r="H51" i="104"/>
  <c r="H52" i="104"/>
  <c r="H53" i="104"/>
  <c r="N53" i="104" s="1"/>
  <c r="H54" i="104"/>
  <c r="H55" i="104"/>
  <c r="H56" i="104"/>
  <c r="H57" i="104"/>
  <c r="N57" i="104" s="1"/>
  <c r="H58" i="104"/>
  <c r="H59" i="104"/>
  <c r="H60" i="104"/>
  <c r="H61" i="104"/>
  <c r="N61" i="104" s="1"/>
  <c r="H62" i="104"/>
  <c r="H63" i="104"/>
  <c r="H64" i="104"/>
  <c r="H65" i="104"/>
  <c r="N65" i="104" s="1"/>
  <c r="H66" i="104"/>
  <c r="H67" i="104"/>
  <c r="H68" i="104"/>
  <c r="H69" i="104"/>
  <c r="N69" i="104" s="1"/>
  <c r="H70" i="104"/>
  <c r="H71" i="104"/>
  <c r="H72" i="104"/>
  <c r="H73" i="104"/>
  <c r="N73" i="104" s="1"/>
  <c r="H74" i="104"/>
  <c r="H75" i="104"/>
  <c r="H76" i="104"/>
  <c r="H77" i="104"/>
  <c r="N77" i="104" s="1"/>
  <c r="H78" i="104"/>
  <c r="H79" i="104"/>
  <c r="H80" i="104"/>
  <c r="H81" i="104"/>
  <c r="N81" i="104" s="1"/>
  <c r="H82" i="104"/>
  <c r="H83" i="104"/>
  <c r="H84" i="104"/>
  <c r="H85" i="104"/>
  <c r="H86" i="104"/>
  <c r="H87" i="104"/>
  <c r="H88" i="104"/>
  <c r="H89" i="104"/>
  <c r="N89" i="104" s="1"/>
  <c r="H90" i="104"/>
  <c r="H91" i="104"/>
  <c r="H92" i="104"/>
  <c r="H93" i="104"/>
  <c r="N93" i="104" s="1"/>
  <c r="H94" i="104"/>
  <c r="H95" i="104"/>
  <c r="H96" i="104"/>
  <c r="H97" i="104"/>
  <c r="N97" i="104" s="1"/>
  <c r="H98" i="104"/>
  <c r="H99" i="104"/>
  <c r="H100" i="104"/>
  <c r="H101" i="104"/>
  <c r="N101" i="104" s="1"/>
  <c r="H102" i="104"/>
  <c r="H103" i="104"/>
  <c r="H104" i="104"/>
  <c r="H105" i="104"/>
  <c r="N105" i="104" s="1"/>
  <c r="H106" i="104"/>
  <c r="H107" i="104"/>
  <c r="H108" i="104"/>
  <c r="H109" i="104"/>
  <c r="N109" i="104" s="1"/>
  <c r="H110" i="104"/>
  <c r="H111" i="104"/>
  <c r="H112" i="104"/>
  <c r="H113" i="104"/>
  <c r="H114" i="104"/>
  <c r="H115" i="104"/>
  <c r="H116" i="104"/>
  <c r="H117" i="104"/>
  <c r="H118" i="104"/>
  <c r="H119" i="104"/>
  <c r="H120" i="104"/>
  <c r="H121" i="104"/>
  <c r="H1" i="104"/>
  <c r="Q26" i="104"/>
  <c r="Q27" i="104"/>
  <c r="Q28" i="104"/>
  <c r="Q29" i="104"/>
  <c r="Q30" i="104"/>
  <c r="Q31" i="104"/>
  <c r="Q32" i="104"/>
  <c r="Q33" i="104"/>
  <c r="Q34" i="104"/>
  <c r="Q35" i="104"/>
  <c r="Q36" i="104"/>
  <c r="Q37" i="104"/>
  <c r="Q49" i="104"/>
  <c r="Q50" i="104"/>
  <c r="Q51" i="104"/>
  <c r="Q52" i="104"/>
  <c r="Q53" i="104"/>
  <c r="Q54" i="104"/>
  <c r="Q55" i="104"/>
  <c r="Q56" i="104"/>
  <c r="Q57" i="104"/>
  <c r="Q58" i="104"/>
  <c r="Q1" i="104"/>
  <c r="E26" i="104"/>
  <c r="E27" i="104"/>
  <c r="E28" i="104"/>
  <c r="E29" i="104"/>
  <c r="E30" i="104"/>
  <c r="E31" i="104"/>
  <c r="E32" i="104"/>
  <c r="E33" i="104"/>
  <c r="E34" i="104"/>
  <c r="E35" i="104"/>
  <c r="E36" i="104"/>
  <c r="E37" i="104"/>
  <c r="E49" i="104"/>
  <c r="E50" i="104"/>
  <c r="E51" i="104"/>
  <c r="E52" i="104"/>
  <c r="E53" i="104"/>
  <c r="E54" i="104"/>
  <c r="E55" i="104"/>
  <c r="E56" i="104"/>
  <c r="E57" i="104"/>
  <c r="E58" i="104"/>
  <c r="D2" i="104"/>
  <c r="R121" i="104"/>
  <c r="K121" i="104"/>
  <c r="N121" i="104"/>
  <c r="G121" i="104"/>
  <c r="M121" i="104" s="1"/>
  <c r="F121" i="104"/>
  <c r="L121" i="104" s="1"/>
  <c r="D121" i="104"/>
  <c r="C121" i="104"/>
  <c r="B121" i="104"/>
  <c r="R120" i="104"/>
  <c r="N120" i="104"/>
  <c r="K120" i="104"/>
  <c r="O120" i="104"/>
  <c r="G120" i="104"/>
  <c r="M120" i="104" s="1"/>
  <c r="F120" i="104"/>
  <c r="L120" i="104" s="1"/>
  <c r="D120" i="104"/>
  <c r="C120" i="104"/>
  <c r="B120" i="104"/>
  <c r="R119" i="104"/>
  <c r="M119" i="104"/>
  <c r="K119" i="104"/>
  <c r="O119" i="104"/>
  <c r="N119" i="104"/>
  <c r="G119" i="104"/>
  <c r="F119" i="104"/>
  <c r="L119" i="104" s="1"/>
  <c r="D119" i="104"/>
  <c r="C119" i="104"/>
  <c r="B119" i="104"/>
  <c r="R118" i="104"/>
  <c r="M118" i="104"/>
  <c r="L118" i="104"/>
  <c r="K118" i="104"/>
  <c r="O118" i="104"/>
  <c r="N118" i="104"/>
  <c r="G118" i="104"/>
  <c r="F118" i="104"/>
  <c r="D118" i="104"/>
  <c r="C118" i="104"/>
  <c r="B118" i="104"/>
  <c r="R117" i="104"/>
  <c r="K117" i="104"/>
  <c r="N117" i="104"/>
  <c r="G117" i="104"/>
  <c r="M117" i="104" s="1"/>
  <c r="F117" i="104"/>
  <c r="L117" i="104" s="1"/>
  <c r="D117" i="104"/>
  <c r="C117" i="104"/>
  <c r="B117" i="104"/>
  <c r="R116" i="104"/>
  <c r="N116" i="104"/>
  <c r="K116" i="104"/>
  <c r="O116" i="104"/>
  <c r="G116" i="104"/>
  <c r="M116" i="104" s="1"/>
  <c r="F116" i="104"/>
  <c r="L116" i="104" s="1"/>
  <c r="D116" i="104"/>
  <c r="C116" i="104"/>
  <c r="B116" i="104"/>
  <c r="R115" i="104"/>
  <c r="M115" i="104"/>
  <c r="K115" i="104"/>
  <c r="O115" i="104"/>
  <c r="N115" i="104"/>
  <c r="G115" i="104"/>
  <c r="F115" i="104"/>
  <c r="L115" i="104" s="1"/>
  <c r="D115" i="104"/>
  <c r="C115" i="104"/>
  <c r="B115" i="104"/>
  <c r="R114" i="104"/>
  <c r="M114" i="104"/>
  <c r="L114" i="104"/>
  <c r="K114" i="104"/>
  <c r="O114" i="104"/>
  <c r="N114" i="104"/>
  <c r="G114" i="104"/>
  <c r="F114" i="104"/>
  <c r="D114" i="104"/>
  <c r="C114" i="104"/>
  <c r="B114" i="104"/>
  <c r="R113" i="104"/>
  <c r="O113" i="104"/>
  <c r="K113" i="104"/>
  <c r="N113" i="104"/>
  <c r="G113" i="104"/>
  <c r="M113" i="104" s="1"/>
  <c r="F113" i="104"/>
  <c r="L113" i="104" s="1"/>
  <c r="D113" i="104"/>
  <c r="C113" i="104"/>
  <c r="B113" i="104"/>
  <c r="R112" i="104"/>
  <c r="N112" i="104"/>
  <c r="K112" i="104"/>
  <c r="O112" i="104"/>
  <c r="G112" i="104"/>
  <c r="M112" i="104" s="1"/>
  <c r="F112" i="104"/>
  <c r="L112" i="104" s="1"/>
  <c r="D112" i="104"/>
  <c r="C112" i="104"/>
  <c r="B112" i="104"/>
  <c r="R111" i="104"/>
  <c r="M111" i="104"/>
  <c r="K111" i="104"/>
  <c r="O111" i="104"/>
  <c r="N111" i="104"/>
  <c r="G111" i="104"/>
  <c r="F111" i="104"/>
  <c r="L111" i="104" s="1"/>
  <c r="D111" i="104"/>
  <c r="C111" i="104"/>
  <c r="B111" i="104"/>
  <c r="R110" i="104"/>
  <c r="M110" i="104"/>
  <c r="L110" i="104"/>
  <c r="K110" i="104"/>
  <c r="O110" i="104"/>
  <c r="N110" i="104"/>
  <c r="G110" i="104"/>
  <c r="F110" i="104"/>
  <c r="D110" i="104"/>
  <c r="C110" i="104"/>
  <c r="B110" i="104"/>
  <c r="R109" i="104"/>
  <c r="L109" i="104"/>
  <c r="K109" i="104"/>
  <c r="G109" i="104"/>
  <c r="M109" i="104" s="1"/>
  <c r="F109" i="104"/>
  <c r="D109" i="104"/>
  <c r="C109" i="104"/>
  <c r="B109" i="104"/>
  <c r="R108" i="104"/>
  <c r="N108" i="104"/>
  <c r="K108" i="104"/>
  <c r="O108" i="104"/>
  <c r="G108" i="104"/>
  <c r="M108" i="104" s="1"/>
  <c r="F108" i="104"/>
  <c r="L108" i="104" s="1"/>
  <c r="D108" i="104"/>
  <c r="C108" i="104"/>
  <c r="B108" i="104"/>
  <c r="R107" i="104"/>
  <c r="M107" i="104"/>
  <c r="K107" i="104"/>
  <c r="O107" i="104"/>
  <c r="N107" i="104"/>
  <c r="G107" i="104"/>
  <c r="F107" i="104"/>
  <c r="L107" i="104" s="1"/>
  <c r="D107" i="104"/>
  <c r="C107" i="104"/>
  <c r="B107" i="104"/>
  <c r="R106" i="104"/>
  <c r="M106" i="104"/>
  <c r="L106" i="104"/>
  <c r="K106" i="104"/>
  <c r="O106" i="104"/>
  <c r="N106" i="104"/>
  <c r="G106" i="104"/>
  <c r="F106" i="104"/>
  <c r="D106" i="104"/>
  <c r="C106" i="104"/>
  <c r="B106" i="104"/>
  <c r="R105" i="104"/>
  <c r="L105" i="104"/>
  <c r="K105" i="104"/>
  <c r="G105" i="104"/>
  <c r="M105" i="104" s="1"/>
  <c r="F105" i="104"/>
  <c r="D105" i="104"/>
  <c r="C105" i="104"/>
  <c r="B105" i="104"/>
  <c r="R104" i="104"/>
  <c r="N104" i="104"/>
  <c r="K104" i="104"/>
  <c r="O104" i="104"/>
  <c r="G104" i="104"/>
  <c r="M104" i="104" s="1"/>
  <c r="F104" i="104"/>
  <c r="L104" i="104" s="1"/>
  <c r="D104" i="104"/>
  <c r="C104" i="104"/>
  <c r="B104" i="104"/>
  <c r="R103" i="104"/>
  <c r="M103" i="104"/>
  <c r="K103" i="104"/>
  <c r="O103" i="104"/>
  <c r="N103" i="104"/>
  <c r="G103" i="104"/>
  <c r="F103" i="104"/>
  <c r="L103" i="104" s="1"/>
  <c r="D103" i="104"/>
  <c r="C103" i="104"/>
  <c r="B103" i="104"/>
  <c r="R102" i="104"/>
  <c r="M102" i="104"/>
  <c r="L102" i="104"/>
  <c r="K102" i="104"/>
  <c r="O102" i="104"/>
  <c r="N102" i="104"/>
  <c r="G102" i="104"/>
  <c r="F102" i="104"/>
  <c r="D102" i="104"/>
  <c r="C102" i="104"/>
  <c r="B102" i="104"/>
  <c r="R101" i="104"/>
  <c r="L101" i="104"/>
  <c r="K101" i="104"/>
  <c r="G101" i="104"/>
  <c r="M101" i="104" s="1"/>
  <c r="F101" i="104"/>
  <c r="D101" i="104"/>
  <c r="C101" i="104"/>
  <c r="B101" i="104"/>
  <c r="R100" i="104"/>
  <c r="N100" i="104"/>
  <c r="K100" i="104"/>
  <c r="O100" i="104"/>
  <c r="G100" i="104"/>
  <c r="M100" i="104" s="1"/>
  <c r="F100" i="104"/>
  <c r="L100" i="104" s="1"/>
  <c r="D100" i="104"/>
  <c r="C100" i="104"/>
  <c r="B100" i="104"/>
  <c r="R99" i="104"/>
  <c r="M99" i="104"/>
  <c r="K99" i="104"/>
  <c r="O99" i="104"/>
  <c r="N99" i="104"/>
  <c r="G99" i="104"/>
  <c r="F99" i="104"/>
  <c r="L99" i="104" s="1"/>
  <c r="D99" i="104"/>
  <c r="C99" i="104"/>
  <c r="B99" i="104"/>
  <c r="R98" i="104"/>
  <c r="M98" i="104"/>
  <c r="L98" i="104"/>
  <c r="K98" i="104"/>
  <c r="O98" i="104"/>
  <c r="N98" i="104"/>
  <c r="G98" i="104"/>
  <c r="F98" i="104"/>
  <c r="D98" i="104"/>
  <c r="C98" i="104"/>
  <c r="B98" i="104"/>
  <c r="R97" i="104"/>
  <c r="O97" i="104"/>
  <c r="L97" i="104"/>
  <c r="K97" i="104"/>
  <c r="G97" i="104"/>
  <c r="M97" i="104" s="1"/>
  <c r="F97" i="104"/>
  <c r="D97" i="104"/>
  <c r="C97" i="104"/>
  <c r="B97" i="104"/>
  <c r="R96" i="104"/>
  <c r="N96" i="104"/>
  <c r="K96" i="104"/>
  <c r="O96" i="104"/>
  <c r="G96" i="104"/>
  <c r="M96" i="104" s="1"/>
  <c r="F96" i="104"/>
  <c r="L96" i="104" s="1"/>
  <c r="D96" i="104"/>
  <c r="C96" i="104"/>
  <c r="B96" i="104"/>
  <c r="R95" i="104"/>
  <c r="M95" i="104"/>
  <c r="K95" i="104"/>
  <c r="O95" i="104"/>
  <c r="N95" i="104"/>
  <c r="G95" i="104"/>
  <c r="F95" i="104"/>
  <c r="L95" i="104" s="1"/>
  <c r="D95" i="104"/>
  <c r="C95" i="104"/>
  <c r="B95" i="104"/>
  <c r="R94" i="104"/>
  <c r="M94" i="104"/>
  <c r="L94" i="104"/>
  <c r="K94" i="104"/>
  <c r="O94" i="104"/>
  <c r="N94" i="104"/>
  <c r="G94" i="104"/>
  <c r="F94" i="104"/>
  <c r="D94" i="104"/>
  <c r="C94" i="104"/>
  <c r="B94" i="104"/>
  <c r="R93" i="104"/>
  <c r="L93" i="104"/>
  <c r="K93" i="104"/>
  <c r="G93" i="104"/>
  <c r="M93" i="104" s="1"/>
  <c r="F93" i="104"/>
  <c r="D93" i="104"/>
  <c r="C93" i="104"/>
  <c r="B93" i="104"/>
  <c r="R92" i="104"/>
  <c r="N92" i="104"/>
  <c r="K92" i="104"/>
  <c r="O92" i="104"/>
  <c r="G92" i="104"/>
  <c r="M92" i="104" s="1"/>
  <c r="F92" i="104"/>
  <c r="L92" i="104" s="1"/>
  <c r="D92" i="104"/>
  <c r="C92" i="104"/>
  <c r="B92" i="104"/>
  <c r="R91" i="104"/>
  <c r="M91" i="104"/>
  <c r="K91" i="104"/>
  <c r="O91" i="104"/>
  <c r="N91" i="104"/>
  <c r="G91" i="104"/>
  <c r="F91" i="104"/>
  <c r="L91" i="104" s="1"/>
  <c r="D91" i="104"/>
  <c r="C91" i="104"/>
  <c r="B91" i="104"/>
  <c r="R90" i="104"/>
  <c r="M90" i="104"/>
  <c r="L90" i="104"/>
  <c r="K90" i="104"/>
  <c r="O90" i="104"/>
  <c r="N90" i="104"/>
  <c r="G90" i="104"/>
  <c r="F90" i="104"/>
  <c r="D90" i="104"/>
  <c r="C90" i="104"/>
  <c r="B90" i="104"/>
  <c r="R89" i="104"/>
  <c r="L89" i="104"/>
  <c r="K89" i="104"/>
  <c r="G89" i="104"/>
  <c r="M89" i="104" s="1"/>
  <c r="F89" i="104"/>
  <c r="D89" i="104"/>
  <c r="C89" i="104"/>
  <c r="B89" i="104"/>
  <c r="R88" i="104"/>
  <c r="N88" i="104"/>
  <c r="K88" i="104"/>
  <c r="O88" i="104"/>
  <c r="G88" i="104"/>
  <c r="M88" i="104" s="1"/>
  <c r="F88" i="104"/>
  <c r="L88" i="104" s="1"/>
  <c r="D88" i="104"/>
  <c r="C88" i="104"/>
  <c r="B88" i="104"/>
  <c r="R87" i="104"/>
  <c r="N87" i="104"/>
  <c r="M87" i="104"/>
  <c r="L87" i="104"/>
  <c r="K87" i="104"/>
  <c r="O87" i="104"/>
  <c r="G87" i="104"/>
  <c r="F87" i="104"/>
  <c r="D87" i="104"/>
  <c r="C87" i="104"/>
  <c r="B87" i="104"/>
  <c r="R86" i="104"/>
  <c r="O86" i="104"/>
  <c r="L86" i="104"/>
  <c r="K86" i="104"/>
  <c r="N86" i="104"/>
  <c r="G86" i="104"/>
  <c r="M86" i="104" s="1"/>
  <c r="F86" i="104"/>
  <c r="D86" i="104"/>
  <c r="C86" i="104"/>
  <c r="B86" i="104"/>
  <c r="R85" i="104"/>
  <c r="L85" i="104"/>
  <c r="K85" i="104"/>
  <c r="N85" i="104"/>
  <c r="G85" i="104"/>
  <c r="M85" i="104" s="1"/>
  <c r="F85" i="104"/>
  <c r="D85" i="104"/>
  <c r="C85" i="104"/>
  <c r="B85" i="104"/>
  <c r="R84" i="104"/>
  <c r="O84" i="104"/>
  <c r="L84" i="104"/>
  <c r="K84" i="104"/>
  <c r="N84" i="104"/>
  <c r="G84" i="104"/>
  <c r="M84" i="104" s="1"/>
  <c r="F84" i="104"/>
  <c r="D84" i="104"/>
  <c r="C84" i="104"/>
  <c r="B84" i="104"/>
  <c r="R83" i="104"/>
  <c r="O83" i="104"/>
  <c r="N83" i="104"/>
  <c r="L83" i="104"/>
  <c r="K83" i="104"/>
  <c r="G83" i="104"/>
  <c r="M83" i="104" s="1"/>
  <c r="F83" i="104"/>
  <c r="D83" i="104"/>
  <c r="C83" i="104"/>
  <c r="B83" i="104"/>
  <c r="R82" i="104"/>
  <c r="N82" i="104"/>
  <c r="M82" i="104"/>
  <c r="K82" i="104"/>
  <c r="O82" i="104"/>
  <c r="G82" i="104"/>
  <c r="F82" i="104"/>
  <c r="L82" i="104" s="1"/>
  <c r="D82" i="104"/>
  <c r="C82" i="104"/>
  <c r="B82" i="104"/>
  <c r="R81" i="104"/>
  <c r="M81" i="104"/>
  <c r="L81" i="104"/>
  <c r="K81" i="104"/>
  <c r="O81" i="104"/>
  <c r="G81" i="104"/>
  <c r="F81" i="104"/>
  <c r="D81" i="104"/>
  <c r="C81" i="104"/>
  <c r="B81" i="104"/>
  <c r="R80" i="104"/>
  <c r="O80" i="104"/>
  <c r="L80" i="104"/>
  <c r="K80" i="104"/>
  <c r="N80" i="104"/>
  <c r="G80" i="104"/>
  <c r="M80" i="104" s="1"/>
  <c r="F80" i="104"/>
  <c r="D80" i="104"/>
  <c r="C80" i="104"/>
  <c r="B80" i="104"/>
  <c r="R79" i="104"/>
  <c r="O79" i="104"/>
  <c r="N79" i="104"/>
  <c r="L79" i="104"/>
  <c r="K79" i="104"/>
  <c r="G79" i="104"/>
  <c r="M79" i="104" s="1"/>
  <c r="F79" i="104"/>
  <c r="D79" i="104"/>
  <c r="C79" i="104"/>
  <c r="B79" i="104"/>
  <c r="R78" i="104"/>
  <c r="N78" i="104"/>
  <c r="M78" i="104"/>
  <c r="K78" i="104"/>
  <c r="O78" i="104"/>
  <c r="G78" i="104"/>
  <c r="F78" i="104"/>
  <c r="L78" i="104" s="1"/>
  <c r="D78" i="104"/>
  <c r="C78" i="104"/>
  <c r="B78" i="104"/>
  <c r="R77" i="104"/>
  <c r="M77" i="104"/>
  <c r="L77" i="104"/>
  <c r="K77" i="104"/>
  <c r="O77" i="104"/>
  <c r="G77" i="104"/>
  <c r="F77" i="104"/>
  <c r="D77" i="104"/>
  <c r="C77" i="104"/>
  <c r="B77" i="104"/>
  <c r="R76" i="104"/>
  <c r="O76" i="104"/>
  <c r="L76" i="104"/>
  <c r="K76" i="104"/>
  <c r="N76" i="104"/>
  <c r="G76" i="104"/>
  <c r="M76" i="104" s="1"/>
  <c r="F76" i="104"/>
  <c r="D76" i="104"/>
  <c r="C76" i="104"/>
  <c r="B76" i="104"/>
  <c r="R75" i="104"/>
  <c r="O75" i="104"/>
  <c r="N75" i="104"/>
  <c r="L75" i="104"/>
  <c r="K75" i="104"/>
  <c r="G75" i="104"/>
  <c r="M75" i="104" s="1"/>
  <c r="F75" i="104"/>
  <c r="D75" i="104"/>
  <c r="C75" i="104"/>
  <c r="B75" i="104"/>
  <c r="R74" i="104"/>
  <c r="N74" i="104"/>
  <c r="M74" i="104"/>
  <c r="K74" i="104"/>
  <c r="O74" i="104"/>
  <c r="G74" i="104"/>
  <c r="F74" i="104"/>
  <c r="L74" i="104" s="1"/>
  <c r="D74" i="104"/>
  <c r="C74" i="104"/>
  <c r="B74" i="104"/>
  <c r="R73" i="104"/>
  <c r="M73" i="104"/>
  <c r="L73" i="104"/>
  <c r="K73" i="104"/>
  <c r="O73" i="104"/>
  <c r="G73" i="104"/>
  <c r="F73" i="104"/>
  <c r="D73" i="104"/>
  <c r="C73" i="104"/>
  <c r="B73" i="104"/>
  <c r="R72" i="104"/>
  <c r="O72" i="104"/>
  <c r="M72" i="104"/>
  <c r="L72" i="104"/>
  <c r="K72" i="104"/>
  <c r="N72" i="104"/>
  <c r="G72" i="104"/>
  <c r="F72" i="104"/>
  <c r="D72" i="104"/>
  <c r="C72" i="104"/>
  <c r="B72" i="104"/>
  <c r="R71" i="104"/>
  <c r="O71" i="104"/>
  <c r="N71" i="104"/>
  <c r="L71" i="104"/>
  <c r="K71" i="104"/>
  <c r="G71" i="104"/>
  <c r="M71" i="104" s="1"/>
  <c r="F71" i="104"/>
  <c r="D71" i="104"/>
  <c r="C71" i="104"/>
  <c r="B71" i="104"/>
  <c r="R70" i="104"/>
  <c r="N70" i="104"/>
  <c r="M70" i="104"/>
  <c r="K70" i="104"/>
  <c r="O70" i="104"/>
  <c r="G70" i="104"/>
  <c r="F70" i="104"/>
  <c r="L70" i="104" s="1"/>
  <c r="D70" i="104"/>
  <c r="C70" i="104"/>
  <c r="B70" i="104"/>
  <c r="R69" i="104"/>
  <c r="M69" i="104"/>
  <c r="L69" i="104"/>
  <c r="K69" i="104"/>
  <c r="G69" i="104"/>
  <c r="F69" i="104"/>
  <c r="D69" i="104"/>
  <c r="C69" i="104"/>
  <c r="B69" i="104"/>
  <c r="R68" i="104"/>
  <c r="O68" i="104"/>
  <c r="L68" i="104"/>
  <c r="K68" i="104"/>
  <c r="N68" i="104"/>
  <c r="G68" i="104"/>
  <c r="M68" i="104" s="1"/>
  <c r="F68" i="104"/>
  <c r="D68" i="104"/>
  <c r="C68" i="104"/>
  <c r="B68" i="104"/>
  <c r="R67" i="104"/>
  <c r="O67" i="104"/>
  <c r="L67" i="104"/>
  <c r="K67" i="104"/>
  <c r="N67" i="104"/>
  <c r="G67" i="104"/>
  <c r="M67" i="104" s="1"/>
  <c r="F67" i="104"/>
  <c r="D67" i="104"/>
  <c r="C67" i="104"/>
  <c r="B67" i="104"/>
  <c r="R66" i="104"/>
  <c r="N66" i="104"/>
  <c r="K66" i="104"/>
  <c r="O66" i="104"/>
  <c r="G66" i="104"/>
  <c r="M66" i="104" s="1"/>
  <c r="F66" i="104"/>
  <c r="L66" i="104" s="1"/>
  <c r="D66" i="104"/>
  <c r="C66" i="104"/>
  <c r="B66" i="104"/>
  <c r="R65" i="104"/>
  <c r="M65" i="104"/>
  <c r="K65" i="104"/>
  <c r="G65" i="104"/>
  <c r="F65" i="104"/>
  <c r="L65" i="104" s="1"/>
  <c r="D65" i="104"/>
  <c r="C65" i="104"/>
  <c r="B65" i="104"/>
  <c r="R64" i="104"/>
  <c r="L64" i="104"/>
  <c r="K64" i="104"/>
  <c r="O64" i="104"/>
  <c r="N64" i="104"/>
  <c r="G64" i="104"/>
  <c r="M64" i="104" s="1"/>
  <c r="F64" i="104"/>
  <c r="D64" i="104"/>
  <c r="C64" i="104"/>
  <c r="B64" i="104"/>
  <c r="R63" i="104"/>
  <c r="O63" i="104"/>
  <c r="L63" i="104"/>
  <c r="K63" i="104"/>
  <c r="N63" i="104"/>
  <c r="G63" i="104"/>
  <c r="M63" i="104" s="1"/>
  <c r="F63" i="104"/>
  <c r="D63" i="104"/>
  <c r="C63" i="104"/>
  <c r="B63" i="104"/>
  <c r="R62" i="104"/>
  <c r="N62" i="104"/>
  <c r="K62" i="104"/>
  <c r="O62" i="104"/>
  <c r="G62" i="104"/>
  <c r="M62" i="104" s="1"/>
  <c r="F62" i="104"/>
  <c r="L62" i="104" s="1"/>
  <c r="D62" i="104"/>
  <c r="C62" i="104"/>
  <c r="B62" i="104"/>
  <c r="R61" i="104"/>
  <c r="M61" i="104"/>
  <c r="K61" i="104"/>
  <c r="G61" i="104"/>
  <c r="F61" i="104"/>
  <c r="L61" i="104" s="1"/>
  <c r="D61" i="104"/>
  <c r="C61" i="104"/>
  <c r="B61" i="104"/>
  <c r="R60" i="104"/>
  <c r="L60" i="104"/>
  <c r="K60" i="104"/>
  <c r="O60" i="104"/>
  <c r="N60" i="104"/>
  <c r="G60" i="104"/>
  <c r="M60" i="104" s="1"/>
  <c r="F60" i="104"/>
  <c r="D60" i="104"/>
  <c r="C60" i="104"/>
  <c r="B60" i="104"/>
  <c r="R59" i="104"/>
  <c r="O59" i="104"/>
  <c r="L59" i="104"/>
  <c r="K59" i="104"/>
  <c r="N59" i="104"/>
  <c r="G59" i="104"/>
  <c r="M59" i="104" s="1"/>
  <c r="F59" i="104"/>
  <c r="D59" i="104"/>
  <c r="C59" i="104"/>
  <c r="B59" i="104"/>
  <c r="R58" i="104"/>
  <c r="N58" i="104"/>
  <c r="K58" i="104"/>
  <c r="O58" i="104"/>
  <c r="G58" i="104"/>
  <c r="M58" i="104" s="1"/>
  <c r="F58" i="104"/>
  <c r="L58" i="104" s="1"/>
  <c r="D58" i="104"/>
  <c r="C58" i="104"/>
  <c r="B58" i="104"/>
  <c r="R57" i="104"/>
  <c r="M57" i="104"/>
  <c r="K57" i="104"/>
  <c r="G57" i="104"/>
  <c r="F57" i="104"/>
  <c r="L57" i="104" s="1"/>
  <c r="D57" i="104"/>
  <c r="C57" i="104"/>
  <c r="B57" i="104"/>
  <c r="R56" i="104"/>
  <c r="L56" i="104"/>
  <c r="K56" i="104"/>
  <c r="O56" i="104"/>
  <c r="N56" i="104"/>
  <c r="G56" i="104"/>
  <c r="M56" i="104" s="1"/>
  <c r="F56" i="104"/>
  <c r="D56" i="104"/>
  <c r="C56" i="104"/>
  <c r="B56" i="104"/>
  <c r="R55" i="104"/>
  <c r="O55" i="104"/>
  <c r="L55" i="104"/>
  <c r="K55" i="104"/>
  <c r="N55" i="104"/>
  <c r="G55" i="104"/>
  <c r="M55" i="104" s="1"/>
  <c r="F55" i="104"/>
  <c r="D55" i="104"/>
  <c r="C55" i="104"/>
  <c r="B55" i="104"/>
  <c r="R54" i="104"/>
  <c r="N54" i="104"/>
  <c r="K54" i="104"/>
  <c r="O54" i="104"/>
  <c r="G54" i="104"/>
  <c r="M54" i="104" s="1"/>
  <c r="F54" i="104"/>
  <c r="L54" i="104" s="1"/>
  <c r="D54" i="104"/>
  <c r="C54" i="104"/>
  <c r="B54" i="104"/>
  <c r="R53" i="104"/>
  <c r="M53" i="104"/>
  <c r="K53" i="104"/>
  <c r="G53" i="104"/>
  <c r="F53" i="104"/>
  <c r="L53" i="104" s="1"/>
  <c r="D53" i="104"/>
  <c r="C53" i="104"/>
  <c r="B53" i="104"/>
  <c r="R52" i="104"/>
  <c r="L52" i="104"/>
  <c r="K52" i="104"/>
  <c r="O52" i="104"/>
  <c r="N52" i="104"/>
  <c r="G52" i="104"/>
  <c r="M52" i="104" s="1"/>
  <c r="F52" i="104"/>
  <c r="D52" i="104"/>
  <c r="C52" i="104"/>
  <c r="B52" i="104"/>
  <c r="R51" i="104"/>
  <c r="O51" i="104"/>
  <c r="L51" i="104"/>
  <c r="K51" i="104"/>
  <c r="N51" i="104"/>
  <c r="G51" i="104"/>
  <c r="M51" i="104" s="1"/>
  <c r="F51" i="104"/>
  <c r="D51" i="104"/>
  <c r="C51" i="104"/>
  <c r="B51" i="104"/>
  <c r="R50" i="104"/>
  <c r="N50" i="104"/>
  <c r="K50" i="104"/>
  <c r="O50" i="104"/>
  <c r="G50" i="104"/>
  <c r="M50" i="104" s="1"/>
  <c r="F50" i="104"/>
  <c r="L50" i="104" s="1"/>
  <c r="D50" i="104"/>
  <c r="C50" i="104"/>
  <c r="B50" i="104"/>
  <c r="R49" i="104"/>
  <c r="M49" i="104"/>
  <c r="K49" i="104"/>
  <c r="G49" i="104"/>
  <c r="F49" i="104"/>
  <c r="L49" i="104" s="1"/>
  <c r="D49" i="104"/>
  <c r="C49" i="104"/>
  <c r="B49" i="104"/>
  <c r="R48" i="104"/>
  <c r="L48" i="104"/>
  <c r="K48" i="104"/>
  <c r="O48" i="104"/>
  <c r="N48" i="104"/>
  <c r="G48" i="104"/>
  <c r="M48" i="104" s="1"/>
  <c r="F48" i="104"/>
  <c r="D48" i="104"/>
  <c r="C48" i="104"/>
  <c r="B48" i="104"/>
  <c r="R47" i="104"/>
  <c r="O47" i="104"/>
  <c r="L47" i="104"/>
  <c r="K47" i="104"/>
  <c r="N47" i="104"/>
  <c r="G47" i="104"/>
  <c r="M47" i="104" s="1"/>
  <c r="F47" i="104"/>
  <c r="D47" i="104"/>
  <c r="C47" i="104"/>
  <c r="B47" i="104"/>
  <c r="R46" i="104"/>
  <c r="N46" i="104"/>
  <c r="K46" i="104"/>
  <c r="O46" i="104"/>
  <c r="G46" i="104"/>
  <c r="M46" i="104" s="1"/>
  <c r="F46" i="104"/>
  <c r="L46" i="104" s="1"/>
  <c r="D46" i="104"/>
  <c r="C46" i="104"/>
  <c r="B46" i="104"/>
  <c r="R45" i="104"/>
  <c r="M45" i="104"/>
  <c r="K45" i="104"/>
  <c r="G45" i="104"/>
  <c r="F45" i="104"/>
  <c r="L45" i="104" s="1"/>
  <c r="D45" i="104"/>
  <c r="C45" i="104"/>
  <c r="B45" i="104"/>
  <c r="R44" i="104"/>
  <c r="M44" i="104"/>
  <c r="L44" i="104"/>
  <c r="K44" i="104"/>
  <c r="O44" i="104"/>
  <c r="N44" i="104"/>
  <c r="G44" i="104"/>
  <c r="F44" i="104"/>
  <c r="D44" i="104"/>
  <c r="C44" i="104"/>
  <c r="B44" i="104"/>
  <c r="R43" i="104"/>
  <c r="O43" i="104"/>
  <c r="L43" i="104"/>
  <c r="K43" i="104"/>
  <c r="N43" i="104"/>
  <c r="G43" i="104"/>
  <c r="M43" i="104" s="1"/>
  <c r="F43" i="104"/>
  <c r="D43" i="104"/>
  <c r="C43" i="104"/>
  <c r="B43" i="104"/>
  <c r="R42" i="104"/>
  <c r="O42" i="104"/>
  <c r="N42" i="104"/>
  <c r="K42" i="104"/>
  <c r="G42" i="104"/>
  <c r="M42" i="104" s="1"/>
  <c r="F42" i="104"/>
  <c r="L42" i="104" s="1"/>
  <c r="D42" i="104"/>
  <c r="C42" i="104"/>
  <c r="B42" i="104"/>
  <c r="R41" i="104"/>
  <c r="M41" i="104"/>
  <c r="K41" i="104"/>
  <c r="O41" i="104"/>
  <c r="G41" i="104"/>
  <c r="F41" i="104"/>
  <c r="L41" i="104" s="1"/>
  <c r="D41" i="104"/>
  <c r="C41" i="104"/>
  <c r="B41" i="104"/>
  <c r="R40" i="104"/>
  <c r="M40" i="104"/>
  <c r="L40" i="104"/>
  <c r="K40" i="104"/>
  <c r="O40" i="104"/>
  <c r="N40" i="104"/>
  <c r="G40" i="104"/>
  <c r="F40" i="104"/>
  <c r="D40" i="104"/>
  <c r="C40" i="104"/>
  <c r="B40" i="104"/>
  <c r="R39" i="104"/>
  <c r="O39" i="104"/>
  <c r="L39" i="104"/>
  <c r="K39" i="104"/>
  <c r="N39" i="104"/>
  <c r="G39" i="104"/>
  <c r="M39" i="104" s="1"/>
  <c r="F39" i="104"/>
  <c r="D39" i="104"/>
  <c r="C39" i="104"/>
  <c r="B39" i="104"/>
  <c r="R38" i="104"/>
  <c r="O38" i="104"/>
  <c r="N38" i="104"/>
  <c r="K38" i="104"/>
  <c r="G38" i="104"/>
  <c r="M38" i="104" s="1"/>
  <c r="F38" i="104"/>
  <c r="L38" i="104" s="1"/>
  <c r="D38" i="104"/>
  <c r="C38" i="104"/>
  <c r="B38" i="104"/>
  <c r="R37" i="104"/>
  <c r="M37" i="104"/>
  <c r="K37" i="104"/>
  <c r="G37" i="104"/>
  <c r="F37" i="104"/>
  <c r="L37" i="104" s="1"/>
  <c r="D37" i="104"/>
  <c r="C37" i="104"/>
  <c r="B37" i="104"/>
  <c r="R36" i="104"/>
  <c r="M36" i="104"/>
  <c r="L36" i="104"/>
  <c r="K36" i="104"/>
  <c r="O36" i="104"/>
  <c r="N36" i="104"/>
  <c r="G36" i="104"/>
  <c r="F36" i="104"/>
  <c r="D36" i="104"/>
  <c r="C36" i="104"/>
  <c r="B36" i="104"/>
  <c r="R35" i="104"/>
  <c r="O35" i="104"/>
  <c r="L35" i="104"/>
  <c r="K35" i="104"/>
  <c r="N35" i="104"/>
  <c r="G35" i="104"/>
  <c r="M35" i="104" s="1"/>
  <c r="F35" i="104"/>
  <c r="D35" i="104"/>
  <c r="C35" i="104"/>
  <c r="B35" i="104"/>
  <c r="R34" i="104"/>
  <c r="O34" i="104"/>
  <c r="N34" i="104"/>
  <c r="K34" i="104"/>
  <c r="G34" i="104"/>
  <c r="M34" i="104" s="1"/>
  <c r="F34" i="104"/>
  <c r="L34" i="104" s="1"/>
  <c r="D34" i="104"/>
  <c r="C34" i="104"/>
  <c r="B34" i="104"/>
  <c r="R33" i="104"/>
  <c r="M33" i="104"/>
  <c r="K33" i="104"/>
  <c r="G33" i="104"/>
  <c r="F33" i="104"/>
  <c r="L33" i="104" s="1"/>
  <c r="D33" i="104"/>
  <c r="C33" i="104"/>
  <c r="B33" i="104"/>
  <c r="R32" i="104"/>
  <c r="M32" i="104"/>
  <c r="L32" i="104"/>
  <c r="K32" i="104"/>
  <c r="O32" i="104"/>
  <c r="N32" i="104"/>
  <c r="G32" i="104"/>
  <c r="F32" i="104"/>
  <c r="D32" i="104"/>
  <c r="C32" i="104"/>
  <c r="B32" i="104"/>
  <c r="R31" i="104"/>
  <c r="O31" i="104"/>
  <c r="L31" i="104"/>
  <c r="K31" i="104"/>
  <c r="N31" i="104"/>
  <c r="G31" i="104"/>
  <c r="M31" i="104" s="1"/>
  <c r="F31" i="104"/>
  <c r="D31" i="104"/>
  <c r="C31" i="104"/>
  <c r="B31" i="104"/>
  <c r="R30" i="104"/>
  <c r="O30" i="104"/>
  <c r="N30" i="104"/>
  <c r="K30" i="104"/>
  <c r="G30" i="104"/>
  <c r="M30" i="104" s="1"/>
  <c r="F30" i="104"/>
  <c r="L30" i="104" s="1"/>
  <c r="D30" i="104"/>
  <c r="C30" i="104"/>
  <c r="B30" i="104"/>
  <c r="R29" i="104"/>
  <c r="M29" i="104"/>
  <c r="K29" i="104"/>
  <c r="G29" i="104"/>
  <c r="F29" i="104"/>
  <c r="L29" i="104" s="1"/>
  <c r="D29" i="104"/>
  <c r="C29" i="104"/>
  <c r="B29" i="104"/>
  <c r="R28" i="104"/>
  <c r="M28" i="104"/>
  <c r="L28" i="104"/>
  <c r="K28" i="104"/>
  <c r="O28" i="104"/>
  <c r="N28" i="104"/>
  <c r="G28" i="104"/>
  <c r="F28" i="104"/>
  <c r="D28" i="104"/>
  <c r="C28" i="104"/>
  <c r="B28" i="104"/>
  <c r="R27" i="104"/>
  <c r="O27" i="104"/>
  <c r="L27" i="104"/>
  <c r="K27" i="104"/>
  <c r="N27" i="104"/>
  <c r="G27" i="104"/>
  <c r="M27" i="104" s="1"/>
  <c r="F27" i="104"/>
  <c r="D27" i="104"/>
  <c r="C27" i="104"/>
  <c r="B27" i="104"/>
  <c r="R26" i="104"/>
  <c r="O26" i="104"/>
  <c r="N26" i="104"/>
  <c r="K26" i="104"/>
  <c r="G26" i="104"/>
  <c r="M26" i="104" s="1"/>
  <c r="F26" i="104"/>
  <c r="L26" i="104" s="1"/>
  <c r="D26" i="104"/>
  <c r="C26" i="104"/>
  <c r="B26" i="104"/>
  <c r="R25" i="104"/>
  <c r="M25" i="104"/>
  <c r="K25" i="104"/>
  <c r="O25" i="104"/>
  <c r="G25" i="104"/>
  <c r="F25" i="104"/>
  <c r="L25" i="104" s="1"/>
  <c r="D25" i="104"/>
  <c r="C25" i="104"/>
  <c r="B25" i="104"/>
  <c r="R24" i="104"/>
  <c r="M24" i="104"/>
  <c r="L24" i="104"/>
  <c r="K24" i="104"/>
  <c r="O24" i="104"/>
  <c r="N24" i="104"/>
  <c r="G24" i="104"/>
  <c r="F24" i="104"/>
  <c r="D24" i="104"/>
  <c r="C24" i="104"/>
  <c r="B24" i="104"/>
  <c r="R23" i="104"/>
  <c r="O23" i="104"/>
  <c r="L23" i="104"/>
  <c r="K23" i="104"/>
  <c r="N23" i="104"/>
  <c r="G23" i="104"/>
  <c r="M23" i="104" s="1"/>
  <c r="F23" i="104"/>
  <c r="D23" i="104"/>
  <c r="C23" i="104"/>
  <c r="B23" i="104"/>
  <c r="R22" i="104"/>
  <c r="O22" i="104"/>
  <c r="N22" i="104"/>
  <c r="K22" i="104"/>
  <c r="G22" i="104"/>
  <c r="M22" i="104" s="1"/>
  <c r="F22" i="104"/>
  <c r="L22" i="104" s="1"/>
  <c r="D22" i="104"/>
  <c r="C22" i="104"/>
  <c r="B22" i="104"/>
  <c r="R21" i="104"/>
  <c r="M21" i="104"/>
  <c r="K21" i="104"/>
  <c r="G21" i="104"/>
  <c r="F21" i="104"/>
  <c r="L21" i="104" s="1"/>
  <c r="D21" i="104"/>
  <c r="C21" i="104"/>
  <c r="B21" i="104"/>
  <c r="R20" i="104"/>
  <c r="M20" i="104"/>
  <c r="L20" i="104"/>
  <c r="K20" i="104"/>
  <c r="O20" i="104"/>
  <c r="N20" i="104"/>
  <c r="G20" i="104"/>
  <c r="F20" i="104"/>
  <c r="D20" i="104"/>
  <c r="C20" i="104"/>
  <c r="B20" i="104"/>
  <c r="R19" i="104"/>
  <c r="O19" i="104"/>
  <c r="L19" i="104"/>
  <c r="K19" i="104"/>
  <c r="N19" i="104"/>
  <c r="G19" i="104"/>
  <c r="M19" i="104" s="1"/>
  <c r="F19" i="104"/>
  <c r="D19" i="104"/>
  <c r="C19" i="104"/>
  <c r="B19" i="104"/>
  <c r="R18" i="104"/>
  <c r="O18" i="104"/>
  <c r="N18" i="104"/>
  <c r="K18" i="104"/>
  <c r="G18" i="104"/>
  <c r="M18" i="104" s="1"/>
  <c r="F18" i="104"/>
  <c r="L18" i="104" s="1"/>
  <c r="D18" i="104"/>
  <c r="C18" i="104"/>
  <c r="B18" i="104"/>
  <c r="R17" i="104"/>
  <c r="M17" i="104"/>
  <c r="K17" i="104"/>
  <c r="G17" i="104"/>
  <c r="F17" i="104"/>
  <c r="L17" i="104" s="1"/>
  <c r="D17" i="104"/>
  <c r="C17" i="104"/>
  <c r="B17" i="104"/>
  <c r="R16" i="104"/>
  <c r="M16" i="104"/>
  <c r="L16" i="104"/>
  <c r="K16" i="104"/>
  <c r="O16" i="104"/>
  <c r="N16" i="104"/>
  <c r="G16" i="104"/>
  <c r="F16" i="104"/>
  <c r="D16" i="104"/>
  <c r="C16" i="104"/>
  <c r="B16" i="104"/>
  <c r="R15" i="104"/>
  <c r="O15" i="104"/>
  <c r="L15" i="104"/>
  <c r="K15" i="104"/>
  <c r="N15" i="104"/>
  <c r="G15" i="104"/>
  <c r="M15" i="104" s="1"/>
  <c r="F15" i="104"/>
  <c r="D15" i="104"/>
  <c r="C15" i="104"/>
  <c r="B15" i="104"/>
  <c r="R14" i="104"/>
  <c r="O14" i="104"/>
  <c r="N14" i="104"/>
  <c r="K14" i="104"/>
  <c r="G14" i="104"/>
  <c r="M14" i="104" s="1"/>
  <c r="F14" i="104"/>
  <c r="L14" i="104" s="1"/>
  <c r="D14" i="104"/>
  <c r="C14" i="104"/>
  <c r="B14" i="104"/>
  <c r="R13" i="104"/>
  <c r="M13" i="104"/>
  <c r="K13" i="104"/>
  <c r="G13" i="104"/>
  <c r="F13" i="104"/>
  <c r="L13" i="104" s="1"/>
  <c r="D13" i="104"/>
  <c r="C13" i="104"/>
  <c r="B13" i="104"/>
  <c r="R12" i="104"/>
  <c r="M12" i="104"/>
  <c r="L12" i="104"/>
  <c r="K12" i="104"/>
  <c r="O12" i="104"/>
  <c r="N12" i="104"/>
  <c r="G12" i="104"/>
  <c r="F12" i="104"/>
  <c r="D12" i="104"/>
  <c r="C12" i="104"/>
  <c r="B12" i="104"/>
  <c r="R11" i="104"/>
  <c r="O11" i="104"/>
  <c r="L11" i="104"/>
  <c r="K11" i="104"/>
  <c r="N11" i="104"/>
  <c r="G11" i="104"/>
  <c r="M11" i="104" s="1"/>
  <c r="F11" i="104"/>
  <c r="D11" i="104"/>
  <c r="C11" i="104"/>
  <c r="B11" i="104"/>
  <c r="R10" i="104"/>
  <c r="O10" i="104"/>
  <c r="N10" i="104"/>
  <c r="K10" i="104"/>
  <c r="G10" i="104"/>
  <c r="M10" i="104" s="1"/>
  <c r="F10" i="104"/>
  <c r="L10" i="104" s="1"/>
  <c r="D10" i="104"/>
  <c r="C10" i="104"/>
  <c r="B10" i="104"/>
  <c r="R9" i="104"/>
  <c r="M9" i="104"/>
  <c r="K9" i="104"/>
  <c r="O9" i="104"/>
  <c r="G9" i="104"/>
  <c r="F9" i="104"/>
  <c r="L9" i="104" s="1"/>
  <c r="D9" i="104"/>
  <c r="C9" i="104"/>
  <c r="B9" i="104"/>
  <c r="R8" i="104"/>
  <c r="M8" i="104"/>
  <c r="L8" i="104"/>
  <c r="K8" i="104"/>
  <c r="O8" i="104"/>
  <c r="N8" i="104"/>
  <c r="G8" i="104"/>
  <c r="F8" i="104"/>
  <c r="D8" i="104"/>
  <c r="C8" i="104"/>
  <c r="B8" i="104"/>
  <c r="R7" i="104"/>
  <c r="O7" i="104"/>
  <c r="L7" i="104"/>
  <c r="K7" i="104"/>
  <c r="N7" i="104"/>
  <c r="G7" i="104"/>
  <c r="M7" i="104" s="1"/>
  <c r="F7" i="104"/>
  <c r="D7" i="104"/>
  <c r="C7" i="104"/>
  <c r="B7" i="104"/>
  <c r="R6" i="104"/>
  <c r="O6" i="104"/>
  <c r="N6" i="104"/>
  <c r="K6" i="104"/>
  <c r="G6" i="104"/>
  <c r="M6" i="104" s="1"/>
  <c r="F6" i="104"/>
  <c r="L6" i="104" s="1"/>
  <c r="D6" i="104"/>
  <c r="C6" i="104"/>
  <c r="B6" i="104"/>
  <c r="R5" i="104"/>
  <c r="M5" i="104"/>
  <c r="K5" i="104"/>
  <c r="G5" i="104"/>
  <c r="F5" i="104"/>
  <c r="L5" i="104" s="1"/>
  <c r="D5" i="104"/>
  <c r="C5" i="104"/>
  <c r="B5" i="104"/>
  <c r="R4" i="104"/>
  <c r="M4" i="104"/>
  <c r="L4" i="104"/>
  <c r="K4" i="104"/>
  <c r="O4" i="104"/>
  <c r="N4" i="104"/>
  <c r="G4" i="104"/>
  <c r="F4" i="104"/>
  <c r="D4" i="104"/>
  <c r="C4" i="104"/>
  <c r="B4" i="104"/>
  <c r="R3" i="104"/>
  <c r="O3" i="104"/>
  <c r="L3" i="104"/>
  <c r="K3" i="104"/>
  <c r="N3" i="104"/>
  <c r="G3" i="104"/>
  <c r="M3" i="104" s="1"/>
  <c r="F3" i="104"/>
  <c r="D3" i="104"/>
  <c r="C3" i="104"/>
  <c r="B3" i="104"/>
  <c r="R2" i="104"/>
  <c r="N2" i="104"/>
  <c r="K2" i="104"/>
  <c r="G2" i="104"/>
  <c r="M2" i="104" s="1"/>
  <c r="F2" i="104"/>
  <c r="L2" i="104" s="1"/>
  <c r="C2" i="104"/>
  <c r="B2" i="104"/>
  <c r="R1" i="104"/>
  <c r="O1" i="104"/>
  <c r="N1" i="104"/>
  <c r="G1" i="104"/>
  <c r="M1" i="104" s="1"/>
  <c r="F1" i="104"/>
  <c r="L1" i="104" s="1"/>
  <c r="E1" i="104"/>
  <c r="D1" i="104"/>
  <c r="DV54" i="99"/>
  <c r="DV4" i="99"/>
  <c r="E4" i="104" s="1"/>
  <c r="DV26" i="99"/>
  <c r="DV27" i="99"/>
  <c r="DV28" i="99"/>
  <c r="DV29" i="99"/>
  <c r="DV30" i="99"/>
  <c r="DV31" i="99"/>
  <c r="DV32" i="99"/>
  <c r="DV33" i="99"/>
  <c r="DV34" i="99"/>
  <c r="DV35" i="99"/>
  <c r="DV36" i="99"/>
  <c r="DV37" i="99"/>
  <c r="DV49" i="99"/>
  <c r="DV50" i="99"/>
  <c r="DV51" i="99"/>
  <c r="DV52" i="99"/>
  <c r="DV53" i="99"/>
  <c r="DV55" i="99"/>
  <c r="DV56" i="99"/>
  <c r="DV57" i="99"/>
  <c r="DV58" i="99"/>
  <c r="DV98" i="99"/>
  <c r="E98" i="104" s="1"/>
  <c r="DU3" i="99"/>
  <c r="DV3" i="99" s="1"/>
  <c r="E3" i="104" s="1"/>
  <c r="DU4" i="99"/>
  <c r="Q4" i="104" s="1"/>
  <c r="DU6" i="99"/>
  <c r="Q6" i="104" s="1"/>
  <c r="DU11" i="99"/>
  <c r="DU14" i="99"/>
  <c r="DV14" i="99" s="1"/>
  <c r="E14" i="104" s="1"/>
  <c r="DU15" i="99"/>
  <c r="DU19" i="99"/>
  <c r="DV19" i="99" s="1"/>
  <c r="E19" i="104" s="1"/>
  <c r="DU38" i="99"/>
  <c r="DV38" i="99" s="1"/>
  <c r="E38" i="104" s="1"/>
  <c r="DU39" i="99"/>
  <c r="DU43" i="99"/>
  <c r="DU47" i="99"/>
  <c r="Q47" i="104" s="1"/>
  <c r="DU62" i="99"/>
  <c r="Q62" i="104" s="1"/>
  <c r="DU69" i="99"/>
  <c r="DU70" i="99"/>
  <c r="DU78" i="99"/>
  <c r="Q78" i="104" s="1"/>
  <c r="DU79" i="99"/>
  <c r="DU82" i="99"/>
  <c r="DV82" i="99" s="1"/>
  <c r="E82" i="104" s="1"/>
  <c r="DU83" i="99"/>
  <c r="Q83" i="104" s="1"/>
  <c r="DU87" i="99"/>
  <c r="DV87" i="99" s="1"/>
  <c r="E87" i="104" s="1"/>
  <c r="DU91" i="99"/>
  <c r="Q91" i="104" s="1"/>
  <c r="DU94" i="99"/>
  <c r="Q94" i="104" s="1"/>
  <c r="DU95" i="99"/>
  <c r="DU98" i="99"/>
  <c r="Q98" i="104" s="1"/>
  <c r="DU99" i="99"/>
  <c r="Q99" i="104" s="1"/>
  <c r="DU103" i="99"/>
  <c r="Q103" i="104" s="1"/>
  <c r="DU107" i="99"/>
  <c r="Q107" i="104" s="1"/>
  <c r="DU110" i="99"/>
  <c r="Q110" i="104" s="1"/>
  <c r="DU111" i="99"/>
  <c r="DU114" i="99"/>
  <c r="Q114" i="104" s="1"/>
  <c r="DU115" i="99"/>
  <c r="DV115" i="99" s="1"/>
  <c r="E115" i="104" s="1"/>
  <c r="DU119" i="99"/>
  <c r="Q119" i="104" s="1"/>
  <c r="DU2" i="99"/>
  <c r="DV2" i="99" s="1"/>
  <c r="E2" i="104" s="1"/>
  <c r="AA25" i="32"/>
  <c r="AA32" i="32"/>
  <c r="AA36" i="32"/>
  <c r="AA24" i="32"/>
  <c r="W26" i="32"/>
  <c r="W28" i="32"/>
  <c r="W30" i="32"/>
  <c r="W34" i="32"/>
  <c r="S26" i="32"/>
  <c r="S27" i="32"/>
  <c r="S31" i="32"/>
  <c r="S24" i="32"/>
  <c r="O25" i="32"/>
  <c r="O26" i="32"/>
  <c r="O29" i="32"/>
  <c r="O30" i="32"/>
  <c r="O34" i="32"/>
  <c r="K34" i="32"/>
  <c r="K36" i="32"/>
  <c r="K25" i="32"/>
  <c r="K26" i="32"/>
  <c r="K29" i="32"/>
  <c r="K30" i="32"/>
  <c r="K24" i="32"/>
  <c r="G26" i="32"/>
  <c r="G28" i="32"/>
  <c r="G30" i="32"/>
  <c r="G31" i="32"/>
  <c r="G32" i="32"/>
  <c r="G35" i="32"/>
  <c r="G36" i="32"/>
  <c r="C36" i="32"/>
  <c r="C25" i="32"/>
  <c r="C27" i="32"/>
  <c r="C29" i="32"/>
  <c r="C31" i="32"/>
  <c r="C32" i="32"/>
  <c r="C33" i="32"/>
  <c r="AA13" i="32"/>
  <c r="K13" i="32"/>
  <c r="C13" i="32"/>
  <c r="E10" i="108" s="1"/>
  <c r="O12" i="32"/>
  <c r="K12" i="32"/>
  <c r="W11" i="32"/>
  <c r="C11" i="32"/>
  <c r="W10" i="32"/>
  <c r="C10" i="32"/>
  <c r="O9" i="32"/>
  <c r="K9" i="32"/>
  <c r="C9" i="32"/>
  <c r="W8" i="32"/>
  <c r="O8" i="32"/>
  <c r="AA7" i="32"/>
  <c r="W7" i="32"/>
  <c r="C7" i="32"/>
  <c r="O6" i="32"/>
  <c r="C6" i="32"/>
  <c r="O5" i="32"/>
  <c r="C5" i="32"/>
  <c r="AA4" i="32"/>
  <c r="W4" i="32"/>
  <c r="K4" i="32"/>
  <c r="G4" i="32"/>
  <c r="AO2" i="39"/>
  <c r="AO3" i="39"/>
  <c r="AO4" i="39"/>
  <c r="AO5" i="39"/>
  <c r="AO6" i="39"/>
  <c r="AO7" i="39"/>
  <c r="AO8" i="39"/>
  <c r="AO9" i="39"/>
  <c r="AO10" i="39"/>
  <c r="AO11" i="39"/>
  <c r="AO12" i="39"/>
  <c r="AO13" i="39"/>
  <c r="AO14" i="39"/>
  <c r="AO15" i="39"/>
  <c r="AO16" i="39"/>
  <c r="AO17" i="39"/>
  <c r="AO18" i="39"/>
  <c r="AO19" i="39"/>
  <c r="AO20" i="39"/>
  <c r="AO21" i="39"/>
  <c r="AO22" i="39"/>
  <c r="AO23" i="39"/>
  <c r="AO24" i="39"/>
  <c r="AO25" i="39"/>
  <c r="AO26" i="39"/>
  <c r="AO27" i="39"/>
  <c r="AO28" i="39"/>
  <c r="AO29" i="39"/>
  <c r="AO30" i="39"/>
  <c r="AO31" i="39"/>
  <c r="AO32" i="39"/>
  <c r="AO33" i="39"/>
  <c r="AO34" i="39"/>
  <c r="AO35" i="39"/>
  <c r="AO36" i="39"/>
  <c r="AO37" i="39"/>
  <c r="AO38" i="39"/>
  <c r="AO39" i="39"/>
  <c r="AO40" i="39"/>
  <c r="AO41" i="39"/>
  <c r="AO42" i="39"/>
  <c r="AO43" i="39"/>
  <c r="AO44" i="39"/>
  <c r="AO45" i="39"/>
  <c r="AO46" i="39"/>
  <c r="AO47" i="39"/>
  <c r="AO48" i="39"/>
  <c r="AO49" i="39"/>
  <c r="AO50" i="39"/>
  <c r="AO51" i="39"/>
  <c r="AO52" i="39"/>
  <c r="AO53" i="39"/>
  <c r="AO54" i="39"/>
  <c r="AO55" i="39"/>
  <c r="AO56" i="39"/>
  <c r="AO57" i="39"/>
  <c r="AO58" i="39"/>
  <c r="AO59" i="39"/>
  <c r="AO60" i="39"/>
  <c r="AO61" i="39"/>
  <c r="AO62" i="39"/>
  <c r="AO63" i="39"/>
  <c r="AO64" i="39"/>
  <c r="AO65" i="39"/>
  <c r="AO66" i="39"/>
  <c r="AO67" i="39"/>
  <c r="AO68" i="39"/>
  <c r="AO69" i="39"/>
  <c r="AO70" i="39"/>
  <c r="AO71" i="39"/>
  <c r="AO72" i="39"/>
  <c r="AO73" i="39"/>
  <c r="AO74" i="39"/>
  <c r="AO75" i="39"/>
  <c r="AO76" i="39"/>
  <c r="AO77" i="39"/>
  <c r="AO78" i="39"/>
  <c r="AO79" i="39"/>
  <c r="AO80" i="39"/>
  <c r="AO81" i="39"/>
  <c r="AO82" i="39"/>
  <c r="AO83" i="39"/>
  <c r="AO84" i="39"/>
  <c r="AO85" i="39"/>
  <c r="AO86" i="39"/>
  <c r="AO87" i="39"/>
  <c r="AO88" i="39"/>
  <c r="AO89" i="39"/>
  <c r="AO90" i="39"/>
  <c r="AO91" i="39"/>
  <c r="AO92" i="39"/>
  <c r="AO93" i="39"/>
  <c r="AO94" i="39"/>
  <c r="AO95" i="39"/>
  <c r="AO96" i="39"/>
  <c r="AO97" i="39"/>
  <c r="AO98" i="39"/>
  <c r="AO99" i="39"/>
  <c r="AO100" i="39"/>
  <c r="AO101" i="39"/>
  <c r="AO102" i="39"/>
  <c r="AO103" i="39"/>
  <c r="AO104" i="39"/>
  <c r="AO105" i="39"/>
  <c r="AO106" i="39"/>
  <c r="AO107" i="39"/>
  <c r="AO108" i="39"/>
  <c r="AO109" i="39"/>
  <c r="AO110" i="39"/>
  <c r="AO111" i="39"/>
  <c r="AO112" i="39"/>
  <c r="AO113" i="39"/>
  <c r="AO114" i="39"/>
  <c r="AO115" i="39"/>
  <c r="AO116" i="39"/>
  <c r="AO117" i="39"/>
  <c r="AO118" i="39"/>
  <c r="AO119" i="39"/>
  <c r="AO120" i="39"/>
  <c r="AO121" i="39"/>
  <c r="AO122" i="39"/>
  <c r="AO123" i="39"/>
  <c r="AO124" i="39"/>
  <c r="AO125" i="39"/>
  <c r="AO126" i="39"/>
  <c r="AO127" i="39"/>
  <c r="AO128" i="39"/>
  <c r="AO129" i="39"/>
  <c r="AO130" i="39"/>
  <c r="AO131" i="39"/>
  <c r="AO132" i="39"/>
  <c r="AO133" i="39"/>
  <c r="AO134" i="39"/>
  <c r="AO135" i="39"/>
  <c r="AO136" i="39"/>
  <c r="AO137" i="39"/>
  <c r="AO138" i="39"/>
  <c r="AO139" i="39"/>
  <c r="AO140" i="39"/>
  <c r="AO141" i="39"/>
  <c r="AO142" i="39"/>
  <c r="AO143" i="39"/>
  <c r="AO144" i="39"/>
  <c r="AO145" i="39"/>
  <c r="AO146" i="39"/>
  <c r="AO147" i="39"/>
  <c r="AO148" i="39"/>
  <c r="AO149" i="39"/>
  <c r="AO150" i="39"/>
  <c r="AO151" i="39"/>
  <c r="AO152" i="39"/>
  <c r="AO153" i="39"/>
  <c r="AO154" i="39"/>
  <c r="AO155" i="39"/>
  <c r="AO156" i="39"/>
  <c r="AO157" i="39"/>
  <c r="AO158" i="39"/>
  <c r="AO159" i="39"/>
  <c r="AO160" i="39"/>
  <c r="AO161" i="39"/>
  <c r="AO162" i="39"/>
  <c r="AO163" i="39"/>
  <c r="AO164" i="39"/>
  <c r="AO165" i="39"/>
  <c r="AO166" i="39"/>
  <c r="AO167" i="39"/>
  <c r="AO168" i="39"/>
  <c r="AO169" i="39"/>
  <c r="AO170" i="39"/>
  <c r="AO171" i="39"/>
  <c r="AO172" i="39"/>
  <c r="AO173" i="39"/>
  <c r="AO174" i="39"/>
  <c r="AO175" i="39"/>
  <c r="AO176" i="39"/>
  <c r="AO177" i="39"/>
  <c r="AO178" i="39"/>
  <c r="AO179" i="39"/>
  <c r="AO180" i="39"/>
  <c r="AO181" i="39"/>
  <c r="AA2" i="39"/>
  <c r="AB2" i="39"/>
  <c r="AC2" i="39"/>
  <c r="AD2" i="39"/>
  <c r="AE2" i="39"/>
  <c r="AF2" i="39"/>
  <c r="AG2" i="39"/>
  <c r="AH2" i="39"/>
  <c r="AI2" i="39"/>
  <c r="AJ2" i="39"/>
  <c r="AK2" i="39"/>
  <c r="AL2" i="39"/>
  <c r="AM2" i="39"/>
  <c r="AN2" i="39"/>
  <c r="AA3" i="39"/>
  <c r="AB3" i="39"/>
  <c r="AC3" i="39"/>
  <c r="AD3" i="39"/>
  <c r="AE3" i="39"/>
  <c r="AF3" i="39"/>
  <c r="AG3" i="39"/>
  <c r="AH3" i="39"/>
  <c r="AI3" i="39"/>
  <c r="AJ3" i="39"/>
  <c r="AK3" i="39"/>
  <c r="AL3" i="39"/>
  <c r="AM3" i="39"/>
  <c r="AN3" i="39"/>
  <c r="AA4" i="39"/>
  <c r="AB4" i="39"/>
  <c r="AC4" i="39"/>
  <c r="AD4" i="39"/>
  <c r="AE4" i="39"/>
  <c r="AF4" i="39"/>
  <c r="AG4" i="39"/>
  <c r="AH4" i="39"/>
  <c r="AI4" i="39"/>
  <c r="AJ4" i="39"/>
  <c r="AK4" i="39"/>
  <c r="AL4" i="39"/>
  <c r="AM4" i="39"/>
  <c r="AN4" i="39"/>
  <c r="AA5" i="39"/>
  <c r="AB5" i="39"/>
  <c r="AC5" i="39"/>
  <c r="AD5" i="39"/>
  <c r="AE5" i="39"/>
  <c r="AF5" i="39"/>
  <c r="AG5" i="39"/>
  <c r="AH5" i="39"/>
  <c r="AI5" i="39"/>
  <c r="AJ5" i="39"/>
  <c r="AK5" i="39"/>
  <c r="AL5" i="39"/>
  <c r="AM5" i="39"/>
  <c r="AN5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AA7" i="39"/>
  <c r="AB7" i="39"/>
  <c r="AC7" i="39"/>
  <c r="AD7" i="39"/>
  <c r="AE7" i="39"/>
  <c r="AF7" i="39"/>
  <c r="AG7" i="39"/>
  <c r="AH7" i="39"/>
  <c r="AI7" i="39"/>
  <c r="AJ7" i="39"/>
  <c r="AK7" i="39"/>
  <c r="AL7" i="39"/>
  <c r="AM7" i="39"/>
  <c r="AN7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AA10" i="39"/>
  <c r="AB10" i="39"/>
  <c r="AC10" i="39"/>
  <c r="AD10" i="39"/>
  <c r="AE10" i="39"/>
  <c r="AF10" i="39"/>
  <c r="AG10" i="39"/>
  <c r="AH10" i="39"/>
  <c r="AI10" i="39"/>
  <c r="AJ10" i="39"/>
  <c r="AK10" i="39"/>
  <c r="AL10" i="39"/>
  <c r="AM10" i="39"/>
  <c r="AN10" i="39"/>
  <c r="AA11" i="39"/>
  <c r="AB11" i="39"/>
  <c r="AC11" i="39"/>
  <c r="AD11" i="39"/>
  <c r="AE11" i="39"/>
  <c r="AF11" i="39"/>
  <c r="AG11" i="39"/>
  <c r="AH11" i="39"/>
  <c r="AI11" i="39"/>
  <c r="AJ11" i="39"/>
  <c r="AK11" i="39"/>
  <c r="AL11" i="39"/>
  <c r="AM11" i="39"/>
  <c r="AN11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AA14" i="39"/>
  <c r="AB14" i="39"/>
  <c r="AC14" i="39"/>
  <c r="AD14" i="39"/>
  <c r="AE14" i="39"/>
  <c r="AF14" i="39"/>
  <c r="AG14" i="39"/>
  <c r="AH14" i="39"/>
  <c r="AI14" i="39"/>
  <c r="AJ14" i="39"/>
  <c r="AK14" i="39"/>
  <c r="AL14" i="39"/>
  <c r="AM14" i="39"/>
  <c r="AN14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AA16" i="39"/>
  <c r="AB16" i="39"/>
  <c r="AC16" i="39"/>
  <c r="AD16" i="39"/>
  <c r="AE16" i="39"/>
  <c r="AF16" i="39"/>
  <c r="AG16" i="39"/>
  <c r="AH16" i="39"/>
  <c r="AI16" i="39"/>
  <c r="AJ16" i="39"/>
  <c r="AK16" i="39"/>
  <c r="AL16" i="39"/>
  <c r="AM16" i="39"/>
  <c r="AN16" i="39"/>
  <c r="AA17" i="39"/>
  <c r="AB17" i="39"/>
  <c r="AC17" i="39"/>
  <c r="AD17" i="39"/>
  <c r="AE17" i="39"/>
  <c r="AF17" i="39"/>
  <c r="AG17" i="39"/>
  <c r="AH17" i="39"/>
  <c r="AI17" i="39"/>
  <c r="AJ17" i="39"/>
  <c r="AK17" i="39"/>
  <c r="AL17" i="39"/>
  <c r="AM17" i="39"/>
  <c r="AN17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AA20" i="39"/>
  <c r="AB20" i="39"/>
  <c r="AC20" i="39"/>
  <c r="AD20" i="39"/>
  <c r="AE20" i="39"/>
  <c r="AF20" i="39"/>
  <c r="AG20" i="39"/>
  <c r="AH20" i="39"/>
  <c r="AI20" i="39"/>
  <c r="AJ20" i="39"/>
  <c r="AK20" i="39"/>
  <c r="AL20" i="39"/>
  <c r="AM20" i="39"/>
  <c r="AN20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AA23" i="39"/>
  <c r="AB23" i="39"/>
  <c r="AC23" i="39"/>
  <c r="AD23" i="39"/>
  <c r="AE23" i="39"/>
  <c r="AF23" i="39"/>
  <c r="AG23" i="39"/>
  <c r="AH23" i="39"/>
  <c r="AI23" i="39"/>
  <c r="AJ23" i="39"/>
  <c r="AK23" i="39"/>
  <c r="AL23" i="39"/>
  <c r="AM23" i="39"/>
  <c r="AN23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AA26" i="39"/>
  <c r="AB26" i="39"/>
  <c r="AC26" i="39"/>
  <c r="AD26" i="39"/>
  <c r="AE26" i="39"/>
  <c r="AF26" i="39"/>
  <c r="AG26" i="39"/>
  <c r="AH26" i="39"/>
  <c r="AI26" i="39"/>
  <c r="AJ26" i="39"/>
  <c r="AK26" i="39"/>
  <c r="AL26" i="39"/>
  <c r="AM26" i="39"/>
  <c r="AN26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AA30" i="39"/>
  <c r="AB30" i="39"/>
  <c r="AC30" i="39"/>
  <c r="AD30" i="39"/>
  <c r="AE30" i="39"/>
  <c r="AF30" i="39"/>
  <c r="AG30" i="39"/>
  <c r="AH30" i="39"/>
  <c r="AI30" i="39"/>
  <c r="AJ30" i="39"/>
  <c r="AK30" i="39"/>
  <c r="AL30" i="39"/>
  <c r="AM30" i="39"/>
  <c r="AN30" i="39"/>
  <c r="AA31" i="39"/>
  <c r="AB31" i="39"/>
  <c r="AC31" i="39"/>
  <c r="AD31" i="39"/>
  <c r="AE31" i="39"/>
  <c r="AF31" i="39"/>
  <c r="AG31" i="39"/>
  <c r="AH31" i="39"/>
  <c r="AI31" i="39"/>
  <c r="AJ31" i="39"/>
  <c r="AK31" i="39"/>
  <c r="AL31" i="39"/>
  <c r="AM31" i="39"/>
  <c r="AN31" i="39"/>
  <c r="AA32" i="39"/>
  <c r="AB32" i="39"/>
  <c r="AC32" i="39"/>
  <c r="AD32" i="39"/>
  <c r="AE32" i="39"/>
  <c r="AF32" i="39"/>
  <c r="AG32" i="39"/>
  <c r="AH32" i="39"/>
  <c r="AI32" i="39"/>
  <c r="AJ32" i="39"/>
  <c r="AK32" i="39"/>
  <c r="AL32" i="39"/>
  <c r="AM32" i="39"/>
  <c r="AN32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AA34" i="39"/>
  <c r="AB34" i="39"/>
  <c r="AC34" i="39"/>
  <c r="AD34" i="39"/>
  <c r="AE34" i="39"/>
  <c r="AF34" i="39"/>
  <c r="AG34" i="39"/>
  <c r="AH34" i="39"/>
  <c r="AI34" i="39"/>
  <c r="AJ34" i="39"/>
  <c r="AK34" i="39"/>
  <c r="AL34" i="39"/>
  <c r="AM34" i="39"/>
  <c r="AN34" i="39"/>
  <c r="AA35" i="39"/>
  <c r="AB35" i="39"/>
  <c r="AC35" i="39"/>
  <c r="AD35" i="39"/>
  <c r="AE35" i="39"/>
  <c r="AF35" i="39"/>
  <c r="AG35" i="39"/>
  <c r="AH35" i="39"/>
  <c r="AI35" i="39"/>
  <c r="AJ35" i="39"/>
  <c r="AK35" i="39"/>
  <c r="AL35" i="39"/>
  <c r="AM35" i="39"/>
  <c r="AN35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AA38" i="39"/>
  <c r="AB38" i="39"/>
  <c r="AC38" i="39"/>
  <c r="AD38" i="39"/>
  <c r="AE38" i="39"/>
  <c r="AF38" i="39"/>
  <c r="AG38" i="39"/>
  <c r="AH38" i="39"/>
  <c r="AI38" i="39"/>
  <c r="AJ38" i="39"/>
  <c r="AK38" i="39"/>
  <c r="AL38" i="39"/>
  <c r="AM38" i="39"/>
  <c r="AN38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AA41" i="39"/>
  <c r="AB41" i="39"/>
  <c r="AC41" i="39"/>
  <c r="AD41" i="39"/>
  <c r="AE41" i="39"/>
  <c r="AF41" i="39"/>
  <c r="AG41" i="39"/>
  <c r="AH41" i="39"/>
  <c r="AI41" i="39"/>
  <c r="AJ41" i="39"/>
  <c r="AK41" i="39"/>
  <c r="AL41" i="39"/>
  <c r="AM41" i="39"/>
  <c r="AN41" i="39"/>
  <c r="AA42" i="39"/>
  <c r="AB42" i="39"/>
  <c r="AC42" i="39"/>
  <c r="AD42" i="39"/>
  <c r="AE42" i="39"/>
  <c r="AF42" i="39"/>
  <c r="AG42" i="39"/>
  <c r="AH42" i="39"/>
  <c r="AI42" i="39"/>
  <c r="AJ42" i="39"/>
  <c r="AK42" i="39"/>
  <c r="AL42" i="39"/>
  <c r="AM42" i="39"/>
  <c r="AN42" i="39"/>
  <c r="AA43" i="39"/>
  <c r="AB43" i="39"/>
  <c r="AC43" i="39"/>
  <c r="AD43" i="39"/>
  <c r="AE43" i="39"/>
  <c r="AF43" i="39"/>
  <c r="AG43" i="39"/>
  <c r="AH43" i="39"/>
  <c r="AI43" i="39"/>
  <c r="AJ43" i="39"/>
  <c r="AK43" i="39"/>
  <c r="AL43" i="39"/>
  <c r="AM43" i="39"/>
  <c r="AN43" i="39"/>
  <c r="AA44" i="39"/>
  <c r="AB44" i="39"/>
  <c r="AC44" i="39"/>
  <c r="AD44" i="39"/>
  <c r="AE44" i="39"/>
  <c r="AF44" i="39"/>
  <c r="AG44" i="39"/>
  <c r="AH44" i="39"/>
  <c r="AI44" i="39"/>
  <c r="AJ44" i="39"/>
  <c r="AK44" i="39"/>
  <c r="AL44" i="39"/>
  <c r="AM44" i="39"/>
  <c r="AN44" i="39"/>
  <c r="AA45" i="39"/>
  <c r="AB45" i="39"/>
  <c r="AC45" i="39"/>
  <c r="AD45" i="39"/>
  <c r="AE45" i="39"/>
  <c r="AF45" i="39"/>
  <c r="AG45" i="39"/>
  <c r="AH45" i="39"/>
  <c r="AI45" i="39"/>
  <c r="AJ45" i="39"/>
  <c r="AK45" i="39"/>
  <c r="AL45" i="39"/>
  <c r="AM45" i="39"/>
  <c r="AN45" i="39"/>
  <c r="AA46" i="39"/>
  <c r="AB46" i="39"/>
  <c r="AC46" i="39"/>
  <c r="AD46" i="39"/>
  <c r="AE46" i="39"/>
  <c r="AF46" i="39"/>
  <c r="AG46" i="39"/>
  <c r="AH46" i="39"/>
  <c r="AI46" i="39"/>
  <c r="AJ46" i="39"/>
  <c r="AK46" i="39"/>
  <c r="AL46" i="39"/>
  <c r="AM46" i="39"/>
  <c r="AN46" i="39"/>
  <c r="AA47" i="39"/>
  <c r="AB47" i="39"/>
  <c r="AC47" i="39"/>
  <c r="AD47" i="39"/>
  <c r="AE47" i="39"/>
  <c r="AF47" i="39"/>
  <c r="AG47" i="39"/>
  <c r="AH47" i="39"/>
  <c r="AI47" i="39"/>
  <c r="AJ47" i="39"/>
  <c r="AK47" i="39"/>
  <c r="AL47" i="39"/>
  <c r="AM47" i="39"/>
  <c r="AN47" i="39"/>
  <c r="AA48" i="39"/>
  <c r="AB48" i="39"/>
  <c r="AC48" i="39"/>
  <c r="AD48" i="39"/>
  <c r="AE48" i="39"/>
  <c r="AF48" i="39"/>
  <c r="AG48" i="39"/>
  <c r="AH48" i="39"/>
  <c r="AI48" i="39"/>
  <c r="AJ48" i="39"/>
  <c r="AK48" i="39"/>
  <c r="AL48" i="39"/>
  <c r="AM48" i="39"/>
  <c r="AN48" i="39"/>
  <c r="AA49" i="39"/>
  <c r="AB49" i="39"/>
  <c r="AC49" i="39"/>
  <c r="AD49" i="39"/>
  <c r="AE49" i="39"/>
  <c r="AF49" i="39"/>
  <c r="AG49" i="39"/>
  <c r="AH49" i="39"/>
  <c r="AI49" i="39"/>
  <c r="AJ49" i="39"/>
  <c r="AK49" i="39"/>
  <c r="AL49" i="39"/>
  <c r="AM49" i="39"/>
  <c r="AN49" i="39"/>
  <c r="AA50" i="39"/>
  <c r="AB50" i="39"/>
  <c r="AC50" i="39"/>
  <c r="AD50" i="39"/>
  <c r="AE50" i="39"/>
  <c r="AF50" i="39"/>
  <c r="AG50" i="39"/>
  <c r="AH50" i="39"/>
  <c r="AI50" i="39"/>
  <c r="AJ50" i="39"/>
  <c r="AK50" i="39"/>
  <c r="AL50" i="39"/>
  <c r="AM50" i="39"/>
  <c r="AN50" i="39"/>
  <c r="AA51" i="39"/>
  <c r="AB51" i="39"/>
  <c r="AC51" i="39"/>
  <c r="AD51" i="39"/>
  <c r="AE51" i="39"/>
  <c r="AF51" i="39"/>
  <c r="AG51" i="39"/>
  <c r="AH51" i="39"/>
  <c r="AI51" i="39"/>
  <c r="AJ51" i="39"/>
  <c r="AK51" i="39"/>
  <c r="AL51" i="39"/>
  <c r="AM51" i="39"/>
  <c r="AN51" i="39"/>
  <c r="AA52" i="39"/>
  <c r="AB52" i="39"/>
  <c r="AC52" i="39"/>
  <c r="AD52" i="39"/>
  <c r="AE52" i="39"/>
  <c r="AF52" i="39"/>
  <c r="AG52" i="39"/>
  <c r="AH52" i="39"/>
  <c r="AI52" i="39"/>
  <c r="AJ52" i="39"/>
  <c r="AK52" i="39"/>
  <c r="AL52" i="39"/>
  <c r="AM52" i="39"/>
  <c r="AN52" i="39"/>
  <c r="AA53" i="39"/>
  <c r="AB53" i="39"/>
  <c r="AC53" i="39"/>
  <c r="AD53" i="39"/>
  <c r="AE53" i="39"/>
  <c r="AF53" i="39"/>
  <c r="AG53" i="39"/>
  <c r="AH53" i="39"/>
  <c r="AI53" i="39"/>
  <c r="AJ53" i="39"/>
  <c r="AK53" i="39"/>
  <c r="AL53" i="39"/>
  <c r="AM53" i="39"/>
  <c r="AN53" i="39"/>
  <c r="AA54" i="39"/>
  <c r="AB54" i="39"/>
  <c r="AC54" i="39"/>
  <c r="AD54" i="39"/>
  <c r="AE54" i="39"/>
  <c r="AF54" i="39"/>
  <c r="AG54" i="39"/>
  <c r="AH54" i="39"/>
  <c r="AI54" i="39"/>
  <c r="AJ54" i="39"/>
  <c r="AK54" i="39"/>
  <c r="AL54" i="39"/>
  <c r="AM54" i="39"/>
  <c r="AN54" i="39"/>
  <c r="AA55" i="39"/>
  <c r="AB55" i="39"/>
  <c r="AC55" i="39"/>
  <c r="AD55" i="39"/>
  <c r="AE55" i="39"/>
  <c r="AF55" i="39"/>
  <c r="AG55" i="39"/>
  <c r="AH55" i="39"/>
  <c r="AI55" i="39"/>
  <c r="AJ55" i="39"/>
  <c r="AK55" i="39"/>
  <c r="AL55" i="39"/>
  <c r="AM55" i="39"/>
  <c r="AN55" i="39"/>
  <c r="AA56" i="39"/>
  <c r="AB56" i="39"/>
  <c r="AC56" i="39"/>
  <c r="AD56" i="39"/>
  <c r="AE56" i="39"/>
  <c r="AF56" i="39"/>
  <c r="AG56" i="39"/>
  <c r="AH56" i="39"/>
  <c r="AI56" i="39"/>
  <c r="AJ56" i="39"/>
  <c r="AK56" i="39"/>
  <c r="AL56" i="39"/>
  <c r="AM56" i="39"/>
  <c r="AN56" i="39"/>
  <c r="AA57" i="39"/>
  <c r="AB57" i="39"/>
  <c r="AC57" i="39"/>
  <c r="AD57" i="39"/>
  <c r="AE57" i="39"/>
  <c r="AF57" i="39"/>
  <c r="AG57" i="39"/>
  <c r="AH57" i="39"/>
  <c r="AI57" i="39"/>
  <c r="AJ57" i="39"/>
  <c r="AK57" i="39"/>
  <c r="AL57" i="39"/>
  <c r="AM57" i="39"/>
  <c r="AN57" i="39"/>
  <c r="AA58" i="39"/>
  <c r="AB58" i="39"/>
  <c r="AC58" i="39"/>
  <c r="AD58" i="39"/>
  <c r="AE58" i="39"/>
  <c r="AF58" i="39"/>
  <c r="AG58" i="39"/>
  <c r="AH58" i="39"/>
  <c r="AI58" i="39"/>
  <c r="AJ58" i="39"/>
  <c r="AK58" i="39"/>
  <c r="AL58" i="39"/>
  <c r="AM58" i="39"/>
  <c r="AN58" i="39"/>
  <c r="AA59" i="39"/>
  <c r="AB59" i="39"/>
  <c r="AC59" i="39"/>
  <c r="AD59" i="39"/>
  <c r="AE59" i="39"/>
  <c r="AF59" i="39"/>
  <c r="AG59" i="39"/>
  <c r="AH59" i="39"/>
  <c r="AI59" i="39"/>
  <c r="AJ59" i="39"/>
  <c r="AK59" i="39"/>
  <c r="AL59" i="39"/>
  <c r="AM59" i="39"/>
  <c r="AN59" i="39"/>
  <c r="AA60" i="39"/>
  <c r="AB60" i="39"/>
  <c r="AC60" i="39"/>
  <c r="AD60" i="39"/>
  <c r="AE60" i="39"/>
  <c r="AF60" i="39"/>
  <c r="AG60" i="39"/>
  <c r="AH60" i="39"/>
  <c r="AI60" i="39"/>
  <c r="AJ60" i="39"/>
  <c r="AK60" i="39"/>
  <c r="AL60" i="39"/>
  <c r="AM60" i="39"/>
  <c r="AN60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A63" i="39"/>
  <c r="AB63" i="39"/>
  <c r="AC63" i="39"/>
  <c r="AD63" i="39"/>
  <c r="AE63" i="39"/>
  <c r="AF63" i="39"/>
  <c r="AG63" i="39"/>
  <c r="AH63" i="39"/>
  <c r="AI63" i="39"/>
  <c r="AJ63" i="39"/>
  <c r="AK63" i="39"/>
  <c r="AL63" i="39"/>
  <c r="AM63" i="39"/>
  <c r="AN63" i="39"/>
  <c r="AA64" i="39"/>
  <c r="AB64" i="39"/>
  <c r="AC64" i="39"/>
  <c r="AD64" i="39"/>
  <c r="AE64" i="39"/>
  <c r="AF64" i="39"/>
  <c r="AG64" i="39"/>
  <c r="AH64" i="39"/>
  <c r="AI64" i="39"/>
  <c r="AJ64" i="39"/>
  <c r="AK64" i="39"/>
  <c r="AL64" i="39"/>
  <c r="AM64" i="39"/>
  <c r="AN64" i="39"/>
  <c r="AA65" i="39"/>
  <c r="AB65" i="39"/>
  <c r="AC65" i="39"/>
  <c r="AD65" i="39"/>
  <c r="AE65" i="39"/>
  <c r="AF65" i="39"/>
  <c r="AG65" i="39"/>
  <c r="AH65" i="39"/>
  <c r="AI65" i="39"/>
  <c r="AJ65" i="39"/>
  <c r="AK65" i="39"/>
  <c r="AL65" i="39"/>
  <c r="AM65" i="39"/>
  <c r="AN65" i="39"/>
  <c r="AA66" i="39"/>
  <c r="AB66" i="39"/>
  <c r="AC66" i="39"/>
  <c r="AD66" i="39"/>
  <c r="AE66" i="39"/>
  <c r="AF66" i="39"/>
  <c r="AG66" i="39"/>
  <c r="AH66" i="39"/>
  <c r="AI66" i="39"/>
  <c r="AJ66" i="39"/>
  <c r="AK66" i="39"/>
  <c r="AL66" i="39"/>
  <c r="AM66" i="39"/>
  <c r="AN66" i="39"/>
  <c r="AA67" i="39"/>
  <c r="AB67" i="39"/>
  <c r="AC67" i="39"/>
  <c r="AD67" i="39"/>
  <c r="AE67" i="39"/>
  <c r="AF67" i="39"/>
  <c r="AG67" i="39"/>
  <c r="AH67" i="39"/>
  <c r="AI67" i="39"/>
  <c r="AJ67" i="39"/>
  <c r="AK67" i="39"/>
  <c r="AL67" i="39"/>
  <c r="AM67" i="39"/>
  <c r="AN67" i="39"/>
  <c r="AA68" i="39"/>
  <c r="AB68" i="39"/>
  <c r="AC68" i="39"/>
  <c r="AD68" i="39"/>
  <c r="AE68" i="39"/>
  <c r="AF68" i="39"/>
  <c r="AG68" i="39"/>
  <c r="AH68" i="39"/>
  <c r="AI68" i="39"/>
  <c r="AJ68" i="39"/>
  <c r="AK68" i="39"/>
  <c r="AL68" i="39"/>
  <c r="AM68" i="39"/>
  <c r="AN68" i="39"/>
  <c r="AA69" i="39"/>
  <c r="AB69" i="39"/>
  <c r="AC69" i="39"/>
  <c r="AD69" i="39"/>
  <c r="AE69" i="39"/>
  <c r="AF69" i="39"/>
  <c r="AG69" i="39"/>
  <c r="AH69" i="39"/>
  <c r="AI69" i="39"/>
  <c r="AJ69" i="39"/>
  <c r="AK69" i="39"/>
  <c r="AL69" i="39"/>
  <c r="AM69" i="39"/>
  <c r="AN69" i="39"/>
  <c r="AA70" i="39"/>
  <c r="AB70" i="39"/>
  <c r="AC70" i="39"/>
  <c r="AD70" i="39"/>
  <c r="AE70" i="39"/>
  <c r="AF70" i="39"/>
  <c r="AG70" i="39"/>
  <c r="AH70" i="39"/>
  <c r="AI70" i="39"/>
  <c r="AJ70" i="39"/>
  <c r="AK70" i="39"/>
  <c r="AL70" i="39"/>
  <c r="AM70" i="39"/>
  <c r="AN70" i="39"/>
  <c r="AA71" i="39"/>
  <c r="AB71" i="39"/>
  <c r="AC71" i="39"/>
  <c r="AD71" i="39"/>
  <c r="AE71" i="39"/>
  <c r="AF71" i="39"/>
  <c r="AG71" i="39"/>
  <c r="AH71" i="39"/>
  <c r="AI71" i="39"/>
  <c r="AJ71" i="39"/>
  <c r="AK71" i="39"/>
  <c r="AL71" i="39"/>
  <c r="AM71" i="39"/>
  <c r="AN71" i="39"/>
  <c r="AA72" i="39"/>
  <c r="AB72" i="39"/>
  <c r="AC72" i="39"/>
  <c r="AD72" i="39"/>
  <c r="AE72" i="39"/>
  <c r="AF72" i="39"/>
  <c r="AG72" i="39"/>
  <c r="AH72" i="39"/>
  <c r="AI72" i="39"/>
  <c r="AJ72" i="39"/>
  <c r="AK72" i="39"/>
  <c r="AL72" i="39"/>
  <c r="AM72" i="39"/>
  <c r="AN72" i="39"/>
  <c r="AA73" i="39"/>
  <c r="AB73" i="39"/>
  <c r="AC73" i="39"/>
  <c r="AD73" i="39"/>
  <c r="AE73" i="39"/>
  <c r="AF73" i="39"/>
  <c r="AG73" i="39"/>
  <c r="AH73" i="39"/>
  <c r="AI73" i="39"/>
  <c r="AJ73" i="39"/>
  <c r="AK73" i="39"/>
  <c r="AL73" i="39"/>
  <c r="AM73" i="39"/>
  <c r="AN73" i="39"/>
  <c r="AA74" i="39"/>
  <c r="AB74" i="39"/>
  <c r="AC74" i="39"/>
  <c r="AD74" i="39"/>
  <c r="AE74" i="39"/>
  <c r="AF74" i="39"/>
  <c r="AG74" i="39"/>
  <c r="AH74" i="39"/>
  <c r="AI74" i="39"/>
  <c r="AJ74" i="39"/>
  <c r="AK74" i="39"/>
  <c r="AL74" i="39"/>
  <c r="AM74" i="39"/>
  <c r="AN74" i="39"/>
  <c r="AA75" i="39"/>
  <c r="AB75" i="39"/>
  <c r="AC75" i="39"/>
  <c r="AD75" i="39"/>
  <c r="AE75" i="39"/>
  <c r="AF75" i="39"/>
  <c r="AG75" i="39"/>
  <c r="AH75" i="39"/>
  <c r="AI75" i="39"/>
  <c r="AJ75" i="39"/>
  <c r="AK75" i="39"/>
  <c r="AL75" i="39"/>
  <c r="AM75" i="39"/>
  <c r="AN75" i="39"/>
  <c r="AA76" i="39"/>
  <c r="AB76" i="39"/>
  <c r="AC76" i="39"/>
  <c r="AD76" i="39"/>
  <c r="AE76" i="39"/>
  <c r="AF76" i="39"/>
  <c r="AG76" i="39"/>
  <c r="AH76" i="39"/>
  <c r="AI76" i="39"/>
  <c r="AJ76" i="39"/>
  <c r="AK76" i="39"/>
  <c r="AL76" i="39"/>
  <c r="AM76" i="39"/>
  <c r="AN76" i="39"/>
  <c r="AA77" i="39"/>
  <c r="AB77" i="39"/>
  <c r="AC77" i="39"/>
  <c r="AD77" i="39"/>
  <c r="AE77" i="39"/>
  <c r="AF77" i="39"/>
  <c r="AG77" i="39"/>
  <c r="AH77" i="39"/>
  <c r="AI77" i="39"/>
  <c r="AJ77" i="39"/>
  <c r="AK77" i="39"/>
  <c r="AL77" i="39"/>
  <c r="AM77" i="39"/>
  <c r="AN77" i="39"/>
  <c r="AA78" i="39"/>
  <c r="AB78" i="39"/>
  <c r="AC78" i="39"/>
  <c r="AD78" i="39"/>
  <c r="AE78" i="39"/>
  <c r="AF78" i="39"/>
  <c r="AG78" i="39"/>
  <c r="AH78" i="39"/>
  <c r="AI78" i="39"/>
  <c r="AJ78" i="39"/>
  <c r="AK78" i="39"/>
  <c r="AL78" i="39"/>
  <c r="AM78" i="39"/>
  <c r="AN78" i="39"/>
  <c r="AA79" i="39"/>
  <c r="AB79" i="39"/>
  <c r="AC79" i="39"/>
  <c r="AD79" i="39"/>
  <c r="AE79" i="39"/>
  <c r="AF79" i="39"/>
  <c r="AG79" i="39"/>
  <c r="AH79" i="39"/>
  <c r="AI79" i="39"/>
  <c r="AJ79" i="39"/>
  <c r="AK79" i="39"/>
  <c r="AL79" i="39"/>
  <c r="AM79" i="39"/>
  <c r="AN79" i="39"/>
  <c r="AA80" i="39"/>
  <c r="AB80" i="39"/>
  <c r="AC80" i="39"/>
  <c r="AD80" i="39"/>
  <c r="AE80" i="39"/>
  <c r="AF80" i="39"/>
  <c r="AG80" i="39"/>
  <c r="AH80" i="39"/>
  <c r="AI80" i="39"/>
  <c r="AJ80" i="39"/>
  <c r="AK80" i="39"/>
  <c r="AL80" i="39"/>
  <c r="AM80" i="39"/>
  <c r="AN80" i="39"/>
  <c r="AA81" i="39"/>
  <c r="AB81" i="39"/>
  <c r="AC81" i="39"/>
  <c r="AD81" i="39"/>
  <c r="AE81" i="39"/>
  <c r="AF81" i="39"/>
  <c r="AG81" i="39"/>
  <c r="AH81" i="39"/>
  <c r="AI81" i="39"/>
  <c r="AJ81" i="39"/>
  <c r="AK81" i="39"/>
  <c r="AL81" i="39"/>
  <c r="AM81" i="39"/>
  <c r="AN81" i="39"/>
  <c r="AA82" i="39"/>
  <c r="AB82" i="39"/>
  <c r="AC82" i="39"/>
  <c r="AD82" i="39"/>
  <c r="AE82" i="39"/>
  <c r="AF82" i="39"/>
  <c r="AG82" i="39"/>
  <c r="AH82" i="39"/>
  <c r="AI82" i="39"/>
  <c r="AJ82" i="39"/>
  <c r="AK82" i="39"/>
  <c r="AL82" i="39"/>
  <c r="AM82" i="39"/>
  <c r="AN82" i="39"/>
  <c r="AA83" i="39"/>
  <c r="AB83" i="39"/>
  <c r="AC83" i="39"/>
  <c r="AD83" i="39"/>
  <c r="AE83" i="39"/>
  <c r="AF83" i="39"/>
  <c r="AG83" i="39"/>
  <c r="AH83" i="39"/>
  <c r="AI83" i="39"/>
  <c r="AJ83" i="39"/>
  <c r="AK83" i="39"/>
  <c r="AL83" i="39"/>
  <c r="AM83" i="39"/>
  <c r="AN83" i="39"/>
  <c r="AA84" i="39"/>
  <c r="AB84" i="39"/>
  <c r="AC84" i="39"/>
  <c r="AD84" i="39"/>
  <c r="AE84" i="39"/>
  <c r="AF84" i="39"/>
  <c r="AG84" i="39"/>
  <c r="AH84" i="39"/>
  <c r="AI84" i="39"/>
  <c r="AJ84" i="39"/>
  <c r="AK84" i="39"/>
  <c r="AL84" i="39"/>
  <c r="AM84" i="39"/>
  <c r="AN84" i="39"/>
  <c r="AA85" i="39"/>
  <c r="AB85" i="39"/>
  <c r="AC85" i="39"/>
  <c r="AD85" i="39"/>
  <c r="AE85" i="39"/>
  <c r="AF85" i="39"/>
  <c r="AG85" i="39"/>
  <c r="AH85" i="39"/>
  <c r="AI85" i="39"/>
  <c r="AJ85" i="39"/>
  <c r="AK85" i="39"/>
  <c r="AL85" i="39"/>
  <c r="AM85" i="39"/>
  <c r="AN85" i="39"/>
  <c r="AA86" i="39"/>
  <c r="AB86" i="39"/>
  <c r="AC86" i="39"/>
  <c r="AD86" i="39"/>
  <c r="AE86" i="39"/>
  <c r="AF86" i="39"/>
  <c r="AG86" i="39"/>
  <c r="AH86" i="39"/>
  <c r="AI86" i="39"/>
  <c r="AJ86" i="39"/>
  <c r="AK86" i="39"/>
  <c r="AL86" i="39"/>
  <c r="AM86" i="39"/>
  <c r="AN86" i="39"/>
  <c r="AA87" i="39"/>
  <c r="AB87" i="39"/>
  <c r="AC87" i="39"/>
  <c r="AD87" i="39"/>
  <c r="AE87" i="39"/>
  <c r="AF87" i="39"/>
  <c r="AG87" i="39"/>
  <c r="AH87" i="39"/>
  <c r="AI87" i="39"/>
  <c r="AJ87" i="39"/>
  <c r="AK87" i="39"/>
  <c r="AL87" i="39"/>
  <c r="AM87" i="39"/>
  <c r="AN87" i="39"/>
  <c r="AA88" i="39"/>
  <c r="AB88" i="39"/>
  <c r="AC88" i="39"/>
  <c r="AD88" i="39"/>
  <c r="AE88" i="39"/>
  <c r="AF88" i="39"/>
  <c r="AG88" i="39"/>
  <c r="AH88" i="39"/>
  <c r="AI88" i="39"/>
  <c r="AJ88" i="39"/>
  <c r="AK88" i="39"/>
  <c r="AL88" i="39"/>
  <c r="AM88" i="39"/>
  <c r="AN88" i="39"/>
  <c r="AA89" i="39"/>
  <c r="AB89" i="39"/>
  <c r="AC89" i="39"/>
  <c r="AD89" i="39"/>
  <c r="AE89" i="39"/>
  <c r="AF89" i="39"/>
  <c r="AG89" i="39"/>
  <c r="AH89" i="39"/>
  <c r="AI89" i="39"/>
  <c r="AJ89" i="39"/>
  <c r="AK89" i="39"/>
  <c r="AL89" i="39"/>
  <c r="AM89" i="39"/>
  <c r="AN89" i="39"/>
  <c r="AA90" i="39"/>
  <c r="AB90" i="39"/>
  <c r="AC90" i="39"/>
  <c r="AD90" i="39"/>
  <c r="AE90" i="39"/>
  <c r="AF90" i="39"/>
  <c r="AG90" i="39"/>
  <c r="AH90" i="39"/>
  <c r="AI90" i="39"/>
  <c r="AJ90" i="39"/>
  <c r="AK90" i="39"/>
  <c r="AL90" i="39"/>
  <c r="AM90" i="39"/>
  <c r="AN90" i="39"/>
  <c r="AA91" i="39"/>
  <c r="AB91" i="39"/>
  <c r="AC91" i="39"/>
  <c r="AD91" i="39"/>
  <c r="AE91" i="39"/>
  <c r="AF91" i="39"/>
  <c r="AG91" i="39"/>
  <c r="AH91" i="39"/>
  <c r="AI91" i="39"/>
  <c r="AJ91" i="39"/>
  <c r="AK91" i="39"/>
  <c r="AL91" i="39"/>
  <c r="AM91" i="39"/>
  <c r="AN91" i="39"/>
  <c r="AA92" i="39"/>
  <c r="AB92" i="39"/>
  <c r="AC92" i="39"/>
  <c r="AD92" i="39"/>
  <c r="AE92" i="39"/>
  <c r="AF92" i="39"/>
  <c r="AG92" i="39"/>
  <c r="AH92" i="39"/>
  <c r="AI92" i="39"/>
  <c r="AJ92" i="39"/>
  <c r="AK92" i="39"/>
  <c r="AL92" i="39"/>
  <c r="AM92" i="39"/>
  <c r="AN92" i="39"/>
  <c r="AA93" i="39"/>
  <c r="AB93" i="39"/>
  <c r="AC93" i="39"/>
  <c r="AD93" i="39"/>
  <c r="AE93" i="39"/>
  <c r="AF93" i="39"/>
  <c r="AG93" i="39"/>
  <c r="AH93" i="39"/>
  <c r="AI93" i="39"/>
  <c r="AJ93" i="39"/>
  <c r="AK93" i="39"/>
  <c r="AL93" i="39"/>
  <c r="AM93" i="39"/>
  <c r="AN93" i="39"/>
  <c r="AA94" i="39"/>
  <c r="AB94" i="39"/>
  <c r="AC94" i="39"/>
  <c r="AD94" i="39"/>
  <c r="AE94" i="39"/>
  <c r="AF94" i="39"/>
  <c r="AG94" i="39"/>
  <c r="AH94" i="39"/>
  <c r="AI94" i="39"/>
  <c r="AJ94" i="39"/>
  <c r="AK94" i="39"/>
  <c r="AL94" i="39"/>
  <c r="AM94" i="39"/>
  <c r="AN94" i="39"/>
  <c r="AA95" i="39"/>
  <c r="AB95" i="39"/>
  <c r="AC95" i="39"/>
  <c r="AD95" i="39"/>
  <c r="AE95" i="39"/>
  <c r="AF95" i="39"/>
  <c r="AG95" i="39"/>
  <c r="AH95" i="39"/>
  <c r="AI95" i="39"/>
  <c r="AJ95" i="39"/>
  <c r="AK95" i="39"/>
  <c r="AL95" i="39"/>
  <c r="AM95" i="39"/>
  <c r="AN95" i="39"/>
  <c r="AA96" i="39"/>
  <c r="AB96" i="39"/>
  <c r="AC96" i="39"/>
  <c r="AD96" i="39"/>
  <c r="AE96" i="39"/>
  <c r="AF96" i="39"/>
  <c r="AG96" i="39"/>
  <c r="AH96" i="39"/>
  <c r="AI96" i="39"/>
  <c r="AJ96" i="39"/>
  <c r="AK96" i="39"/>
  <c r="AL96" i="39"/>
  <c r="AM96" i="39"/>
  <c r="AN96" i="39"/>
  <c r="AA97" i="39"/>
  <c r="AB97" i="39"/>
  <c r="AC97" i="39"/>
  <c r="AD97" i="39"/>
  <c r="AE97" i="39"/>
  <c r="AF97" i="39"/>
  <c r="AG97" i="39"/>
  <c r="AH97" i="39"/>
  <c r="AI97" i="39"/>
  <c r="AJ97" i="39"/>
  <c r="AK97" i="39"/>
  <c r="AL97" i="39"/>
  <c r="AM97" i="39"/>
  <c r="AN97" i="39"/>
  <c r="AA98" i="39"/>
  <c r="AB98" i="39"/>
  <c r="AC98" i="39"/>
  <c r="AD98" i="39"/>
  <c r="AE98" i="39"/>
  <c r="AF98" i="39"/>
  <c r="AG98" i="39"/>
  <c r="AH98" i="39"/>
  <c r="AI98" i="39"/>
  <c r="AJ98" i="39"/>
  <c r="AK98" i="39"/>
  <c r="AL98" i="39"/>
  <c r="AM98" i="39"/>
  <c r="AN98" i="39"/>
  <c r="AA99" i="39"/>
  <c r="AB99" i="39"/>
  <c r="AC99" i="39"/>
  <c r="AD99" i="39"/>
  <c r="AE99" i="39"/>
  <c r="AF99" i="39"/>
  <c r="AG99" i="39"/>
  <c r="AH99" i="39"/>
  <c r="AI99" i="39"/>
  <c r="AJ99" i="39"/>
  <c r="AK99" i="39"/>
  <c r="AL99" i="39"/>
  <c r="AM99" i="39"/>
  <c r="AN99" i="39"/>
  <c r="AA100" i="39"/>
  <c r="AB100" i="39"/>
  <c r="AC100" i="39"/>
  <c r="AD100" i="39"/>
  <c r="AE100" i="39"/>
  <c r="AF100" i="39"/>
  <c r="AG100" i="39"/>
  <c r="AH100" i="39"/>
  <c r="AI100" i="39"/>
  <c r="AJ100" i="39"/>
  <c r="AK100" i="39"/>
  <c r="AL100" i="39"/>
  <c r="AM100" i="39"/>
  <c r="AN100" i="39"/>
  <c r="AA101" i="39"/>
  <c r="AB101" i="39"/>
  <c r="AC101" i="39"/>
  <c r="AD101" i="39"/>
  <c r="AE101" i="39"/>
  <c r="AF101" i="39"/>
  <c r="AG101" i="39"/>
  <c r="AH101" i="39"/>
  <c r="AI101" i="39"/>
  <c r="AJ101" i="39"/>
  <c r="AK101" i="39"/>
  <c r="AL101" i="39"/>
  <c r="AM101" i="39"/>
  <c r="AN101" i="39"/>
  <c r="AA102" i="39"/>
  <c r="AB102" i="39"/>
  <c r="AC102" i="39"/>
  <c r="AD102" i="39"/>
  <c r="AE102" i="39"/>
  <c r="AF102" i="39"/>
  <c r="AG102" i="39"/>
  <c r="AH102" i="39"/>
  <c r="AI102" i="39"/>
  <c r="AJ102" i="39"/>
  <c r="AK102" i="39"/>
  <c r="AL102" i="39"/>
  <c r="AM102" i="39"/>
  <c r="AN102" i="39"/>
  <c r="AA103" i="39"/>
  <c r="AB103" i="39"/>
  <c r="AC103" i="39"/>
  <c r="AD103" i="39"/>
  <c r="AE103" i="39"/>
  <c r="AF103" i="39"/>
  <c r="AG103" i="39"/>
  <c r="AH103" i="39"/>
  <c r="AI103" i="39"/>
  <c r="AJ103" i="39"/>
  <c r="AK103" i="39"/>
  <c r="AL103" i="39"/>
  <c r="AM103" i="39"/>
  <c r="AN103" i="39"/>
  <c r="AA104" i="39"/>
  <c r="AB104" i="39"/>
  <c r="AC104" i="39"/>
  <c r="AD104" i="39"/>
  <c r="AE104" i="39"/>
  <c r="AF104" i="39"/>
  <c r="AG104" i="39"/>
  <c r="AH104" i="39"/>
  <c r="AI104" i="39"/>
  <c r="AJ104" i="39"/>
  <c r="AK104" i="39"/>
  <c r="AL104" i="39"/>
  <c r="AM104" i="39"/>
  <c r="AN104" i="39"/>
  <c r="AA105" i="39"/>
  <c r="AB105" i="39"/>
  <c r="AC105" i="39"/>
  <c r="AD105" i="39"/>
  <c r="AE105" i="39"/>
  <c r="AF105" i="39"/>
  <c r="AG105" i="39"/>
  <c r="AH105" i="39"/>
  <c r="AI105" i="39"/>
  <c r="AJ105" i="39"/>
  <c r="AK105" i="39"/>
  <c r="AL105" i="39"/>
  <c r="AM105" i="39"/>
  <c r="AN105" i="39"/>
  <c r="AA106" i="39"/>
  <c r="AB106" i="39"/>
  <c r="AC106" i="39"/>
  <c r="AD106" i="39"/>
  <c r="AE106" i="39"/>
  <c r="AF106" i="39"/>
  <c r="AG106" i="39"/>
  <c r="AH106" i="39"/>
  <c r="AI106" i="39"/>
  <c r="AJ106" i="39"/>
  <c r="AK106" i="39"/>
  <c r="AL106" i="39"/>
  <c r="AM106" i="39"/>
  <c r="AN106" i="39"/>
  <c r="AA107" i="39"/>
  <c r="AB107" i="39"/>
  <c r="AC107" i="39"/>
  <c r="AD107" i="39"/>
  <c r="AE107" i="39"/>
  <c r="AF107" i="39"/>
  <c r="AG107" i="39"/>
  <c r="AH107" i="39"/>
  <c r="AI107" i="39"/>
  <c r="AJ107" i="39"/>
  <c r="AK107" i="39"/>
  <c r="AL107" i="39"/>
  <c r="AM107" i="39"/>
  <c r="AN107" i="39"/>
  <c r="AA108" i="39"/>
  <c r="AB108" i="39"/>
  <c r="AC108" i="39"/>
  <c r="AD108" i="39"/>
  <c r="AE108" i="39"/>
  <c r="AF108" i="39"/>
  <c r="AG108" i="39"/>
  <c r="AH108" i="39"/>
  <c r="AI108" i="39"/>
  <c r="AJ108" i="39"/>
  <c r="AK108" i="39"/>
  <c r="AL108" i="39"/>
  <c r="AM108" i="39"/>
  <c r="AN108" i="39"/>
  <c r="AA109" i="39"/>
  <c r="AB109" i="39"/>
  <c r="AC109" i="39"/>
  <c r="AD109" i="39"/>
  <c r="AE109" i="39"/>
  <c r="AF109" i="39"/>
  <c r="AG109" i="39"/>
  <c r="AH109" i="39"/>
  <c r="AI109" i="39"/>
  <c r="AJ109" i="39"/>
  <c r="AK109" i="39"/>
  <c r="AL109" i="39"/>
  <c r="AM109" i="39"/>
  <c r="AN109" i="39"/>
  <c r="AA110" i="39"/>
  <c r="AB110" i="39"/>
  <c r="AC110" i="39"/>
  <c r="AD110" i="39"/>
  <c r="AE110" i="39"/>
  <c r="AF110" i="39"/>
  <c r="AG110" i="39"/>
  <c r="AH110" i="39"/>
  <c r="AI110" i="39"/>
  <c r="AJ110" i="39"/>
  <c r="AK110" i="39"/>
  <c r="AL110" i="39"/>
  <c r="AM110" i="39"/>
  <c r="AN110" i="39"/>
  <c r="AA111" i="39"/>
  <c r="AB111" i="39"/>
  <c r="AC111" i="39"/>
  <c r="AD111" i="39"/>
  <c r="AE111" i="39"/>
  <c r="AF111" i="39"/>
  <c r="AG111" i="39"/>
  <c r="AH111" i="39"/>
  <c r="AI111" i="39"/>
  <c r="AJ111" i="39"/>
  <c r="AK111" i="39"/>
  <c r="AL111" i="39"/>
  <c r="AM111" i="39"/>
  <c r="AN111" i="39"/>
  <c r="AA112" i="39"/>
  <c r="AB112" i="39"/>
  <c r="AC112" i="39"/>
  <c r="AD112" i="39"/>
  <c r="AE112" i="39"/>
  <c r="AF112" i="39"/>
  <c r="AG112" i="39"/>
  <c r="AH112" i="39"/>
  <c r="AI112" i="39"/>
  <c r="AJ112" i="39"/>
  <c r="AK112" i="39"/>
  <c r="AL112" i="39"/>
  <c r="AM112" i="39"/>
  <c r="AN112" i="39"/>
  <c r="AA113" i="39"/>
  <c r="AB113" i="39"/>
  <c r="AC113" i="39"/>
  <c r="AD113" i="39"/>
  <c r="AE113" i="39"/>
  <c r="AF113" i="39"/>
  <c r="AG113" i="39"/>
  <c r="AH113" i="39"/>
  <c r="AI113" i="39"/>
  <c r="AJ113" i="39"/>
  <c r="AK113" i="39"/>
  <c r="AL113" i="39"/>
  <c r="AM113" i="39"/>
  <c r="AN113" i="39"/>
  <c r="AA114" i="39"/>
  <c r="AB114" i="39"/>
  <c r="AC114" i="39"/>
  <c r="AD114" i="39"/>
  <c r="AE114" i="39"/>
  <c r="AF114" i="39"/>
  <c r="AG114" i="39"/>
  <c r="AH114" i="39"/>
  <c r="AI114" i="39"/>
  <c r="AJ114" i="39"/>
  <c r="AK114" i="39"/>
  <c r="AL114" i="39"/>
  <c r="AM114" i="39"/>
  <c r="AN114" i="39"/>
  <c r="AA115" i="39"/>
  <c r="AB115" i="39"/>
  <c r="AC115" i="39"/>
  <c r="AD115" i="39"/>
  <c r="AE115" i="39"/>
  <c r="AF115" i="39"/>
  <c r="AG115" i="39"/>
  <c r="AH115" i="39"/>
  <c r="AI115" i="39"/>
  <c r="AJ115" i="39"/>
  <c r="AK115" i="39"/>
  <c r="AL115" i="39"/>
  <c r="AM115" i="39"/>
  <c r="AN115" i="39"/>
  <c r="AA116" i="39"/>
  <c r="AB116" i="39"/>
  <c r="AC116" i="39"/>
  <c r="AD116" i="39"/>
  <c r="AE116" i="39"/>
  <c r="AF116" i="39"/>
  <c r="AG116" i="39"/>
  <c r="AH116" i="39"/>
  <c r="AI116" i="39"/>
  <c r="AJ116" i="39"/>
  <c r="AK116" i="39"/>
  <c r="AL116" i="39"/>
  <c r="AM116" i="39"/>
  <c r="AN116" i="39"/>
  <c r="AA117" i="39"/>
  <c r="AB117" i="39"/>
  <c r="AC117" i="39"/>
  <c r="AD117" i="39"/>
  <c r="AE117" i="39"/>
  <c r="AF117" i="39"/>
  <c r="AG117" i="39"/>
  <c r="AH117" i="39"/>
  <c r="AI117" i="39"/>
  <c r="AJ117" i="39"/>
  <c r="AK117" i="39"/>
  <c r="AL117" i="39"/>
  <c r="AM117" i="39"/>
  <c r="AN117" i="39"/>
  <c r="AA118" i="39"/>
  <c r="AB118" i="39"/>
  <c r="AC118" i="39"/>
  <c r="AD118" i="39"/>
  <c r="AE118" i="39"/>
  <c r="AF118" i="39"/>
  <c r="AG118" i="39"/>
  <c r="AH118" i="39"/>
  <c r="AI118" i="39"/>
  <c r="AJ118" i="39"/>
  <c r="AK118" i="39"/>
  <c r="AL118" i="39"/>
  <c r="AM118" i="39"/>
  <c r="AN118" i="39"/>
  <c r="AA119" i="39"/>
  <c r="AB119" i="39"/>
  <c r="AC119" i="39"/>
  <c r="AD119" i="39"/>
  <c r="AE119" i="39"/>
  <c r="AF119" i="39"/>
  <c r="AG119" i="39"/>
  <c r="AH119" i="39"/>
  <c r="AI119" i="39"/>
  <c r="AJ119" i="39"/>
  <c r="AK119" i="39"/>
  <c r="AL119" i="39"/>
  <c r="AM119" i="39"/>
  <c r="AN119" i="39"/>
  <c r="AA120" i="39"/>
  <c r="AB120" i="39"/>
  <c r="AC120" i="39"/>
  <c r="AD120" i="39"/>
  <c r="AE120" i="39"/>
  <c r="AF120" i="39"/>
  <c r="AG120" i="39"/>
  <c r="AH120" i="39"/>
  <c r="AI120" i="39"/>
  <c r="AJ120" i="39"/>
  <c r="AK120" i="39"/>
  <c r="AL120" i="39"/>
  <c r="AM120" i="39"/>
  <c r="AN120" i="39"/>
  <c r="AA121" i="39"/>
  <c r="AB121" i="39"/>
  <c r="AC121" i="39"/>
  <c r="AD121" i="39"/>
  <c r="AE121" i="39"/>
  <c r="AF121" i="39"/>
  <c r="AG121" i="39"/>
  <c r="AH121" i="39"/>
  <c r="AI121" i="39"/>
  <c r="AJ121" i="39"/>
  <c r="AK121" i="39"/>
  <c r="AL121" i="39"/>
  <c r="AM121" i="39"/>
  <c r="AN121" i="39"/>
  <c r="AA122" i="39"/>
  <c r="AB122" i="39"/>
  <c r="AC122" i="39"/>
  <c r="AD122" i="39"/>
  <c r="AE122" i="39"/>
  <c r="AF122" i="39"/>
  <c r="AG122" i="39"/>
  <c r="AH122" i="39"/>
  <c r="AI122" i="39"/>
  <c r="AJ122" i="39"/>
  <c r="AK122" i="39"/>
  <c r="AL122" i="39"/>
  <c r="AM122" i="39"/>
  <c r="AN122" i="39"/>
  <c r="AA123" i="39"/>
  <c r="AB123" i="39"/>
  <c r="AC123" i="39"/>
  <c r="AD123" i="39"/>
  <c r="AE123" i="39"/>
  <c r="AF123" i="39"/>
  <c r="AG123" i="39"/>
  <c r="AH123" i="39"/>
  <c r="AI123" i="39"/>
  <c r="AJ123" i="39"/>
  <c r="AK123" i="39"/>
  <c r="AL123" i="39"/>
  <c r="AM123" i="39"/>
  <c r="AN123" i="39"/>
  <c r="AA124" i="39"/>
  <c r="AB124" i="39"/>
  <c r="AC124" i="39"/>
  <c r="AD124" i="39"/>
  <c r="AE124" i="39"/>
  <c r="AF124" i="39"/>
  <c r="AG124" i="39"/>
  <c r="AH124" i="39"/>
  <c r="AI124" i="39"/>
  <c r="AJ124" i="39"/>
  <c r="AK124" i="39"/>
  <c r="AL124" i="39"/>
  <c r="AM124" i="39"/>
  <c r="AN124" i="39"/>
  <c r="AA125" i="39"/>
  <c r="AB125" i="39"/>
  <c r="AC125" i="39"/>
  <c r="AD125" i="39"/>
  <c r="AE125" i="39"/>
  <c r="AF125" i="39"/>
  <c r="AG125" i="39"/>
  <c r="AH125" i="39"/>
  <c r="AI125" i="39"/>
  <c r="AJ125" i="39"/>
  <c r="AK125" i="39"/>
  <c r="AL125" i="39"/>
  <c r="AM125" i="39"/>
  <c r="AN125" i="39"/>
  <c r="AA126" i="39"/>
  <c r="AB126" i="39"/>
  <c r="AC126" i="39"/>
  <c r="AD126" i="39"/>
  <c r="AE126" i="39"/>
  <c r="AF126" i="39"/>
  <c r="AG126" i="39"/>
  <c r="AH126" i="39"/>
  <c r="AI126" i="39"/>
  <c r="AJ126" i="39"/>
  <c r="AK126" i="39"/>
  <c r="AL126" i="39"/>
  <c r="AM126" i="39"/>
  <c r="AN126" i="39"/>
  <c r="AA127" i="39"/>
  <c r="AB127" i="39"/>
  <c r="AC127" i="39"/>
  <c r="AD127" i="39"/>
  <c r="AE127" i="39"/>
  <c r="AF127" i="39"/>
  <c r="AG127" i="39"/>
  <c r="AH127" i="39"/>
  <c r="AI127" i="39"/>
  <c r="AJ127" i="39"/>
  <c r="AK127" i="39"/>
  <c r="AL127" i="39"/>
  <c r="AM127" i="39"/>
  <c r="AN127" i="39"/>
  <c r="AA128" i="39"/>
  <c r="AB128" i="39"/>
  <c r="AC128" i="39"/>
  <c r="AD128" i="39"/>
  <c r="AE128" i="39"/>
  <c r="AF128" i="39"/>
  <c r="AG128" i="39"/>
  <c r="AH128" i="39"/>
  <c r="AI128" i="39"/>
  <c r="AJ128" i="39"/>
  <c r="AK128" i="39"/>
  <c r="AL128" i="39"/>
  <c r="AM128" i="39"/>
  <c r="AN128" i="39"/>
  <c r="AA129" i="39"/>
  <c r="AB129" i="39"/>
  <c r="AC129" i="39"/>
  <c r="AD129" i="39"/>
  <c r="AE129" i="39"/>
  <c r="AF129" i="39"/>
  <c r="AG129" i="39"/>
  <c r="AH129" i="39"/>
  <c r="AI129" i="39"/>
  <c r="AJ129" i="39"/>
  <c r="AK129" i="39"/>
  <c r="AL129" i="39"/>
  <c r="AM129" i="39"/>
  <c r="AN129" i="39"/>
  <c r="AA130" i="39"/>
  <c r="AB130" i="39"/>
  <c r="AC130" i="39"/>
  <c r="AD130" i="39"/>
  <c r="AE130" i="39"/>
  <c r="AF130" i="39"/>
  <c r="AG130" i="39"/>
  <c r="AH130" i="39"/>
  <c r="AI130" i="39"/>
  <c r="AJ130" i="39"/>
  <c r="AK130" i="39"/>
  <c r="AL130" i="39"/>
  <c r="AM130" i="39"/>
  <c r="AN130" i="39"/>
  <c r="AA131" i="39"/>
  <c r="AB131" i="39"/>
  <c r="AC131" i="39"/>
  <c r="AD131" i="39"/>
  <c r="AE131" i="39"/>
  <c r="AF131" i="39"/>
  <c r="AG131" i="39"/>
  <c r="AH131" i="39"/>
  <c r="AI131" i="39"/>
  <c r="AJ131" i="39"/>
  <c r="AK131" i="39"/>
  <c r="AL131" i="39"/>
  <c r="AM131" i="39"/>
  <c r="AN131" i="39"/>
  <c r="AA132" i="39"/>
  <c r="AB132" i="39"/>
  <c r="AC132" i="39"/>
  <c r="AD132" i="39"/>
  <c r="AE132" i="39"/>
  <c r="AF132" i="39"/>
  <c r="AG132" i="39"/>
  <c r="AH132" i="39"/>
  <c r="AI132" i="39"/>
  <c r="AJ132" i="39"/>
  <c r="AK132" i="39"/>
  <c r="AL132" i="39"/>
  <c r="AM132" i="39"/>
  <c r="AN132" i="39"/>
  <c r="AA133" i="39"/>
  <c r="AB133" i="39"/>
  <c r="AC133" i="39"/>
  <c r="AD133" i="39"/>
  <c r="AE133" i="39"/>
  <c r="AF133" i="39"/>
  <c r="AG133" i="39"/>
  <c r="AH133" i="39"/>
  <c r="AI133" i="39"/>
  <c r="AJ133" i="39"/>
  <c r="AK133" i="39"/>
  <c r="AL133" i="39"/>
  <c r="AM133" i="39"/>
  <c r="AN133" i="39"/>
  <c r="AA134" i="39"/>
  <c r="AB134" i="39"/>
  <c r="AC134" i="39"/>
  <c r="AD134" i="39"/>
  <c r="AE134" i="39"/>
  <c r="AF134" i="39"/>
  <c r="AG134" i="39"/>
  <c r="AH134" i="39"/>
  <c r="AI134" i="39"/>
  <c r="AJ134" i="39"/>
  <c r="AK134" i="39"/>
  <c r="AL134" i="39"/>
  <c r="AM134" i="39"/>
  <c r="AN134" i="39"/>
  <c r="AA135" i="39"/>
  <c r="AB135" i="39"/>
  <c r="AC135" i="39"/>
  <c r="AD135" i="39"/>
  <c r="AE135" i="39"/>
  <c r="AF135" i="39"/>
  <c r="AG135" i="39"/>
  <c r="AH135" i="39"/>
  <c r="AI135" i="39"/>
  <c r="AJ135" i="39"/>
  <c r="AK135" i="39"/>
  <c r="AL135" i="39"/>
  <c r="AM135" i="39"/>
  <c r="AN135" i="39"/>
  <c r="AA136" i="39"/>
  <c r="AB136" i="39"/>
  <c r="AC136" i="39"/>
  <c r="AD136" i="39"/>
  <c r="AE136" i="39"/>
  <c r="AF136" i="39"/>
  <c r="AG136" i="39"/>
  <c r="AH136" i="39"/>
  <c r="AI136" i="39"/>
  <c r="AJ136" i="39"/>
  <c r="AK136" i="39"/>
  <c r="AL136" i="39"/>
  <c r="AM136" i="39"/>
  <c r="AN136" i="39"/>
  <c r="AA137" i="39"/>
  <c r="AB137" i="39"/>
  <c r="AC137" i="39"/>
  <c r="AD137" i="39"/>
  <c r="AE137" i="39"/>
  <c r="AF137" i="39"/>
  <c r="AG137" i="39"/>
  <c r="AH137" i="39"/>
  <c r="AI137" i="39"/>
  <c r="AJ137" i="39"/>
  <c r="AK137" i="39"/>
  <c r="AL137" i="39"/>
  <c r="AM137" i="39"/>
  <c r="AN137" i="39"/>
  <c r="AA138" i="39"/>
  <c r="AB138" i="39"/>
  <c r="AC138" i="39"/>
  <c r="AD138" i="39"/>
  <c r="AE138" i="39"/>
  <c r="AF138" i="39"/>
  <c r="AG138" i="39"/>
  <c r="AH138" i="39"/>
  <c r="AI138" i="39"/>
  <c r="AJ138" i="39"/>
  <c r="AK138" i="39"/>
  <c r="AL138" i="39"/>
  <c r="AM138" i="39"/>
  <c r="AN138" i="39"/>
  <c r="AA139" i="39"/>
  <c r="AB139" i="39"/>
  <c r="AC139" i="39"/>
  <c r="AD139" i="39"/>
  <c r="AE139" i="39"/>
  <c r="AF139" i="39"/>
  <c r="AG139" i="39"/>
  <c r="AH139" i="39"/>
  <c r="AI139" i="39"/>
  <c r="AJ139" i="39"/>
  <c r="AK139" i="39"/>
  <c r="AL139" i="39"/>
  <c r="AM139" i="39"/>
  <c r="AN139" i="39"/>
  <c r="AA140" i="39"/>
  <c r="AB140" i="39"/>
  <c r="AC140" i="39"/>
  <c r="AD140" i="39"/>
  <c r="AE140" i="39"/>
  <c r="AF140" i="39"/>
  <c r="AG140" i="39"/>
  <c r="AH140" i="39"/>
  <c r="AI140" i="39"/>
  <c r="AJ140" i="39"/>
  <c r="AK140" i="39"/>
  <c r="AL140" i="39"/>
  <c r="AM140" i="39"/>
  <c r="AN140" i="39"/>
  <c r="AA141" i="39"/>
  <c r="AB141" i="39"/>
  <c r="AC141" i="39"/>
  <c r="AD141" i="39"/>
  <c r="AE141" i="39"/>
  <c r="AF141" i="39"/>
  <c r="AG141" i="39"/>
  <c r="AH141" i="39"/>
  <c r="AI141" i="39"/>
  <c r="AJ141" i="39"/>
  <c r="AK141" i="39"/>
  <c r="AL141" i="39"/>
  <c r="AM141" i="39"/>
  <c r="AN141" i="39"/>
  <c r="AA142" i="39"/>
  <c r="AB142" i="39"/>
  <c r="AC142" i="39"/>
  <c r="AD142" i="39"/>
  <c r="AE142" i="39"/>
  <c r="AF142" i="39"/>
  <c r="AG142" i="39"/>
  <c r="AH142" i="39"/>
  <c r="AI142" i="39"/>
  <c r="AJ142" i="39"/>
  <c r="AK142" i="39"/>
  <c r="AL142" i="39"/>
  <c r="AM142" i="39"/>
  <c r="AN142" i="39"/>
  <c r="AA143" i="39"/>
  <c r="AB143" i="39"/>
  <c r="AC143" i="39"/>
  <c r="AD143" i="39"/>
  <c r="AE143" i="39"/>
  <c r="AF143" i="39"/>
  <c r="AG143" i="39"/>
  <c r="AH143" i="39"/>
  <c r="AI143" i="39"/>
  <c r="AJ143" i="39"/>
  <c r="AK143" i="39"/>
  <c r="AL143" i="39"/>
  <c r="AM143" i="39"/>
  <c r="AN143" i="39"/>
  <c r="AA144" i="39"/>
  <c r="AB144" i="39"/>
  <c r="AC144" i="39"/>
  <c r="AD144" i="39"/>
  <c r="AE144" i="39"/>
  <c r="AF144" i="39"/>
  <c r="AG144" i="39"/>
  <c r="AH144" i="39"/>
  <c r="AI144" i="39"/>
  <c r="AJ144" i="39"/>
  <c r="AK144" i="39"/>
  <c r="AL144" i="39"/>
  <c r="AM144" i="39"/>
  <c r="AN144" i="39"/>
  <c r="AA145" i="39"/>
  <c r="AB145" i="39"/>
  <c r="AC145" i="39"/>
  <c r="AD145" i="39"/>
  <c r="AE145" i="39"/>
  <c r="AF145" i="39"/>
  <c r="AG145" i="39"/>
  <c r="AH145" i="39"/>
  <c r="AI145" i="39"/>
  <c r="AJ145" i="39"/>
  <c r="AK145" i="39"/>
  <c r="AL145" i="39"/>
  <c r="AM145" i="39"/>
  <c r="AN145" i="39"/>
  <c r="AA146" i="39"/>
  <c r="AB146" i="39"/>
  <c r="AC146" i="39"/>
  <c r="AD146" i="39"/>
  <c r="AE146" i="39"/>
  <c r="AF146" i="39"/>
  <c r="AG146" i="39"/>
  <c r="AH146" i="39"/>
  <c r="AI146" i="39"/>
  <c r="AJ146" i="39"/>
  <c r="AK146" i="39"/>
  <c r="AL146" i="39"/>
  <c r="AM146" i="39"/>
  <c r="AN146" i="39"/>
  <c r="AA147" i="39"/>
  <c r="AB147" i="39"/>
  <c r="AC147" i="39"/>
  <c r="AD147" i="39"/>
  <c r="AE147" i="39"/>
  <c r="AF147" i="39"/>
  <c r="AG147" i="39"/>
  <c r="AH147" i="39"/>
  <c r="AI147" i="39"/>
  <c r="AJ147" i="39"/>
  <c r="AK147" i="39"/>
  <c r="AL147" i="39"/>
  <c r="AM147" i="39"/>
  <c r="AN147" i="39"/>
  <c r="AA148" i="39"/>
  <c r="AB148" i="39"/>
  <c r="AC148" i="39"/>
  <c r="AD148" i="39"/>
  <c r="AE148" i="39"/>
  <c r="AF148" i="39"/>
  <c r="AG148" i="39"/>
  <c r="AH148" i="39"/>
  <c r="AI148" i="39"/>
  <c r="AJ148" i="39"/>
  <c r="AK148" i="39"/>
  <c r="AL148" i="39"/>
  <c r="AM148" i="39"/>
  <c r="AN148" i="39"/>
  <c r="AA149" i="39"/>
  <c r="AB149" i="39"/>
  <c r="AC149" i="39"/>
  <c r="AD149" i="39"/>
  <c r="AE149" i="39"/>
  <c r="AF149" i="39"/>
  <c r="AG149" i="39"/>
  <c r="AH149" i="39"/>
  <c r="AI149" i="39"/>
  <c r="AJ149" i="39"/>
  <c r="AK149" i="39"/>
  <c r="AL149" i="39"/>
  <c r="AM149" i="39"/>
  <c r="AN149" i="39"/>
  <c r="AA150" i="39"/>
  <c r="AB150" i="39"/>
  <c r="AC150" i="39"/>
  <c r="AD150" i="39"/>
  <c r="AE150" i="39"/>
  <c r="AF150" i="39"/>
  <c r="AG150" i="39"/>
  <c r="AH150" i="39"/>
  <c r="AI150" i="39"/>
  <c r="AJ150" i="39"/>
  <c r="AK150" i="39"/>
  <c r="AL150" i="39"/>
  <c r="AM150" i="39"/>
  <c r="AN150" i="39"/>
  <c r="AA151" i="39"/>
  <c r="AB151" i="39"/>
  <c r="AC151" i="39"/>
  <c r="AD151" i="39"/>
  <c r="AE151" i="39"/>
  <c r="AF151" i="39"/>
  <c r="AG151" i="39"/>
  <c r="AH151" i="39"/>
  <c r="AI151" i="39"/>
  <c r="AJ151" i="39"/>
  <c r="AK151" i="39"/>
  <c r="AL151" i="39"/>
  <c r="AM151" i="39"/>
  <c r="AN151" i="39"/>
  <c r="AA152" i="39"/>
  <c r="AB152" i="39"/>
  <c r="AC152" i="39"/>
  <c r="AD152" i="39"/>
  <c r="AE152" i="39"/>
  <c r="AF152" i="39"/>
  <c r="AG152" i="39"/>
  <c r="AH152" i="39"/>
  <c r="AI152" i="39"/>
  <c r="AJ152" i="39"/>
  <c r="AK152" i="39"/>
  <c r="AL152" i="39"/>
  <c r="AM152" i="39"/>
  <c r="AN152" i="39"/>
  <c r="AA153" i="39"/>
  <c r="AB153" i="39"/>
  <c r="AC153" i="39"/>
  <c r="AD153" i="39"/>
  <c r="AE153" i="39"/>
  <c r="AF153" i="39"/>
  <c r="AG153" i="39"/>
  <c r="AH153" i="39"/>
  <c r="AI153" i="39"/>
  <c r="AJ153" i="39"/>
  <c r="AK153" i="39"/>
  <c r="AL153" i="39"/>
  <c r="AM153" i="39"/>
  <c r="AN153" i="39"/>
  <c r="AA154" i="39"/>
  <c r="AB154" i="39"/>
  <c r="AC154" i="39"/>
  <c r="AD154" i="39"/>
  <c r="AE154" i="39"/>
  <c r="AF154" i="39"/>
  <c r="AG154" i="39"/>
  <c r="AH154" i="39"/>
  <c r="AI154" i="39"/>
  <c r="AJ154" i="39"/>
  <c r="AK154" i="39"/>
  <c r="AL154" i="39"/>
  <c r="AM154" i="39"/>
  <c r="AN154" i="39"/>
  <c r="AA155" i="39"/>
  <c r="AB155" i="39"/>
  <c r="AC155" i="39"/>
  <c r="AD155" i="39"/>
  <c r="AE155" i="39"/>
  <c r="AF155" i="39"/>
  <c r="AG155" i="39"/>
  <c r="AH155" i="39"/>
  <c r="AI155" i="39"/>
  <c r="AJ155" i="39"/>
  <c r="AK155" i="39"/>
  <c r="AL155" i="39"/>
  <c r="AM155" i="39"/>
  <c r="AN155" i="39"/>
  <c r="AA156" i="39"/>
  <c r="AB156" i="39"/>
  <c r="AC156" i="39"/>
  <c r="AD156" i="39"/>
  <c r="AE156" i="39"/>
  <c r="AF156" i="39"/>
  <c r="AG156" i="39"/>
  <c r="AH156" i="39"/>
  <c r="AI156" i="39"/>
  <c r="AJ156" i="39"/>
  <c r="AK156" i="39"/>
  <c r="AL156" i="39"/>
  <c r="AM156" i="39"/>
  <c r="AN156" i="39"/>
  <c r="AA157" i="39"/>
  <c r="AB157" i="39"/>
  <c r="AC157" i="39"/>
  <c r="AD157" i="39"/>
  <c r="AE157" i="39"/>
  <c r="AF157" i="39"/>
  <c r="AG157" i="39"/>
  <c r="AH157" i="39"/>
  <c r="AI157" i="39"/>
  <c r="AJ157" i="39"/>
  <c r="AK157" i="39"/>
  <c r="AL157" i="39"/>
  <c r="AM157" i="39"/>
  <c r="AN157" i="39"/>
  <c r="AA158" i="39"/>
  <c r="AB158" i="39"/>
  <c r="AC158" i="39"/>
  <c r="AD158" i="39"/>
  <c r="AE158" i="39"/>
  <c r="AF158" i="39"/>
  <c r="AG158" i="39"/>
  <c r="AH158" i="39"/>
  <c r="AI158" i="39"/>
  <c r="AJ158" i="39"/>
  <c r="AK158" i="39"/>
  <c r="AL158" i="39"/>
  <c r="AM158" i="39"/>
  <c r="AN158" i="39"/>
  <c r="AA159" i="39"/>
  <c r="AB159" i="39"/>
  <c r="AC159" i="39"/>
  <c r="AD159" i="39"/>
  <c r="AE159" i="39"/>
  <c r="AF159" i="39"/>
  <c r="AG159" i="39"/>
  <c r="AH159" i="39"/>
  <c r="AI159" i="39"/>
  <c r="AJ159" i="39"/>
  <c r="AK159" i="39"/>
  <c r="AL159" i="39"/>
  <c r="AM159" i="39"/>
  <c r="AN159" i="39"/>
  <c r="AA160" i="39"/>
  <c r="AB160" i="39"/>
  <c r="AC160" i="39"/>
  <c r="AD160" i="39"/>
  <c r="AE160" i="39"/>
  <c r="AF160" i="39"/>
  <c r="AG160" i="39"/>
  <c r="AH160" i="39"/>
  <c r="AI160" i="39"/>
  <c r="AJ160" i="39"/>
  <c r="AK160" i="39"/>
  <c r="AL160" i="39"/>
  <c r="AM160" i="39"/>
  <c r="AN160" i="39"/>
  <c r="AA161" i="39"/>
  <c r="AB161" i="39"/>
  <c r="AC161" i="39"/>
  <c r="AD161" i="39"/>
  <c r="AE161" i="39"/>
  <c r="AF161" i="39"/>
  <c r="AG161" i="39"/>
  <c r="AH161" i="39"/>
  <c r="AI161" i="39"/>
  <c r="AJ161" i="39"/>
  <c r="AK161" i="39"/>
  <c r="AL161" i="39"/>
  <c r="AM161" i="39"/>
  <c r="AN161" i="39"/>
  <c r="AA162" i="39"/>
  <c r="AB162" i="39"/>
  <c r="AC162" i="39"/>
  <c r="AD162" i="39"/>
  <c r="AE162" i="39"/>
  <c r="AF162" i="39"/>
  <c r="AG162" i="39"/>
  <c r="AH162" i="39"/>
  <c r="AI162" i="39"/>
  <c r="AJ162" i="39"/>
  <c r="AK162" i="39"/>
  <c r="AL162" i="39"/>
  <c r="AM162" i="39"/>
  <c r="AN162" i="39"/>
  <c r="AA163" i="39"/>
  <c r="AB163" i="39"/>
  <c r="AC163" i="39"/>
  <c r="AD163" i="39"/>
  <c r="AE163" i="39"/>
  <c r="AF163" i="39"/>
  <c r="AG163" i="39"/>
  <c r="AH163" i="39"/>
  <c r="AI163" i="39"/>
  <c r="AJ163" i="39"/>
  <c r="AK163" i="39"/>
  <c r="AL163" i="39"/>
  <c r="AM163" i="39"/>
  <c r="AN163" i="39"/>
  <c r="AA164" i="39"/>
  <c r="AB164" i="39"/>
  <c r="AC164" i="39"/>
  <c r="AD164" i="39"/>
  <c r="AE164" i="39"/>
  <c r="AF164" i="39"/>
  <c r="AG164" i="39"/>
  <c r="AH164" i="39"/>
  <c r="AI164" i="39"/>
  <c r="AJ164" i="39"/>
  <c r="AK164" i="39"/>
  <c r="AL164" i="39"/>
  <c r="AM164" i="39"/>
  <c r="AN164" i="39"/>
  <c r="AA165" i="39"/>
  <c r="AB165" i="39"/>
  <c r="AC165" i="39"/>
  <c r="AD165" i="39"/>
  <c r="AE165" i="39"/>
  <c r="AF165" i="39"/>
  <c r="AG165" i="39"/>
  <c r="AH165" i="39"/>
  <c r="AI165" i="39"/>
  <c r="AJ165" i="39"/>
  <c r="AK165" i="39"/>
  <c r="AL165" i="39"/>
  <c r="AM165" i="39"/>
  <c r="AN165" i="39"/>
  <c r="AA166" i="39"/>
  <c r="AB166" i="39"/>
  <c r="AC166" i="39"/>
  <c r="AD166" i="39"/>
  <c r="AE166" i="39"/>
  <c r="AF166" i="39"/>
  <c r="AG166" i="39"/>
  <c r="AH166" i="39"/>
  <c r="AI166" i="39"/>
  <c r="AJ166" i="39"/>
  <c r="AK166" i="39"/>
  <c r="AL166" i="39"/>
  <c r="AM166" i="39"/>
  <c r="AN166" i="39"/>
  <c r="AA167" i="39"/>
  <c r="AB167" i="39"/>
  <c r="AC167" i="39"/>
  <c r="AD167" i="39"/>
  <c r="AE167" i="39"/>
  <c r="AF167" i="39"/>
  <c r="AG167" i="39"/>
  <c r="AH167" i="39"/>
  <c r="AI167" i="39"/>
  <c r="AJ167" i="39"/>
  <c r="AK167" i="39"/>
  <c r="AL167" i="39"/>
  <c r="AM167" i="39"/>
  <c r="AN167" i="39"/>
  <c r="AA168" i="39"/>
  <c r="AB168" i="39"/>
  <c r="AC168" i="39"/>
  <c r="AD168" i="39"/>
  <c r="AE168" i="39"/>
  <c r="AF168" i="39"/>
  <c r="AG168" i="39"/>
  <c r="AH168" i="39"/>
  <c r="AI168" i="39"/>
  <c r="AJ168" i="39"/>
  <c r="AK168" i="39"/>
  <c r="AL168" i="39"/>
  <c r="AM168" i="39"/>
  <c r="AN168" i="39"/>
  <c r="AA169" i="39"/>
  <c r="AB169" i="39"/>
  <c r="AC169" i="39"/>
  <c r="AD169" i="39"/>
  <c r="AE169" i="39"/>
  <c r="AF169" i="39"/>
  <c r="AG169" i="39"/>
  <c r="AH169" i="39"/>
  <c r="AI169" i="39"/>
  <c r="AJ169" i="39"/>
  <c r="AK169" i="39"/>
  <c r="AL169" i="39"/>
  <c r="AM169" i="39"/>
  <c r="AN169" i="39"/>
  <c r="AA170" i="39"/>
  <c r="AB170" i="39"/>
  <c r="AC170" i="39"/>
  <c r="AD170" i="39"/>
  <c r="AE170" i="39"/>
  <c r="AF170" i="39"/>
  <c r="AG170" i="39"/>
  <c r="AH170" i="39"/>
  <c r="AI170" i="39"/>
  <c r="AJ170" i="39"/>
  <c r="AK170" i="39"/>
  <c r="AL170" i="39"/>
  <c r="AM170" i="39"/>
  <c r="AN170" i="39"/>
  <c r="AA171" i="39"/>
  <c r="AB171" i="39"/>
  <c r="AC171" i="39"/>
  <c r="AD171" i="39"/>
  <c r="AE171" i="39"/>
  <c r="AF171" i="39"/>
  <c r="AG171" i="39"/>
  <c r="AH171" i="39"/>
  <c r="AI171" i="39"/>
  <c r="AJ171" i="39"/>
  <c r="AK171" i="39"/>
  <c r="AL171" i="39"/>
  <c r="AM171" i="39"/>
  <c r="AN171" i="39"/>
  <c r="AA172" i="39"/>
  <c r="AB172" i="39"/>
  <c r="AC172" i="39"/>
  <c r="AD172" i="39"/>
  <c r="AE172" i="39"/>
  <c r="AF172" i="39"/>
  <c r="AG172" i="39"/>
  <c r="AH172" i="39"/>
  <c r="AI172" i="39"/>
  <c r="AJ172" i="39"/>
  <c r="AK172" i="39"/>
  <c r="AL172" i="39"/>
  <c r="AM172" i="39"/>
  <c r="AN172" i="39"/>
  <c r="AA173" i="39"/>
  <c r="AB173" i="39"/>
  <c r="AC173" i="39"/>
  <c r="AD173" i="39"/>
  <c r="AE173" i="39"/>
  <c r="AF173" i="39"/>
  <c r="AG173" i="39"/>
  <c r="AH173" i="39"/>
  <c r="AI173" i="39"/>
  <c r="AJ173" i="39"/>
  <c r="AK173" i="39"/>
  <c r="AL173" i="39"/>
  <c r="AM173" i="39"/>
  <c r="AN173" i="39"/>
  <c r="AA174" i="39"/>
  <c r="AB174" i="39"/>
  <c r="AC174" i="39"/>
  <c r="AD174" i="39"/>
  <c r="AE174" i="39"/>
  <c r="AF174" i="39"/>
  <c r="AG174" i="39"/>
  <c r="AH174" i="39"/>
  <c r="AI174" i="39"/>
  <c r="AJ174" i="39"/>
  <c r="AK174" i="39"/>
  <c r="AL174" i="39"/>
  <c r="AM174" i="39"/>
  <c r="AN174" i="39"/>
  <c r="AA175" i="39"/>
  <c r="AB175" i="39"/>
  <c r="AC175" i="39"/>
  <c r="AD175" i="39"/>
  <c r="AE175" i="39"/>
  <c r="AF175" i="39"/>
  <c r="AG175" i="39"/>
  <c r="AH175" i="39"/>
  <c r="AI175" i="39"/>
  <c r="AJ175" i="39"/>
  <c r="AK175" i="39"/>
  <c r="AL175" i="39"/>
  <c r="AM175" i="39"/>
  <c r="AN175" i="39"/>
  <c r="AA176" i="39"/>
  <c r="AB176" i="39"/>
  <c r="AC176" i="39"/>
  <c r="AD176" i="39"/>
  <c r="AE176" i="39"/>
  <c r="AF176" i="39"/>
  <c r="AG176" i="39"/>
  <c r="AH176" i="39"/>
  <c r="AI176" i="39"/>
  <c r="AJ176" i="39"/>
  <c r="AK176" i="39"/>
  <c r="AL176" i="39"/>
  <c r="AM176" i="39"/>
  <c r="AN176" i="39"/>
  <c r="AA177" i="39"/>
  <c r="AB177" i="39"/>
  <c r="AC177" i="39"/>
  <c r="AD177" i="39"/>
  <c r="AE177" i="39"/>
  <c r="AF177" i="39"/>
  <c r="AG177" i="39"/>
  <c r="AH177" i="39"/>
  <c r="AI177" i="39"/>
  <c r="AJ177" i="39"/>
  <c r="AK177" i="39"/>
  <c r="AL177" i="39"/>
  <c r="AM177" i="39"/>
  <c r="AN177" i="39"/>
  <c r="AA178" i="39"/>
  <c r="AB178" i="39"/>
  <c r="AC178" i="39"/>
  <c r="AD178" i="39"/>
  <c r="AE178" i="39"/>
  <c r="AF178" i="39"/>
  <c r="AG178" i="39"/>
  <c r="AH178" i="39"/>
  <c r="AI178" i="39"/>
  <c r="AJ178" i="39"/>
  <c r="AK178" i="39"/>
  <c r="AL178" i="39"/>
  <c r="AM178" i="39"/>
  <c r="AN178" i="39"/>
  <c r="AA179" i="39"/>
  <c r="AB179" i="39"/>
  <c r="AC179" i="39"/>
  <c r="AD179" i="39"/>
  <c r="AE179" i="39"/>
  <c r="AF179" i="39"/>
  <c r="AG179" i="39"/>
  <c r="AH179" i="39"/>
  <c r="AI179" i="39"/>
  <c r="AJ179" i="39"/>
  <c r="AK179" i="39"/>
  <c r="AL179" i="39"/>
  <c r="AM179" i="39"/>
  <c r="AN179" i="39"/>
  <c r="AA180" i="39"/>
  <c r="AB180" i="39"/>
  <c r="AC180" i="39"/>
  <c r="AD180" i="39"/>
  <c r="AE180" i="39"/>
  <c r="AF180" i="39"/>
  <c r="AG180" i="39"/>
  <c r="AH180" i="39"/>
  <c r="AI180" i="39"/>
  <c r="AJ180" i="39"/>
  <c r="AK180" i="39"/>
  <c r="AL180" i="39"/>
  <c r="AM180" i="39"/>
  <c r="AN180" i="39"/>
  <c r="AB181" i="39"/>
  <c r="AC181" i="39"/>
  <c r="AD181" i="39"/>
  <c r="AE181" i="39"/>
  <c r="AF181" i="39"/>
  <c r="AG181" i="39"/>
  <c r="AH181" i="39"/>
  <c r="AI181" i="39"/>
  <c r="AJ181" i="39"/>
  <c r="AK181" i="39"/>
  <c r="AL181" i="39"/>
  <c r="AM181" i="39"/>
  <c r="AN181" i="39"/>
  <c r="AA181" i="39"/>
  <c r="S123" i="86"/>
  <c r="S124" i="86"/>
  <c r="S125" i="86"/>
  <c r="S126" i="86"/>
  <c r="S127" i="86"/>
  <c r="S128" i="86"/>
  <c r="S129" i="86"/>
  <c r="S130" i="86"/>
  <c r="S131" i="86"/>
  <c r="S132" i="86"/>
  <c r="S133" i="86"/>
  <c r="S134" i="86"/>
  <c r="S135" i="86"/>
  <c r="S136" i="86"/>
  <c r="S137" i="86"/>
  <c r="S138" i="86"/>
  <c r="S139" i="86"/>
  <c r="S140" i="86"/>
  <c r="S141" i="86"/>
  <c r="S142" i="86"/>
  <c r="S143" i="86"/>
  <c r="S144" i="86"/>
  <c r="S145" i="86"/>
  <c r="S122" i="86"/>
  <c r="R123" i="86"/>
  <c r="R124" i="86"/>
  <c r="R125" i="86"/>
  <c r="R126" i="86"/>
  <c r="R127" i="86"/>
  <c r="R128" i="86"/>
  <c r="R129" i="86"/>
  <c r="R130" i="86"/>
  <c r="R131" i="86"/>
  <c r="R132" i="86"/>
  <c r="R133" i="86"/>
  <c r="R134" i="86"/>
  <c r="R135" i="86"/>
  <c r="R136" i="86"/>
  <c r="R137" i="86"/>
  <c r="R138" i="86"/>
  <c r="R139" i="86"/>
  <c r="R140" i="86"/>
  <c r="R141" i="86"/>
  <c r="R142" i="86"/>
  <c r="R143" i="86"/>
  <c r="R144" i="86"/>
  <c r="R145" i="86"/>
  <c r="R122" i="86"/>
  <c r="T122" i="86"/>
  <c r="C4" i="32"/>
  <c r="C8" i="32"/>
  <c r="C12" i="32"/>
  <c r="C24" i="32"/>
  <c r="C26" i="32"/>
  <c r="C19" i="32" s="1"/>
  <c r="C28" i="32"/>
  <c r="C30" i="32"/>
  <c r="C34" i="32"/>
  <c r="C35" i="32"/>
  <c r="G5" i="32"/>
  <c r="G6" i="32"/>
  <c r="G7" i="32"/>
  <c r="G8" i="32"/>
  <c r="G9" i="32"/>
  <c r="G10" i="32"/>
  <c r="G11" i="32"/>
  <c r="G12" i="32"/>
  <c r="D21" i="108" s="1"/>
  <c r="G24" i="32"/>
  <c r="G27" i="32"/>
  <c r="G29" i="32"/>
  <c r="G33" i="32"/>
  <c r="G34" i="32"/>
  <c r="K5" i="32"/>
  <c r="K6" i="32"/>
  <c r="K7" i="32"/>
  <c r="K8" i="32"/>
  <c r="K10" i="32"/>
  <c r="K11" i="32"/>
  <c r="K27" i="32"/>
  <c r="K28" i="32"/>
  <c r="K31" i="32"/>
  <c r="K32" i="32"/>
  <c r="K33" i="32"/>
  <c r="K35" i="32"/>
  <c r="O4" i="32"/>
  <c r="O7" i="32"/>
  <c r="O10" i="32"/>
  <c r="O11" i="32"/>
  <c r="O24" i="32"/>
  <c r="O13" i="32"/>
  <c r="O27" i="32"/>
  <c r="O28" i="32"/>
  <c r="O31" i="32"/>
  <c r="O32" i="32"/>
  <c r="O33" i="32"/>
  <c r="O35" i="32"/>
  <c r="S4" i="32"/>
  <c r="S5" i="32"/>
  <c r="S6" i="32"/>
  <c r="S7" i="32"/>
  <c r="S8" i="32"/>
  <c r="S9" i="32"/>
  <c r="S10" i="32"/>
  <c r="S11" i="32"/>
  <c r="S12" i="32"/>
  <c r="S13" i="32"/>
  <c r="S28" i="32"/>
  <c r="S29" i="32"/>
  <c r="S30" i="32"/>
  <c r="S32" i="32"/>
  <c r="S33" i="32"/>
  <c r="S34" i="32"/>
  <c r="S35" i="32"/>
  <c r="W5" i="32"/>
  <c r="W6" i="32"/>
  <c r="W9" i="32"/>
  <c r="W12" i="32"/>
  <c r="W24" i="32"/>
  <c r="W27" i="32"/>
  <c r="W29" i="32"/>
  <c r="W31" i="32"/>
  <c r="W32" i="32"/>
  <c r="W33" i="32"/>
  <c r="W35" i="32"/>
  <c r="M7" i="106"/>
  <c r="M11" i="106"/>
  <c r="M15" i="106"/>
  <c r="M16" i="106"/>
  <c r="M19" i="106"/>
  <c r="M20" i="106"/>
  <c r="M27" i="106"/>
  <c r="M32" i="106"/>
  <c r="M35" i="106"/>
  <c r="M36" i="106"/>
  <c r="M37" i="106"/>
  <c r="M43" i="106"/>
  <c r="M47" i="106"/>
  <c r="DU48" i="99"/>
  <c r="M51" i="106"/>
  <c r="M53" i="106"/>
  <c r="M55" i="106"/>
  <c r="M57" i="106"/>
  <c r="DU59" i="99"/>
  <c r="Q59" i="104" s="1"/>
  <c r="DU63" i="99"/>
  <c r="Q63" i="104" s="1"/>
  <c r="M64" i="106"/>
  <c r="M68" i="106"/>
  <c r="M69" i="106"/>
  <c r="M73" i="106"/>
  <c r="DU74" i="99"/>
  <c r="DU75" i="99"/>
  <c r="Q75" i="104" s="1"/>
  <c r="M79" i="106"/>
  <c r="M83" i="106"/>
  <c r="M84" i="106"/>
  <c r="DU86" i="99"/>
  <c r="M95" i="106"/>
  <c r="M99" i="106"/>
  <c r="M100" i="106"/>
  <c r="DU102" i="99"/>
  <c r="M103" i="106"/>
  <c r="M107" i="106"/>
  <c r="AA26" i="32"/>
  <c r="M112" i="106"/>
  <c r="AA29" i="32"/>
  <c r="M115" i="106"/>
  <c r="W36" i="32"/>
  <c r="S36" i="32"/>
  <c r="O36" i="32"/>
  <c r="D22" i="108" l="1"/>
  <c r="D26" i="108" s="1"/>
  <c r="E11" i="108"/>
  <c r="E15" i="108" s="1"/>
  <c r="E16" i="108" s="1"/>
  <c r="P98" i="104"/>
  <c r="P2" i="104"/>
  <c r="P118" i="104"/>
  <c r="P104" i="104"/>
  <c r="S6" i="26"/>
  <c r="S8" i="26"/>
  <c r="S10" i="26"/>
  <c r="S12" i="26"/>
  <c r="Q2" i="104"/>
  <c r="Q3" i="104"/>
  <c r="DV75" i="99"/>
  <c r="E75" i="104" s="1"/>
  <c r="Q87" i="104"/>
  <c r="DV114" i="99"/>
  <c r="E114" i="104" s="1"/>
  <c r="DV59" i="99"/>
  <c r="E59" i="104" s="1"/>
  <c r="Q19" i="104"/>
  <c r="DV107" i="99"/>
  <c r="E107" i="104" s="1"/>
  <c r="DV102" i="99"/>
  <c r="E102" i="104" s="1"/>
  <c r="Q102" i="104"/>
  <c r="DV86" i="99"/>
  <c r="E86" i="104" s="1"/>
  <c r="Q86" i="104"/>
  <c r="Q74" i="104"/>
  <c r="DV74" i="99"/>
  <c r="E74" i="104" s="1"/>
  <c r="Q48" i="104"/>
  <c r="DV48" i="99"/>
  <c r="E48" i="104" s="1"/>
  <c r="M120" i="106"/>
  <c r="M104" i="106"/>
  <c r="M92" i="106"/>
  <c r="M88" i="106"/>
  <c r="M72" i="106"/>
  <c r="DU72" i="99"/>
  <c r="M56" i="106"/>
  <c r="M44" i="106"/>
  <c r="M40" i="106"/>
  <c r="DU40" i="99"/>
  <c r="M28" i="106"/>
  <c r="M24" i="106"/>
  <c r="M12" i="106"/>
  <c r="DU12" i="99"/>
  <c r="AA27" i="32"/>
  <c r="DU104" i="99"/>
  <c r="Q70" i="104"/>
  <c r="DV70" i="99"/>
  <c r="E70" i="104" s="1"/>
  <c r="DV78" i="99"/>
  <c r="E78" i="104" s="1"/>
  <c r="Q115" i="104"/>
  <c r="M8" i="106"/>
  <c r="M60" i="106"/>
  <c r="M76" i="106"/>
  <c r="M108" i="106"/>
  <c r="AA31" i="32"/>
  <c r="DU92" i="99"/>
  <c r="DU76" i="99"/>
  <c r="Q69" i="104"/>
  <c r="DV69" i="99"/>
  <c r="E69" i="104" s="1"/>
  <c r="DU44" i="99"/>
  <c r="Q11" i="104"/>
  <c r="DV11" i="99"/>
  <c r="E11" i="104" s="1"/>
  <c r="DV94" i="99"/>
  <c r="E94" i="104" s="1"/>
  <c r="Q14" i="104"/>
  <c r="M96" i="106"/>
  <c r="M66" i="106"/>
  <c r="DU66" i="99"/>
  <c r="M58" i="106"/>
  <c r="M54" i="106"/>
  <c r="M50" i="106"/>
  <c r="M46" i="106"/>
  <c r="DU46" i="99"/>
  <c r="M38" i="106"/>
  <c r="M30" i="106"/>
  <c r="M22" i="106"/>
  <c r="M10" i="106"/>
  <c r="W25" i="32"/>
  <c r="W13" i="32"/>
  <c r="AA5" i="32"/>
  <c r="AA8" i="32"/>
  <c r="AA11" i="32"/>
  <c r="S25" i="32"/>
  <c r="AA35" i="32"/>
  <c r="DU118" i="99"/>
  <c r="DU112" i="99"/>
  <c r="DU96" i="99"/>
  <c r="DU80" i="99"/>
  <c r="DU68" i="99"/>
  <c r="DU60" i="99"/>
  <c r="DV43" i="99"/>
  <c r="E43" i="104" s="1"/>
  <c r="Q43" i="104"/>
  <c r="DU24" i="99"/>
  <c r="DU16" i="99"/>
  <c r="DU10" i="99"/>
  <c r="DV110" i="99"/>
  <c r="E110" i="104" s="1"/>
  <c r="DV103" i="99"/>
  <c r="E103" i="104" s="1"/>
  <c r="DV83" i="99"/>
  <c r="E83" i="104" s="1"/>
  <c r="DV6" i="99"/>
  <c r="E6" i="104" s="1"/>
  <c r="Q38" i="104"/>
  <c r="M14" i="106"/>
  <c r="M52" i="106"/>
  <c r="M98" i="106"/>
  <c r="M116" i="106"/>
  <c r="G25" i="32"/>
  <c r="G13" i="32"/>
  <c r="E21" i="108" s="1"/>
  <c r="DU120" i="99"/>
  <c r="DU88" i="99"/>
  <c r="DU64" i="99"/>
  <c r="Q39" i="104"/>
  <c r="DV39" i="99"/>
  <c r="E39" i="104" s="1"/>
  <c r="DU20" i="99"/>
  <c r="AA38" i="32"/>
  <c r="M122" i="106"/>
  <c r="DU108" i="99"/>
  <c r="DV119" i="99"/>
  <c r="E119" i="104" s="1"/>
  <c r="Q82" i="104"/>
  <c r="M48" i="106"/>
  <c r="M80" i="106"/>
  <c r="M114" i="106"/>
  <c r="M110" i="106"/>
  <c r="M102" i="106"/>
  <c r="M94" i="106"/>
  <c r="M86" i="106"/>
  <c r="M82" i="106"/>
  <c r="M78" i="106"/>
  <c r="AA10" i="32"/>
  <c r="M74" i="106"/>
  <c r="M62" i="106"/>
  <c r="M34" i="106"/>
  <c r="AA6" i="32"/>
  <c r="M26" i="106"/>
  <c r="M18" i="106"/>
  <c r="DU18" i="99"/>
  <c r="M121" i="106"/>
  <c r="DU121" i="99"/>
  <c r="M117" i="106"/>
  <c r="DU117" i="99"/>
  <c r="M113" i="106"/>
  <c r="DU113" i="99"/>
  <c r="M109" i="106"/>
  <c r="DU109" i="99"/>
  <c r="M105" i="106"/>
  <c r="DU105" i="99"/>
  <c r="M101" i="106"/>
  <c r="DU101" i="99"/>
  <c r="M97" i="106"/>
  <c r="DU97" i="99"/>
  <c r="M93" i="106"/>
  <c r="DU93" i="99"/>
  <c r="M89" i="106"/>
  <c r="DU89" i="99"/>
  <c r="M85" i="106"/>
  <c r="DU85" i="99"/>
  <c r="M81" i="106"/>
  <c r="DU81" i="99"/>
  <c r="M77" i="106"/>
  <c r="DU77" i="99"/>
  <c r="M65" i="106"/>
  <c r="M61" i="106"/>
  <c r="DU61" i="99"/>
  <c r="M49" i="106"/>
  <c r="M45" i="106"/>
  <c r="DU45" i="99"/>
  <c r="M41" i="106"/>
  <c r="DU41" i="99"/>
  <c r="M33" i="106"/>
  <c r="M29" i="106"/>
  <c r="M25" i="106"/>
  <c r="DU25" i="99"/>
  <c r="M21" i="106"/>
  <c r="DU21" i="99"/>
  <c r="DU17" i="99"/>
  <c r="M17" i="106"/>
  <c r="DU13" i="99"/>
  <c r="DU9" i="99"/>
  <c r="M9" i="106"/>
  <c r="M5" i="106"/>
  <c r="DU5" i="99"/>
  <c r="AA9" i="32"/>
  <c r="AA12" i="32"/>
  <c r="AA33" i="32"/>
  <c r="AA28" i="32"/>
  <c r="DU116" i="99"/>
  <c r="Q111" i="104"/>
  <c r="DV111" i="99"/>
  <c r="E111" i="104" s="1"/>
  <c r="DU106" i="99"/>
  <c r="DU100" i="99"/>
  <c r="Q95" i="104"/>
  <c r="DV95" i="99"/>
  <c r="E95" i="104" s="1"/>
  <c r="DU90" i="99"/>
  <c r="DU84" i="99"/>
  <c r="Q79" i="104"/>
  <c r="DV79" i="99"/>
  <c r="E79" i="104" s="1"/>
  <c r="DU73" i="99"/>
  <c r="DU65" i="99"/>
  <c r="DU42" i="99"/>
  <c r="DU22" i="99"/>
  <c r="DV15" i="99"/>
  <c r="E15" i="104" s="1"/>
  <c r="Q15" i="104"/>
  <c r="DU8" i="99"/>
  <c r="DV99" i="99"/>
  <c r="E99" i="104" s="1"/>
  <c r="DV91" i="99"/>
  <c r="E91" i="104" s="1"/>
  <c r="DV62" i="99"/>
  <c r="E62" i="104" s="1"/>
  <c r="DV47" i="99"/>
  <c r="E47" i="104" s="1"/>
  <c r="M6" i="106"/>
  <c r="M70" i="106"/>
  <c r="M90" i="106"/>
  <c r="M106" i="106"/>
  <c r="M118" i="106"/>
  <c r="M71" i="106"/>
  <c r="DU71" i="99"/>
  <c r="M67" i="106"/>
  <c r="DU67" i="99"/>
  <c r="AA34" i="32"/>
  <c r="AA30" i="32"/>
  <c r="DU23" i="99"/>
  <c r="DU7" i="99"/>
  <c r="DV63" i="99"/>
  <c r="E63" i="104" s="1"/>
  <c r="M75" i="106"/>
  <c r="P24" i="105"/>
  <c r="Q26" i="105"/>
  <c r="P28" i="105"/>
  <c r="Q34" i="105"/>
  <c r="Q38" i="105"/>
  <c r="P39" i="105"/>
  <c r="P40" i="105"/>
  <c r="P44" i="105"/>
  <c r="P46" i="105"/>
  <c r="P47" i="105"/>
  <c r="P52" i="105"/>
  <c r="Q54" i="105"/>
  <c r="Q58" i="105"/>
  <c r="P60" i="105"/>
  <c r="Q64" i="105"/>
  <c r="Q66" i="105"/>
  <c r="Q70" i="105"/>
  <c r="P71" i="105"/>
  <c r="P72" i="105"/>
  <c r="Q78" i="105"/>
  <c r="P79" i="105"/>
  <c r="Q82" i="105"/>
  <c r="P84" i="105"/>
  <c r="Q86" i="105"/>
  <c r="Q90" i="105"/>
  <c r="Q92" i="105"/>
  <c r="P96" i="105"/>
  <c r="Q98" i="105"/>
  <c r="Q100" i="105"/>
  <c r="P103" i="105"/>
  <c r="P104" i="105"/>
  <c r="P113" i="105"/>
  <c r="Q114" i="105"/>
  <c r="P117" i="105"/>
  <c r="Q119" i="105"/>
  <c r="P121" i="105"/>
  <c r="P82" i="105"/>
  <c r="P87" i="105"/>
  <c r="Q87" i="105"/>
  <c r="P95" i="105"/>
  <c r="Q95" i="105"/>
  <c r="Q103" i="105"/>
  <c r="Q106" i="105"/>
  <c r="P106" i="105"/>
  <c r="P111" i="105"/>
  <c r="Q111" i="105"/>
  <c r="P119" i="105"/>
  <c r="Q24" i="105"/>
  <c r="P31" i="105"/>
  <c r="Q31" i="105"/>
  <c r="Q42" i="105"/>
  <c r="P42" i="105"/>
  <c r="Q44" i="105"/>
  <c r="Q46" i="105"/>
  <c r="P48" i="105"/>
  <c r="Q48" i="105"/>
  <c r="Q50" i="105"/>
  <c r="P50" i="105"/>
  <c r="P56" i="105"/>
  <c r="Q56" i="105"/>
  <c r="P64" i="105"/>
  <c r="P68" i="105"/>
  <c r="Q68" i="105"/>
  <c r="P76" i="105"/>
  <c r="Q76" i="105"/>
  <c r="P80" i="105"/>
  <c r="Q80" i="105"/>
  <c r="P88" i="105"/>
  <c r="Q88" i="105"/>
  <c r="Q113" i="105"/>
  <c r="P115" i="105"/>
  <c r="Q115" i="105"/>
  <c r="P100" i="105"/>
  <c r="P105" i="105"/>
  <c r="Q105" i="105"/>
  <c r="Q28" i="105"/>
  <c r="Q30" i="105"/>
  <c r="P30" i="105"/>
  <c r="P32" i="105"/>
  <c r="Q32" i="105"/>
  <c r="P36" i="105"/>
  <c r="Q36" i="105"/>
  <c r="P38" i="105"/>
  <c r="Q40" i="105"/>
  <c r="P55" i="105"/>
  <c r="Q55" i="105"/>
  <c r="Q62" i="105"/>
  <c r="P62" i="105"/>
  <c r="P63" i="105"/>
  <c r="Q63" i="105"/>
  <c r="P70" i="105"/>
  <c r="Q74" i="105"/>
  <c r="P74" i="105"/>
  <c r="Q94" i="105"/>
  <c r="P94" i="105"/>
  <c r="Q102" i="105"/>
  <c r="P102" i="105"/>
  <c r="Q117" i="105"/>
  <c r="Q121" i="105"/>
  <c r="P92" i="105"/>
  <c r="S141" i="105"/>
  <c r="P109" i="104"/>
  <c r="P105" i="104"/>
  <c r="P97" i="104"/>
  <c r="P69" i="104"/>
  <c r="U69" i="104" s="1"/>
  <c r="P94" i="104"/>
  <c r="S94" i="104" s="1"/>
  <c r="P85" i="104"/>
  <c r="P113" i="104"/>
  <c r="P89" i="104"/>
  <c r="P47" i="104"/>
  <c r="S47" i="104" s="1"/>
  <c r="P63" i="104"/>
  <c r="T63" i="104" s="1"/>
  <c r="P75" i="104"/>
  <c r="U75" i="104" s="1"/>
  <c r="P93" i="104"/>
  <c r="P102" i="104"/>
  <c r="S102" i="104" s="1"/>
  <c r="P114" i="104"/>
  <c r="U114" i="104" s="1"/>
  <c r="P55" i="104"/>
  <c r="S55" i="104" s="1"/>
  <c r="P101" i="104"/>
  <c r="P106" i="104"/>
  <c r="P77" i="104"/>
  <c r="P73" i="104"/>
  <c r="P81" i="104"/>
  <c r="P90" i="104"/>
  <c r="P110" i="104"/>
  <c r="S110" i="104" s="1"/>
  <c r="P117" i="104"/>
  <c r="P6" i="104"/>
  <c r="P10" i="104"/>
  <c r="P14" i="104"/>
  <c r="P18" i="104"/>
  <c r="P22" i="104"/>
  <c r="P26" i="104"/>
  <c r="P30" i="104"/>
  <c r="P34" i="104"/>
  <c r="P38" i="104"/>
  <c r="P42" i="104"/>
  <c r="S98" i="104"/>
  <c r="T98" i="104"/>
  <c r="U98" i="104"/>
  <c r="P3" i="104"/>
  <c r="P7" i="104"/>
  <c r="P11" i="104"/>
  <c r="P15" i="104"/>
  <c r="P19" i="104"/>
  <c r="P23" i="104"/>
  <c r="P27" i="104"/>
  <c r="P31" i="104"/>
  <c r="P35" i="104"/>
  <c r="P39" i="104"/>
  <c r="P43" i="104"/>
  <c r="P44" i="104"/>
  <c r="P76" i="104"/>
  <c r="P84" i="104"/>
  <c r="P96" i="104"/>
  <c r="P4" i="104"/>
  <c r="P8" i="104"/>
  <c r="P20" i="104"/>
  <c r="P83" i="104"/>
  <c r="P12" i="104"/>
  <c r="P16" i="104"/>
  <c r="P32" i="104"/>
  <c r="P36" i="104"/>
  <c r="P40" i="104"/>
  <c r="P54" i="104"/>
  <c r="P79" i="104"/>
  <c r="P52" i="104"/>
  <c r="P60" i="104"/>
  <c r="S63" i="104"/>
  <c r="P68" i="104"/>
  <c r="P112" i="104"/>
  <c r="P48" i="104"/>
  <c r="P56" i="104"/>
  <c r="P64" i="104"/>
  <c r="P24" i="104"/>
  <c r="P28" i="104"/>
  <c r="P46" i="104"/>
  <c r="P62" i="104"/>
  <c r="P80" i="104"/>
  <c r="P5" i="104"/>
  <c r="P9" i="104"/>
  <c r="P13" i="104"/>
  <c r="P17" i="104"/>
  <c r="P21" i="104"/>
  <c r="P25" i="104"/>
  <c r="P29" i="104"/>
  <c r="P33" i="104"/>
  <c r="P37" i="104"/>
  <c r="P41" i="104"/>
  <c r="P50" i="104"/>
  <c r="P51" i="104"/>
  <c r="P58" i="104"/>
  <c r="P59" i="104"/>
  <c r="P66" i="104"/>
  <c r="P67" i="104"/>
  <c r="P71" i="104"/>
  <c r="P72" i="104"/>
  <c r="P88" i="104"/>
  <c r="P121" i="104"/>
  <c r="P87" i="104"/>
  <c r="P92" i="104"/>
  <c r="P100" i="104"/>
  <c r="P108" i="104"/>
  <c r="P120" i="104"/>
  <c r="P116" i="104"/>
  <c r="P45" i="104"/>
  <c r="P49" i="104"/>
  <c r="P53" i="104"/>
  <c r="P57" i="104"/>
  <c r="P61" i="104"/>
  <c r="P65" i="104"/>
  <c r="P70" i="104"/>
  <c r="P74" i="104"/>
  <c r="P78" i="104"/>
  <c r="P82" i="104"/>
  <c r="P86" i="104"/>
  <c r="P91" i="104"/>
  <c r="P95" i="104"/>
  <c r="P99" i="104"/>
  <c r="P103" i="104"/>
  <c r="P107" i="104"/>
  <c r="P111" i="104"/>
  <c r="P115" i="104"/>
  <c r="P119" i="104"/>
  <c r="D27" i="108" l="1"/>
  <c r="D29" i="108" s="1"/>
  <c r="D46" i="108" s="1"/>
  <c r="E18" i="108"/>
  <c r="E42" i="108" s="1"/>
  <c r="U63" i="104"/>
  <c r="T94" i="104"/>
  <c r="T69" i="104"/>
  <c r="U94" i="104"/>
  <c r="S69" i="104"/>
  <c r="U47" i="104"/>
  <c r="S114" i="104"/>
  <c r="U102" i="104"/>
  <c r="E22" i="108"/>
  <c r="DV23" i="99"/>
  <c r="E23" i="104" s="1"/>
  <c r="U23" i="104" s="1"/>
  <c r="Q23" i="104"/>
  <c r="S23" i="104" s="1"/>
  <c r="Q22" i="104"/>
  <c r="DV22" i="99"/>
  <c r="E22" i="104" s="1"/>
  <c r="DV21" i="99"/>
  <c r="E21" i="104" s="1"/>
  <c r="Q21" i="104"/>
  <c r="S21" i="104" s="1"/>
  <c r="Q41" i="104"/>
  <c r="DV41" i="99"/>
  <c r="E41" i="104" s="1"/>
  <c r="DV61" i="99"/>
  <c r="E61" i="104" s="1"/>
  <c r="U61" i="104" s="1"/>
  <c r="Q61" i="104"/>
  <c r="DV89" i="99"/>
  <c r="E89" i="104" s="1"/>
  <c r="U89" i="104" s="1"/>
  <c r="Q89" i="104"/>
  <c r="S89" i="104" s="1"/>
  <c r="Q101" i="104"/>
  <c r="S101" i="104" s="1"/>
  <c r="DV101" i="99"/>
  <c r="E101" i="104" s="1"/>
  <c r="DV121" i="99"/>
  <c r="E121" i="104" s="1"/>
  <c r="Q121" i="104"/>
  <c r="Q71" i="104"/>
  <c r="DV71" i="99"/>
  <c r="E71" i="104" s="1"/>
  <c r="Q8" i="104"/>
  <c r="DV8" i="99"/>
  <c r="E8" i="104" s="1"/>
  <c r="T8" i="104" s="1"/>
  <c r="Q42" i="104"/>
  <c r="S42" i="104" s="1"/>
  <c r="DV42" i="99"/>
  <c r="E42" i="104" s="1"/>
  <c r="DV77" i="99"/>
  <c r="E77" i="104" s="1"/>
  <c r="Q77" i="104"/>
  <c r="S77" i="104" s="1"/>
  <c r="Q88" i="104"/>
  <c r="DV88" i="99"/>
  <c r="E88" i="104" s="1"/>
  <c r="Q24" i="104"/>
  <c r="DV24" i="99"/>
  <c r="E24" i="104" s="1"/>
  <c r="U24" i="104" s="1"/>
  <c r="Q68" i="104"/>
  <c r="S68" i="104" s="1"/>
  <c r="DV68" i="99"/>
  <c r="E68" i="104" s="1"/>
  <c r="Q118" i="104"/>
  <c r="S118" i="104" s="1"/>
  <c r="DV118" i="99"/>
  <c r="E118" i="104" s="1"/>
  <c r="Q46" i="104"/>
  <c r="S46" i="104" s="1"/>
  <c r="DV46" i="99"/>
  <c r="E46" i="104" s="1"/>
  <c r="Q92" i="104"/>
  <c r="DV92" i="99"/>
  <c r="E92" i="104" s="1"/>
  <c r="U92" i="104" s="1"/>
  <c r="T47" i="104"/>
  <c r="DV65" i="99"/>
  <c r="E65" i="104" s="1"/>
  <c r="T65" i="104" s="1"/>
  <c r="Q65" i="104"/>
  <c r="S65" i="104" s="1"/>
  <c r="Q84" i="104"/>
  <c r="DV84" i="99"/>
  <c r="E84" i="104" s="1"/>
  <c r="Q100" i="104"/>
  <c r="DV100" i="99"/>
  <c r="E100" i="104" s="1"/>
  <c r="T100" i="104" s="1"/>
  <c r="Q116" i="104"/>
  <c r="DV116" i="99"/>
  <c r="E116" i="104" s="1"/>
  <c r="Q9" i="104"/>
  <c r="DV9" i="99"/>
  <c r="E9" i="104" s="1"/>
  <c r="U9" i="104" s="1"/>
  <c r="Q25" i="104"/>
  <c r="DV25" i="99"/>
  <c r="E25" i="104" s="1"/>
  <c r="Q85" i="104"/>
  <c r="S85" i="104" s="1"/>
  <c r="DV85" i="99"/>
  <c r="E85" i="104" s="1"/>
  <c r="U85" i="104" s="1"/>
  <c r="DV105" i="99"/>
  <c r="E105" i="104" s="1"/>
  <c r="U105" i="104" s="1"/>
  <c r="Q105" i="104"/>
  <c r="Q117" i="104"/>
  <c r="DV117" i="99"/>
  <c r="E117" i="104" s="1"/>
  <c r="U117" i="104" s="1"/>
  <c r="Q18" i="104"/>
  <c r="DV18" i="99"/>
  <c r="E18" i="104" s="1"/>
  <c r="Q108" i="104"/>
  <c r="S108" i="104" s="1"/>
  <c r="DV108" i="99"/>
  <c r="E108" i="104" s="1"/>
  <c r="U108" i="104" s="1"/>
  <c r="Q120" i="104"/>
  <c r="DV120" i="99"/>
  <c r="E120" i="104" s="1"/>
  <c r="Q80" i="104"/>
  <c r="S80" i="104" s="1"/>
  <c r="DV80" i="99"/>
  <c r="E80" i="104" s="1"/>
  <c r="U80" i="104" s="1"/>
  <c r="Q66" i="104"/>
  <c r="DV66" i="99"/>
  <c r="E66" i="104" s="1"/>
  <c r="Q72" i="104"/>
  <c r="S72" i="104" s="1"/>
  <c r="DV72" i="99"/>
  <c r="E72" i="104" s="1"/>
  <c r="U72" i="104" s="1"/>
  <c r="DV13" i="99"/>
  <c r="E13" i="104" s="1"/>
  <c r="U13" i="104" s="1"/>
  <c r="Q13" i="104"/>
  <c r="AA39" i="32"/>
  <c r="M123" i="106"/>
  <c r="Q64" i="104"/>
  <c r="DV64" i="99"/>
  <c r="E64" i="104" s="1"/>
  <c r="U64" i="104" s="1"/>
  <c r="Q16" i="104"/>
  <c r="DV16" i="99"/>
  <c r="E16" i="104" s="1"/>
  <c r="Q60" i="104"/>
  <c r="DV60" i="99"/>
  <c r="E60" i="104" s="1"/>
  <c r="T60" i="104" s="1"/>
  <c r="Q112" i="104"/>
  <c r="DV112" i="99"/>
  <c r="E112" i="104" s="1"/>
  <c r="Q76" i="104"/>
  <c r="S76" i="104" s="1"/>
  <c r="DV76" i="99"/>
  <c r="E76" i="104" s="1"/>
  <c r="U76" i="104" s="1"/>
  <c r="DV97" i="99"/>
  <c r="E97" i="104" s="1"/>
  <c r="T97" i="104" s="1"/>
  <c r="Q97" i="104"/>
  <c r="DV109" i="99"/>
  <c r="E109" i="104" s="1"/>
  <c r="Q109" i="104"/>
  <c r="S109" i="104" s="1"/>
  <c r="Q20" i="104"/>
  <c r="S20" i="104" s="1"/>
  <c r="DV20" i="99"/>
  <c r="E20" i="104" s="1"/>
  <c r="U20" i="104" s="1"/>
  <c r="Q44" i="104"/>
  <c r="DV44" i="99"/>
  <c r="E44" i="104" s="1"/>
  <c r="U44" i="104" s="1"/>
  <c r="Q104" i="104"/>
  <c r="S104" i="104" s="1"/>
  <c r="DV104" i="99"/>
  <c r="E104" i="104" s="1"/>
  <c r="T89" i="104"/>
  <c r="DV7" i="99"/>
  <c r="E7" i="104" s="1"/>
  <c r="Q7" i="104"/>
  <c r="Q67" i="104"/>
  <c r="S67" i="104" s="1"/>
  <c r="DV67" i="99"/>
  <c r="E67" i="104" s="1"/>
  <c r="DV73" i="99"/>
  <c r="E73" i="104" s="1"/>
  <c r="U73" i="104" s="1"/>
  <c r="Q73" i="104"/>
  <c r="S73" i="104" s="1"/>
  <c r="Q90" i="104"/>
  <c r="S90" i="104" s="1"/>
  <c r="DV90" i="99"/>
  <c r="E90" i="104" s="1"/>
  <c r="U90" i="104" s="1"/>
  <c r="Q106" i="104"/>
  <c r="S106" i="104" s="1"/>
  <c r="DV106" i="99"/>
  <c r="E106" i="104" s="1"/>
  <c r="T106" i="104" s="1"/>
  <c r="DV5" i="99"/>
  <c r="E5" i="104" s="1"/>
  <c r="U5" i="104" s="1"/>
  <c r="Q5" i="104"/>
  <c r="Q17" i="104"/>
  <c r="DV17" i="99"/>
  <c r="E17" i="104" s="1"/>
  <c r="T17" i="104" s="1"/>
  <c r="Q45" i="104"/>
  <c r="S45" i="104" s="1"/>
  <c r="DV45" i="99"/>
  <c r="E45" i="104" s="1"/>
  <c r="DV81" i="99"/>
  <c r="E81" i="104" s="1"/>
  <c r="Q81" i="104"/>
  <c r="S81" i="104" s="1"/>
  <c r="DV93" i="99"/>
  <c r="E93" i="104" s="1"/>
  <c r="Q93" i="104"/>
  <c r="S93" i="104" s="1"/>
  <c r="DV113" i="99"/>
  <c r="E113" i="104" s="1"/>
  <c r="T113" i="104" s="1"/>
  <c r="Q113" i="104"/>
  <c r="S113" i="104" s="1"/>
  <c r="Q10" i="104"/>
  <c r="DV10" i="99"/>
  <c r="E10" i="104" s="1"/>
  <c r="Q96" i="104"/>
  <c r="DV96" i="99"/>
  <c r="E96" i="104" s="1"/>
  <c r="U96" i="104" s="1"/>
  <c r="Q12" i="104"/>
  <c r="S12" i="104" s="1"/>
  <c r="DV12" i="99"/>
  <c r="E12" i="104" s="1"/>
  <c r="Q40" i="104"/>
  <c r="DV40" i="99"/>
  <c r="E40" i="104" s="1"/>
  <c r="T40" i="104" s="1"/>
  <c r="Q79" i="105"/>
  <c r="Q52" i="105"/>
  <c r="Q72" i="105"/>
  <c r="Q60" i="105"/>
  <c r="Q96" i="105"/>
  <c r="P86" i="105"/>
  <c r="Q47" i="105"/>
  <c r="P34" i="105"/>
  <c r="P26" i="105"/>
  <c r="Q104" i="105"/>
  <c r="Q84" i="105"/>
  <c r="P78" i="105"/>
  <c r="Q71" i="105"/>
  <c r="P66" i="105"/>
  <c r="P58" i="105"/>
  <c r="P54" i="105"/>
  <c r="Q39" i="105"/>
  <c r="P114" i="105"/>
  <c r="P98" i="105"/>
  <c r="P90" i="105"/>
  <c r="P120" i="105"/>
  <c r="Q120" i="105"/>
  <c r="P97" i="105"/>
  <c r="Q97" i="105"/>
  <c r="P75" i="105"/>
  <c r="Q75" i="105"/>
  <c r="P53" i="105"/>
  <c r="Q53" i="105"/>
  <c r="P33" i="105"/>
  <c r="Q33" i="105"/>
  <c r="P93" i="105"/>
  <c r="Q93" i="105"/>
  <c r="P73" i="105"/>
  <c r="Q73" i="105"/>
  <c r="P51" i="105"/>
  <c r="T126" i="105" s="1"/>
  <c r="Q51" i="105"/>
  <c r="P29" i="105"/>
  <c r="Q29" i="105"/>
  <c r="P107" i="105"/>
  <c r="Q107" i="105"/>
  <c r="Q116" i="105"/>
  <c r="P116" i="105"/>
  <c r="P101" i="105"/>
  <c r="Q101" i="105"/>
  <c r="P91" i="105"/>
  <c r="Q91" i="105"/>
  <c r="P81" i="105"/>
  <c r="Q81" i="105"/>
  <c r="P69" i="105"/>
  <c r="Q69" i="105"/>
  <c r="P59" i="105"/>
  <c r="Q59" i="105"/>
  <c r="P49" i="105"/>
  <c r="Q49" i="105"/>
  <c r="P37" i="105"/>
  <c r="Q37" i="105"/>
  <c r="P27" i="105"/>
  <c r="Q27" i="105"/>
  <c r="P85" i="105"/>
  <c r="Q85" i="105"/>
  <c r="P65" i="105"/>
  <c r="Q65" i="105"/>
  <c r="P43" i="105"/>
  <c r="Q43" i="105"/>
  <c r="Q108" i="105"/>
  <c r="P108" i="105"/>
  <c r="P109" i="105"/>
  <c r="Q109" i="105"/>
  <c r="Q118" i="105"/>
  <c r="P118" i="105"/>
  <c r="P83" i="105"/>
  <c r="Q83" i="105"/>
  <c r="P61" i="105"/>
  <c r="Q61" i="105"/>
  <c r="P41" i="105"/>
  <c r="Q41" i="105"/>
  <c r="Q110" i="105"/>
  <c r="P110" i="105"/>
  <c r="P112" i="105"/>
  <c r="Q112" i="105"/>
  <c r="P99" i="105"/>
  <c r="Q99" i="105"/>
  <c r="P89" i="105"/>
  <c r="Q89" i="105"/>
  <c r="P77" i="105"/>
  <c r="Q77" i="105"/>
  <c r="P67" i="105"/>
  <c r="Q67" i="105"/>
  <c r="P57" i="105"/>
  <c r="Q57" i="105"/>
  <c r="P45" i="105"/>
  <c r="Q45" i="105"/>
  <c r="P35" i="105"/>
  <c r="Q35" i="105"/>
  <c r="P25" i="105"/>
  <c r="Q25" i="105"/>
  <c r="S142" i="105"/>
  <c r="T131" i="105"/>
  <c r="U129" i="105"/>
  <c r="T73" i="104"/>
  <c r="S105" i="104"/>
  <c r="S97" i="104"/>
  <c r="U77" i="104"/>
  <c r="S117" i="104"/>
  <c r="T55" i="104"/>
  <c r="T75" i="104"/>
  <c r="U55" i="104"/>
  <c r="S75" i="104"/>
  <c r="T90" i="104"/>
  <c r="T110" i="104"/>
  <c r="T114" i="104"/>
  <c r="T102" i="104"/>
  <c r="T77" i="104"/>
  <c r="U110" i="104"/>
  <c r="T111" i="104"/>
  <c r="S111" i="104"/>
  <c r="U111" i="104"/>
  <c r="U78" i="104"/>
  <c r="T78" i="104"/>
  <c r="S78" i="104"/>
  <c r="T45" i="104"/>
  <c r="U45" i="104"/>
  <c r="U51" i="104"/>
  <c r="T51" i="104"/>
  <c r="S51" i="104"/>
  <c r="U17" i="104"/>
  <c r="S17" i="104"/>
  <c r="T24" i="104"/>
  <c r="S24" i="104"/>
  <c r="S40" i="104"/>
  <c r="T12" i="104"/>
  <c r="U12" i="104"/>
  <c r="T4" i="104"/>
  <c r="S4" i="104"/>
  <c r="U4" i="104"/>
  <c r="S31" i="104"/>
  <c r="U31" i="104"/>
  <c r="T31" i="104"/>
  <c r="S15" i="104"/>
  <c r="U15" i="104"/>
  <c r="T15" i="104"/>
  <c r="U30" i="104"/>
  <c r="S30" i="104"/>
  <c r="T30" i="104"/>
  <c r="U14" i="104"/>
  <c r="T14" i="104"/>
  <c r="S14" i="104"/>
  <c r="T107" i="104"/>
  <c r="S107" i="104"/>
  <c r="U107" i="104"/>
  <c r="T91" i="104"/>
  <c r="S91" i="104"/>
  <c r="U91" i="104"/>
  <c r="U74" i="104"/>
  <c r="T74" i="104"/>
  <c r="S74" i="104"/>
  <c r="T57" i="104"/>
  <c r="S57" i="104"/>
  <c r="U57" i="104"/>
  <c r="U116" i="104"/>
  <c r="T116" i="104"/>
  <c r="S116" i="104"/>
  <c r="T92" i="104"/>
  <c r="S92" i="104"/>
  <c r="U66" i="104"/>
  <c r="T66" i="104"/>
  <c r="S66" i="104"/>
  <c r="U50" i="104"/>
  <c r="T50" i="104"/>
  <c r="S50" i="104"/>
  <c r="U29" i="104"/>
  <c r="T29" i="104"/>
  <c r="S29" i="104"/>
  <c r="T13" i="104"/>
  <c r="S13" i="104"/>
  <c r="U62" i="104"/>
  <c r="T62" i="104"/>
  <c r="S62" i="104"/>
  <c r="S64" i="104"/>
  <c r="S60" i="104"/>
  <c r="U60" i="104"/>
  <c r="T36" i="104"/>
  <c r="S36" i="104"/>
  <c r="U36" i="104"/>
  <c r="S96" i="104"/>
  <c r="S44" i="104"/>
  <c r="T44" i="104"/>
  <c r="S43" i="104"/>
  <c r="U43" i="104"/>
  <c r="T43" i="104"/>
  <c r="S27" i="104"/>
  <c r="U27" i="104"/>
  <c r="T27" i="104"/>
  <c r="S11" i="104"/>
  <c r="U11" i="104"/>
  <c r="T11" i="104"/>
  <c r="U42" i="104"/>
  <c r="T42" i="104"/>
  <c r="U26" i="104"/>
  <c r="T26" i="104"/>
  <c r="S26" i="104"/>
  <c r="U10" i="104"/>
  <c r="T10" i="104"/>
  <c r="S10" i="104"/>
  <c r="U112" i="104"/>
  <c r="T112" i="104"/>
  <c r="S112" i="104"/>
  <c r="T119" i="104"/>
  <c r="S119" i="104"/>
  <c r="U119" i="104"/>
  <c r="T86" i="104"/>
  <c r="S86" i="104"/>
  <c r="U86" i="104"/>
  <c r="T53" i="104"/>
  <c r="S53" i="104"/>
  <c r="U53" i="104"/>
  <c r="U120" i="104"/>
  <c r="T120" i="104"/>
  <c r="S120" i="104"/>
  <c r="T87" i="104"/>
  <c r="S87" i="104"/>
  <c r="U87" i="104"/>
  <c r="U88" i="104"/>
  <c r="T88" i="104"/>
  <c r="S88" i="104"/>
  <c r="U59" i="104"/>
  <c r="T59" i="104"/>
  <c r="S59" i="104"/>
  <c r="U41" i="104"/>
  <c r="T41" i="104"/>
  <c r="S41" i="104"/>
  <c r="U25" i="104"/>
  <c r="T25" i="104"/>
  <c r="S25" i="104"/>
  <c r="S9" i="104"/>
  <c r="U46" i="104"/>
  <c r="T46" i="104"/>
  <c r="S56" i="104"/>
  <c r="U56" i="104"/>
  <c r="T56" i="104"/>
  <c r="S52" i="104"/>
  <c r="U52" i="104"/>
  <c r="T52" i="104"/>
  <c r="T32" i="104"/>
  <c r="S32" i="104"/>
  <c r="U32" i="104"/>
  <c r="T20" i="104"/>
  <c r="S84" i="104"/>
  <c r="U84" i="104"/>
  <c r="T84" i="104"/>
  <c r="S39" i="104"/>
  <c r="U39" i="104"/>
  <c r="T39" i="104"/>
  <c r="T23" i="104"/>
  <c r="S7" i="104"/>
  <c r="U7" i="104"/>
  <c r="T7" i="104"/>
  <c r="U38" i="104"/>
  <c r="T38" i="104"/>
  <c r="S38" i="104"/>
  <c r="U22" i="104"/>
  <c r="S22" i="104"/>
  <c r="T22" i="104"/>
  <c r="U6" i="104"/>
  <c r="S6" i="104"/>
  <c r="T6" i="104"/>
  <c r="T95" i="104"/>
  <c r="S95" i="104"/>
  <c r="U95" i="104"/>
  <c r="T61" i="104"/>
  <c r="S61" i="104"/>
  <c r="S100" i="104"/>
  <c r="U121" i="104"/>
  <c r="T121" i="104"/>
  <c r="S121" i="104"/>
  <c r="U67" i="104"/>
  <c r="T67" i="104"/>
  <c r="U33" i="104"/>
  <c r="T33" i="104"/>
  <c r="S33" i="104"/>
  <c r="T103" i="104"/>
  <c r="S103" i="104"/>
  <c r="U103" i="104"/>
  <c r="U70" i="104"/>
  <c r="T70" i="104"/>
  <c r="S70" i="104"/>
  <c r="T115" i="104"/>
  <c r="S115" i="104"/>
  <c r="U115" i="104"/>
  <c r="T99" i="104"/>
  <c r="S99" i="104"/>
  <c r="U99" i="104"/>
  <c r="U82" i="104"/>
  <c r="T82" i="104"/>
  <c r="S82" i="104"/>
  <c r="U65" i="104"/>
  <c r="T49" i="104"/>
  <c r="S49" i="104"/>
  <c r="U49" i="104"/>
  <c r="T108" i="104"/>
  <c r="U71" i="104"/>
  <c r="T71" i="104"/>
  <c r="S71" i="104"/>
  <c r="U58" i="104"/>
  <c r="T58" i="104"/>
  <c r="S58" i="104"/>
  <c r="U37" i="104"/>
  <c r="T37" i="104"/>
  <c r="S37" i="104"/>
  <c r="U21" i="104"/>
  <c r="T21" i="104"/>
  <c r="S5" i="104"/>
  <c r="T28" i="104"/>
  <c r="S28" i="104"/>
  <c r="U28" i="104"/>
  <c r="S48" i="104"/>
  <c r="U48" i="104"/>
  <c r="T48" i="104"/>
  <c r="U68" i="104"/>
  <c r="T68" i="104"/>
  <c r="U79" i="104"/>
  <c r="T79" i="104"/>
  <c r="S79" i="104"/>
  <c r="U54" i="104"/>
  <c r="T54" i="104"/>
  <c r="S54" i="104"/>
  <c r="T16" i="104"/>
  <c r="S16" i="104"/>
  <c r="U16" i="104"/>
  <c r="U83" i="104"/>
  <c r="T83" i="104"/>
  <c r="S83" i="104"/>
  <c r="S8" i="104"/>
  <c r="U8" i="104"/>
  <c r="S35" i="104"/>
  <c r="U35" i="104"/>
  <c r="T35" i="104"/>
  <c r="S19" i="104"/>
  <c r="U19" i="104"/>
  <c r="T19" i="104"/>
  <c r="S3" i="104"/>
  <c r="U3" i="104"/>
  <c r="T3" i="104"/>
  <c r="U34" i="104"/>
  <c r="S34" i="104"/>
  <c r="T34" i="104"/>
  <c r="U18" i="104"/>
  <c r="T18" i="104"/>
  <c r="S18" i="104"/>
  <c r="U2" i="104"/>
  <c r="T2" i="104"/>
  <c r="E26" i="108" l="1"/>
  <c r="E27" i="108" s="1"/>
  <c r="E29" i="108" s="1"/>
  <c r="E46" i="108" s="1"/>
  <c r="T141" i="105"/>
  <c r="U141" i="105"/>
  <c r="X139" i="104"/>
  <c r="U40" i="104"/>
  <c r="U113" i="104"/>
  <c r="Y139" i="104"/>
  <c r="T105" i="104"/>
  <c r="U101" i="104"/>
  <c r="T101" i="104"/>
  <c r="Y138" i="104"/>
  <c r="T76" i="104"/>
  <c r="T72" i="104"/>
  <c r="T117" i="104"/>
  <c r="U118" i="104"/>
  <c r="T118" i="104"/>
  <c r="X133" i="104" s="1"/>
  <c r="U100" i="104"/>
  <c r="Y127" i="104" s="1"/>
  <c r="T9" i="104"/>
  <c r="T96" i="104"/>
  <c r="T64" i="104"/>
  <c r="U106" i="104"/>
  <c r="T81" i="104"/>
  <c r="U81" i="104"/>
  <c r="U97" i="104"/>
  <c r="U93" i="104"/>
  <c r="T93" i="104"/>
  <c r="T104" i="104"/>
  <c r="X131" i="104" s="1"/>
  <c r="U104" i="104"/>
  <c r="T5" i="104"/>
  <c r="X138" i="104" s="1"/>
  <c r="T80" i="104"/>
  <c r="T85" i="104"/>
  <c r="U109" i="104"/>
  <c r="T109" i="104"/>
  <c r="X136" i="104" s="1"/>
  <c r="AA40" i="32"/>
  <c r="M124" i="106"/>
  <c r="U130" i="105"/>
  <c r="U135" i="105"/>
  <c r="U140" i="105"/>
  <c r="T133" i="105"/>
  <c r="Q122" i="105"/>
  <c r="T17" i="26" s="1"/>
  <c r="U131" i="105"/>
  <c r="T139" i="105"/>
  <c r="U125" i="105"/>
  <c r="U138" i="105"/>
  <c r="T132" i="105"/>
  <c r="T135" i="105"/>
  <c r="T127" i="105"/>
  <c r="U133" i="105"/>
  <c r="U134" i="105"/>
  <c r="T142" i="105"/>
  <c r="S143" i="105"/>
  <c r="U142" i="105"/>
  <c r="T138" i="105"/>
  <c r="T125" i="105"/>
  <c r="T140" i="105"/>
  <c r="T134" i="105"/>
  <c r="U139" i="105"/>
  <c r="T136" i="105"/>
  <c r="T128" i="105"/>
  <c r="U132" i="105"/>
  <c r="T129" i="105"/>
  <c r="T130" i="105"/>
  <c r="U127" i="105"/>
  <c r="U126" i="105"/>
  <c r="U136" i="105"/>
  <c r="U128" i="105"/>
  <c r="X129" i="104"/>
  <c r="Y143" i="104"/>
  <c r="Y126" i="104"/>
  <c r="Y125" i="104"/>
  <c r="Y140" i="104"/>
  <c r="X134" i="104"/>
  <c r="Y128" i="104"/>
  <c r="X130" i="104"/>
  <c r="X132" i="104"/>
  <c r="Y133" i="104"/>
  <c r="Y134" i="104"/>
  <c r="X145" i="104"/>
  <c r="Y142" i="104"/>
  <c r="Y129" i="104"/>
  <c r="Y130" i="104"/>
  <c r="Y132" i="104"/>
  <c r="Y145" i="104"/>
  <c r="X144" i="104"/>
  <c r="X141" i="104"/>
  <c r="X135" i="104"/>
  <c r="Y135" i="104"/>
  <c r="X140" i="104"/>
  <c r="X125" i="104"/>
  <c r="X126" i="104"/>
  <c r="Y131" i="104"/>
  <c r="X143" i="104"/>
  <c r="Y147" i="104"/>
  <c r="X142" i="104"/>
  <c r="Y144" i="104"/>
  <c r="Y141" i="104"/>
  <c r="X127" i="104"/>
  <c r="Y136" i="104" l="1"/>
  <c r="X147" i="104"/>
  <c r="X146" i="104"/>
  <c r="Y146" i="104"/>
  <c r="U122" i="104"/>
  <c r="X128" i="104"/>
  <c r="AA41" i="32"/>
  <c r="M125" i="106"/>
  <c r="U143" i="105"/>
  <c r="T143" i="105"/>
  <c r="S144" i="105"/>
  <c r="AA42" i="32" l="1"/>
  <c r="M126" i="106"/>
  <c r="S145" i="105"/>
  <c r="U144" i="105"/>
  <c r="T144" i="105"/>
  <c r="AA43" i="32" l="1"/>
  <c r="M127" i="106"/>
  <c r="S146" i="105"/>
  <c r="U145" i="105"/>
  <c r="T145" i="105"/>
  <c r="AA44" i="32" l="1"/>
  <c r="M128" i="106"/>
  <c r="T146" i="105"/>
  <c r="S147" i="105"/>
  <c r="U146" i="105"/>
  <c r="AA45" i="32" l="1"/>
  <c r="M129" i="106"/>
  <c r="U147" i="105"/>
  <c r="T147" i="105"/>
  <c r="AA46" i="32" l="1"/>
  <c r="M130" i="106"/>
  <c r="CA13" i="99"/>
  <c r="CA12" i="99"/>
  <c r="CA11" i="99"/>
  <c r="CA10" i="99"/>
  <c r="CA9" i="99"/>
  <c r="CA8" i="99"/>
  <c r="CA7" i="99"/>
  <c r="CA6" i="99"/>
  <c r="CA5" i="99"/>
  <c r="CA4" i="99"/>
  <c r="CA3" i="99"/>
  <c r="CA2" i="99"/>
  <c r="G6" i="70"/>
  <c r="G7" i="70"/>
  <c r="G8" i="70"/>
  <c r="G9" i="70"/>
  <c r="G10" i="70"/>
  <c r="G11" i="70"/>
  <c r="G12" i="70"/>
  <c r="G13" i="70"/>
  <c r="G5" i="70"/>
  <c r="G4" i="70"/>
  <c r="P36" i="32"/>
  <c r="H36" i="32"/>
  <c r="L36" i="32"/>
  <c r="T36" i="32"/>
  <c r="AB36" i="32"/>
  <c r="X36" i="32"/>
  <c r="B114" i="87"/>
  <c r="C114" i="87"/>
  <c r="D114" i="87"/>
  <c r="B115" i="87"/>
  <c r="C115" i="87"/>
  <c r="D115" i="87"/>
  <c r="B116" i="87"/>
  <c r="C116" i="87"/>
  <c r="D116" i="87"/>
  <c r="B117" i="87"/>
  <c r="C117" i="87"/>
  <c r="D117" i="87"/>
  <c r="B118" i="87"/>
  <c r="C118" i="87"/>
  <c r="D118" i="87"/>
  <c r="B119" i="87"/>
  <c r="C119" i="87"/>
  <c r="D119" i="87"/>
  <c r="B120" i="87"/>
  <c r="C120" i="87"/>
  <c r="D120" i="87"/>
  <c r="B121" i="87"/>
  <c r="C121" i="87"/>
  <c r="D121" i="87"/>
  <c r="B116" i="86"/>
  <c r="C116" i="86"/>
  <c r="J116" i="86"/>
  <c r="B117" i="86"/>
  <c r="C117" i="86"/>
  <c r="J117" i="86"/>
  <c r="B118" i="86"/>
  <c r="C118" i="86"/>
  <c r="J118" i="86"/>
  <c r="B119" i="86"/>
  <c r="C119" i="86"/>
  <c r="J119" i="86"/>
  <c r="B120" i="86"/>
  <c r="C120" i="86"/>
  <c r="J120" i="86"/>
  <c r="B121" i="86"/>
  <c r="C121" i="86"/>
  <c r="J121" i="86"/>
  <c r="B115" i="85"/>
  <c r="C115" i="85"/>
  <c r="B116" i="85"/>
  <c r="C116" i="85"/>
  <c r="B117" i="85"/>
  <c r="C117" i="85"/>
  <c r="B118" i="85"/>
  <c r="C118" i="85"/>
  <c r="B119" i="85"/>
  <c r="C119" i="85"/>
  <c r="B120" i="85"/>
  <c r="C120" i="85"/>
  <c r="B121" i="85"/>
  <c r="C121" i="85"/>
  <c r="B114" i="84"/>
  <c r="C114" i="84"/>
  <c r="P114" i="84"/>
  <c r="B115" i="84"/>
  <c r="C115" i="84"/>
  <c r="P115" i="84"/>
  <c r="B116" i="84"/>
  <c r="C116" i="84"/>
  <c r="P116" i="84"/>
  <c r="B117" i="84"/>
  <c r="C117" i="84"/>
  <c r="P117" i="84"/>
  <c r="B118" i="84"/>
  <c r="C118" i="84"/>
  <c r="P118" i="84"/>
  <c r="B119" i="84"/>
  <c r="C119" i="84"/>
  <c r="P119" i="84"/>
  <c r="B120" i="84"/>
  <c r="C120" i="84"/>
  <c r="E120" i="84"/>
  <c r="P120" i="84"/>
  <c r="B121" i="84"/>
  <c r="C121" i="84"/>
  <c r="P121" i="84"/>
  <c r="B115" i="30"/>
  <c r="C115" i="30"/>
  <c r="D115" i="30"/>
  <c r="N115" i="30"/>
  <c r="J115" i="30"/>
  <c r="B116" i="30"/>
  <c r="C116" i="30"/>
  <c r="D116" i="30"/>
  <c r="N116" i="30"/>
  <c r="J116" i="30"/>
  <c r="B117" i="30"/>
  <c r="C117" i="30"/>
  <c r="D117" i="30"/>
  <c r="N117" i="30"/>
  <c r="J117" i="30"/>
  <c r="B118" i="30"/>
  <c r="C118" i="30"/>
  <c r="D118" i="30"/>
  <c r="N118" i="30"/>
  <c r="J118" i="30"/>
  <c r="B119" i="30"/>
  <c r="C119" i="30"/>
  <c r="D119" i="30"/>
  <c r="N119" i="30"/>
  <c r="J119" i="30"/>
  <c r="B120" i="30"/>
  <c r="C120" i="30"/>
  <c r="D120" i="30"/>
  <c r="N120" i="30"/>
  <c r="J120" i="30"/>
  <c r="B121" i="30"/>
  <c r="C121" i="30"/>
  <c r="D121" i="30"/>
  <c r="N121" i="30"/>
  <c r="J121" i="30"/>
  <c r="B114" i="29"/>
  <c r="C114" i="29"/>
  <c r="H114" i="29"/>
  <c r="L114" i="29"/>
  <c r="P114" i="29"/>
  <c r="B115" i="29"/>
  <c r="C115" i="29"/>
  <c r="H115" i="29"/>
  <c r="L115" i="29"/>
  <c r="P115" i="29"/>
  <c r="B116" i="29"/>
  <c r="C116" i="29"/>
  <c r="H116" i="29"/>
  <c r="P116" i="29" s="1"/>
  <c r="L116" i="29"/>
  <c r="B117" i="29"/>
  <c r="C117" i="29"/>
  <c r="H117" i="29"/>
  <c r="P117" i="29" s="1"/>
  <c r="L117" i="29"/>
  <c r="B118" i="29"/>
  <c r="C118" i="29"/>
  <c r="H118" i="29"/>
  <c r="P118" i="29" s="1"/>
  <c r="L118" i="29"/>
  <c r="B119" i="29"/>
  <c r="C119" i="29"/>
  <c r="H119" i="29"/>
  <c r="P119" i="29" s="1"/>
  <c r="L119" i="29"/>
  <c r="B120" i="29"/>
  <c r="C120" i="29"/>
  <c r="H120" i="29"/>
  <c r="P120" i="29" s="1"/>
  <c r="L120" i="29"/>
  <c r="B121" i="29"/>
  <c r="C121" i="29"/>
  <c r="H121" i="29"/>
  <c r="L121" i="29"/>
  <c r="P121" i="29"/>
  <c r="B112" i="28"/>
  <c r="C112" i="28"/>
  <c r="K112" i="28"/>
  <c r="B113" i="28"/>
  <c r="C113" i="28"/>
  <c r="K113" i="28"/>
  <c r="B114" i="28"/>
  <c r="C114" i="28"/>
  <c r="K114" i="28"/>
  <c r="B115" i="28"/>
  <c r="C115" i="28"/>
  <c r="K115" i="28"/>
  <c r="B116" i="28"/>
  <c r="C116" i="28"/>
  <c r="K116" i="28"/>
  <c r="B117" i="28"/>
  <c r="C117" i="28"/>
  <c r="K117" i="28"/>
  <c r="B118" i="28"/>
  <c r="C118" i="28"/>
  <c r="K118" i="28"/>
  <c r="B119" i="28"/>
  <c r="C119" i="28"/>
  <c r="K119" i="28"/>
  <c r="B120" i="28"/>
  <c r="C120" i="28"/>
  <c r="K120" i="28"/>
  <c r="B121" i="28"/>
  <c r="C121" i="28"/>
  <c r="K121" i="28"/>
  <c r="B110" i="27"/>
  <c r="C110" i="27"/>
  <c r="M110" i="27"/>
  <c r="N110" i="27"/>
  <c r="B111" i="27"/>
  <c r="C111" i="27"/>
  <c r="M111" i="27"/>
  <c r="N111" i="27"/>
  <c r="B112" i="27"/>
  <c r="C112" i="27"/>
  <c r="M112" i="27"/>
  <c r="N112" i="27"/>
  <c r="B113" i="27"/>
  <c r="C113" i="27"/>
  <c r="M113" i="27"/>
  <c r="N113" i="27"/>
  <c r="B114" i="27"/>
  <c r="C114" i="27"/>
  <c r="M114" i="27"/>
  <c r="N114" i="27"/>
  <c r="B115" i="27"/>
  <c r="C115" i="27"/>
  <c r="M115" i="27"/>
  <c r="N115" i="27"/>
  <c r="B116" i="27"/>
  <c r="C116" i="27"/>
  <c r="M116" i="27"/>
  <c r="N116" i="27"/>
  <c r="B117" i="27"/>
  <c r="C117" i="27"/>
  <c r="M117" i="27"/>
  <c r="N117" i="27"/>
  <c r="B118" i="27"/>
  <c r="C118" i="27"/>
  <c r="M118" i="27"/>
  <c r="N118" i="27"/>
  <c r="B119" i="27"/>
  <c r="C119" i="27"/>
  <c r="M119" i="27"/>
  <c r="N119" i="27"/>
  <c r="B120" i="27"/>
  <c r="C120" i="27"/>
  <c r="M120" i="27"/>
  <c r="N120" i="27"/>
  <c r="B121" i="27"/>
  <c r="C121" i="27"/>
  <c r="M121" i="27"/>
  <c r="N121" i="27"/>
  <c r="X160" i="39"/>
  <c r="X100" i="99"/>
  <c r="CK176" i="39"/>
  <c r="CO176" i="39"/>
  <c r="CS176" i="39"/>
  <c r="AP176" i="39"/>
  <c r="AQ176" i="39"/>
  <c r="AR176" i="39"/>
  <c r="AS176" i="39"/>
  <c r="BJ176" i="39"/>
  <c r="BK176" i="39" s="1"/>
  <c r="BM176" i="39"/>
  <c r="BN176" i="39"/>
  <c r="BO176" i="39"/>
  <c r="BP176" i="39"/>
  <c r="BQ176" i="39"/>
  <c r="BR176" i="39"/>
  <c r="BS176" i="39"/>
  <c r="BT176" i="39"/>
  <c r="BU176" i="39"/>
  <c r="BV176" i="39"/>
  <c r="BW176" i="39"/>
  <c r="BX176" i="39"/>
  <c r="BY176" i="39"/>
  <c r="BZ176" i="39"/>
  <c r="CA176" i="39"/>
  <c r="CB176" i="39"/>
  <c r="CM177" i="39"/>
  <c r="CQ177" i="39"/>
  <c r="CU177" i="39"/>
  <c r="AP177" i="39"/>
  <c r="AQ177" i="39"/>
  <c r="AR177" i="39"/>
  <c r="AS177" i="39"/>
  <c r="BM177" i="39"/>
  <c r="BN177" i="39"/>
  <c r="BO177" i="39"/>
  <c r="BP177" i="39"/>
  <c r="BQ177" i="39"/>
  <c r="BR177" i="39"/>
  <c r="BS177" i="39"/>
  <c r="BT177" i="39"/>
  <c r="BU177" i="39"/>
  <c r="BV177" i="39"/>
  <c r="BW177" i="39"/>
  <c r="BX177" i="39"/>
  <c r="BY177" i="39"/>
  <c r="BZ177" i="39"/>
  <c r="CA177" i="39"/>
  <c r="CB177" i="39"/>
  <c r="DE178" i="39"/>
  <c r="DI178" i="39"/>
  <c r="DM178" i="39"/>
  <c r="AP178" i="39"/>
  <c r="AQ178" i="39"/>
  <c r="AR178" i="39"/>
  <c r="AS178" i="39"/>
  <c r="BM178" i="39"/>
  <c r="BN178" i="39"/>
  <c r="BO178" i="39"/>
  <c r="BP178" i="39"/>
  <c r="BQ178" i="39"/>
  <c r="BR178" i="39"/>
  <c r="BS178" i="39"/>
  <c r="BT178" i="39"/>
  <c r="BU178" i="39"/>
  <c r="BV178" i="39"/>
  <c r="BW178" i="39"/>
  <c r="BX178" i="39"/>
  <c r="BY178" i="39"/>
  <c r="BZ178" i="39"/>
  <c r="CA178" i="39"/>
  <c r="CB178" i="39"/>
  <c r="CI179" i="39"/>
  <c r="CM179" i="39"/>
  <c r="CQ179" i="39"/>
  <c r="CU179" i="39"/>
  <c r="AP179" i="39"/>
  <c r="AQ179" i="39"/>
  <c r="AR179" i="39"/>
  <c r="AS179" i="39"/>
  <c r="BM179" i="39"/>
  <c r="BN179" i="39"/>
  <c r="BO179" i="39"/>
  <c r="BP179" i="39"/>
  <c r="BQ179" i="39"/>
  <c r="BR179" i="39"/>
  <c r="BS179" i="39"/>
  <c r="BT179" i="39"/>
  <c r="BU179" i="39"/>
  <c r="BV179" i="39"/>
  <c r="BW179" i="39"/>
  <c r="BX179" i="39"/>
  <c r="BY179" i="39"/>
  <c r="BZ179" i="39"/>
  <c r="CA179" i="39"/>
  <c r="CB179" i="39"/>
  <c r="CK180" i="39"/>
  <c r="CO180" i="39"/>
  <c r="CS180" i="39"/>
  <c r="AP180" i="39"/>
  <c r="AQ180" i="39"/>
  <c r="AR180" i="39"/>
  <c r="AS180" i="39"/>
  <c r="BM180" i="39"/>
  <c r="BN180" i="39"/>
  <c r="BO180" i="39"/>
  <c r="BP180" i="39"/>
  <c r="BQ180" i="39"/>
  <c r="BR180" i="39"/>
  <c r="BS180" i="39"/>
  <c r="BT180" i="39"/>
  <c r="BU180" i="39"/>
  <c r="BV180" i="39"/>
  <c r="BW180" i="39"/>
  <c r="BX180" i="39"/>
  <c r="BY180" i="39"/>
  <c r="BZ180" i="39"/>
  <c r="CA180" i="39"/>
  <c r="CB180" i="39"/>
  <c r="CI181" i="39"/>
  <c r="CM181" i="39"/>
  <c r="CQ181" i="39"/>
  <c r="CU181" i="39"/>
  <c r="AP181" i="39"/>
  <c r="AQ181" i="39"/>
  <c r="AR181" i="39"/>
  <c r="AS181" i="39"/>
  <c r="BM181" i="39"/>
  <c r="BN181" i="39"/>
  <c r="BO181" i="39"/>
  <c r="BP181" i="39"/>
  <c r="BQ181" i="39"/>
  <c r="BR181" i="39"/>
  <c r="BS181" i="39"/>
  <c r="BT181" i="39"/>
  <c r="BU181" i="39"/>
  <c r="BV181" i="39"/>
  <c r="BW181" i="39"/>
  <c r="BX181" i="39"/>
  <c r="BY181" i="39"/>
  <c r="BZ181" i="39"/>
  <c r="CA181" i="39"/>
  <c r="CB181" i="39"/>
  <c r="CE176" i="39"/>
  <c r="CF176" i="39"/>
  <c r="CH176" i="39"/>
  <c r="CI176" i="39"/>
  <c r="CJ176" i="39"/>
  <c r="CL176" i="39"/>
  <c r="CM176" i="39"/>
  <c r="CN176" i="39"/>
  <c r="CP176" i="39"/>
  <c r="CQ176" i="39"/>
  <c r="CR176" i="39"/>
  <c r="CT176" i="39"/>
  <c r="CU176" i="39"/>
  <c r="CY176" i="39"/>
  <c r="DA176" i="39"/>
  <c r="DB176" i="39"/>
  <c r="DC176" i="39"/>
  <c r="DD176" i="39"/>
  <c r="DF176" i="39"/>
  <c r="DG176" i="39"/>
  <c r="DH176" i="39"/>
  <c r="DJ176" i="39"/>
  <c r="DK176" i="39"/>
  <c r="DL176" i="39"/>
  <c r="DN176" i="39"/>
  <c r="DO176" i="39"/>
  <c r="DP176" i="39"/>
  <c r="DQ176" i="39"/>
  <c r="DR176" i="39"/>
  <c r="DS176" i="39"/>
  <c r="DS177" i="39" s="1"/>
  <c r="DS178" i="39" s="1"/>
  <c r="DS179" i="39" s="1"/>
  <c r="DS180" i="39" s="1"/>
  <c r="DS181" i="39" s="1"/>
  <c r="DT176" i="39"/>
  <c r="CE177" i="39"/>
  <c r="CF177" i="39"/>
  <c r="CH177" i="39"/>
  <c r="CJ177" i="39"/>
  <c r="CK177" i="39"/>
  <c r="CL177" i="39"/>
  <c r="CN177" i="39"/>
  <c r="CO177" i="39"/>
  <c r="CP177" i="39"/>
  <c r="CR177" i="39"/>
  <c r="CS177" i="39"/>
  <c r="CT177" i="39"/>
  <c r="CY177" i="39"/>
  <c r="DB177" i="39"/>
  <c r="DE177" i="39"/>
  <c r="DF177" i="39"/>
  <c r="DI177" i="39"/>
  <c r="DJ177" i="39"/>
  <c r="DM177" i="39"/>
  <c r="DN177" i="39"/>
  <c r="DP177" i="39"/>
  <c r="DQ177" i="39"/>
  <c r="DR177" i="39"/>
  <c r="DR178" i="39" s="1"/>
  <c r="DR179" i="39" s="1"/>
  <c r="DR180" i="39" s="1"/>
  <c r="DR181" i="39" s="1"/>
  <c r="DT177" i="39"/>
  <c r="CE178" i="39"/>
  <c r="CF178" i="39"/>
  <c r="DB178" i="39" s="1"/>
  <c r="CH178" i="39"/>
  <c r="CI178" i="39"/>
  <c r="CJ178" i="39"/>
  <c r="CK178" i="39"/>
  <c r="CL178" i="39"/>
  <c r="CM178" i="39"/>
  <c r="CN178" i="39"/>
  <c r="CO178" i="39"/>
  <c r="CP178" i="39"/>
  <c r="CQ178" i="39"/>
  <c r="CR178" i="39"/>
  <c r="CS178" i="39"/>
  <c r="CT178" i="39"/>
  <c r="CU178" i="39"/>
  <c r="CY178" i="39"/>
  <c r="DA178" i="39"/>
  <c r="DP178" i="39"/>
  <c r="DQ178" i="39"/>
  <c r="DQ179" i="39" s="1"/>
  <c r="DQ180" i="39" s="1"/>
  <c r="DQ181" i="39" s="1"/>
  <c r="DT178" i="39"/>
  <c r="CE179" i="39"/>
  <c r="CE180" i="39" s="1"/>
  <c r="CE181" i="39" s="1"/>
  <c r="CH179" i="39"/>
  <c r="CJ179" i="39"/>
  <c r="CK179" i="39"/>
  <c r="CL179" i="39"/>
  <c r="CN179" i="39"/>
  <c r="CO179" i="39"/>
  <c r="CP179" i="39"/>
  <c r="CR179" i="39"/>
  <c r="CS179" i="39"/>
  <c r="CT179" i="39"/>
  <c r="CY179" i="39"/>
  <c r="DP179" i="39"/>
  <c r="DP180" i="39" s="1"/>
  <c r="DP181" i="39" s="1"/>
  <c r="DT179" i="39"/>
  <c r="DT180" i="39" s="1"/>
  <c r="DT181" i="39" s="1"/>
  <c r="CH180" i="39"/>
  <c r="CI180" i="39"/>
  <c r="CJ180" i="39"/>
  <c r="CL180" i="39"/>
  <c r="CM180" i="39"/>
  <c r="CN180" i="39"/>
  <c r="CP180" i="39"/>
  <c r="CQ180" i="39"/>
  <c r="CR180" i="39"/>
  <c r="CT180" i="39"/>
  <c r="CU180" i="39"/>
  <c r="CY180" i="39"/>
  <c r="DA180" i="39"/>
  <c r="CH181" i="39"/>
  <c r="CJ181" i="39"/>
  <c r="CK181" i="39"/>
  <c r="CL181" i="39"/>
  <c r="CN181" i="39"/>
  <c r="CO181" i="39"/>
  <c r="CP181" i="39"/>
  <c r="CR181" i="39"/>
  <c r="CS181" i="39"/>
  <c r="CT181" i="39"/>
  <c r="CY181" i="39"/>
  <c r="CH116" i="99"/>
  <c r="CI116" i="99"/>
  <c r="CS116" i="99"/>
  <c r="CT116" i="99"/>
  <c r="CY116" i="99"/>
  <c r="CL117" i="99"/>
  <c r="CM117" i="99"/>
  <c r="CT117" i="99"/>
  <c r="CU117" i="99"/>
  <c r="CY117" i="99"/>
  <c r="CL118" i="99"/>
  <c r="CT118" i="99"/>
  <c r="CY118" i="99"/>
  <c r="CM119" i="99"/>
  <c r="CU119" i="99"/>
  <c r="CY119" i="99"/>
  <c r="CJ120" i="99"/>
  <c r="CO120" i="99"/>
  <c r="CR120" i="99"/>
  <c r="CY120" i="99"/>
  <c r="CY121" i="99"/>
  <c r="AA116" i="99"/>
  <c r="AB116" i="99"/>
  <c r="AC116" i="99"/>
  <c r="AD116" i="99"/>
  <c r="CK116" i="99" s="1"/>
  <c r="AE116" i="99"/>
  <c r="CL116" i="99" s="1"/>
  <c r="AF116" i="99"/>
  <c r="F116" i="87" s="1"/>
  <c r="AG116" i="99"/>
  <c r="AH116" i="99"/>
  <c r="CO116" i="99" s="1"/>
  <c r="AI116" i="99"/>
  <c r="CP116" i="99" s="1"/>
  <c r="AJ116" i="99"/>
  <c r="AK116" i="99"/>
  <c r="CR116" i="99" s="1"/>
  <c r="AL116" i="99"/>
  <c r="AM116" i="99"/>
  <c r="AN116" i="99"/>
  <c r="CU116" i="99" s="1"/>
  <c r="AO116" i="99"/>
  <c r="AP116" i="99"/>
  <c r="AQ116" i="99"/>
  <c r="AR116" i="99"/>
  <c r="AS116" i="99"/>
  <c r="AA117" i="99"/>
  <c r="CH117" i="99" s="1"/>
  <c r="AB117" i="99"/>
  <c r="CI117" i="99" s="1"/>
  <c r="AC117" i="99"/>
  <c r="AD117" i="99"/>
  <c r="CK117" i="99" s="1"/>
  <c r="AE117" i="99"/>
  <c r="E117" i="86" s="1"/>
  <c r="AF117" i="99"/>
  <c r="F117" i="87" s="1"/>
  <c r="AG117" i="99"/>
  <c r="AH117" i="99"/>
  <c r="AI117" i="99"/>
  <c r="CP117" i="99" s="1"/>
  <c r="AJ117" i="99"/>
  <c r="F117" i="86" s="1"/>
  <c r="AK117" i="99"/>
  <c r="CR117" i="99" s="1"/>
  <c r="AL117" i="99"/>
  <c r="CS117" i="99" s="1"/>
  <c r="AM117" i="99"/>
  <c r="AN117" i="99"/>
  <c r="AO117" i="99"/>
  <c r="AP117" i="99"/>
  <c r="AQ117" i="99"/>
  <c r="AR117" i="99"/>
  <c r="AS117" i="99"/>
  <c r="AA118" i="99"/>
  <c r="CH118" i="99" s="1"/>
  <c r="AB118" i="99"/>
  <c r="CI118" i="99" s="1"/>
  <c r="AC118" i="99"/>
  <c r="AD118" i="99"/>
  <c r="CK118" i="99" s="1"/>
  <c r="AE118" i="99"/>
  <c r="E118" i="86" s="1"/>
  <c r="AF118" i="99"/>
  <c r="AG118" i="99"/>
  <c r="AH118" i="99"/>
  <c r="F118" i="85" s="1"/>
  <c r="AI118" i="99"/>
  <c r="CP118" i="99" s="1"/>
  <c r="AJ118" i="99"/>
  <c r="AK118" i="99"/>
  <c r="CR118" i="99" s="1"/>
  <c r="AL118" i="99"/>
  <c r="CS118" i="99" s="1"/>
  <c r="AM118" i="99"/>
  <c r="AN118" i="99"/>
  <c r="CU118" i="99" s="1"/>
  <c r="AO118" i="99"/>
  <c r="AP118" i="99"/>
  <c r="AQ118" i="99"/>
  <c r="AR118" i="99"/>
  <c r="AS118" i="99"/>
  <c r="AA119" i="99"/>
  <c r="CH119" i="99" s="1"/>
  <c r="AB119" i="99"/>
  <c r="CI119" i="99" s="1"/>
  <c r="AC119" i="99"/>
  <c r="AD119" i="99"/>
  <c r="CK119" i="99" s="1"/>
  <c r="AE119" i="99"/>
  <c r="E119" i="86" s="1"/>
  <c r="AF119" i="99"/>
  <c r="F119" i="87" s="1"/>
  <c r="AG119" i="99"/>
  <c r="CN119" i="99" s="1"/>
  <c r="AH119" i="99"/>
  <c r="AI119" i="99"/>
  <c r="CP119" i="99" s="1"/>
  <c r="AJ119" i="99"/>
  <c r="CQ119" i="99" s="1"/>
  <c r="AK119" i="99"/>
  <c r="CR119" i="99" s="1"/>
  <c r="AL119" i="99"/>
  <c r="CS119" i="99" s="1"/>
  <c r="AM119" i="99"/>
  <c r="CT119" i="99" s="1"/>
  <c r="AN119" i="99"/>
  <c r="AO119" i="99"/>
  <c r="AP119" i="99"/>
  <c r="AQ119" i="99"/>
  <c r="AR119" i="99"/>
  <c r="AS119" i="99"/>
  <c r="AA120" i="99"/>
  <c r="CH120" i="99" s="1"/>
  <c r="AB120" i="99"/>
  <c r="CI120" i="99" s="1"/>
  <c r="AC120" i="99"/>
  <c r="E120" i="85" s="1"/>
  <c r="AD120" i="99"/>
  <c r="CK120" i="99" s="1"/>
  <c r="AE120" i="99"/>
  <c r="CL120" i="99" s="1"/>
  <c r="AF120" i="99"/>
  <c r="AG120" i="99"/>
  <c r="E120" i="87" s="1"/>
  <c r="AH120" i="99"/>
  <c r="AI120" i="99"/>
  <c r="CP120" i="99" s="1"/>
  <c r="AJ120" i="99"/>
  <c r="AK120" i="99"/>
  <c r="AL120" i="99"/>
  <c r="CS120" i="99" s="1"/>
  <c r="AM120" i="99"/>
  <c r="CT120" i="99" s="1"/>
  <c r="AN120" i="99"/>
  <c r="CU120" i="99" s="1"/>
  <c r="AO120" i="99"/>
  <c r="AP120" i="99"/>
  <c r="AQ120" i="99"/>
  <c r="AR120" i="99"/>
  <c r="AS120" i="99"/>
  <c r="AA121" i="99"/>
  <c r="CH121" i="99" s="1"/>
  <c r="AB121" i="99"/>
  <c r="CI121" i="99" s="1"/>
  <c r="AC121" i="99"/>
  <c r="CJ121" i="99" s="1"/>
  <c r="AD121" i="99"/>
  <c r="CK121" i="99" s="1"/>
  <c r="AE121" i="99"/>
  <c r="E121" i="86" s="1"/>
  <c r="AF121" i="99"/>
  <c r="F121" i="87" s="1"/>
  <c r="AG121" i="99"/>
  <c r="E121" i="87" s="1"/>
  <c r="AH121" i="99"/>
  <c r="F121" i="85" s="1"/>
  <c r="AI121" i="99"/>
  <c r="CP121" i="99" s="1"/>
  <c r="AJ121" i="99"/>
  <c r="F121" i="86" s="1"/>
  <c r="AK121" i="99"/>
  <c r="CR121" i="99" s="1"/>
  <c r="AL121" i="99"/>
  <c r="CS121" i="99" s="1"/>
  <c r="AM121" i="99"/>
  <c r="CT121" i="99" s="1"/>
  <c r="AN121" i="99"/>
  <c r="CU121" i="99" s="1"/>
  <c r="AO121" i="99"/>
  <c r="AP121" i="99"/>
  <c r="AQ121" i="99"/>
  <c r="AR121" i="99"/>
  <c r="AS121" i="99"/>
  <c r="M116" i="41"/>
  <c r="M117" i="41"/>
  <c r="M118" i="41"/>
  <c r="M119" i="41"/>
  <c r="M120" i="41"/>
  <c r="M121" i="41"/>
  <c r="DN33" i="6"/>
  <c r="DM33" i="6"/>
  <c r="DL33" i="6"/>
  <c r="DK33" i="6"/>
  <c r="DJ33" i="6"/>
  <c r="DI33" i="6"/>
  <c r="DH33" i="6"/>
  <c r="DG33" i="6"/>
  <c r="DF33" i="6"/>
  <c r="DE33" i="6"/>
  <c r="DD33" i="6"/>
  <c r="DC33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AF17" i="6"/>
  <c r="AE17" i="6"/>
  <c r="AD17" i="6"/>
  <c r="AC17" i="6"/>
  <c r="AB17" i="6"/>
  <c r="AA17" i="6"/>
  <c r="Z17" i="6"/>
  <c r="AH17" i="6"/>
  <c r="AA47" i="32" l="1"/>
  <c r="M131" i="106"/>
  <c r="F120" i="86"/>
  <c r="CQ120" i="99"/>
  <c r="F120" i="87"/>
  <c r="CM120" i="99"/>
  <c r="E117" i="85"/>
  <c r="CJ117" i="99"/>
  <c r="E116" i="85"/>
  <c r="CJ116" i="99"/>
  <c r="E116" i="84"/>
  <c r="F119" i="85"/>
  <c r="CO119" i="99"/>
  <c r="E118" i="87"/>
  <c r="CN118" i="99"/>
  <c r="CQ121" i="99"/>
  <c r="E117" i="84"/>
  <c r="E120" i="86"/>
  <c r="E119" i="84"/>
  <c r="E119" i="85"/>
  <c r="CJ119" i="99"/>
  <c r="F118" i="86"/>
  <c r="CQ118" i="99"/>
  <c r="F118" i="87"/>
  <c r="CM118" i="99"/>
  <c r="CL121" i="99"/>
  <c r="CN120" i="99"/>
  <c r="CL119" i="99"/>
  <c r="CQ117" i="99"/>
  <c r="F119" i="86"/>
  <c r="E119" i="87"/>
  <c r="E121" i="85"/>
  <c r="E121" i="84"/>
  <c r="CN117" i="99"/>
  <c r="E117" i="87"/>
  <c r="CN116" i="99"/>
  <c r="E116" i="87"/>
  <c r="CN121" i="99"/>
  <c r="E118" i="85"/>
  <c r="E118" i="84"/>
  <c r="CJ118" i="99"/>
  <c r="F116" i="86"/>
  <c r="CQ116" i="99"/>
  <c r="CM121" i="99"/>
  <c r="F120" i="85"/>
  <c r="F117" i="85"/>
  <c r="CO117" i="99"/>
  <c r="F116" i="85"/>
  <c r="CO121" i="99"/>
  <c r="CO118" i="99"/>
  <c r="CM116" i="99"/>
  <c r="E116" i="86"/>
  <c r="DA179" i="39"/>
  <c r="DA177" i="39"/>
  <c r="DC177" i="39"/>
  <c r="DM176" i="39"/>
  <c r="DI176" i="39"/>
  <c r="DE176" i="39"/>
  <c r="BJ177" i="39"/>
  <c r="BL176" i="39"/>
  <c r="DA181" i="39"/>
  <c r="DH178" i="39"/>
  <c r="DO178" i="39"/>
  <c r="DK178" i="39"/>
  <c r="DG178" i="39"/>
  <c r="DC178" i="39"/>
  <c r="DL177" i="39"/>
  <c r="DH177" i="39"/>
  <c r="DD177" i="39"/>
  <c r="DL178" i="39"/>
  <c r="DD178" i="39"/>
  <c r="CF179" i="39"/>
  <c r="DN178" i="39"/>
  <c r="DJ178" i="39"/>
  <c r="DF178" i="39"/>
  <c r="DO177" i="39"/>
  <c r="DK177" i="39"/>
  <c r="DG177" i="39"/>
  <c r="AA48" i="32" l="1"/>
  <c r="M132" i="106"/>
  <c r="BJ178" i="39"/>
  <c r="BL177" i="39"/>
  <c r="BK177" i="39"/>
  <c r="DE179" i="39"/>
  <c r="DI179" i="39"/>
  <c r="DM179" i="39"/>
  <c r="DC179" i="39"/>
  <c r="DG179" i="39"/>
  <c r="DO179" i="39"/>
  <c r="DH179" i="39"/>
  <c r="DB179" i="39"/>
  <c r="DF179" i="39"/>
  <c r="DJ179" i="39"/>
  <c r="DN179" i="39"/>
  <c r="CF180" i="39"/>
  <c r="DK179" i="39"/>
  <c r="DD179" i="39"/>
  <c r="DL179" i="39"/>
  <c r="AA49" i="32" l="1"/>
  <c r="M133" i="106"/>
  <c r="BK178" i="39"/>
  <c r="BL178" i="39"/>
  <c r="BJ179" i="39"/>
  <c r="DD180" i="39"/>
  <c r="DH180" i="39"/>
  <c r="DL180" i="39"/>
  <c r="DF180" i="39"/>
  <c r="DN180" i="39"/>
  <c r="CF181" i="39"/>
  <c r="DC180" i="39"/>
  <c r="DG180" i="39"/>
  <c r="DO180" i="39"/>
  <c r="DE180" i="39"/>
  <c r="DI180" i="39"/>
  <c r="DM180" i="39"/>
  <c r="DB180" i="39"/>
  <c r="DJ180" i="39"/>
  <c r="DK180" i="39"/>
  <c r="AA50" i="32" l="1"/>
  <c r="M134" i="106"/>
  <c r="BK179" i="39"/>
  <c r="BL179" i="39"/>
  <c r="BJ180" i="39"/>
  <c r="DC181" i="39"/>
  <c r="DG181" i="39"/>
  <c r="DK181" i="39"/>
  <c r="DO181" i="39"/>
  <c r="DE181" i="39"/>
  <c r="DI181" i="39"/>
  <c r="DF181" i="39"/>
  <c r="DN181" i="39"/>
  <c r="DD181" i="39"/>
  <c r="DH181" i="39"/>
  <c r="DL181" i="39"/>
  <c r="DM181" i="39"/>
  <c r="DB181" i="39"/>
  <c r="DJ181" i="39"/>
  <c r="AA51" i="32" l="1"/>
  <c r="M135" i="106"/>
  <c r="BK180" i="39"/>
  <c r="BL180" i="39"/>
  <c r="BJ181" i="39"/>
  <c r="AA52" i="32" l="1"/>
  <c r="M136" i="106"/>
  <c r="BK181" i="39"/>
  <c r="BL181" i="39"/>
  <c r="AA53" i="32" l="1"/>
  <c r="M137" i="106"/>
  <c r="B121" i="99"/>
  <c r="B120" i="99"/>
  <c r="B119" i="99"/>
  <c r="B118" i="99"/>
  <c r="B117" i="99"/>
  <c r="B116" i="99"/>
  <c r="B115" i="99"/>
  <c r="B114" i="99"/>
  <c r="B113" i="99"/>
  <c r="B112" i="99"/>
  <c r="B111" i="99"/>
  <c r="B110" i="99"/>
  <c r="Y181" i="39"/>
  <c r="T181" i="39"/>
  <c r="B174" i="39"/>
  <c r="B175" i="39"/>
  <c r="B176" i="39"/>
  <c r="B177" i="39"/>
  <c r="B178" i="39"/>
  <c r="B179" i="39"/>
  <c r="B180" i="39"/>
  <c r="B181" i="39"/>
  <c r="AA54" i="32" l="1"/>
  <c r="M138" i="106"/>
  <c r="AA55" i="32" l="1"/>
  <c r="M139" i="106"/>
  <c r="G19" i="103"/>
  <c r="G28" i="103"/>
  <c r="G65" i="103" s="1"/>
  <c r="I28" i="103"/>
  <c r="I65" i="103" s="1"/>
  <c r="J28" i="103"/>
  <c r="F28" i="103"/>
  <c r="F29" i="103"/>
  <c r="J3" i="98"/>
  <c r="J9" i="98"/>
  <c r="J10" i="98"/>
  <c r="J11" i="98"/>
  <c r="H28" i="103" s="1"/>
  <c r="H65" i="103" s="1"/>
  <c r="J12" i="98"/>
  <c r="J13" i="98"/>
  <c r="J14" i="98"/>
  <c r="J15" i="98"/>
  <c r="J16" i="98"/>
  <c r="J17" i="98"/>
  <c r="J18" i="98"/>
  <c r="J19" i="98"/>
  <c r="J20" i="98"/>
  <c r="J21" i="98"/>
  <c r="J22" i="98"/>
  <c r="J23" i="98"/>
  <c r="K28" i="103" s="1"/>
  <c r="J24" i="98"/>
  <c r="J25" i="98"/>
  <c r="J26" i="98"/>
  <c r="J27" i="98"/>
  <c r="J28" i="98"/>
  <c r="J29" i="98"/>
  <c r="J8" i="98"/>
  <c r="J7" i="98"/>
  <c r="J6" i="98"/>
  <c r="J5" i="98"/>
  <c r="J4" i="98"/>
  <c r="G29" i="103"/>
  <c r="H29" i="103"/>
  <c r="I29" i="103"/>
  <c r="K29" i="103"/>
  <c r="L29" i="103"/>
  <c r="C4" i="98"/>
  <c r="C5" i="98"/>
  <c r="C6" i="98"/>
  <c r="C7" i="98"/>
  <c r="C8" i="98"/>
  <c r="C9" i="98"/>
  <c r="C10" i="98"/>
  <c r="C11" i="98"/>
  <c r="C12" i="98"/>
  <c r="C13" i="98"/>
  <c r="C14" i="98"/>
  <c r="C15" i="98"/>
  <c r="C16" i="98"/>
  <c r="C17" i="98"/>
  <c r="C18" i="98"/>
  <c r="C19" i="98"/>
  <c r="C20" i="98"/>
  <c r="C21" i="98"/>
  <c r="C22" i="98"/>
  <c r="C23" i="98"/>
  <c r="C24" i="98"/>
  <c r="C25" i="98"/>
  <c r="C26" i="98"/>
  <c r="C27" i="98"/>
  <c r="C28" i="98"/>
  <c r="C29" i="98"/>
  <c r="C3" i="98"/>
  <c r="G36" i="103"/>
  <c r="H36" i="103"/>
  <c r="J36" i="103"/>
  <c r="K36" i="103"/>
  <c r="L36" i="103"/>
  <c r="N3" i="98"/>
  <c r="O3" i="98" s="1"/>
  <c r="B11" i="103"/>
  <c r="O41" i="103" s="1"/>
  <c r="I89" i="103" s="1"/>
  <c r="K65" i="103" l="1"/>
  <c r="K41" i="103"/>
  <c r="K67" i="103" s="1"/>
  <c r="H19" i="103"/>
  <c r="F42" i="103"/>
  <c r="F45" i="103"/>
  <c r="F73" i="103" s="1"/>
  <c r="F44" i="103"/>
  <c r="F46" i="103"/>
  <c r="F47" i="103"/>
  <c r="H44" i="103"/>
  <c r="H72" i="103" s="1"/>
  <c r="H45" i="103"/>
  <c r="H73" i="103" s="1"/>
  <c r="H47" i="103"/>
  <c r="H75" i="103" s="1"/>
  <c r="H46" i="103"/>
  <c r="H74" i="103" s="1"/>
  <c r="K44" i="103"/>
  <c r="K72" i="103" s="1"/>
  <c r="K46" i="103"/>
  <c r="K74" i="103" s="1"/>
  <c r="K45" i="103"/>
  <c r="K73" i="103" s="1"/>
  <c r="K47" i="103"/>
  <c r="K75" i="103" s="1"/>
  <c r="L46" i="103"/>
  <c r="L74" i="103" s="1"/>
  <c r="L44" i="103"/>
  <c r="L72" i="103" s="1"/>
  <c r="L47" i="103"/>
  <c r="L75" i="103" s="1"/>
  <c r="L45" i="103"/>
  <c r="I44" i="103"/>
  <c r="I72" i="103" s="1"/>
  <c r="I45" i="103"/>
  <c r="I73" i="103" s="1"/>
  <c r="I46" i="103"/>
  <c r="I74" i="103" s="1"/>
  <c r="I47" i="103"/>
  <c r="I75" i="103" s="1"/>
  <c r="G44" i="103"/>
  <c r="G72" i="103" s="1"/>
  <c r="G46" i="103"/>
  <c r="G74" i="103" s="1"/>
  <c r="G47" i="103"/>
  <c r="G75" i="103" s="1"/>
  <c r="G45" i="103"/>
  <c r="G73" i="103" s="1"/>
  <c r="L66" i="103"/>
  <c r="L42" i="103"/>
  <c r="F88" i="103" s="1"/>
  <c r="K66" i="103"/>
  <c r="K42" i="103"/>
  <c r="H66" i="103"/>
  <c r="H42" i="103"/>
  <c r="I66" i="103"/>
  <c r="I42" i="103"/>
  <c r="G66" i="103"/>
  <c r="G42" i="103"/>
  <c r="F66" i="103"/>
  <c r="F65" i="103"/>
  <c r="F41" i="103"/>
  <c r="F67" i="103" s="1"/>
  <c r="L28" i="103"/>
  <c r="J41" i="103"/>
  <c r="J67" i="103" s="1"/>
  <c r="J65" i="103"/>
  <c r="P41" i="103"/>
  <c r="Q41" i="103" s="1"/>
  <c r="R41" i="103" s="1"/>
  <c r="S41" i="103" s="1"/>
  <c r="T41" i="103" s="1"/>
  <c r="U41" i="103" s="1"/>
  <c r="V41" i="103" s="1"/>
  <c r="W41" i="103" s="1"/>
  <c r="X41" i="103" s="1"/>
  <c r="AA56" i="32"/>
  <c r="M140" i="106"/>
  <c r="H41" i="103"/>
  <c r="H67" i="103" s="1"/>
  <c r="G41" i="103"/>
  <c r="G67" i="103" s="1"/>
  <c r="I41" i="103"/>
  <c r="I67" i="103" s="1"/>
  <c r="L65" i="103" l="1"/>
  <c r="L41" i="103"/>
  <c r="F17" i="103"/>
  <c r="F20" i="103" s="1"/>
  <c r="F74" i="103"/>
  <c r="F22" i="103"/>
  <c r="F75" i="103"/>
  <c r="M45" i="103"/>
  <c r="N45" i="103" s="1"/>
  <c r="O45" i="103" s="1"/>
  <c r="P45" i="103" s="1"/>
  <c r="Q45" i="103" s="1"/>
  <c r="R45" i="103" s="1"/>
  <c r="S45" i="103" s="1"/>
  <c r="T45" i="103" s="1"/>
  <c r="U45" i="103" s="1"/>
  <c r="V45" i="103" s="1"/>
  <c r="W45" i="103" s="1"/>
  <c r="X45" i="103" s="1"/>
  <c r="L73" i="103"/>
  <c r="F12" i="103"/>
  <c r="F15" i="103" s="1"/>
  <c r="F72" i="103"/>
  <c r="M42" i="103"/>
  <c r="M44" i="103"/>
  <c r="N44" i="103" s="1"/>
  <c r="O44" i="103" s="1"/>
  <c r="L12" i="103"/>
  <c r="L15" i="103" s="1"/>
  <c r="I19" i="103"/>
  <c r="M47" i="103"/>
  <c r="N47" i="103" s="1"/>
  <c r="O47" i="103" s="1"/>
  <c r="L22" i="103"/>
  <c r="L17" i="103"/>
  <c r="M46" i="103"/>
  <c r="N46" i="103" s="1"/>
  <c r="O46" i="103" s="1"/>
  <c r="F18" i="103"/>
  <c r="F21" i="103" s="1"/>
  <c r="AA57" i="32"/>
  <c r="M141" i="106"/>
  <c r="F84" i="103" l="1"/>
  <c r="F25" i="103"/>
  <c r="F93" i="103"/>
  <c r="F105" i="103" s="1"/>
  <c r="L25" i="103"/>
  <c r="F97" i="103"/>
  <c r="F82" i="103"/>
  <c r="F91" i="103"/>
  <c r="F13" i="103"/>
  <c r="F16" i="103" s="1"/>
  <c r="O12" i="103"/>
  <c r="O15" i="103" s="1"/>
  <c r="L83" i="103"/>
  <c r="F92" i="103"/>
  <c r="F101" i="103" s="1"/>
  <c r="F89" i="103"/>
  <c r="M41" i="103"/>
  <c r="F23" i="103"/>
  <c r="F26" i="103" s="1"/>
  <c r="F53" i="103" s="1"/>
  <c r="N42" i="103"/>
  <c r="G88" i="103"/>
  <c r="L82" i="103"/>
  <c r="L84" i="103"/>
  <c r="F83" i="103"/>
  <c r="P46" i="103"/>
  <c r="O17" i="103"/>
  <c r="P47" i="103"/>
  <c r="O22" i="103"/>
  <c r="O25" i="103" s="1"/>
  <c r="J19" i="103"/>
  <c r="P44" i="103"/>
  <c r="L67" i="103"/>
  <c r="M17" i="103"/>
  <c r="G92" i="103" s="1"/>
  <c r="G101" i="103" s="1"/>
  <c r="M22" i="103"/>
  <c r="M25" i="103" s="1"/>
  <c r="M12" i="103"/>
  <c r="M15" i="103" s="1"/>
  <c r="AA58" i="32"/>
  <c r="M142" i="106"/>
  <c r="I91" i="103" l="1"/>
  <c r="K19" i="103"/>
  <c r="I97" i="103"/>
  <c r="G97" i="103"/>
  <c r="H88" i="103"/>
  <c r="N12" i="103"/>
  <c r="N15" i="103" s="1"/>
  <c r="F54" i="103"/>
  <c r="N22" i="103"/>
  <c r="N25" i="103" s="1"/>
  <c r="I92" i="103"/>
  <c r="I101" i="103" s="1"/>
  <c r="N17" i="103"/>
  <c r="H92" i="103" s="1"/>
  <c r="H101" i="103" s="1"/>
  <c r="I93" i="103"/>
  <c r="N41" i="103"/>
  <c r="H89" i="103" s="1"/>
  <c r="G89" i="103"/>
  <c r="F55" i="103"/>
  <c r="F60" i="103" s="1"/>
  <c r="Q47" i="103"/>
  <c r="P22" i="103"/>
  <c r="P25" i="103" s="1"/>
  <c r="O9" i="103"/>
  <c r="Q46" i="103"/>
  <c r="P17" i="103"/>
  <c r="Q44" i="103"/>
  <c r="R44" i="103" s="1"/>
  <c r="S44" i="103" s="1"/>
  <c r="T44" i="103" s="1"/>
  <c r="U44" i="103" s="1"/>
  <c r="V44" i="103" s="1"/>
  <c r="W44" i="103" s="1"/>
  <c r="X44" i="103" s="1"/>
  <c r="P12" i="103"/>
  <c r="P15" i="103" s="1"/>
  <c r="G91" i="103"/>
  <c r="AA59" i="32"/>
  <c r="M143" i="106"/>
  <c r="L19" i="103" l="1"/>
  <c r="H97" i="103"/>
  <c r="I90" i="103"/>
  <c r="I105" i="103"/>
  <c r="R46" i="103"/>
  <c r="Q17" i="103"/>
  <c r="R47" i="103"/>
  <c r="Q22" i="103"/>
  <c r="Q25" i="103" s="1"/>
  <c r="Q12" i="103"/>
  <c r="Q15" i="103" s="1"/>
  <c r="P9" i="103"/>
  <c r="R12" i="103"/>
  <c r="R15" i="103" s="1"/>
  <c r="H91" i="103"/>
  <c r="AA60" i="32"/>
  <c r="M145" i="106" s="1"/>
  <c r="M144" i="106"/>
  <c r="M19" i="103" l="1"/>
  <c r="L20" i="103"/>
  <c r="Q9" i="103"/>
  <c r="S47" i="103"/>
  <c r="R22" i="103"/>
  <c r="R25" i="103" s="1"/>
  <c r="S46" i="103"/>
  <c r="R17" i="103"/>
  <c r="S12" i="103"/>
  <c r="S15" i="103" s="1"/>
  <c r="N19" i="103" l="1"/>
  <c r="M20" i="103"/>
  <c r="T46" i="103"/>
  <c r="S17" i="103"/>
  <c r="T47" i="103"/>
  <c r="S22" i="103"/>
  <c r="S25" i="103" s="1"/>
  <c r="R9" i="103"/>
  <c r="T12" i="103"/>
  <c r="T15" i="103" s="1"/>
  <c r="O19" i="103" l="1"/>
  <c r="N20" i="103"/>
  <c r="U47" i="103"/>
  <c r="T22" i="103"/>
  <c r="T25" i="103" s="1"/>
  <c r="U46" i="103"/>
  <c r="T17" i="103"/>
  <c r="S9" i="103"/>
  <c r="U12" i="103"/>
  <c r="U15" i="103" s="1"/>
  <c r="P19" i="103" l="1"/>
  <c r="O20" i="103"/>
  <c r="V46" i="103"/>
  <c r="U17" i="103"/>
  <c r="V47" i="103"/>
  <c r="U22" i="103"/>
  <c r="U25" i="103" s="1"/>
  <c r="T9" i="103"/>
  <c r="V12" i="103"/>
  <c r="V15" i="103" s="1"/>
  <c r="P20" i="103" l="1"/>
  <c r="Q19" i="103"/>
  <c r="W47" i="103"/>
  <c r="V22" i="103"/>
  <c r="V25" i="103" s="1"/>
  <c r="W46" i="103"/>
  <c r="V17" i="103"/>
  <c r="U9" i="103"/>
  <c r="W12" i="103"/>
  <c r="W15" i="103" s="1"/>
  <c r="X12" i="103"/>
  <c r="X15" i="103" s="1"/>
  <c r="Q20" i="103" l="1"/>
  <c r="X46" i="103"/>
  <c r="X17" i="103" s="1"/>
  <c r="W17" i="103"/>
  <c r="X47" i="103"/>
  <c r="X22" i="103" s="1"/>
  <c r="X25" i="103" s="1"/>
  <c r="W22" i="103"/>
  <c r="W25" i="103" s="1"/>
  <c r="V9" i="103"/>
  <c r="R19" i="103"/>
  <c r="K2" i="86"/>
  <c r="K3" i="86"/>
  <c r="K4" i="86"/>
  <c r="K5" i="86"/>
  <c r="K6" i="86"/>
  <c r="K7" i="86"/>
  <c r="K8" i="86"/>
  <c r="K9" i="86"/>
  <c r="K10" i="86"/>
  <c r="K11" i="86"/>
  <c r="K12" i="86"/>
  <c r="K13" i="86"/>
  <c r="K14" i="86"/>
  <c r="K15" i="86"/>
  <c r="K16" i="86"/>
  <c r="K17" i="86"/>
  <c r="K18" i="86"/>
  <c r="K19" i="86"/>
  <c r="K20" i="86"/>
  <c r="K21" i="86"/>
  <c r="K22" i="86"/>
  <c r="K23" i="86"/>
  <c r="K24" i="86"/>
  <c r="K25" i="86"/>
  <c r="K26" i="86"/>
  <c r="K27" i="86"/>
  <c r="K28" i="86"/>
  <c r="K29" i="86"/>
  <c r="K30" i="86"/>
  <c r="K31" i="86"/>
  <c r="K32" i="86"/>
  <c r="K33" i="86"/>
  <c r="K34" i="86"/>
  <c r="K35" i="86"/>
  <c r="K36" i="86"/>
  <c r="K37" i="86"/>
  <c r="K38" i="86"/>
  <c r="K39" i="86"/>
  <c r="K40" i="86"/>
  <c r="K41" i="86"/>
  <c r="K42" i="86"/>
  <c r="K43" i="86"/>
  <c r="K44" i="86"/>
  <c r="K45" i="86"/>
  <c r="K46" i="86"/>
  <c r="K47" i="86"/>
  <c r="K48" i="86"/>
  <c r="K49" i="86"/>
  <c r="K50" i="86"/>
  <c r="K51" i="86"/>
  <c r="K52" i="86"/>
  <c r="K53" i="86"/>
  <c r="K54" i="86"/>
  <c r="K55" i="86"/>
  <c r="K56" i="86"/>
  <c r="K57" i="86"/>
  <c r="K58" i="86"/>
  <c r="K59" i="86"/>
  <c r="K60" i="86"/>
  <c r="K61" i="86"/>
  <c r="K62" i="86"/>
  <c r="K63" i="86"/>
  <c r="K64" i="86"/>
  <c r="K65" i="86"/>
  <c r="K66" i="86"/>
  <c r="K67" i="86"/>
  <c r="K68" i="86"/>
  <c r="K69" i="86"/>
  <c r="K70" i="86"/>
  <c r="K71" i="86"/>
  <c r="K72" i="86"/>
  <c r="K73" i="86"/>
  <c r="L1" i="86"/>
  <c r="T1" i="86" s="1"/>
  <c r="K1" i="86"/>
  <c r="I1" i="86"/>
  <c r="J2" i="86"/>
  <c r="J3" i="86"/>
  <c r="J4" i="86"/>
  <c r="J5" i="86"/>
  <c r="J6" i="86"/>
  <c r="J7" i="86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21" i="86"/>
  <c r="J22" i="86"/>
  <c r="J23" i="86"/>
  <c r="J24" i="86"/>
  <c r="J25" i="86"/>
  <c r="J26" i="86"/>
  <c r="J27" i="86"/>
  <c r="J28" i="86"/>
  <c r="J29" i="86"/>
  <c r="J30" i="86"/>
  <c r="J31" i="86"/>
  <c r="J32" i="86"/>
  <c r="J33" i="86"/>
  <c r="J34" i="86"/>
  <c r="J35" i="86"/>
  <c r="J36" i="86"/>
  <c r="J37" i="86"/>
  <c r="J38" i="86"/>
  <c r="J39" i="86"/>
  <c r="J40" i="86"/>
  <c r="J41" i="86"/>
  <c r="J42" i="86"/>
  <c r="J43" i="86"/>
  <c r="J44" i="86"/>
  <c r="J45" i="86"/>
  <c r="J46" i="86"/>
  <c r="J47" i="86"/>
  <c r="J48" i="86"/>
  <c r="J49" i="86"/>
  <c r="J50" i="86"/>
  <c r="J51" i="86"/>
  <c r="J52" i="86"/>
  <c r="J53" i="86"/>
  <c r="J54" i="86"/>
  <c r="J55" i="86"/>
  <c r="J56" i="86"/>
  <c r="J57" i="86"/>
  <c r="J58" i="86"/>
  <c r="J59" i="86"/>
  <c r="J60" i="86"/>
  <c r="J61" i="86"/>
  <c r="J62" i="86"/>
  <c r="J63" i="86"/>
  <c r="J64" i="86"/>
  <c r="J65" i="86"/>
  <c r="J66" i="86"/>
  <c r="J67" i="86"/>
  <c r="J68" i="86"/>
  <c r="J69" i="86"/>
  <c r="J70" i="86"/>
  <c r="J71" i="86"/>
  <c r="J72" i="86"/>
  <c r="J73" i="86"/>
  <c r="J74" i="86"/>
  <c r="J75" i="86"/>
  <c r="J76" i="86"/>
  <c r="J77" i="86"/>
  <c r="J78" i="86"/>
  <c r="J79" i="86"/>
  <c r="J80" i="86"/>
  <c r="J81" i="86"/>
  <c r="J82" i="86"/>
  <c r="J83" i="86"/>
  <c r="J84" i="86"/>
  <c r="J85" i="86"/>
  <c r="J86" i="86"/>
  <c r="J87" i="86"/>
  <c r="J88" i="86"/>
  <c r="J89" i="86"/>
  <c r="J90" i="86"/>
  <c r="J91" i="86"/>
  <c r="J92" i="86"/>
  <c r="J93" i="86"/>
  <c r="J94" i="86"/>
  <c r="J95" i="86"/>
  <c r="J96" i="86"/>
  <c r="J97" i="86"/>
  <c r="J98" i="86"/>
  <c r="J99" i="86"/>
  <c r="J100" i="86"/>
  <c r="J101" i="86"/>
  <c r="J102" i="86"/>
  <c r="J103" i="86"/>
  <c r="J104" i="86"/>
  <c r="J105" i="86"/>
  <c r="J106" i="86"/>
  <c r="J107" i="86"/>
  <c r="J108" i="86"/>
  <c r="J109" i="86"/>
  <c r="J110" i="86"/>
  <c r="J111" i="86"/>
  <c r="J112" i="86"/>
  <c r="J113" i="86"/>
  <c r="J114" i="86"/>
  <c r="J115" i="86"/>
  <c r="J1" i="86"/>
  <c r="L2" i="29"/>
  <c r="L3" i="29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22" i="29"/>
  <c r="P122" i="29"/>
  <c r="L123" i="29"/>
  <c r="P123" i="29"/>
  <c r="L124" i="29"/>
  <c r="P124" i="29"/>
  <c r="L125" i="29"/>
  <c r="P125" i="29"/>
  <c r="L126" i="29"/>
  <c r="P126" i="29"/>
  <c r="L127" i="29"/>
  <c r="P127" i="29"/>
  <c r="L128" i="29"/>
  <c r="P128" i="29"/>
  <c r="L129" i="29"/>
  <c r="P129" i="29"/>
  <c r="L130" i="29"/>
  <c r="P130" i="29"/>
  <c r="L131" i="29"/>
  <c r="P131" i="29"/>
  <c r="L132" i="29"/>
  <c r="P132" i="29"/>
  <c r="L133" i="29"/>
  <c r="P133" i="29"/>
  <c r="L134" i="29"/>
  <c r="P134" i="29"/>
  <c r="L135" i="29"/>
  <c r="P135" i="29"/>
  <c r="L136" i="29"/>
  <c r="P136" i="29"/>
  <c r="L137" i="29"/>
  <c r="P137" i="29"/>
  <c r="L138" i="29"/>
  <c r="P138" i="29"/>
  <c r="L139" i="29"/>
  <c r="P139" i="29"/>
  <c r="L140" i="29"/>
  <c r="P140" i="29"/>
  <c r="L141" i="29"/>
  <c r="P141" i="29"/>
  <c r="L142" i="29"/>
  <c r="P142" i="29"/>
  <c r="L143" i="29"/>
  <c r="P143" i="29"/>
  <c r="L144" i="29"/>
  <c r="P144" i="29"/>
  <c r="L145" i="29"/>
  <c r="P145" i="29"/>
  <c r="H2" i="29"/>
  <c r="P2" i="29" s="1"/>
  <c r="H3" i="29"/>
  <c r="P3" i="29" s="1"/>
  <c r="H4" i="29"/>
  <c r="P4" i="29" s="1"/>
  <c r="H5" i="29"/>
  <c r="P5" i="29" s="1"/>
  <c r="H6" i="29"/>
  <c r="P6" i="29" s="1"/>
  <c r="H7" i="29"/>
  <c r="P7" i="29" s="1"/>
  <c r="H8" i="29"/>
  <c r="P8" i="29" s="1"/>
  <c r="H9" i="29"/>
  <c r="P9" i="29" s="1"/>
  <c r="H10" i="29"/>
  <c r="P10" i="29" s="1"/>
  <c r="H11" i="29"/>
  <c r="P11" i="29" s="1"/>
  <c r="H12" i="29"/>
  <c r="P12" i="29" s="1"/>
  <c r="H13" i="29"/>
  <c r="P13" i="29" s="1"/>
  <c r="H14" i="29"/>
  <c r="P14" i="29" s="1"/>
  <c r="H15" i="29"/>
  <c r="P15" i="29" s="1"/>
  <c r="H16" i="29"/>
  <c r="P16" i="29" s="1"/>
  <c r="H17" i="29"/>
  <c r="P17" i="29" s="1"/>
  <c r="H18" i="29"/>
  <c r="P18" i="29" s="1"/>
  <c r="H19" i="29"/>
  <c r="P19" i="29" s="1"/>
  <c r="H20" i="29"/>
  <c r="P20" i="29" s="1"/>
  <c r="H21" i="29"/>
  <c r="P21" i="29" s="1"/>
  <c r="H22" i="29"/>
  <c r="P22" i="29" s="1"/>
  <c r="H23" i="29"/>
  <c r="P23" i="29" s="1"/>
  <c r="H24" i="29"/>
  <c r="P24" i="29" s="1"/>
  <c r="H25" i="29"/>
  <c r="P25" i="29" s="1"/>
  <c r="H26" i="29"/>
  <c r="P26" i="29" s="1"/>
  <c r="H27" i="29"/>
  <c r="P27" i="29" s="1"/>
  <c r="H28" i="29"/>
  <c r="P28" i="29" s="1"/>
  <c r="H29" i="29"/>
  <c r="P29" i="29" s="1"/>
  <c r="H30" i="29"/>
  <c r="P30" i="29" s="1"/>
  <c r="H31" i="29"/>
  <c r="P31" i="29" s="1"/>
  <c r="H32" i="29"/>
  <c r="P32" i="29" s="1"/>
  <c r="H33" i="29"/>
  <c r="P33" i="29" s="1"/>
  <c r="H34" i="29"/>
  <c r="P34" i="29" s="1"/>
  <c r="H35" i="29"/>
  <c r="P35" i="29" s="1"/>
  <c r="H36" i="29"/>
  <c r="P36" i="29" s="1"/>
  <c r="H37" i="29"/>
  <c r="P37" i="29" s="1"/>
  <c r="H38" i="29"/>
  <c r="P38" i="29" s="1"/>
  <c r="H39" i="29"/>
  <c r="P39" i="29" s="1"/>
  <c r="H40" i="29"/>
  <c r="P40" i="29" s="1"/>
  <c r="H41" i="29"/>
  <c r="P41" i="29" s="1"/>
  <c r="H42" i="29"/>
  <c r="P42" i="29" s="1"/>
  <c r="H43" i="29"/>
  <c r="P43" i="29" s="1"/>
  <c r="H44" i="29"/>
  <c r="P44" i="29" s="1"/>
  <c r="H45" i="29"/>
  <c r="P45" i="29" s="1"/>
  <c r="H46" i="29"/>
  <c r="P46" i="29" s="1"/>
  <c r="H47" i="29"/>
  <c r="P47" i="29" s="1"/>
  <c r="H48" i="29"/>
  <c r="P48" i="29" s="1"/>
  <c r="H49" i="29"/>
  <c r="P49" i="29" s="1"/>
  <c r="H50" i="29"/>
  <c r="P50" i="29" s="1"/>
  <c r="H51" i="29"/>
  <c r="P51" i="29" s="1"/>
  <c r="H52" i="29"/>
  <c r="P52" i="29" s="1"/>
  <c r="H53" i="29"/>
  <c r="P53" i="29" s="1"/>
  <c r="H54" i="29"/>
  <c r="P54" i="29" s="1"/>
  <c r="H55" i="29"/>
  <c r="P55" i="29" s="1"/>
  <c r="H56" i="29"/>
  <c r="P56" i="29" s="1"/>
  <c r="H57" i="29"/>
  <c r="P57" i="29" s="1"/>
  <c r="H58" i="29"/>
  <c r="P58" i="29" s="1"/>
  <c r="H59" i="29"/>
  <c r="P59" i="29" s="1"/>
  <c r="H60" i="29"/>
  <c r="P60" i="29" s="1"/>
  <c r="H61" i="29"/>
  <c r="P61" i="29" s="1"/>
  <c r="H62" i="29"/>
  <c r="P62" i="29" s="1"/>
  <c r="H63" i="29"/>
  <c r="P63" i="29" s="1"/>
  <c r="H64" i="29"/>
  <c r="P64" i="29" s="1"/>
  <c r="H65" i="29"/>
  <c r="P65" i="29" s="1"/>
  <c r="H66" i="29"/>
  <c r="P66" i="29" s="1"/>
  <c r="H67" i="29"/>
  <c r="P67" i="29" s="1"/>
  <c r="H68" i="29"/>
  <c r="P68" i="29" s="1"/>
  <c r="H69" i="29"/>
  <c r="P69" i="29" s="1"/>
  <c r="H70" i="29"/>
  <c r="P70" i="29" s="1"/>
  <c r="H71" i="29"/>
  <c r="P71" i="29" s="1"/>
  <c r="H72" i="29"/>
  <c r="P72" i="29" s="1"/>
  <c r="H73" i="29"/>
  <c r="P73" i="29" s="1"/>
  <c r="H74" i="29"/>
  <c r="P74" i="29" s="1"/>
  <c r="H75" i="29"/>
  <c r="P75" i="29" s="1"/>
  <c r="H76" i="29"/>
  <c r="P76" i="29" s="1"/>
  <c r="H77" i="29"/>
  <c r="P77" i="29" s="1"/>
  <c r="H78" i="29"/>
  <c r="P78" i="29" s="1"/>
  <c r="H79" i="29"/>
  <c r="P79" i="29" s="1"/>
  <c r="H80" i="29"/>
  <c r="P80" i="29" s="1"/>
  <c r="H81" i="29"/>
  <c r="P81" i="29" s="1"/>
  <c r="H82" i="29"/>
  <c r="P82" i="29" s="1"/>
  <c r="H83" i="29"/>
  <c r="P83" i="29" s="1"/>
  <c r="H84" i="29"/>
  <c r="P84" i="29" s="1"/>
  <c r="H85" i="29"/>
  <c r="P85" i="29" s="1"/>
  <c r="H86" i="29"/>
  <c r="P86" i="29" s="1"/>
  <c r="H87" i="29"/>
  <c r="P87" i="29" s="1"/>
  <c r="H88" i="29"/>
  <c r="P88" i="29" s="1"/>
  <c r="H89" i="29"/>
  <c r="P89" i="29" s="1"/>
  <c r="H90" i="29"/>
  <c r="P90" i="29" s="1"/>
  <c r="H91" i="29"/>
  <c r="P91" i="29" s="1"/>
  <c r="H92" i="29"/>
  <c r="P92" i="29" s="1"/>
  <c r="H93" i="29"/>
  <c r="P93" i="29" s="1"/>
  <c r="H94" i="29"/>
  <c r="P94" i="29" s="1"/>
  <c r="H95" i="29"/>
  <c r="P95" i="29" s="1"/>
  <c r="H96" i="29"/>
  <c r="P96" i="29" s="1"/>
  <c r="H97" i="29"/>
  <c r="P97" i="29" s="1"/>
  <c r="H98" i="29"/>
  <c r="P98" i="29" s="1"/>
  <c r="H99" i="29"/>
  <c r="P99" i="29" s="1"/>
  <c r="H100" i="29"/>
  <c r="P100" i="29" s="1"/>
  <c r="H101" i="29"/>
  <c r="P101" i="29" s="1"/>
  <c r="H102" i="29"/>
  <c r="P102" i="29" s="1"/>
  <c r="H103" i="29"/>
  <c r="P103" i="29" s="1"/>
  <c r="H104" i="29"/>
  <c r="P104" i="29" s="1"/>
  <c r="H105" i="29"/>
  <c r="P105" i="29" s="1"/>
  <c r="H106" i="29"/>
  <c r="P106" i="29" s="1"/>
  <c r="H107" i="29"/>
  <c r="P107" i="29" s="1"/>
  <c r="H108" i="29"/>
  <c r="P108" i="29" s="1"/>
  <c r="H109" i="29"/>
  <c r="P109" i="29" s="1"/>
  <c r="H110" i="29"/>
  <c r="P110" i="29" s="1"/>
  <c r="H111" i="29"/>
  <c r="P111" i="29" s="1"/>
  <c r="H112" i="29"/>
  <c r="P112" i="29" s="1"/>
  <c r="H113" i="29"/>
  <c r="P113" i="29" s="1"/>
  <c r="I2" i="29"/>
  <c r="Q2" i="29" s="1"/>
  <c r="I3" i="29"/>
  <c r="Q3" i="29" s="1"/>
  <c r="I4" i="29"/>
  <c r="Q4" i="29" s="1"/>
  <c r="I5" i="29"/>
  <c r="Q5" i="29" s="1"/>
  <c r="I6" i="29"/>
  <c r="Q6" i="29" s="1"/>
  <c r="I7" i="29"/>
  <c r="Q7" i="29" s="1"/>
  <c r="I8" i="29"/>
  <c r="Q8" i="29" s="1"/>
  <c r="I9" i="29"/>
  <c r="Q9" i="29" s="1"/>
  <c r="I10" i="29"/>
  <c r="Q10" i="29" s="1"/>
  <c r="I11" i="29"/>
  <c r="Q11" i="29" s="1"/>
  <c r="I12" i="29"/>
  <c r="Q12" i="29" s="1"/>
  <c r="I13" i="29"/>
  <c r="Q13" i="29" s="1"/>
  <c r="I14" i="29"/>
  <c r="Q14" i="29" s="1"/>
  <c r="I15" i="29"/>
  <c r="Q15" i="29" s="1"/>
  <c r="I16" i="29"/>
  <c r="Q16" i="29" s="1"/>
  <c r="I17" i="29"/>
  <c r="Q17" i="29" s="1"/>
  <c r="I18" i="29"/>
  <c r="Q18" i="29" s="1"/>
  <c r="I19" i="29"/>
  <c r="Q19" i="29" s="1"/>
  <c r="I20" i="29"/>
  <c r="Q20" i="29" s="1"/>
  <c r="I21" i="29"/>
  <c r="Q21" i="29" s="1"/>
  <c r="I22" i="29"/>
  <c r="Q22" i="29" s="1"/>
  <c r="I23" i="29"/>
  <c r="Q23" i="29" s="1"/>
  <c r="I24" i="29"/>
  <c r="Q24" i="29" s="1"/>
  <c r="I25" i="29"/>
  <c r="Q25" i="29" s="1"/>
  <c r="I26" i="29"/>
  <c r="Q26" i="29" s="1"/>
  <c r="I27" i="29"/>
  <c r="Q27" i="29" s="1"/>
  <c r="I28" i="29"/>
  <c r="Q28" i="29" s="1"/>
  <c r="I29" i="29"/>
  <c r="Q29" i="29" s="1"/>
  <c r="I30" i="29"/>
  <c r="Q30" i="29" s="1"/>
  <c r="I31" i="29"/>
  <c r="Q31" i="29" s="1"/>
  <c r="I32" i="29"/>
  <c r="Q32" i="29" s="1"/>
  <c r="I33" i="29"/>
  <c r="Q33" i="29" s="1"/>
  <c r="I34" i="29"/>
  <c r="Q34" i="29" s="1"/>
  <c r="I35" i="29"/>
  <c r="Q35" i="29" s="1"/>
  <c r="I36" i="29"/>
  <c r="Q36" i="29" s="1"/>
  <c r="I37" i="29"/>
  <c r="Q37" i="29" s="1"/>
  <c r="I38" i="29"/>
  <c r="Q38" i="29" s="1"/>
  <c r="I39" i="29"/>
  <c r="Q39" i="29" s="1"/>
  <c r="I40" i="29"/>
  <c r="Q40" i="29" s="1"/>
  <c r="I41" i="29"/>
  <c r="Q41" i="29" s="1"/>
  <c r="I42" i="29"/>
  <c r="Q42" i="29" s="1"/>
  <c r="I43" i="29"/>
  <c r="Q43" i="29" s="1"/>
  <c r="I44" i="29"/>
  <c r="Q44" i="29" s="1"/>
  <c r="I45" i="29"/>
  <c r="Q45" i="29" s="1"/>
  <c r="I46" i="29"/>
  <c r="Q46" i="29" s="1"/>
  <c r="I47" i="29"/>
  <c r="Q47" i="29" s="1"/>
  <c r="I48" i="29"/>
  <c r="Q48" i="29" s="1"/>
  <c r="I49" i="29"/>
  <c r="Q49" i="29" s="1"/>
  <c r="I50" i="29"/>
  <c r="Q50" i="29" s="1"/>
  <c r="I51" i="29"/>
  <c r="Q51" i="29" s="1"/>
  <c r="I52" i="29"/>
  <c r="Q52" i="29" s="1"/>
  <c r="I53" i="29"/>
  <c r="Q53" i="29" s="1"/>
  <c r="I54" i="29"/>
  <c r="Q54" i="29" s="1"/>
  <c r="I55" i="29"/>
  <c r="Q55" i="29" s="1"/>
  <c r="I56" i="29"/>
  <c r="Q56" i="29" s="1"/>
  <c r="I57" i="29"/>
  <c r="Q57" i="29" s="1"/>
  <c r="I58" i="29"/>
  <c r="Q58" i="29" s="1"/>
  <c r="I59" i="29"/>
  <c r="Q59" i="29" s="1"/>
  <c r="I60" i="29"/>
  <c r="Q60" i="29" s="1"/>
  <c r="I61" i="29"/>
  <c r="Q61" i="29" s="1"/>
  <c r="I62" i="29"/>
  <c r="Q62" i="29" s="1"/>
  <c r="I63" i="29"/>
  <c r="Q63" i="29" s="1"/>
  <c r="I64" i="29"/>
  <c r="Q64" i="29" s="1"/>
  <c r="I65" i="29"/>
  <c r="Q65" i="29" s="1"/>
  <c r="I66" i="29"/>
  <c r="Q66" i="29" s="1"/>
  <c r="I67" i="29"/>
  <c r="Q67" i="29" s="1"/>
  <c r="I68" i="29"/>
  <c r="Q68" i="29" s="1"/>
  <c r="I69" i="29"/>
  <c r="Q69" i="29" s="1"/>
  <c r="I70" i="29"/>
  <c r="Q70" i="29" s="1"/>
  <c r="I71" i="29"/>
  <c r="Q71" i="29" s="1"/>
  <c r="I72" i="29"/>
  <c r="Q72" i="29" s="1"/>
  <c r="I73" i="29"/>
  <c r="Q73" i="29" s="1"/>
  <c r="J1" i="29"/>
  <c r="R1" i="29" s="1"/>
  <c r="I1" i="29"/>
  <c r="H1" i="29"/>
  <c r="G1" i="29"/>
  <c r="J1" i="58"/>
  <c r="R1" i="58" s="1"/>
  <c r="I2" i="58"/>
  <c r="I3" i="58"/>
  <c r="I4" i="58"/>
  <c r="I5" i="58"/>
  <c r="I6" i="58"/>
  <c r="I7" i="58"/>
  <c r="I8" i="58"/>
  <c r="I9" i="58"/>
  <c r="I10" i="58"/>
  <c r="I11" i="58"/>
  <c r="I12" i="58"/>
  <c r="I13" i="58"/>
  <c r="I14" i="58"/>
  <c r="I15" i="58"/>
  <c r="I16" i="58"/>
  <c r="I17" i="58"/>
  <c r="I18" i="58"/>
  <c r="I19" i="58"/>
  <c r="I20" i="58"/>
  <c r="I21" i="58"/>
  <c r="I22" i="58"/>
  <c r="I23" i="58"/>
  <c r="I24" i="58"/>
  <c r="I25" i="58"/>
  <c r="I26" i="58"/>
  <c r="I27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1" i="58"/>
  <c r="Q1" i="58" s="1"/>
  <c r="R20" i="103" l="1"/>
  <c r="S19" i="103"/>
  <c r="W9" i="103"/>
  <c r="X9" i="103"/>
  <c r="B116" i="41"/>
  <c r="C116" i="41"/>
  <c r="E116" i="41"/>
  <c r="N116" i="41" s="1"/>
  <c r="O116" i="41"/>
  <c r="B117" i="41"/>
  <c r="C117" i="41"/>
  <c r="E117" i="41"/>
  <c r="N117" i="41" s="1"/>
  <c r="O117" i="41"/>
  <c r="B118" i="41"/>
  <c r="C118" i="41"/>
  <c r="E118" i="41"/>
  <c r="N118" i="41" s="1"/>
  <c r="O118" i="41"/>
  <c r="B119" i="41"/>
  <c r="C119" i="41"/>
  <c r="E119" i="41"/>
  <c r="N119" i="41" s="1"/>
  <c r="O119" i="41"/>
  <c r="B120" i="41"/>
  <c r="C120" i="41"/>
  <c r="E120" i="41"/>
  <c r="N120" i="41" s="1"/>
  <c r="O120" i="41"/>
  <c r="B121" i="41"/>
  <c r="C121" i="41"/>
  <c r="E121" i="41"/>
  <c r="N121" i="41" s="1"/>
  <c r="O121" i="41"/>
  <c r="L2" i="58"/>
  <c r="Q2" i="58"/>
  <c r="L3" i="58"/>
  <c r="Q3" i="58"/>
  <c r="L4" i="58"/>
  <c r="Q4" i="58"/>
  <c r="L5" i="58"/>
  <c r="Q5" i="58"/>
  <c r="L6" i="58"/>
  <c r="Q6" i="58"/>
  <c r="L7" i="58"/>
  <c r="Q7" i="58"/>
  <c r="L8" i="58"/>
  <c r="Q8" i="58"/>
  <c r="L9" i="58"/>
  <c r="Q9" i="58"/>
  <c r="L10" i="58"/>
  <c r="Q10" i="58"/>
  <c r="L11" i="58"/>
  <c r="Q11" i="58"/>
  <c r="L12" i="58"/>
  <c r="Q12" i="58"/>
  <c r="L13" i="58"/>
  <c r="Q13" i="58"/>
  <c r="L14" i="58"/>
  <c r="Q14" i="58"/>
  <c r="L15" i="58"/>
  <c r="Q15" i="58"/>
  <c r="L16" i="58"/>
  <c r="Q16" i="58"/>
  <c r="L17" i="58"/>
  <c r="Q17" i="58"/>
  <c r="L18" i="58"/>
  <c r="Q18" i="58"/>
  <c r="L19" i="58"/>
  <c r="Q19" i="58"/>
  <c r="L20" i="58"/>
  <c r="Q20" i="58"/>
  <c r="L21" i="58"/>
  <c r="Q21" i="58"/>
  <c r="L22" i="58"/>
  <c r="Q22" i="58"/>
  <c r="L23" i="58"/>
  <c r="Q23" i="58"/>
  <c r="L24" i="58"/>
  <c r="Q24" i="58"/>
  <c r="L25" i="58"/>
  <c r="Q25" i="58"/>
  <c r="L26" i="58"/>
  <c r="Q26" i="58"/>
  <c r="L27" i="58"/>
  <c r="Q27" i="58"/>
  <c r="L28" i="58"/>
  <c r="Q28" i="58"/>
  <c r="L29" i="58"/>
  <c r="Q29" i="58"/>
  <c r="L30" i="58"/>
  <c r="Q30" i="58"/>
  <c r="L31" i="58"/>
  <c r="Q31" i="58"/>
  <c r="L32" i="58"/>
  <c r="Q32" i="58"/>
  <c r="L33" i="58"/>
  <c r="Q33" i="58"/>
  <c r="L34" i="58"/>
  <c r="Q34" i="58"/>
  <c r="L35" i="58"/>
  <c r="Q35" i="58"/>
  <c r="L36" i="58"/>
  <c r="Q36" i="58"/>
  <c r="L37" i="58"/>
  <c r="Q37" i="58"/>
  <c r="L38" i="58"/>
  <c r="Q38" i="58"/>
  <c r="L39" i="58"/>
  <c r="Q39" i="58"/>
  <c r="L40" i="58"/>
  <c r="Q40" i="58"/>
  <c r="L41" i="58"/>
  <c r="Q41" i="58"/>
  <c r="L42" i="58"/>
  <c r="Q42" i="58"/>
  <c r="L43" i="58"/>
  <c r="Q43" i="58"/>
  <c r="L44" i="58"/>
  <c r="Q44" i="58"/>
  <c r="L45" i="58"/>
  <c r="Q45" i="58"/>
  <c r="L46" i="58"/>
  <c r="Q46" i="58"/>
  <c r="L47" i="58"/>
  <c r="Q47" i="58"/>
  <c r="L48" i="58"/>
  <c r="Q48" i="58"/>
  <c r="L49" i="58"/>
  <c r="Q49" i="58"/>
  <c r="L50" i="58"/>
  <c r="Q50" i="58"/>
  <c r="L51" i="58"/>
  <c r="Q51" i="58"/>
  <c r="L52" i="58"/>
  <c r="Q52" i="58"/>
  <c r="L53" i="58"/>
  <c r="Q53" i="58"/>
  <c r="L54" i="58"/>
  <c r="Q54" i="58"/>
  <c r="L55" i="58"/>
  <c r="Q55" i="58"/>
  <c r="L56" i="58"/>
  <c r="Q56" i="58"/>
  <c r="L57" i="58"/>
  <c r="Q57" i="58"/>
  <c r="L58" i="58"/>
  <c r="Q58" i="58"/>
  <c r="L59" i="58"/>
  <c r="Q59" i="58"/>
  <c r="L60" i="58"/>
  <c r="Q60" i="58"/>
  <c r="L61" i="58"/>
  <c r="Q61" i="58"/>
  <c r="L62" i="58"/>
  <c r="Q62" i="58"/>
  <c r="L63" i="58"/>
  <c r="Q63" i="58"/>
  <c r="L64" i="58"/>
  <c r="Q64" i="58"/>
  <c r="L65" i="58"/>
  <c r="Q65" i="58"/>
  <c r="L66" i="58"/>
  <c r="Q66" i="58"/>
  <c r="L67" i="58"/>
  <c r="Q67" i="58"/>
  <c r="L68" i="58"/>
  <c r="Q68" i="58"/>
  <c r="L69" i="58"/>
  <c r="Q69" i="58"/>
  <c r="L70" i="58"/>
  <c r="Q70" i="58"/>
  <c r="L71" i="58"/>
  <c r="Q71" i="58"/>
  <c r="L72" i="58"/>
  <c r="Q72" i="58"/>
  <c r="L73" i="58"/>
  <c r="Q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L119" i="58"/>
  <c r="L120" i="58"/>
  <c r="L121" i="58"/>
  <c r="G1" i="58"/>
  <c r="H2" i="58"/>
  <c r="P2" i="58" s="1"/>
  <c r="H3" i="58"/>
  <c r="P3" i="58" s="1"/>
  <c r="H4" i="58"/>
  <c r="P4" i="58" s="1"/>
  <c r="H5" i="58"/>
  <c r="P5" i="58" s="1"/>
  <c r="H6" i="58"/>
  <c r="P6" i="58" s="1"/>
  <c r="H7" i="58"/>
  <c r="P7" i="58" s="1"/>
  <c r="H8" i="58"/>
  <c r="P8" i="58" s="1"/>
  <c r="H9" i="58"/>
  <c r="P9" i="58" s="1"/>
  <c r="H10" i="58"/>
  <c r="P10" i="58" s="1"/>
  <c r="H11" i="58"/>
  <c r="P11" i="58" s="1"/>
  <c r="H12" i="58"/>
  <c r="P12" i="58" s="1"/>
  <c r="H13" i="58"/>
  <c r="P13" i="58" s="1"/>
  <c r="H14" i="58"/>
  <c r="P14" i="58" s="1"/>
  <c r="H15" i="58"/>
  <c r="P15" i="58" s="1"/>
  <c r="H16" i="58"/>
  <c r="P16" i="58" s="1"/>
  <c r="H17" i="58"/>
  <c r="P17" i="58" s="1"/>
  <c r="H18" i="58"/>
  <c r="P18" i="58" s="1"/>
  <c r="H19" i="58"/>
  <c r="P19" i="58" s="1"/>
  <c r="H20" i="58"/>
  <c r="P20" i="58" s="1"/>
  <c r="H21" i="58"/>
  <c r="P21" i="58" s="1"/>
  <c r="H22" i="58"/>
  <c r="P22" i="58" s="1"/>
  <c r="H23" i="58"/>
  <c r="P23" i="58" s="1"/>
  <c r="H24" i="58"/>
  <c r="P24" i="58" s="1"/>
  <c r="H25" i="58"/>
  <c r="P25" i="58" s="1"/>
  <c r="H26" i="58"/>
  <c r="P26" i="58" s="1"/>
  <c r="H27" i="58"/>
  <c r="P27" i="58" s="1"/>
  <c r="H28" i="58"/>
  <c r="P28" i="58" s="1"/>
  <c r="H29" i="58"/>
  <c r="P29" i="58" s="1"/>
  <c r="H30" i="58"/>
  <c r="P30" i="58" s="1"/>
  <c r="H31" i="58"/>
  <c r="P31" i="58" s="1"/>
  <c r="H32" i="58"/>
  <c r="P32" i="58" s="1"/>
  <c r="H33" i="58"/>
  <c r="P33" i="58" s="1"/>
  <c r="H34" i="58"/>
  <c r="P34" i="58" s="1"/>
  <c r="H35" i="58"/>
  <c r="P35" i="58" s="1"/>
  <c r="H36" i="58"/>
  <c r="P36" i="58" s="1"/>
  <c r="H37" i="58"/>
  <c r="P37" i="58" s="1"/>
  <c r="H38" i="58"/>
  <c r="P38" i="58" s="1"/>
  <c r="H39" i="58"/>
  <c r="P39" i="58" s="1"/>
  <c r="H40" i="58"/>
  <c r="P40" i="58" s="1"/>
  <c r="H41" i="58"/>
  <c r="P41" i="58" s="1"/>
  <c r="H42" i="58"/>
  <c r="P42" i="58" s="1"/>
  <c r="H43" i="58"/>
  <c r="P43" i="58" s="1"/>
  <c r="H44" i="58"/>
  <c r="P44" i="58" s="1"/>
  <c r="H45" i="58"/>
  <c r="P45" i="58" s="1"/>
  <c r="H46" i="58"/>
  <c r="P46" i="58" s="1"/>
  <c r="H47" i="58"/>
  <c r="P47" i="58" s="1"/>
  <c r="H48" i="58"/>
  <c r="P48" i="58" s="1"/>
  <c r="H49" i="58"/>
  <c r="P49" i="58" s="1"/>
  <c r="H50" i="58"/>
  <c r="P50" i="58" s="1"/>
  <c r="H51" i="58"/>
  <c r="P51" i="58" s="1"/>
  <c r="H52" i="58"/>
  <c r="P52" i="58" s="1"/>
  <c r="H53" i="58"/>
  <c r="P53" i="58" s="1"/>
  <c r="H54" i="58"/>
  <c r="P54" i="58" s="1"/>
  <c r="H55" i="58"/>
  <c r="P55" i="58" s="1"/>
  <c r="H56" i="58"/>
  <c r="P56" i="58" s="1"/>
  <c r="H57" i="58"/>
  <c r="P57" i="58" s="1"/>
  <c r="H58" i="58"/>
  <c r="P58" i="58" s="1"/>
  <c r="H59" i="58"/>
  <c r="P59" i="58" s="1"/>
  <c r="H60" i="58"/>
  <c r="P60" i="58" s="1"/>
  <c r="H61" i="58"/>
  <c r="P61" i="58" s="1"/>
  <c r="H62" i="58"/>
  <c r="P62" i="58" s="1"/>
  <c r="H63" i="58"/>
  <c r="P63" i="58" s="1"/>
  <c r="H64" i="58"/>
  <c r="P64" i="58" s="1"/>
  <c r="H65" i="58"/>
  <c r="P65" i="58" s="1"/>
  <c r="H66" i="58"/>
  <c r="P66" i="58" s="1"/>
  <c r="H67" i="58"/>
  <c r="P67" i="58" s="1"/>
  <c r="H68" i="58"/>
  <c r="P68" i="58" s="1"/>
  <c r="H69" i="58"/>
  <c r="P69" i="58" s="1"/>
  <c r="H70" i="58"/>
  <c r="P70" i="58" s="1"/>
  <c r="H71" i="58"/>
  <c r="P71" i="58" s="1"/>
  <c r="H72" i="58"/>
  <c r="P72" i="58" s="1"/>
  <c r="H73" i="58"/>
  <c r="P73" i="58" s="1"/>
  <c r="H74" i="58"/>
  <c r="P74" i="58" s="1"/>
  <c r="H75" i="58"/>
  <c r="P75" i="58" s="1"/>
  <c r="H76" i="58"/>
  <c r="P76" i="58" s="1"/>
  <c r="H77" i="58"/>
  <c r="P77" i="58" s="1"/>
  <c r="H78" i="58"/>
  <c r="P78" i="58" s="1"/>
  <c r="H79" i="58"/>
  <c r="P79" i="58" s="1"/>
  <c r="H80" i="58"/>
  <c r="P80" i="58" s="1"/>
  <c r="H81" i="58"/>
  <c r="P81" i="58" s="1"/>
  <c r="H82" i="58"/>
  <c r="P82" i="58" s="1"/>
  <c r="H83" i="58"/>
  <c r="P83" i="58" s="1"/>
  <c r="H84" i="58"/>
  <c r="P84" i="58" s="1"/>
  <c r="H85" i="58"/>
  <c r="P85" i="58" s="1"/>
  <c r="H86" i="58"/>
  <c r="P86" i="58" s="1"/>
  <c r="H87" i="58"/>
  <c r="P87" i="58" s="1"/>
  <c r="H88" i="58"/>
  <c r="P88" i="58" s="1"/>
  <c r="H89" i="58"/>
  <c r="P89" i="58" s="1"/>
  <c r="H90" i="58"/>
  <c r="P90" i="58" s="1"/>
  <c r="H91" i="58"/>
  <c r="P91" i="58" s="1"/>
  <c r="H92" i="58"/>
  <c r="P92" i="58" s="1"/>
  <c r="H93" i="58"/>
  <c r="P93" i="58" s="1"/>
  <c r="H94" i="58"/>
  <c r="P94" i="58" s="1"/>
  <c r="H95" i="58"/>
  <c r="P95" i="58" s="1"/>
  <c r="H96" i="58"/>
  <c r="P96" i="58" s="1"/>
  <c r="H97" i="58"/>
  <c r="P97" i="58" s="1"/>
  <c r="H98" i="58"/>
  <c r="P98" i="58" s="1"/>
  <c r="H99" i="58"/>
  <c r="P99" i="58" s="1"/>
  <c r="H100" i="58"/>
  <c r="P100" i="58" s="1"/>
  <c r="H101" i="58"/>
  <c r="P101" i="58" s="1"/>
  <c r="H102" i="58"/>
  <c r="P102" i="58" s="1"/>
  <c r="H103" i="58"/>
  <c r="P103" i="58" s="1"/>
  <c r="H104" i="58"/>
  <c r="P104" i="58" s="1"/>
  <c r="H105" i="58"/>
  <c r="P105" i="58" s="1"/>
  <c r="H106" i="58"/>
  <c r="P106" i="58" s="1"/>
  <c r="H107" i="58"/>
  <c r="P107" i="58" s="1"/>
  <c r="H108" i="58"/>
  <c r="P108" i="58" s="1"/>
  <c r="H109" i="58"/>
  <c r="P109" i="58" s="1"/>
  <c r="H110" i="58"/>
  <c r="P110" i="58" s="1"/>
  <c r="H111" i="58"/>
  <c r="P111" i="58" s="1"/>
  <c r="H112" i="58"/>
  <c r="P112" i="58" s="1"/>
  <c r="H113" i="58"/>
  <c r="P113" i="58" s="1"/>
  <c r="H114" i="58"/>
  <c r="P114" i="58" s="1"/>
  <c r="H115" i="58"/>
  <c r="P115" i="58" s="1"/>
  <c r="H116" i="58"/>
  <c r="P116" i="58" s="1"/>
  <c r="H117" i="58"/>
  <c r="P117" i="58" s="1"/>
  <c r="H118" i="58"/>
  <c r="P118" i="58" s="1"/>
  <c r="H119" i="58"/>
  <c r="P119" i="58" s="1"/>
  <c r="H120" i="58"/>
  <c r="P120" i="58" s="1"/>
  <c r="H121" i="58"/>
  <c r="P121" i="58" s="1"/>
  <c r="H1" i="58"/>
  <c r="P1" i="58" s="1"/>
  <c r="E116" i="58"/>
  <c r="M116" i="58" s="1"/>
  <c r="E117" i="58"/>
  <c r="M117" i="58" s="1"/>
  <c r="E118" i="58"/>
  <c r="M118" i="58" s="1"/>
  <c r="E119" i="58"/>
  <c r="M119" i="58" s="1"/>
  <c r="E120" i="58"/>
  <c r="M120" i="58" s="1"/>
  <c r="E121" i="58"/>
  <c r="M121" i="58" s="1"/>
  <c r="F116" i="58"/>
  <c r="N116" i="58" s="1"/>
  <c r="F117" i="58"/>
  <c r="N117" i="58" s="1"/>
  <c r="F118" i="58"/>
  <c r="N118" i="58" s="1"/>
  <c r="F119" i="58"/>
  <c r="N119" i="58" s="1"/>
  <c r="F120" i="58"/>
  <c r="N120" i="58" s="1"/>
  <c r="F121" i="58"/>
  <c r="N121" i="58" s="1"/>
  <c r="Q1" i="85"/>
  <c r="J2" i="85"/>
  <c r="J3" i="85"/>
  <c r="J4" i="85"/>
  <c r="J5" i="85"/>
  <c r="J6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J29" i="85"/>
  <c r="J30" i="85"/>
  <c r="J31" i="85"/>
  <c r="J32" i="85"/>
  <c r="J33" i="85"/>
  <c r="J34" i="85"/>
  <c r="J35" i="85"/>
  <c r="J36" i="85"/>
  <c r="J37" i="85"/>
  <c r="J38" i="85"/>
  <c r="J39" i="85"/>
  <c r="J40" i="85"/>
  <c r="J41" i="85"/>
  <c r="J42" i="85"/>
  <c r="J43" i="85"/>
  <c r="J44" i="85"/>
  <c r="J45" i="85"/>
  <c r="J46" i="85"/>
  <c r="J47" i="85"/>
  <c r="J48" i="85"/>
  <c r="J49" i="85"/>
  <c r="J50" i="85"/>
  <c r="J51" i="85"/>
  <c r="J52" i="85"/>
  <c r="J53" i="85"/>
  <c r="J54" i="85"/>
  <c r="J55" i="85"/>
  <c r="J56" i="85"/>
  <c r="J57" i="85"/>
  <c r="J58" i="85"/>
  <c r="J59" i="85"/>
  <c r="J60" i="85"/>
  <c r="J61" i="85"/>
  <c r="K1" i="85"/>
  <c r="R1" i="85" s="1"/>
  <c r="J1" i="85"/>
  <c r="I1" i="85"/>
  <c r="P1" i="85" s="1"/>
  <c r="H2" i="28"/>
  <c r="H3" i="28"/>
  <c r="H4" i="28"/>
  <c r="H5" i="28"/>
  <c r="O5" i="28" s="1"/>
  <c r="H6" i="28"/>
  <c r="H7" i="28"/>
  <c r="H8" i="28"/>
  <c r="O8" i="28" s="1"/>
  <c r="H9" i="28"/>
  <c r="O9" i="28" s="1"/>
  <c r="H10" i="28"/>
  <c r="H11" i="28"/>
  <c r="H12" i="28"/>
  <c r="O12" i="28" s="1"/>
  <c r="H13" i="28"/>
  <c r="O13" i="28" s="1"/>
  <c r="H14" i="28"/>
  <c r="H15" i="28"/>
  <c r="H16" i="28"/>
  <c r="O16" i="28" s="1"/>
  <c r="H17" i="28"/>
  <c r="O17" i="28" s="1"/>
  <c r="H18" i="28"/>
  <c r="H19" i="28"/>
  <c r="H20" i="28"/>
  <c r="H21" i="28"/>
  <c r="O21" i="28" s="1"/>
  <c r="H22" i="28"/>
  <c r="H23" i="28"/>
  <c r="H24" i="28"/>
  <c r="O24" i="28" s="1"/>
  <c r="H25" i="28"/>
  <c r="O25" i="28" s="1"/>
  <c r="H26" i="28"/>
  <c r="H27" i="28"/>
  <c r="H28" i="28"/>
  <c r="O28" i="28" s="1"/>
  <c r="H29" i="28"/>
  <c r="O29" i="28" s="1"/>
  <c r="H30" i="28"/>
  <c r="H31" i="28"/>
  <c r="H32" i="28"/>
  <c r="O32" i="28" s="1"/>
  <c r="H33" i="28"/>
  <c r="O33" i="28" s="1"/>
  <c r="H34" i="28"/>
  <c r="H35" i="28"/>
  <c r="H36" i="28"/>
  <c r="H37" i="28"/>
  <c r="O37" i="28" s="1"/>
  <c r="H38" i="28"/>
  <c r="H39" i="28"/>
  <c r="H40" i="28"/>
  <c r="O40" i="28" s="1"/>
  <c r="H41" i="28"/>
  <c r="O41" i="28" s="1"/>
  <c r="H42" i="28"/>
  <c r="H43" i="28"/>
  <c r="H44" i="28"/>
  <c r="O44" i="28" s="1"/>
  <c r="H45" i="28"/>
  <c r="O45" i="28" s="1"/>
  <c r="H46" i="28"/>
  <c r="H47" i="28"/>
  <c r="H48" i="28"/>
  <c r="O48" i="28" s="1"/>
  <c r="H49" i="28"/>
  <c r="O49" i="28" s="1"/>
  <c r="H50" i="28"/>
  <c r="H51" i="28"/>
  <c r="H52" i="28"/>
  <c r="H53" i="28"/>
  <c r="O53" i="28" s="1"/>
  <c r="H54" i="28"/>
  <c r="H55" i="28"/>
  <c r="H56" i="28"/>
  <c r="O56" i="28" s="1"/>
  <c r="H57" i="28"/>
  <c r="O57" i="28" s="1"/>
  <c r="H58" i="28"/>
  <c r="H59" i="28"/>
  <c r="H60" i="28"/>
  <c r="O60" i="28" s="1"/>
  <c r="H61" i="28"/>
  <c r="O61" i="28" s="1"/>
  <c r="O3" i="28"/>
  <c r="O4" i="28"/>
  <c r="O6" i="28"/>
  <c r="O7" i="28"/>
  <c r="O10" i="28"/>
  <c r="O11" i="28"/>
  <c r="O14" i="28"/>
  <c r="O15" i="28"/>
  <c r="O18" i="28"/>
  <c r="O19" i="28"/>
  <c r="O20" i="28"/>
  <c r="O22" i="28"/>
  <c r="O23" i="28"/>
  <c r="O26" i="28"/>
  <c r="O27" i="28"/>
  <c r="O30" i="28"/>
  <c r="O31" i="28"/>
  <c r="O34" i="28"/>
  <c r="O35" i="28"/>
  <c r="O36" i="28"/>
  <c r="O38" i="28"/>
  <c r="O39" i="28"/>
  <c r="O42" i="28"/>
  <c r="O43" i="28"/>
  <c r="O46" i="28"/>
  <c r="O47" i="28"/>
  <c r="O50" i="28"/>
  <c r="O51" i="28"/>
  <c r="O52" i="28"/>
  <c r="O54" i="28"/>
  <c r="O55" i="28"/>
  <c r="O58" i="28"/>
  <c r="O59" i="28"/>
  <c r="I1" i="28"/>
  <c r="P1" i="28" s="1"/>
  <c r="H1" i="28"/>
  <c r="G1" i="28"/>
  <c r="D1" i="28"/>
  <c r="G1" i="47"/>
  <c r="L2" i="47"/>
  <c r="L3" i="47"/>
  <c r="L4" i="47"/>
  <c r="L5" i="47"/>
  <c r="L6" i="47"/>
  <c r="L7" i="47"/>
  <c r="L8" i="47"/>
  <c r="L9" i="47"/>
  <c r="L10" i="47"/>
  <c r="L11" i="47"/>
  <c r="L12" i="47"/>
  <c r="L13" i="47"/>
  <c r="L14" i="47"/>
  <c r="L15" i="47"/>
  <c r="L16" i="47"/>
  <c r="L17" i="47"/>
  <c r="L18" i="47"/>
  <c r="L19" i="47"/>
  <c r="L20" i="47"/>
  <c r="L21" i="47"/>
  <c r="L22" i="47"/>
  <c r="L23" i="47"/>
  <c r="L24" i="47"/>
  <c r="L25" i="47"/>
  <c r="L26" i="47"/>
  <c r="L27" i="47"/>
  <c r="L28" i="47"/>
  <c r="L29" i="47"/>
  <c r="L30" i="47"/>
  <c r="L31" i="47"/>
  <c r="L32" i="47"/>
  <c r="L33" i="47"/>
  <c r="L34" i="47"/>
  <c r="L35" i="47"/>
  <c r="L36" i="47"/>
  <c r="L37" i="47"/>
  <c r="L38" i="47"/>
  <c r="L39" i="47"/>
  <c r="L40" i="47"/>
  <c r="L41" i="47"/>
  <c r="L42" i="47"/>
  <c r="L43" i="47"/>
  <c r="L44" i="47"/>
  <c r="L45" i="47"/>
  <c r="L46" i="47"/>
  <c r="L47" i="47"/>
  <c r="L48" i="47"/>
  <c r="L49" i="47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78" i="47"/>
  <c r="L79" i="47"/>
  <c r="L80" i="47"/>
  <c r="L81" i="47"/>
  <c r="L82" i="47"/>
  <c r="L83" i="47"/>
  <c r="L84" i="47"/>
  <c r="L85" i="47"/>
  <c r="L86" i="47"/>
  <c r="L87" i="47"/>
  <c r="L88" i="47"/>
  <c r="L89" i="47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J2" i="47"/>
  <c r="R2" i="47" s="1"/>
  <c r="J3" i="47"/>
  <c r="R3" i="47" s="1"/>
  <c r="J4" i="47"/>
  <c r="R4" i="47" s="1"/>
  <c r="J5" i="47"/>
  <c r="R5" i="47" s="1"/>
  <c r="J6" i="47"/>
  <c r="R6" i="47" s="1"/>
  <c r="J7" i="47"/>
  <c r="R7" i="47" s="1"/>
  <c r="J8" i="47"/>
  <c r="R8" i="47" s="1"/>
  <c r="J9" i="47"/>
  <c r="R9" i="47" s="1"/>
  <c r="J10" i="47"/>
  <c r="R10" i="47" s="1"/>
  <c r="J11" i="47"/>
  <c r="R11" i="47" s="1"/>
  <c r="J12" i="47"/>
  <c r="R12" i="47" s="1"/>
  <c r="J13" i="47"/>
  <c r="R13" i="47" s="1"/>
  <c r="J14" i="47"/>
  <c r="R14" i="47" s="1"/>
  <c r="J15" i="47"/>
  <c r="R15" i="47" s="1"/>
  <c r="J16" i="47"/>
  <c r="R16" i="47" s="1"/>
  <c r="J17" i="47"/>
  <c r="R17" i="47" s="1"/>
  <c r="J18" i="47"/>
  <c r="R18" i="47" s="1"/>
  <c r="J19" i="47"/>
  <c r="R19" i="47" s="1"/>
  <c r="J20" i="47"/>
  <c r="R20" i="47" s="1"/>
  <c r="J21" i="47"/>
  <c r="R21" i="47" s="1"/>
  <c r="J22" i="47"/>
  <c r="R22" i="47" s="1"/>
  <c r="J23" i="47"/>
  <c r="R23" i="47" s="1"/>
  <c r="J24" i="47"/>
  <c r="R24" i="47" s="1"/>
  <c r="J25" i="47"/>
  <c r="R25" i="47" s="1"/>
  <c r="J26" i="47"/>
  <c r="R26" i="47" s="1"/>
  <c r="J27" i="47"/>
  <c r="R27" i="47" s="1"/>
  <c r="J28" i="47"/>
  <c r="R28" i="47" s="1"/>
  <c r="J29" i="47"/>
  <c r="R29" i="47" s="1"/>
  <c r="J30" i="47"/>
  <c r="R30" i="47" s="1"/>
  <c r="J31" i="47"/>
  <c r="R31" i="47" s="1"/>
  <c r="J32" i="47"/>
  <c r="R32" i="47" s="1"/>
  <c r="J33" i="47"/>
  <c r="R33" i="47" s="1"/>
  <c r="J34" i="47"/>
  <c r="R34" i="47" s="1"/>
  <c r="J35" i="47"/>
  <c r="R35" i="47" s="1"/>
  <c r="J36" i="47"/>
  <c r="R36" i="47" s="1"/>
  <c r="J37" i="47"/>
  <c r="R37" i="47" s="1"/>
  <c r="J38" i="47"/>
  <c r="R38" i="47" s="1"/>
  <c r="J39" i="47"/>
  <c r="R39" i="47" s="1"/>
  <c r="J40" i="47"/>
  <c r="R40" i="47" s="1"/>
  <c r="J41" i="47"/>
  <c r="R41" i="47" s="1"/>
  <c r="J42" i="47"/>
  <c r="R42" i="47" s="1"/>
  <c r="J43" i="47"/>
  <c r="R43" i="47" s="1"/>
  <c r="J44" i="47"/>
  <c r="R44" i="47" s="1"/>
  <c r="J45" i="47"/>
  <c r="R45" i="47" s="1"/>
  <c r="J46" i="47"/>
  <c r="R46" i="47" s="1"/>
  <c r="J47" i="47"/>
  <c r="R47" i="47" s="1"/>
  <c r="J48" i="47"/>
  <c r="R48" i="47" s="1"/>
  <c r="J49" i="47"/>
  <c r="R49" i="47" s="1"/>
  <c r="J50" i="47"/>
  <c r="R50" i="47" s="1"/>
  <c r="J51" i="47"/>
  <c r="R51" i="47" s="1"/>
  <c r="J52" i="47"/>
  <c r="R52" i="47" s="1"/>
  <c r="J53" i="47"/>
  <c r="R53" i="47" s="1"/>
  <c r="J54" i="47"/>
  <c r="R54" i="47" s="1"/>
  <c r="J55" i="47"/>
  <c r="R55" i="47" s="1"/>
  <c r="J56" i="47"/>
  <c r="R56" i="47" s="1"/>
  <c r="J57" i="47"/>
  <c r="R57" i="47" s="1"/>
  <c r="J58" i="47"/>
  <c r="R58" i="47" s="1"/>
  <c r="J59" i="47"/>
  <c r="R59" i="47" s="1"/>
  <c r="J60" i="47"/>
  <c r="R60" i="47" s="1"/>
  <c r="J61" i="47"/>
  <c r="R61" i="47" s="1"/>
  <c r="J62" i="47"/>
  <c r="R62" i="47" s="1"/>
  <c r="J63" i="47"/>
  <c r="R63" i="47" s="1"/>
  <c r="J64" i="47"/>
  <c r="R64" i="47" s="1"/>
  <c r="J65" i="47"/>
  <c r="R65" i="47" s="1"/>
  <c r="J66" i="47"/>
  <c r="R66" i="47" s="1"/>
  <c r="J67" i="47"/>
  <c r="R67" i="47" s="1"/>
  <c r="J68" i="47"/>
  <c r="R68" i="47" s="1"/>
  <c r="J69" i="47"/>
  <c r="R69" i="47" s="1"/>
  <c r="J70" i="47"/>
  <c r="R70" i="47" s="1"/>
  <c r="J71" i="47"/>
  <c r="R71" i="47" s="1"/>
  <c r="J72" i="47"/>
  <c r="R72" i="47" s="1"/>
  <c r="J73" i="47"/>
  <c r="R73" i="47" s="1"/>
  <c r="J74" i="47"/>
  <c r="R74" i="47" s="1"/>
  <c r="J75" i="47"/>
  <c r="R75" i="47" s="1"/>
  <c r="J76" i="47"/>
  <c r="R76" i="47" s="1"/>
  <c r="J77" i="47"/>
  <c r="R77" i="47" s="1"/>
  <c r="J78" i="47"/>
  <c r="R78" i="47" s="1"/>
  <c r="J79" i="47"/>
  <c r="R79" i="47" s="1"/>
  <c r="J80" i="47"/>
  <c r="R80" i="47" s="1"/>
  <c r="J81" i="47"/>
  <c r="R81" i="47" s="1"/>
  <c r="J82" i="47"/>
  <c r="R82" i="47" s="1"/>
  <c r="J83" i="47"/>
  <c r="R83" i="47" s="1"/>
  <c r="J84" i="47"/>
  <c r="R84" i="47" s="1"/>
  <c r="J85" i="47"/>
  <c r="R85" i="47" s="1"/>
  <c r="J86" i="47"/>
  <c r="R86" i="47" s="1"/>
  <c r="J87" i="47"/>
  <c r="R87" i="47" s="1"/>
  <c r="J88" i="47"/>
  <c r="R88" i="47" s="1"/>
  <c r="J89" i="47"/>
  <c r="R89" i="47" s="1"/>
  <c r="J90" i="47"/>
  <c r="R90" i="47" s="1"/>
  <c r="J91" i="47"/>
  <c r="R91" i="47" s="1"/>
  <c r="J92" i="47"/>
  <c r="R92" i="47" s="1"/>
  <c r="J93" i="47"/>
  <c r="R93" i="47" s="1"/>
  <c r="J94" i="47"/>
  <c r="R94" i="47" s="1"/>
  <c r="J95" i="47"/>
  <c r="R95" i="47" s="1"/>
  <c r="J96" i="47"/>
  <c r="R96" i="47" s="1"/>
  <c r="J97" i="47"/>
  <c r="R97" i="47" s="1"/>
  <c r="J98" i="47"/>
  <c r="R98" i="47" s="1"/>
  <c r="J99" i="47"/>
  <c r="R99" i="47" s="1"/>
  <c r="J100" i="47"/>
  <c r="R100" i="47" s="1"/>
  <c r="J101" i="47"/>
  <c r="R101" i="47" s="1"/>
  <c r="J102" i="47"/>
  <c r="R102" i="47" s="1"/>
  <c r="J103" i="47"/>
  <c r="R103" i="47" s="1"/>
  <c r="J104" i="47"/>
  <c r="R104" i="47" s="1"/>
  <c r="J105" i="47"/>
  <c r="R105" i="47" s="1"/>
  <c r="J106" i="47"/>
  <c r="R106" i="47" s="1"/>
  <c r="J107" i="47"/>
  <c r="R107" i="47" s="1"/>
  <c r="J108" i="47"/>
  <c r="R108" i="47" s="1"/>
  <c r="J109" i="47"/>
  <c r="R109" i="47" s="1"/>
  <c r="J110" i="47"/>
  <c r="R110" i="47" s="1"/>
  <c r="J111" i="47"/>
  <c r="R111" i="47" s="1"/>
  <c r="J112" i="47"/>
  <c r="R112" i="47" s="1"/>
  <c r="J113" i="47"/>
  <c r="R113" i="47" s="1"/>
  <c r="J114" i="47"/>
  <c r="R114" i="47" s="1"/>
  <c r="J115" i="47"/>
  <c r="R115" i="47" s="1"/>
  <c r="J116" i="47"/>
  <c r="R116" i="47" s="1"/>
  <c r="J117" i="47"/>
  <c r="R117" i="47" s="1"/>
  <c r="J118" i="47"/>
  <c r="R118" i="47" s="1"/>
  <c r="J119" i="47"/>
  <c r="R119" i="47" s="1"/>
  <c r="J120" i="47"/>
  <c r="R120" i="47" s="1"/>
  <c r="J121" i="47"/>
  <c r="R121" i="47" s="1"/>
  <c r="J1" i="47"/>
  <c r="R1" i="47" s="1"/>
  <c r="I1" i="47"/>
  <c r="Q1" i="47" s="1"/>
  <c r="H2" i="47"/>
  <c r="P2" i="47" s="1"/>
  <c r="H3" i="47"/>
  <c r="P3" i="47" s="1"/>
  <c r="H4" i="47"/>
  <c r="P4" i="47" s="1"/>
  <c r="H5" i="47"/>
  <c r="P5" i="47" s="1"/>
  <c r="H6" i="47"/>
  <c r="P6" i="47" s="1"/>
  <c r="H7" i="47"/>
  <c r="P7" i="47" s="1"/>
  <c r="H8" i="47"/>
  <c r="P8" i="47" s="1"/>
  <c r="H9" i="47"/>
  <c r="P9" i="47" s="1"/>
  <c r="H10" i="47"/>
  <c r="P10" i="47" s="1"/>
  <c r="H11" i="47"/>
  <c r="P11" i="47" s="1"/>
  <c r="H12" i="47"/>
  <c r="P12" i="47" s="1"/>
  <c r="H13" i="47"/>
  <c r="P13" i="47" s="1"/>
  <c r="H14" i="47"/>
  <c r="P14" i="47" s="1"/>
  <c r="H15" i="47"/>
  <c r="P15" i="47" s="1"/>
  <c r="H16" i="47"/>
  <c r="P16" i="47" s="1"/>
  <c r="H17" i="47"/>
  <c r="P17" i="47" s="1"/>
  <c r="H18" i="47"/>
  <c r="P18" i="47" s="1"/>
  <c r="H19" i="47"/>
  <c r="P19" i="47" s="1"/>
  <c r="H20" i="47"/>
  <c r="P20" i="47" s="1"/>
  <c r="H21" i="47"/>
  <c r="P21" i="47" s="1"/>
  <c r="H22" i="47"/>
  <c r="P22" i="47" s="1"/>
  <c r="H23" i="47"/>
  <c r="P23" i="47" s="1"/>
  <c r="H24" i="47"/>
  <c r="P24" i="47" s="1"/>
  <c r="H25" i="47"/>
  <c r="P25" i="47" s="1"/>
  <c r="H26" i="47"/>
  <c r="P26" i="47" s="1"/>
  <c r="H27" i="47"/>
  <c r="P27" i="47" s="1"/>
  <c r="H28" i="47"/>
  <c r="P28" i="47" s="1"/>
  <c r="H29" i="47"/>
  <c r="P29" i="47" s="1"/>
  <c r="H30" i="47"/>
  <c r="P30" i="47" s="1"/>
  <c r="H31" i="47"/>
  <c r="P31" i="47" s="1"/>
  <c r="H32" i="47"/>
  <c r="P32" i="47" s="1"/>
  <c r="H33" i="47"/>
  <c r="P33" i="47" s="1"/>
  <c r="H34" i="47"/>
  <c r="P34" i="47" s="1"/>
  <c r="H35" i="47"/>
  <c r="P35" i="47" s="1"/>
  <c r="H36" i="47"/>
  <c r="P36" i="47" s="1"/>
  <c r="H37" i="47"/>
  <c r="P37" i="47" s="1"/>
  <c r="H38" i="47"/>
  <c r="P38" i="47" s="1"/>
  <c r="H39" i="47"/>
  <c r="P39" i="47" s="1"/>
  <c r="H40" i="47"/>
  <c r="P40" i="47" s="1"/>
  <c r="H41" i="47"/>
  <c r="P41" i="47" s="1"/>
  <c r="H42" i="47"/>
  <c r="P42" i="47" s="1"/>
  <c r="H43" i="47"/>
  <c r="P43" i="47" s="1"/>
  <c r="H44" i="47"/>
  <c r="P44" i="47" s="1"/>
  <c r="H45" i="47"/>
  <c r="P45" i="47" s="1"/>
  <c r="H46" i="47"/>
  <c r="P46" i="47" s="1"/>
  <c r="H47" i="47"/>
  <c r="P47" i="47" s="1"/>
  <c r="H48" i="47"/>
  <c r="P48" i="47" s="1"/>
  <c r="H49" i="47"/>
  <c r="P49" i="47" s="1"/>
  <c r="H50" i="47"/>
  <c r="P50" i="47" s="1"/>
  <c r="H51" i="47"/>
  <c r="P51" i="47" s="1"/>
  <c r="H52" i="47"/>
  <c r="P52" i="47" s="1"/>
  <c r="H53" i="47"/>
  <c r="P53" i="47" s="1"/>
  <c r="H54" i="47"/>
  <c r="P54" i="47" s="1"/>
  <c r="H55" i="47"/>
  <c r="P55" i="47" s="1"/>
  <c r="H56" i="47"/>
  <c r="P56" i="47" s="1"/>
  <c r="H57" i="47"/>
  <c r="P57" i="47" s="1"/>
  <c r="H58" i="47"/>
  <c r="P58" i="47" s="1"/>
  <c r="H59" i="47"/>
  <c r="P59" i="47" s="1"/>
  <c r="H60" i="47"/>
  <c r="P60" i="47" s="1"/>
  <c r="H61" i="47"/>
  <c r="P61" i="47" s="1"/>
  <c r="H1" i="47"/>
  <c r="F121" i="47"/>
  <c r="N121" i="47" s="1"/>
  <c r="E121" i="47"/>
  <c r="M121" i="47" s="1"/>
  <c r="F120" i="47"/>
  <c r="N120" i="47" s="1"/>
  <c r="E120" i="47"/>
  <c r="M120" i="47" s="1"/>
  <c r="F119" i="47"/>
  <c r="N119" i="47" s="1"/>
  <c r="E119" i="47"/>
  <c r="M119" i="47" s="1"/>
  <c r="F118" i="47"/>
  <c r="N118" i="47" s="1"/>
  <c r="E118" i="47"/>
  <c r="M118" i="47" s="1"/>
  <c r="F117" i="47"/>
  <c r="N117" i="47" s="1"/>
  <c r="E117" i="47"/>
  <c r="M117" i="47" s="1"/>
  <c r="F116" i="47"/>
  <c r="N116" i="47" s="1"/>
  <c r="E116" i="47"/>
  <c r="M116" i="47" s="1"/>
  <c r="S20" i="103" l="1"/>
  <c r="T19" i="103"/>
  <c r="X150" i="47"/>
  <c r="X151" i="47" s="1"/>
  <c r="X152" i="47" s="1"/>
  <c r="X153" i="47" s="1"/>
  <c r="X154" i="47" s="1"/>
  <c r="X155" i="47" s="1"/>
  <c r="X156" i="47" s="1"/>
  <c r="X157" i="47" s="1"/>
  <c r="X158" i="47" s="1"/>
  <c r="F150" i="9"/>
  <c r="C144" i="9"/>
  <c r="C143" i="9"/>
  <c r="C14" i="70"/>
  <c r="K63" i="9"/>
  <c r="K62" i="9"/>
  <c r="K64" i="9"/>
  <c r="B145" i="85"/>
  <c r="C145" i="85"/>
  <c r="M145" i="85"/>
  <c r="B134" i="85"/>
  <c r="C134" i="85"/>
  <c r="M134" i="85"/>
  <c r="B135" i="85"/>
  <c r="C135" i="85"/>
  <c r="M135" i="85"/>
  <c r="B136" i="85"/>
  <c r="C136" i="85"/>
  <c r="M136" i="85"/>
  <c r="B137" i="85"/>
  <c r="C137" i="85"/>
  <c r="M137" i="85"/>
  <c r="B138" i="85"/>
  <c r="C138" i="85"/>
  <c r="M138" i="85"/>
  <c r="B139" i="85"/>
  <c r="C139" i="85"/>
  <c r="M139" i="85"/>
  <c r="B140" i="85"/>
  <c r="C140" i="85"/>
  <c r="M140" i="85"/>
  <c r="B141" i="85"/>
  <c r="C141" i="85"/>
  <c r="M141" i="85"/>
  <c r="B142" i="85"/>
  <c r="C142" i="85"/>
  <c r="M142" i="85"/>
  <c r="B143" i="85"/>
  <c r="C143" i="85"/>
  <c r="M143" i="85"/>
  <c r="B144" i="85"/>
  <c r="C144" i="85"/>
  <c r="M144" i="85"/>
  <c r="D110" i="87"/>
  <c r="D111" i="87"/>
  <c r="D112" i="87"/>
  <c r="D113" i="87"/>
  <c r="O1" i="87"/>
  <c r="B134" i="87"/>
  <c r="C134" i="87"/>
  <c r="E134" i="87"/>
  <c r="F134" i="87"/>
  <c r="L134" i="87"/>
  <c r="B135" i="87"/>
  <c r="C135" i="87"/>
  <c r="E135" i="87"/>
  <c r="F135" i="87"/>
  <c r="L135" i="87"/>
  <c r="B136" i="87"/>
  <c r="C136" i="87"/>
  <c r="E136" i="87"/>
  <c r="F136" i="87"/>
  <c r="L136" i="87"/>
  <c r="B137" i="87"/>
  <c r="C137" i="87"/>
  <c r="E137" i="87"/>
  <c r="F137" i="87"/>
  <c r="L137" i="87"/>
  <c r="B138" i="87"/>
  <c r="C138" i="87"/>
  <c r="E138" i="87"/>
  <c r="F138" i="87"/>
  <c r="L138" i="87"/>
  <c r="B139" i="87"/>
  <c r="C139" i="87"/>
  <c r="E139" i="87"/>
  <c r="F139" i="87"/>
  <c r="L139" i="87"/>
  <c r="B140" i="87"/>
  <c r="C140" i="87"/>
  <c r="E140" i="87"/>
  <c r="F140" i="87"/>
  <c r="L140" i="87"/>
  <c r="B141" i="87"/>
  <c r="C141" i="87"/>
  <c r="E141" i="87"/>
  <c r="F141" i="87"/>
  <c r="L141" i="87"/>
  <c r="B142" i="87"/>
  <c r="C142" i="87"/>
  <c r="E142" i="87"/>
  <c r="F142" i="87"/>
  <c r="L142" i="87"/>
  <c r="B143" i="87"/>
  <c r="C143" i="87"/>
  <c r="E143" i="87"/>
  <c r="F143" i="87"/>
  <c r="L143" i="87"/>
  <c r="B144" i="87"/>
  <c r="C144" i="87"/>
  <c r="E144" i="87"/>
  <c r="F144" i="87"/>
  <c r="L144" i="87"/>
  <c r="B145" i="87"/>
  <c r="C145" i="87"/>
  <c r="E145" i="87"/>
  <c r="F145" i="87"/>
  <c r="L145" i="87"/>
  <c r="F122" i="87"/>
  <c r="F123" i="87"/>
  <c r="F124" i="87"/>
  <c r="F125" i="87"/>
  <c r="F126" i="87"/>
  <c r="F127" i="87"/>
  <c r="F128" i="87"/>
  <c r="F129" i="87"/>
  <c r="F130" i="87"/>
  <c r="F131" i="87"/>
  <c r="F132" i="87"/>
  <c r="F133" i="87"/>
  <c r="F1" i="87"/>
  <c r="E122" i="87"/>
  <c r="E123" i="87"/>
  <c r="E124" i="87"/>
  <c r="E125" i="87"/>
  <c r="E126" i="87"/>
  <c r="E127" i="87"/>
  <c r="E128" i="87"/>
  <c r="E129" i="87"/>
  <c r="E130" i="87"/>
  <c r="E131" i="87"/>
  <c r="E132" i="87"/>
  <c r="E133" i="87"/>
  <c r="D2" i="87"/>
  <c r="D3" i="87"/>
  <c r="D4" i="87"/>
  <c r="D5" i="87"/>
  <c r="D6" i="87"/>
  <c r="D7" i="87"/>
  <c r="D8" i="87"/>
  <c r="D9" i="87"/>
  <c r="D10" i="87"/>
  <c r="D11" i="87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D57" i="87"/>
  <c r="D58" i="87"/>
  <c r="D59" i="87"/>
  <c r="D60" i="87"/>
  <c r="D61" i="87"/>
  <c r="D62" i="87"/>
  <c r="D63" i="87"/>
  <c r="D64" i="87"/>
  <c r="D65" i="87"/>
  <c r="D66" i="87"/>
  <c r="D67" i="87"/>
  <c r="D68" i="87"/>
  <c r="D69" i="87"/>
  <c r="D70" i="87"/>
  <c r="D71" i="87"/>
  <c r="D72" i="87"/>
  <c r="D73" i="87"/>
  <c r="D74" i="87"/>
  <c r="D75" i="87"/>
  <c r="D76" i="87"/>
  <c r="D77" i="87"/>
  <c r="D78" i="87"/>
  <c r="D79" i="87"/>
  <c r="D80" i="87"/>
  <c r="D81" i="87"/>
  <c r="D82" i="87"/>
  <c r="D83" i="87"/>
  <c r="D84" i="87"/>
  <c r="D85" i="87"/>
  <c r="D86" i="87"/>
  <c r="D87" i="87"/>
  <c r="D88" i="87"/>
  <c r="D89" i="87"/>
  <c r="D90" i="87"/>
  <c r="D91" i="87"/>
  <c r="D92" i="87"/>
  <c r="D93" i="87"/>
  <c r="D94" i="87"/>
  <c r="D95" i="87"/>
  <c r="D96" i="87"/>
  <c r="D97" i="87"/>
  <c r="D98" i="87"/>
  <c r="D99" i="87"/>
  <c r="D100" i="87"/>
  <c r="D101" i="87"/>
  <c r="D102" i="87"/>
  <c r="D103" i="87"/>
  <c r="D104" i="87"/>
  <c r="D105" i="87"/>
  <c r="D106" i="87"/>
  <c r="D107" i="87"/>
  <c r="D108" i="87"/>
  <c r="D109" i="87"/>
  <c r="D1" i="87"/>
  <c r="D110" i="30"/>
  <c r="D111" i="30"/>
  <c r="D112" i="30"/>
  <c r="D113" i="30"/>
  <c r="D114" i="30"/>
  <c r="N24" i="30"/>
  <c r="N25" i="30"/>
  <c r="N26" i="30"/>
  <c r="N27" i="30"/>
  <c r="N28" i="30"/>
  <c r="N29" i="30"/>
  <c r="N30" i="30"/>
  <c r="N31" i="30"/>
  <c r="N32" i="30"/>
  <c r="N33" i="30"/>
  <c r="N34" i="30"/>
  <c r="N35" i="30"/>
  <c r="N36" i="30"/>
  <c r="N37" i="30"/>
  <c r="N38" i="30"/>
  <c r="N39" i="30"/>
  <c r="N40" i="30"/>
  <c r="N41" i="30"/>
  <c r="N42" i="30"/>
  <c r="N43" i="30"/>
  <c r="N44" i="30"/>
  <c r="N45" i="30"/>
  <c r="N46" i="30"/>
  <c r="N47" i="30"/>
  <c r="N48" i="30"/>
  <c r="N49" i="30"/>
  <c r="N50" i="30"/>
  <c r="N51" i="30"/>
  <c r="N52" i="30"/>
  <c r="N53" i="30"/>
  <c r="N54" i="30"/>
  <c r="N55" i="30"/>
  <c r="N56" i="30"/>
  <c r="N57" i="30"/>
  <c r="N58" i="30"/>
  <c r="N59" i="30"/>
  <c r="N60" i="30"/>
  <c r="N61" i="30"/>
  <c r="N62" i="30"/>
  <c r="N63" i="30"/>
  <c r="N64" i="30"/>
  <c r="N65" i="30"/>
  <c r="N66" i="30"/>
  <c r="N67" i="30"/>
  <c r="N68" i="30"/>
  <c r="N69" i="30"/>
  <c r="N70" i="30"/>
  <c r="N71" i="30"/>
  <c r="N72" i="30"/>
  <c r="N73" i="30"/>
  <c r="N74" i="30"/>
  <c r="N75" i="30"/>
  <c r="N76" i="30"/>
  <c r="N77" i="30"/>
  <c r="N78" i="30"/>
  <c r="N79" i="30"/>
  <c r="N80" i="30"/>
  <c r="N81" i="30"/>
  <c r="N82" i="30"/>
  <c r="N83" i="30"/>
  <c r="N84" i="30"/>
  <c r="N85" i="30"/>
  <c r="N86" i="30"/>
  <c r="N87" i="30"/>
  <c r="N88" i="30"/>
  <c r="N89" i="30"/>
  <c r="N90" i="30"/>
  <c r="N91" i="30"/>
  <c r="N92" i="30"/>
  <c r="N93" i="30"/>
  <c r="N94" i="30"/>
  <c r="N95" i="30"/>
  <c r="N96" i="30"/>
  <c r="N97" i="30"/>
  <c r="N98" i="30"/>
  <c r="N99" i="30"/>
  <c r="N100" i="30"/>
  <c r="N101" i="30"/>
  <c r="N102" i="30"/>
  <c r="N103" i="30"/>
  <c r="N104" i="30"/>
  <c r="N105" i="30"/>
  <c r="N106" i="30"/>
  <c r="N107" i="30"/>
  <c r="N108" i="30"/>
  <c r="N109" i="30"/>
  <c r="N110" i="30"/>
  <c r="N111" i="30"/>
  <c r="N112" i="30"/>
  <c r="N113" i="30"/>
  <c r="N114" i="30"/>
  <c r="B134" i="86"/>
  <c r="C134" i="86"/>
  <c r="N134" i="86"/>
  <c r="B135" i="86"/>
  <c r="C135" i="86"/>
  <c r="N135" i="86"/>
  <c r="B136" i="86"/>
  <c r="C136" i="86"/>
  <c r="N136" i="86"/>
  <c r="B137" i="86"/>
  <c r="C137" i="86"/>
  <c r="N137" i="86"/>
  <c r="B138" i="86"/>
  <c r="C138" i="86"/>
  <c r="N138" i="86"/>
  <c r="B139" i="86"/>
  <c r="C139" i="86"/>
  <c r="N139" i="86"/>
  <c r="B140" i="86"/>
  <c r="C140" i="86"/>
  <c r="N140" i="86"/>
  <c r="B141" i="86"/>
  <c r="C141" i="86"/>
  <c r="N141" i="86"/>
  <c r="B142" i="86"/>
  <c r="C142" i="86"/>
  <c r="N142" i="86"/>
  <c r="B143" i="86"/>
  <c r="C143" i="86"/>
  <c r="N143" i="86"/>
  <c r="B144" i="86"/>
  <c r="C144" i="86"/>
  <c r="N144" i="86"/>
  <c r="B145" i="86"/>
  <c r="C145" i="86"/>
  <c r="N145" i="86"/>
  <c r="D1" i="86"/>
  <c r="D1" i="29"/>
  <c r="W139" i="58"/>
  <c r="W140" i="58" s="1"/>
  <c r="W141" i="58" s="1"/>
  <c r="W142" i="58" s="1"/>
  <c r="W143" i="58" s="1"/>
  <c r="W144" i="58" s="1"/>
  <c r="W145" i="58" s="1"/>
  <c r="W146" i="58" s="1"/>
  <c r="W147" i="58" s="1"/>
  <c r="W148" i="58" s="1"/>
  <c r="D1" i="58"/>
  <c r="D1" i="85"/>
  <c r="D1" i="47"/>
  <c r="AJ5" i="91"/>
  <c r="I11" i="67"/>
  <c r="E10" i="67"/>
  <c r="E11" i="67"/>
  <c r="I10" i="67"/>
  <c r="I12" i="67"/>
  <c r="I13" i="67"/>
  <c r="E12" i="67"/>
  <c r="E13" i="67"/>
  <c r="Q123" i="84"/>
  <c r="B134" i="84"/>
  <c r="C134" i="84"/>
  <c r="Q134" i="84"/>
  <c r="B135" i="84"/>
  <c r="C135" i="84"/>
  <c r="Q135" i="84"/>
  <c r="B136" i="84"/>
  <c r="C136" i="84"/>
  <c r="Q136" i="84"/>
  <c r="B137" i="84"/>
  <c r="C137" i="84"/>
  <c r="Q137" i="84"/>
  <c r="B138" i="84"/>
  <c r="C138" i="84"/>
  <c r="Q138" i="84"/>
  <c r="B139" i="84"/>
  <c r="C139" i="84"/>
  <c r="Q139" i="84"/>
  <c r="B140" i="84"/>
  <c r="C140" i="84"/>
  <c r="Q140" i="84"/>
  <c r="B141" i="84"/>
  <c r="C141" i="84"/>
  <c r="Q141" i="84"/>
  <c r="B142" i="84"/>
  <c r="C142" i="84"/>
  <c r="Q142" i="84"/>
  <c r="B143" i="84"/>
  <c r="C143" i="84"/>
  <c r="Q143" i="84"/>
  <c r="B144" i="84"/>
  <c r="C144" i="84"/>
  <c r="Q144" i="84"/>
  <c r="B145" i="84"/>
  <c r="C145" i="84"/>
  <c r="Q145" i="84"/>
  <c r="P98" i="84"/>
  <c r="P99" i="84"/>
  <c r="P100" i="84"/>
  <c r="P101" i="84"/>
  <c r="P102" i="84"/>
  <c r="P103" i="84"/>
  <c r="P104" i="84"/>
  <c r="P105" i="84"/>
  <c r="P106" i="84"/>
  <c r="P107" i="84"/>
  <c r="P108" i="84"/>
  <c r="P109" i="84"/>
  <c r="P110" i="84"/>
  <c r="P111" i="84"/>
  <c r="P112" i="84"/>
  <c r="P113" i="84"/>
  <c r="P122" i="84"/>
  <c r="P123" i="84" s="1"/>
  <c r="P76" i="84"/>
  <c r="P77" i="84"/>
  <c r="P78" i="84"/>
  <c r="P79" i="84"/>
  <c r="P80" i="84"/>
  <c r="P81" i="84"/>
  <c r="P82" i="84"/>
  <c r="P83" i="84"/>
  <c r="P84" i="84"/>
  <c r="P85" i="84"/>
  <c r="P86" i="84"/>
  <c r="P87" i="84"/>
  <c r="P88" i="84"/>
  <c r="P89" i="84"/>
  <c r="P90" i="84"/>
  <c r="P91" i="84"/>
  <c r="P92" i="84"/>
  <c r="P93" i="84"/>
  <c r="P94" i="84"/>
  <c r="P95" i="84"/>
  <c r="P96" i="84"/>
  <c r="P97" i="84"/>
  <c r="P75" i="84"/>
  <c r="M75" i="27"/>
  <c r="I2" i="84"/>
  <c r="I3" i="84"/>
  <c r="I4" i="84"/>
  <c r="I5" i="84"/>
  <c r="I6" i="84"/>
  <c r="I7" i="84"/>
  <c r="I8" i="84"/>
  <c r="I9" i="84"/>
  <c r="I10" i="84"/>
  <c r="I11" i="84"/>
  <c r="I12" i="84"/>
  <c r="I13" i="84"/>
  <c r="I14" i="84"/>
  <c r="I15" i="84"/>
  <c r="I16" i="84"/>
  <c r="I17" i="84"/>
  <c r="I18" i="84"/>
  <c r="I19" i="84"/>
  <c r="I20" i="84"/>
  <c r="I21" i="84"/>
  <c r="I22" i="84"/>
  <c r="I23" i="84"/>
  <c r="I24" i="84"/>
  <c r="I25" i="84"/>
  <c r="I26" i="84"/>
  <c r="I27" i="84"/>
  <c r="I28" i="84"/>
  <c r="I29" i="84"/>
  <c r="I30" i="84"/>
  <c r="I31" i="84"/>
  <c r="I32" i="84"/>
  <c r="I33" i="84"/>
  <c r="I34" i="84"/>
  <c r="I35" i="84"/>
  <c r="I36" i="84"/>
  <c r="I37" i="84"/>
  <c r="I38" i="84"/>
  <c r="I39" i="84"/>
  <c r="I40" i="84"/>
  <c r="I41" i="84"/>
  <c r="I42" i="84"/>
  <c r="I43" i="84"/>
  <c r="I44" i="84"/>
  <c r="I45" i="84"/>
  <c r="I46" i="84"/>
  <c r="I47" i="84"/>
  <c r="I48" i="84"/>
  <c r="I49" i="84"/>
  <c r="I50" i="84"/>
  <c r="I51" i="84"/>
  <c r="I52" i="84"/>
  <c r="I53" i="84"/>
  <c r="I54" i="84"/>
  <c r="I55" i="84"/>
  <c r="I56" i="84"/>
  <c r="I57" i="84"/>
  <c r="I58" i="84"/>
  <c r="I59" i="84"/>
  <c r="I60" i="84"/>
  <c r="I61" i="84"/>
  <c r="I77" i="84"/>
  <c r="I125" i="84" s="1"/>
  <c r="I80" i="84"/>
  <c r="I128" i="84" s="1"/>
  <c r="I96" i="84"/>
  <c r="I144" i="84" s="1"/>
  <c r="I109" i="84"/>
  <c r="I1" i="84"/>
  <c r="D1" i="84"/>
  <c r="J1" i="84"/>
  <c r="K1" i="84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09" i="27"/>
  <c r="N122" i="27"/>
  <c r="N123" i="27"/>
  <c r="N124" i="27"/>
  <c r="N125" i="27"/>
  <c r="N126" i="27"/>
  <c r="N127" i="27"/>
  <c r="N128" i="27"/>
  <c r="N129" i="27"/>
  <c r="N130" i="27"/>
  <c r="N131" i="27"/>
  <c r="N132" i="27"/>
  <c r="N133" i="27"/>
  <c r="N134" i="27"/>
  <c r="N135" i="27"/>
  <c r="N136" i="27"/>
  <c r="N137" i="27"/>
  <c r="N138" i="27"/>
  <c r="N139" i="27"/>
  <c r="N140" i="27"/>
  <c r="N141" i="27"/>
  <c r="N142" i="27"/>
  <c r="N143" i="27"/>
  <c r="N144" i="27"/>
  <c r="N145" i="27"/>
  <c r="N2" i="27"/>
  <c r="N3" i="27"/>
  <c r="N4" i="27"/>
  <c r="N5" i="27"/>
  <c r="N6" i="27"/>
  <c r="N7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N71" i="27"/>
  <c r="N72" i="27"/>
  <c r="N73" i="27"/>
  <c r="N74" i="27"/>
  <c r="N75" i="27"/>
  <c r="N76" i="27"/>
  <c r="N77" i="27"/>
  <c r="M99" i="27"/>
  <c r="M100" i="27"/>
  <c r="M101" i="27"/>
  <c r="M102" i="27"/>
  <c r="M103" i="27"/>
  <c r="M104" i="27"/>
  <c r="M105" i="27"/>
  <c r="M106" i="27"/>
  <c r="M107" i="27"/>
  <c r="M108" i="27"/>
  <c r="M109" i="27"/>
  <c r="M123" i="27"/>
  <c r="M124" i="27" s="1"/>
  <c r="M125" i="27" s="1"/>
  <c r="M126" i="27" s="1"/>
  <c r="M127" i="27" s="1"/>
  <c r="M128" i="27" s="1"/>
  <c r="M129" i="27" s="1"/>
  <c r="M130" i="27" s="1"/>
  <c r="M131" i="27" s="1"/>
  <c r="M132" i="27" s="1"/>
  <c r="M133" i="27" s="1"/>
  <c r="M134" i="27" s="1"/>
  <c r="M135" i="27" s="1"/>
  <c r="M136" i="27" s="1"/>
  <c r="M137" i="27" s="1"/>
  <c r="M138" i="27" s="1"/>
  <c r="M139" i="27" s="1"/>
  <c r="M140" i="27" s="1"/>
  <c r="M141" i="27" s="1"/>
  <c r="M142" i="27" s="1"/>
  <c r="M143" i="27" s="1"/>
  <c r="M144" i="27" s="1"/>
  <c r="M145" i="27" s="1"/>
  <c r="M98" i="27"/>
  <c r="I2" i="27"/>
  <c r="S2" i="27" s="1"/>
  <c r="I3" i="27"/>
  <c r="S3" i="27" s="1"/>
  <c r="I4" i="27"/>
  <c r="S4" i="27" s="1"/>
  <c r="I5" i="27"/>
  <c r="S5" i="27" s="1"/>
  <c r="I6" i="27"/>
  <c r="S6" i="27" s="1"/>
  <c r="I7" i="27"/>
  <c r="S7" i="27" s="1"/>
  <c r="I8" i="27"/>
  <c r="S8" i="27" s="1"/>
  <c r="I9" i="27"/>
  <c r="S9" i="27" s="1"/>
  <c r="I10" i="27"/>
  <c r="S10" i="27" s="1"/>
  <c r="I11" i="27"/>
  <c r="S11" i="27" s="1"/>
  <c r="I12" i="27"/>
  <c r="S12" i="27" s="1"/>
  <c r="I13" i="27"/>
  <c r="S13" i="27" s="1"/>
  <c r="I14" i="27"/>
  <c r="S14" i="27" s="1"/>
  <c r="I15" i="27"/>
  <c r="S15" i="27" s="1"/>
  <c r="I16" i="27"/>
  <c r="S16" i="27" s="1"/>
  <c r="I17" i="27"/>
  <c r="S17" i="27" s="1"/>
  <c r="I18" i="27"/>
  <c r="S18" i="27" s="1"/>
  <c r="I19" i="27"/>
  <c r="S19" i="27" s="1"/>
  <c r="I20" i="27"/>
  <c r="S20" i="27" s="1"/>
  <c r="I21" i="27"/>
  <c r="S21" i="27" s="1"/>
  <c r="I22" i="27"/>
  <c r="S22" i="27" s="1"/>
  <c r="I23" i="27"/>
  <c r="S23" i="27" s="1"/>
  <c r="I24" i="27"/>
  <c r="S24" i="27" s="1"/>
  <c r="I25" i="27"/>
  <c r="S25" i="27" s="1"/>
  <c r="I26" i="27"/>
  <c r="S26" i="27" s="1"/>
  <c r="I27" i="27"/>
  <c r="S27" i="27" s="1"/>
  <c r="I28" i="27"/>
  <c r="S28" i="27" s="1"/>
  <c r="I29" i="27"/>
  <c r="S29" i="27" s="1"/>
  <c r="I30" i="27"/>
  <c r="S30" i="27" s="1"/>
  <c r="I31" i="27"/>
  <c r="S31" i="27" s="1"/>
  <c r="I32" i="27"/>
  <c r="S32" i="27" s="1"/>
  <c r="I33" i="27"/>
  <c r="S33" i="27" s="1"/>
  <c r="I34" i="27"/>
  <c r="S34" i="27" s="1"/>
  <c r="I35" i="27"/>
  <c r="S35" i="27" s="1"/>
  <c r="I36" i="27"/>
  <c r="S36" i="27" s="1"/>
  <c r="I37" i="27"/>
  <c r="S37" i="27" s="1"/>
  <c r="I38" i="27"/>
  <c r="S38" i="27" s="1"/>
  <c r="I39" i="27"/>
  <c r="S39" i="27" s="1"/>
  <c r="I40" i="27"/>
  <c r="S40" i="27" s="1"/>
  <c r="I41" i="27"/>
  <c r="S41" i="27" s="1"/>
  <c r="I42" i="27"/>
  <c r="S42" i="27" s="1"/>
  <c r="I43" i="27"/>
  <c r="S43" i="27" s="1"/>
  <c r="I44" i="27"/>
  <c r="S44" i="27" s="1"/>
  <c r="I45" i="27"/>
  <c r="S45" i="27" s="1"/>
  <c r="I46" i="27"/>
  <c r="S46" i="27" s="1"/>
  <c r="I47" i="27"/>
  <c r="S47" i="27" s="1"/>
  <c r="I48" i="27"/>
  <c r="S48" i="27" s="1"/>
  <c r="I49" i="27"/>
  <c r="S49" i="27" s="1"/>
  <c r="I50" i="27"/>
  <c r="S50" i="27" s="1"/>
  <c r="I51" i="27"/>
  <c r="S51" i="27" s="1"/>
  <c r="I52" i="27"/>
  <c r="S52" i="27" s="1"/>
  <c r="I53" i="27"/>
  <c r="S53" i="27" s="1"/>
  <c r="I54" i="27"/>
  <c r="S54" i="27" s="1"/>
  <c r="I55" i="27"/>
  <c r="S55" i="27" s="1"/>
  <c r="I56" i="27"/>
  <c r="S56" i="27" s="1"/>
  <c r="I57" i="27"/>
  <c r="S57" i="27" s="1"/>
  <c r="I58" i="27"/>
  <c r="S58" i="27" s="1"/>
  <c r="I59" i="27"/>
  <c r="S59" i="27" s="1"/>
  <c r="I60" i="27"/>
  <c r="S60" i="27" s="1"/>
  <c r="I61" i="27"/>
  <c r="S61" i="27" s="1"/>
  <c r="I68" i="27"/>
  <c r="S68" i="27" s="1"/>
  <c r="I75" i="27"/>
  <c r="I76" i="27"/>
  <c r="I83" i="27"/>
  <c r="I84" i="27"/>
  <c r="I91" i="27"/>
  <c r="I92" i="27"/>
  <c r="I107" i="27"/>
  <c r="S107" i="27" s="1"/>
  <c r="I108" i="27"/>
  <c r="S108" i="27" s="1"/>
  <c r="K1" i="27"/>
  <c r="U1" i="27" s="1"/>
  <c r="J1" i="27"/>
  <c r="T1" i="27" s="1"/>
  <c r="I1" i="27"/>
  <c r="S1" i="27" s="1"/>
  <c r="K1" i="41"/>
  <c r="T1" i="41" s="1"/>
  <c r="AA2" i="99"/>
  <c r="CH2" i="99" s="1"/>
  <c r="AB2" i="99"/>
  <c r="AC2" i="99"/>
  <c r="AD2" i="99"/>
  <c r="AE2" i="99"/>
  <c r="CL2" i="99" s="1"/>
  <c r="AF2" i="99"/>
  <c r="AG2" i="99"/>
  <c r="AH2" i="99"/>
  <c r="AI2" i="99"/>
  <c r="AJ2" i="99"/>
  <c r="AK2" i="99"/>
  <c r="AL2" i="99"/>
  <c r="AM2" i="99"/>
  <c r="CT2" i="99" s="1"/>
  <c r="AN2" i="99"/>
  <c r="AO2" i="99"/>
  <c r="AA3" i="99"/>
  <c r="AB3" i="99"/>
  <c r="CI3" i="99" s="1"/>
  <c r="AC3" i="99"/>
  <c r="AD3" i="99"/>
  <c r="AE3" i="99"/>
  <c r="AF3" i="99"/>
  <c r="CM3" i="99" s="1"/>
  <c r="AG3" i="99"/>
  <c r="AH3" i="99"/>
  <c r="AI3" i="99"/>
  <c r="AJ3" i="99"/>
  <c r="CQ3" i="99" s="1"/>
  <c r="AK3" i="99"/>
  <c r="AL3" i="99"/>
  <c r="AM3" i="99"/>
  <c r="AN3" i="99"/>
  <c r="CU3" i="99" s="1"/>
  <c r="AO3" i="99"/>
  <c r="AA4" i="99"/>
  <c r="AB4" i="99"/>
  <c r="AC4" i="99"/>
  <c r="AD4" i="99"/>
  <c r="AE4" i="99"/>
  <c r="AF4" i="99"/>
  <c r="AG4" i="99"/>
  <c r="CN4" i="99" s="1"/>
  <c r="AH4" i="99"/>
  <c r="AI4" i="99"/>
  <c r="AJ4" i="99"/>
  <c r="AK4" i="99"/>
  <c r="CR4" i="99" s="1"/>
  <c r="AL4" i="99"/>
  <c r="AM4" i="99"/>
  <c r="AN4" i="99"/>
  <c r="AO4" i="99"/>
  <c r="AA5" i="99"/>
  <c r="AB5" i="99"/>
  <c r="AC5" i="99"/>
  <c r="AD5" i="99"/>
  <c r="CK5" i="99" s="1"/>
  <c r="AE5" i="99"/>
  <c r="AF5" i="99"/>
  <c r="AG5" i="99"/>
  <c r="AH5" i="99"/>
  <c r="CO5" i="99" s="1"/>
  <c r="AI5" i="99"/>
  <c r="AJ5" i="99"/>
  <c r="AK5" i="99"/>
  <c r="AL5" i="99"/>
  <c r="CS5" i="99" s="1"/>
  <c r="AM5" i="99"/>
  <c r="AN5" i="99"/>
  <c r="AO5" i="99"/>
  <c r="AA6" i="99"/>
  <c r="CH6" i="99" s="1"/>
  <c r="AB6" i="99"/>
  <c r="AC6" i="99"/>
  <c r="AD6" i="99"/>
  <c r="AE6" i="99"/>
  <c r="CL6" i="99" s="1"/>
  <c r="AF6" i="99"/>
  <c r="AG6" i="99"/>
  <c r="AH6" i="99"/>
  <c r="AI6" i="99"/>
  <c r="CP6" i="99" s="1"/>
  <c r="AJ6" i="99"/>
  <c r="AK6" i="99"/>
  <c r="AL6" i="99"/>
  <c r="AM6" i="99"/>
  <c r="AN6" i="99"/>
  <c r="AO6" i="99"/>
  <c r="AA7" i="99"/>
  <c r="AB7" i="99"/>
  <c r="CI7" i="99" s="1"/>
  <c r="AC7" i="99"/>
  <c r="E7" i="41" s="1"/>
  <c r="N7" i="41" s="1"/>
  <c r="AD7" i="99"/>
  <c r="AE7" i="99"/>
  <c r="AF7" i="99"/>
  <c r="CM7" i="99" s="1"/>
  <c r="AG7" i="99"/>
  <c r="AH7" i="99"/>
  <c r="AI7" i="99"/>
  <c r="AJ7" i="99"/>
  <c r="CQ7" i="99" s="1"/>
  <c r="AK7" i="99"/>
  <c r="AL7" i="99"/>
  <c r="AM7" i="99"/>
  <c r="AN7" i="99"/>
  <c r="CU7" i="99" s="1"/>
  <c r="AO7" i="99"/>
  <c r="AA8" i="99"/>
  <c r="AB8" i="99"/>
  <c r="AC8" i="99"/>
  <c r="CJ8" i="99" s="1"/>
  <c r="AD8" i="99"/>
  <c r="AE8" i="99"/>
  <c r="AF8" i="99"/>
  <c r="AG8" i="99"/>
  <c r="AH8" i="99"/>
  <c r="AI8" i="99"/>
  <c r="AJ8" i="99"/>
  <c r="AK8" i="99"/>
  <c r="CR8" i="99" s="1"/>
  <c r="AL8" i="99"/>
  <c r="AM8" i="99"/>
  <c r="AN8" i="99"/>
  <c r="AO8" i="99"/>
  <c r="AA9" i="99"/>
  <c r="AB9" i="99"/>
  <c r="AC9" i="99"/>
  <c r="E9" i="41" s="1"/>
  <c r="N9" i="41" s="1"/>
  <c r="AD9" i="99"/>
  <c r="CK9" i="99" s="1"/>
  <c r="AE9" i="99"/>
  <c r="AF9" i="99"/>
  <c r="AG9" i="99"/>
  <c r="AH9" i="99"/>
  <c r="AI9" i="99"/>
  <c r="AJ9" i="99"/>
  <c r="AK9" i="99"/>
  <c r="AL9" i="99"/>
  <c r="CS9" i="99" s="1"/>
  <c r="AM9" i="99"/>
  <c r="AN9" i="99"/>
  <c r="AO9" i="99"/>
  <c r="AA10" i="99"/>
  <c r="CH10" i="99" s="1"/>
  <c r="AB10" i="99"/>
  <c r="AC10" i="99"/>
  <c r="AD10" i="99"/>
  <c r="AE10" i="99"/>
  <c r="CL10" i="99" s="1"/>
  <c r="AF10" i="99"/>
  <c r="AG10" i="99"/>
  <c r="AH10" i="99"/>
  <c r="AI10" i="99"/>
  <c r="CP10" i="99" s="1"/>
  <c r="AJ10" i="99"/>
  <c r="AK10" i="99"/>
  <c r="AL10" i="99"/>
  <c r="AM10" i="99"/>
  <c r="AN10" i="99"/>
  <c r="AO10" i="99"/>
  <c r="AA11" i="99"/>
  <c r="AB11" i="99"/>
  <c r="CI11" i="99" s="1"/>
  <c r="AC11" i="99"/>
  <c r="AD11" i="99"/>
  <c r="AE11" i="99"/>
  <c r="AF11" i="99"/>
  <c r="CM11" i="99" s="1"/>
  <c r="AG11" i="99"/>
  <c r="AH11" i="99"/>
  <c r="AI11" i="99"/>
  <c r="AJ11" i="99"/>
  <c r="CQ11" i="99" s="1"/>
  <c r="AK11" i="99"/>
  <c r="AL11" i="99"/>
  <c r="AM11" i="99"/>
  <c r="AN11" i="99"/>
  <c r="CU11" i="99" s="1"/>
  <c r="AO11" i="99"/>
  <c r="AA12" i="99"/>
  <c r="AB12" i="99"/>
  <c r="AC12" i="99"/>
  <c r="CJ12" i="99" s="1"/>
  <c r="AD12" i="99"/>
  <c r="AE12" i="99"/>
  <c r="AF12" i="99"/>
  <c r="AG12" i="99"/>
  <c r="CN12" i="99" s="1"/>
  <c r="AH12" i="99"/>
  <c r="AI12" i="99"/>
  <c r="AJ12" i="99"/>
  <c r="AK12" i="99"/>
  <c r="CR12" i="99" s="1"/>
  <c r="AL12" i="99"/>
  <c r="AM12" i="99"/>
  <c r="AN12" i="99"/>
  <c r="AO12" i="99"/>
  <c r="AA13" i="99"/>
  <c r="AB13" i="99"/>
  <c r="AC13" i="99"/>
  <c r="AD13" i="99"/>
  <c r="AE13" i="99"/>
  <c r="AF13" i="99"/>
  <c r="AG13" i="99"/>
  <c r="AH13" i="99"/>
  <c r="AI13" i="99"/>
  <c r="AJ13" i="99"/>
  <c r="AK13" i="99"/>
  <c r="AL13" i="99"/>
  <c r="CS13" i="99" s="1"/>
  <c r="AM13" i="99"/>
  <c r="AN13" i="99"/>
  <c r="AO13" i="99"/>
  <c r="AA14" i="99"/>
  <c r="CH14" i="99" s="1"/>
  <c r="AB14" i="99"/>
  <c r="AC14" i="99"/>
  <c r="E14" i="41" s="1"/>
  <c r="N14" i="41" s="1"/>
  <c r="AD14" i="99"/>
  <c r="AE14" i="99"/>
  <c r="CL14" i="99" s="1"/>
  <c r="AF14" i="99"/>
  <c r="AG14" i="99"/>
  <c r="AH14" i="99"/>
  <c r="AI14" i="99"/>
  <c r="CP14" i="99" s="1"/>
  <c r="AJ14" i="99"/>
  <c r="AK14" i="99"/>
  <c r="AL14" i="99"/>
  <c r="AM14" i="99"/>
  <c r="CT14" i="99" s="1"/>
  <c r="AN14" i="99"/>
  <c r="AO14" i="99"/>
  <c r="AA15" i="99"/>
  <c r="AB15" i="99"/>
  <c r="AC15" i="99"/>
  <c r="AD15" i="99"/>
  <c r="AE15" i="99"/>
  <c r="AF15" i="99"/>
  <c r="CM15" i="99" s="1"/>
  <c r="AG15" i="99"/>
  <c r="AH15" i="99"/>
  <c r="AI15" i="99"/>
  <c r="AJ15" i="99"/>
  <c r="CQ15" i="99" s="1"/>
  <c r="AK15" i="99"/>
  <c r="AL15" i="99"/>
  <c r="AM15" i="99"/>
  <c r="AN15" i="99"/>
  <c r="CU15" i="99" s="1"/>
  <c r="AO15" i="99"/>
  <c r="AA16" i="99"/>
  <c r="AB16" i="99"/>
  <c r="AC16" i="99"/>
  <c r="CJ16" i="99" s="1"/>
  <c r="AD16" i="99"/>
  <c r="AE16" i="99"/>
  <c r="AF16" i="99"/>
  <c r="AG16" i="99"/>
  <c r="CN16" i="99" s="1"/>
  <c r="AH16" i="99"/>
  <c r="AI16" i="99"/>
  <c r="AJ16" i="99"/>
  <c r="AK16" i="99"/>
  <c r="CR16" i="99" s="1"/>
  <c r="AL16" i="99"/>
  <c r="AM16" i="99"/>
  <c r="AN16" i="99"/>
  <c r="AO16" i="99"/>
  <c r="AA17" i="99"/>
  <c r="AB17" i="99"/>
  <c r="AC17" i="99"/>
  <c r="AD17" i="99"/>
  <c r="CK17" i="99" s="1"/>
  <c r="AE17" i="99"/>
  <c r="AF17" i="99"/>
  <c r="AG17" i="99"/>
  <c r="AH17" i="99"/>
  <c r="CO17" i="99" s="1"/>
  <c r="AI17" i="99"/>
  <c r="AJ17" i="99"/>
  <c r="AK17" i="99"/>
  <c r="AL17" i="99"/>
  <c r="CS17" i="99" s="1"/>
  <c r="AM17" i="99"/>
  <c r="AN17" i="99"/>
  <c r="AO17" i="99"/>
  <c r="AA18" i="99"/>
  <c r="CH18" i="99" s="1"/>
  <c r="AB18" i="99"/>
  <c r="AC18" i="99"/>
  <c r="E18" i="41" s="1"/>
  <c r="N18" i="41" s="1"/>
  <c r="AD18" i="99"/>
  <c r="AE18" i="99"/>
  <c r="CL18" i="99" s="1"/>
  <c r="AF18" i="99"/>
  <c r="AG18" i="99"/>
  <c r="AH18" i="99"/>
  <c r="AI18" i="99"/>
  <c r="CP18" i="99" s="1"/>
  <c r="AJ18" i="99"/>
  <c r="AK18" i="99"/>
  <c r="AL18" i="99"/>
  <c r="AM18" i="99"/>
  <c r="CT18" i="99" s="1"/>
  <c r="AN18" i="99"/>
  <c r="AO18" i="99"/>
  <c r="AA19" i="99"/>
  <c r="AB19" i="99"/>
  <c r="AC19" i="99"/>
  <c r="AD19" i="99"/>
  <c r="AE19" i="99"/>
  <c r="AF19" i="99"/>
  <c r="CM19" i="99" s="1"/>
  <c r="AG19" i="99"/>
  <c r="AH19" i="99"/>
  <c r="AI19" i="99"/>
  <c r="AJ19" i="99"/>
  <c r="CQ19" i="99" s="1"/>
  <c r="AK19" i="99"/>
  <c r="AL19" i="99"/>
  <c r="AM19" i="99"/>
  <c r="AN19" i="99"/>
  <c r="CU19" i="99" s="1"/>
  <c r="AO19" i="99"/>
  <c r="AA20" i="99"/>
  <c r="AB20" i="99"/>
  <c r="AC20" i="99"/>
  <c r="CJ20" i="99" s="1"/>
  <c r="AD20" i="99"/>
  <c r="AE20" i="99"/>
  <c r="AF20" i="99"/>
  <c r="AG20" i="99"/>
  <c r="CN20" i="99" s="1"/>
  <c r="AH20" i="99"/>
  <c r="AI20" i="99"/>
  <c r="AJ20" i="99"/>
  <c r="AK20" i="99"/>
  <c r="CR20" i="99" s="1"/>
  <c r="AL20" i="99"/>
  <c r="AM20" i="99"/>
  <c r="AN20" i="99"/>
  <c r="AO20" i="99"/>
  <c r="AA21" i="99"/>
  <c r="AB21" i="99"/>
  <c r="AC21" i="99"/>
  <c r="AD21" i="99"/>
  <c r="CK21" i="99" s="1"/>
  <c r="AE21" i="99"/>
  <c r="AF21" i="99"/>
  <c r="AG21" i="99"/>
  <c r="AH21" i="99"/>
  <c r="O21" i="41" s="1"/>
  <c r="AI21" i="99"/>
  <c r="AJ21" i="99"/>
  <c r="AK21" i="99"/>
  <c r="AL21" i="99"/>
  <c r="CS21" i="99" s="1"/>
  <c r="AM21" i="99"/>
  <c r="AN21" i="99"/>
  <c r="AO21" i="99"/>
  <c r="AA22" i="99"/>
  <c r="CH22" i="99" s="1"/>
  <c r="AB22" i="99"/>
  <c r="AC22" i="99"/>
  <c r="E22" i="41" s="1"/>
  <c r="N22" i="41" s="1"/>
  <c r="AD22" i="99"/>
  <c r="AE22" i="99"/>
  <c r="CL22" i="99" s="1"/>
  <c r="AF22" i="99"/>
  <c r="AG22" i="99"/>
  <c r="AH22" i="99"/>
  <c r="AI22" i="99"/>
  <c r="CP22" i="99" s="1"/>
  <c r="AJ22" i="99"/>
  <c r="AK22" i="99"/>
  <c r="AL22" i="99"/>
  <c r="AM22" i="99"/>
  <c r="CT22" i="99" s="1"/>
  <c r="AN22" i="99"/>
  <c r="AO22" i="99"/>
  <c r="AA23" i="99"/>
  <c r="AB23" i="99"/>
  <c r="CI23" i="99" s="1"/>
  <c r="AC23" i="99"/>
  <c r="AD23" i="99"/>
  <c r="AE23" i="99"/>
  <c r="AF23" i="99"/>
  <c r="CM23" i="99" s="1"/>
  <c r="AG23" i="99"/>
  <c r="AH23" i="99"/>
  <c r="AI23" i="99"/>
  <c r="AJ23" i="99"/>
  <c r="CQ23" i="99" s="1"/>
  <c r="AK23" i="99"/>
  <c r="AL23" i="99"/>
  <c r="AM23" i="99"/>
  <c r="AN23" i="99"/>
  <c r="AO23" i="99"/>
  <c r="AA24" i="99"/>
  <c r="AB24" i="99"/>
  <c r="AC24" i="99"/>
  <c r="CJ24" i="99" s="1"/>
  <c r="AD24" i="99"/>
  <c r="AE24" i="99"/>
  <c r="AF24" i="99"/>
  <c r="AG24" i="99"/>
  <c r="CN24" i="99" s="1"/>
  <c r="AH24" i="99"/>
  <c r="AI24" i="99"/>
  <c r="AJ24" i="99"/>
  <c r="AK24" i="99"/>
  <c r="CR24" i="99" s="1"/>
  <c r="AL24" i="99"/>
  <c r="AM24" i="99"/>
  <c r="AN24" i="99"/>
  <c r="AO24" i="99"/>
  <c r="AA25" i="99"/>
  <c r="AB25" i="99"/>
  <c r="AC25" i="99"/>
  <c r="AD25" i="99"/>
  <c r="CK25" i="99" s="1"/>
  <c r="AE25" i="99"/>
  <c r="AF25" i="99"/>
  <c r="AG25" i="99"/>
  <c r="AH25" i="99"/>
  <c r="O25" i="41" s="1"/>
  <c r="AI25" i="99"/>
  <c r="AJ25" i="99"/>
  <c r="AK25" i="99"/>
  <c r="AL25" i="99"/>
  <c r="AM25" i="99"/>
  <c r="AN25" i="99"/>
  <c r="AO25" i="99"/>
  <c r="AA26" i="99"/>
  <c r="CH26" i="99" s="1"/>
  <c r="AB26" i="99"/>
  <c r="AC26" i="99"/>
  <c r="E26" i="41" s="1"/>
  <c r="N26" i="41" s="1"/>
  <c r="AD26" i="99"/>
  <c r="AE26" i="99"/>
  <c r="CL26" i="99" s="1"/>
  <c r="AF26" i="99"/>
  <c r="AG26" i="99"/>
  <c r="AH26" i="99"/>
  <c r="AI26" i="99"/>
  <c r="CP26" i="99" s="1"/>
  <c r="AJ26" i="99"/>
  <c r="AK26" i="99"/>
  <c r="AL26" i="99"/>
  <c r="AM26" i="99"/>
  <c r="CT26" i="99" s="1"/>
  <c r="AN26" i="99"/>
  <c r="AO26" i="99"/>
  <c r="AA27" i="99"/>
  <c r="AB27" i="99"/>
  <c r="CI27" i="99" s="1"/>
  <c r="AC27" i="99"/>
  <c r="AD27" i="99"/>
  <c r="AE27" i="99"/>
  <c r="AF27" i="99"/>
  <c r="AG27" i="99"/>
  <c r="AH27" i="99"/>
  <c r="AI27" i="99"/>
  <c r="AJ27" i="99"/>
  <c r="CQ27" i="99" s="1"/>
  <c r="AK27" i="99"/>
  <c r="AL27" i="99"/>
  <c r="AM27" i="99"/>
  <c r="AN27" i="99"/>
  <c r="CU27" i="99" s="1"/>
  <c r="AO27" i="99"/>
  <c r="AA28" i="99"/>
  <c r="AB28" i="99"/>
  <c r="AC28" i="99"/>
  <c r="CJ28" i="99" s="1"/>
  <c r="AD28" i="99"/>
  <c r="AE28" i="99"/>
  <c r="AF28" i="99"/>
  <c r="AG28" i="99"/>
  <c r="CN28" i="99" s="1"/>
  <c r="AH28" i="99"/>
  <c r="AI28" i="99"/>
  <c r="AJ28" i="99"/>
  <c r="AK28" i="99"/>
  <c r="CR28" i="99" s="1"/>
  <c r="AL28" i="99"/>
  <c r="AM28" i="99"/>
  <c r="AN28" i="99"/>
  <c r="AO28" i="99"/>
  <c r="AA29" i="99"/>
  <c r="AB29" i="99"/>
  <c r="AC29" i="99"/>
  <c r="AD29" i="99"/>
  <c r="AE29" i="99"/>
  <c r="AF29" i="99"/>
  <c r="AG29" i="99"/>
  <c r="AH29" i="99"/>
  <c r="AI29" i="99"/>
  <c r="AJ29" i="99"/>
  <c r="AK29" i="99"/>
  <c r="AL29" i="99"/>
  <c r="AM29" i="99"/>
  <c r="AN29" i="99"/>
  <c r="AO29" i="99"/>
  <c r="AA30" i="99"/>
  <c r="CH30" i="99" s="1"/>
  <c r="AB30" i="99"/>
  <c r="AC30" i="99"/>
  <c r="E30" i="41" s="1"/>
  <c r="N30" i="41" s="1"/>
  <c r="AD30" i="99"/>
  <c r="AE30" i="99"/>
  <c r="CL30" i="99" s="1"/>
  <c r="AF30" i="99"/>
  <c r="AG30" i="99"/>
  <c r="AH30" i="99"/>
  <c r="AI30" i="99"/>
  <c r="CP30" i="99" s="1"/>
  <c r="AJ30" i="99"/>
  <c r="AK30" i="99"/>
  <c r="AL30" i="99"/>
  <c r="AM30" i="99"/>
  <c r="CT30" i="99" s="1"/>
  <c r="AN30" i="99"/>
  <c r="AO30" i="99"/>
  <c r="AA31" i="99"/>
  <c r="AB31" i="99"/>
  <c r="CI31" i="99" s="1"/>
  <c r="AC31" i="99"/>
  <c r="AD31" i="99"/>
  <c r="AE31" i="99"/>
  <c r="AF31" i="99"/>
  <c r="CM31" i="99" s="1"/>
  <c r="AG31" i="99"/>
  <c r="AH31" i="99"/>
  <c r="AI31" i="99"/>
  <c r="AJ31" i="99"/>
  <c r="CQ31" i="99" s="1"/>
  <c r="AK31" i="99"/>
  <c r="AL31" i="99"/>
  <c r="AM31" i="99"/>
  <c r="AN31" i="99"/>
  <c r="CU31" i="99" s="1"/>
  <c r="AO31" i="99"/>
  <c r="AA32" i="99"/>
  <c r="AB32" i="99"/>
  <c r="AC32" i="99"/>
  <c r="CJ32" i="99" s="1"/>
  <c r="AD32" i="99"/>
  <c r="AE32" i="99"/>
  <c r="AF32" i="99"/>
  <c r="AG32" i="99"/>
  <c r="CN32" i="99" s="1"/>
  <c r="AH32" i="99"/>
  <c r="AI32" i="99"/>
  <c r="AJ32" i="99"/>
  <c r="AK32" i="99"/>
  <c r="CR32" i="99" s="1"/>
  <c r="AL32" i="99"/>
  <c r="AM32" i="99"/>
  <c r="AN32" i="99"/>
  <c r="AO32" i="99"/>
  <c r="AA33" i="99"/>
  <c r="AB33" i="99"/>
  <c r="AC33" i="99"/>
  <c r="AD33" i="99"/>
  <c r="AE33" i="99"/>
  <c r="AF33" i="99"/>
  <c r="AG33" i="99"/>
  <c r="AH33" i="99"/>
  <c r="O33" i="41" s="1"/>
  <c r="AI33" i="99"/>
  <c r="AJ33" i="99"/>
  <c r="AK33" i="99"/>
  <c r="AL33" i="99"/>
  <c r="CS33" i="99" s="1"/>
  <c r="AM33" i="99"/>
  <c r="AN33" i="99"/>
  <c r="AO33" i="99"/>
  <c r="AA34" i="99"/>
  <c r="CH34" i="99" s="1"/>
  <c r="AB34" i="99"/>
  <c r="AC34" i="99"/>
  <c r="E34" i="41" s="1"/>
  <c r="N34" i="41" s="1"/>
  <c r="AD34" i="99"/>
  <c r="AE34" i="99"/>
  <c r="CL34" i="99" s="1"/>
  <c r="AF34" i="99"/>
  <c r="AG34" i="99"/>
  <c r="AH34" i="99"/>
  <c r="AI34" i="99"/>
  <c r="CP34" i="99" s="1"/>
  <c r="AJ34" i="99"/>
  <c r="AK34" i="99"/>
  <c r="AL34" i="99"/>
  <c r="AM34" i="99"/>
  <c r="CT34" i="99" s="1"/>
  <c r="AN34" i="99"/>
  <c r="AO34" i="99"/>
  <c r="AA35" i="99"/>
  <c r="AB35" i="99"/>
  <c r="CI35" i="99" s="1"/>
  <c r="AC35" i="99"/>
  <c r="AD35" i="99"/>
  <c r="AE35" i="99"/>
  <c r="AF35" i="99"/>
  <c r="CM35" i="99" s="1"/>
  <c r="AG35" i="99"/>
  <c r="AH35" i="99"/>
  <c r="AI35" i="99"/>
  <c r="AJ35" i="99"/>
  <c r="CQ35" i="99" s="1"/>
  <c r="AK35" i="99"/>
  <c r="AL35" i="99"/>
  <c r="AM35" i="99"/>
  <c r="AN35" i="99"/>
  <c r="AO35" i="99"/>
  <c r="AA36" i="99"/>
  <c r="AB36" i="99"/>
  <c r="AC36" i="99"/>
  <c r="CJ36" i="99" s="1"/>
  <c r="AD36" i="99"/>
  <c r="AE36" i="99"/>
  <c r="AF36" i="99"/>
  <c r="AG36" i="99"/>
  <c r="CN36" i="99" s="1"/>
  <c r="AH36" i="99"/>
  <c r="AI36" i="99"/>
  <c r="AJ36" i="99"/>
  <c r="AK36" i="99"/>
  <c r="CR36" i="99" s="1"/>
  <c r="AL36" i="99"/>
  <c r="AM36" i="99"/>
  <c r="AN36" i="99"/>
  <c r="AO36" i="99"/>
  <c r="AA37" i="99"/>
  <c r="AB37" i="99"/>
  <c r="AC37" i="99"/>
  <c r="AD37" i="99"/>
  <c r="CK37" i="99" s="1"/>
  <c r="AE37" i="99"/>
  <c r="AF37" i="99"/>
  <c r="AG37" i="99"/>
  <c r="AH37" i="99"/>
  <c r="O37" i="41" s="1"/>
  <c r="AI37" i="99"/>
  <c r="AJ37" i="99"/>
  <c r="AK37" i="99"/>
  <c r="AL37" i="99"/>
  <c r="CS37" i="99" s="1"/>
  <c r="AM37" i="99"/>
  <c r="AN37" i="99"/>
  <c r="AO37" i="99"/>
  <c r="AA38" i="99"/>
  <c r="CH38" i="99" s="1"/>
  <c r="AB38" i="99"/>
  <c r="AC38" i="99"/>
  <c r="E38" i="41" s="1"/>
  <c r="N38" i="41" s="1"/>
  <c r="AD38" i="99"/>
  <c r="AE38" i="99"/>
  <c r="CL38" i="99" s="1"/>
  <c r="AF38" i="99"/>
  <c r="AG38" i="99"/>
  <c r="AH38" i="99"/>
  <c r="AI38" i="99"/>
  <c r="CP38" i="99" s="1"/>
  <c r="AJ38" i="99"/>
  <c r="AK38" i="99"/>
  <c r="AL38" i="99"/>
  <c r="AM38" i="99"/>
  <c r="CT38" i="99" s="1"/>
  <c r="AN38" i="99"/>
  <c r="AO38" i="99"/>
  <c r="AA39" i="99"/>
  <c r="AB39" i="99"/>
  <c r="CI39" i="99" s="1"/>
  <c r="AC39" i="99"/>
  <c r="AD39" i="99"/>
  <c r="AE39" i="99"/>
  <c r="AF39" i="99"/>
  <c r="CM39" i="99" s="1"/>
  <c r="AG39" i="99"/>
  <c r="AH39" i="99"/>
  <c r="AI39" i="99"/>
  <c r="AJ39" i="99"/>
  <c r="AK39" i="99"/>
  <c r="AL39" i="99"/>
  <c r="AM39" i="99"/>
  <c r="AN39" i="99"/>
  <c r="CU39" i="99" s="1"/>
  <c r="AO39" i="99"/>
  <c r="AA40" i="99"/>
  <c r="AB40" i="99"/>
  <c r="AC40" i="99"/>
  <c r="CJ40" i="99" s="1"/>
  <c r="AD40" i="99"/>
  <c r="AE40" i="99"/>
  <c r="AF40" i="99"/>
  <c r="AG40" i="99"/>
  <c r="CN40" i="99" s="1"/>
  <c r="AH40" i="99"/>
  <c r="AI40" i="99"/>
  <c r="AJ40" i="99"/>
  <c r="AK40" i="99"/>
  <c r="CR40" i="99" s="1"/>
  <c r="AL40" i="99"/>
  <c r="AM40" i="99"/>
  <c r="AN40" i="99"/>
  <c r="AO40" i="99"/>
  <c r="AA41" i="99"/>
  <c r="AB41" i="99"/>
  <c r="AC41" i="99"/>
  <c r="AD41" i="99"/>
  <c r="CK41" i="99" s="1"/>
  <c r="AE41" i="99"/>
  <c r="AF41" i="99"/>
  <c r="AG41" i="99"/>
  <c r="AH41" i="99"/>
  <c r="AI41" i="99"/>
  <c r="AJ41" i="99"/>
  <c r="AK41" i="99"/>
  <c r="AL41" i="99"/>
  <c r="CS41" i="99" s="1"/>
  <c r="AM41" i="99"/>
  <c r="AN41" i="99"/>
  <c r="AO41" i="99"/>
  <c r="AA42" i="99"/>
  <c r="AB42" i="99"/>
  <c r="AC42" i="99"/>
  <c r="E42" i="41" s="1"/>
  <c r="N42" i="41" s="1"/>
  <c r="AD42" i="99"/>
  <c r="AE42" i="99"/>
  <c r="CL42" i="99" s="1"/>
  <c r="AF42" i="99"/>
  <c r="AG42" i="99"/>
  <c r="AH42" i="99"/>
  <c r="AI42" i="99"/>
  <c r="CP42" i="99" s="1"/>
  <c r="AJ42" i="99"/>
  <c r="AK42" i="99"/>
  <c r="AL42" i="99"/>
  <c r="AM42" i="99"/>
  <c r="CT42" i="99" s="1"/>
  <c r="AN42" i="99"/>
  <c r="AO42" i="99"/>
  <c r="AA43" i="99"/>
  <c r="AB43" i="99"/>
  <c r="CI43" i="99" s="1"/>
  <c r="AC43" i="99"/>
  <c r="AD43" i="99"/>
  <c r="AE43" i="99"/>
  <c r="AF43" i="99"/>
  <c r="CM43" i="99" s="1"/>
  <c r="AG43" i="99"/>
  <c r="AH43" i="99"/>
  <c r="AI43" i="99"/>
  <c r="AJ43" i="99"/>
  <c r="CQ43" i="99" s="1"/>
  <c r="AK43" i="99"/>
  <c r="AL43" i="99"/>
  <c r="AM43" i="99"/>
  <c r="AN43" i="99"/>
  <c r="CU43" i="99" s="1"/>
  <c r="AO43" i="99"/>
  <c r="AA44" i="99"/>
  <c r="AB44" i="99"/>
  <c r="AC44" i="99"/>
  <c r="CJ44" i="99" s="1"/>
  <c r="AD44" i="99"/>
  <c r="AE44" i="99"/>
  <c r="AF44" i="99"/>
  <c r="AG44" i="99"/>
  <c r="CN44" i="99" s="1"/>
  <c r="AH44" i="99"/>
  <c r="AI44" i="99"/>
  <c r="AJ44" i="99"/>
  <c r="AK44" i="99"/>
  <c r="AL44" i="99"/>
  <c r="AM44" i="99"/>
  <c r="AN44" i="99"/>
  <c r="AO44" i="99"/>
  <c r="AA45" i="99"/>
  <c r="AB45" i="99"/>
  <c r="AC45" i="99"/>
  <c r="AD45" i="99"/>
  <c r="CK45" i="99" s="1"/>
  <c r="AE45" i="99"/>
  <c r="AF45" i="99"/>
  <c r="AG45" i="99"/>
  <c r="AH45" i="99"/>
  <c r="CO45" i="99" s="1"/>
  <c r="AI45" i="99"/>
  <c r="AJ45" i="99"/>
  <c r="AK45" i="99"/>
  <c r="AL45" i="99"/>
  <c r="CS45" i="99" s="1"/>
  <c r="AM45" i="99"/>
  <c r="AN45" i="99"/>
  <c r="AO45" i="99"/>
  <c r="AA46" i="99"/>
  <c r="CH46" i="99" s="1"/>
  <c r="AB46" i="99"/>
  <c r="AC46" i="99"/>
  <c r="E46" i="41" s="1"/>
  <c r="N46" i="41" s="1"/>
  <c r="AD46" i="99"/>
  <c r="AE46" i="99"/>
  <c r="CL46" i="99" s="1"/>
  <c r="AF46" i="99"/>
  <c r="AG46" i="99"/>
  <c r="AH46" i="99"/>
  <c r="AI46" i="99"/>
  <c r="CP46" i="99" s="1"/>
  <c r="AJ46" i="99"/>
  <c r="AK46" i="99"/>
  <c r="AL46" i="99"/>
  <c r="AM46" i="99"/>
  <c r="CT46" i="99" s="1"/>
  <c r="AN46" i="99"/>
  <c r="AO46" i="99"/>
  <c r="AA47" i="99"/>
  <c r="AB47" i="99"/>
  <c r="CI47" i="99" s="1"/>
  <c r="AC47" i="99"/>
  <c r="AD47" i="99"/>
  <c r="AE47" i="99"/>
  <c r="AF47" i="99"/>
  <c r="AG47" i="99"/>
  <c r="AH47" i="99"/>
  <c r="AI47" i="99"/>
  <c r="AJ47" i="99"/>
  <c r="CQ47" i="99" s="1"/>
  <c r="AK47" i="99"/>
  <c r="AL47" i="99"/>
  <c r="AM47" i="99"/>
  <c r="AN47" i="99"/>
  <c r="CU47" i="99" s="1"/>
  <c r="AO47" i="99"/>
  <c r="AA48" i="99"/>
  <c r="AB48" i="99"/>
  <c r="AC48" i="99"/>
  <c r="CJ48" i="99" s="1"/>
  <c r="AD48" i="99"/>
  <c r="AE48" i="99"/>
  <c r="AF48" i="99"/>
  <c r="AG48" i="99"/>
  <c r="CN48" i="99" s="1"/>
  <c r="AH48" i="99"/>
  <c r="AI48" i="99"/>
  <c r="AJ48" i="99"/>
  <c r="AK48" i="99"/>
  <c r="CR48" i="99" s="1"/>
  <c r="AL48" i="99"/>
  <c r="AM48" i="99"/>
  <c r="AN48" i="99"/>
  <c r="AO48" i="99"/>
  <c r="AA49" i="99"/>
  <c r="AB49" i="99"/>
  <c r="AC49" i="99"/>
  <c r="AD49" i="99"/>
  <c r="CK49" i="99" s="1"/>
  <c r="AE49" i="99"/>
  <c r="AF49" i="99"/>
  <c r="AG49" i="99"/>
  <c r="AH49" i="99"/>
  <c r="O49" i="41" s="1"/>
  <c r="AI49" i="99"/>
  <c r="AJ49" i="99"/>
  <c r="AK49" i="99"/>
  <c r="AL49" i="99"/>
  <c r="CS49" i="99" s="1"/>
  <c r="AM49" i="99"/>
  <c r="AN49" i="99"/>
  <c r="AO49" i="99"/>
  <c r="AA50" i="99"/>
  <c r="AB50" i="99"/>
  <c r="AC50" i="99"/>
  <c r="E50" i="41" s="1"/>
  <c r="N50" i="41" s="1"/>
  <c r="AD50" i="99"/>
  <c r="AE50" i="99"/>
  <c r="CL50" i="99" s="1"/>
  <c r="AF50" i="99"/>
  <c r="AG50" i="99"/>
  <c r="AH50" i="99"/>
  <c r="AI50" i="99"/>
  <c r="CP50" i="99" s="1"/>
  <c r="AJ50" i="99"/>
  <c r="AK50" i="99"/>
  <c r="AL50" i="99"/>
  <c r="AM50" i="99"/>
  <c r="CT50" i="99" s="1"/>
  <c r="AN50" i="99"/>
  <c r="AO50" i="99"/>
  <c r="AA51" i="99"/>
  <c r="AB51" i="99"/>
  <c r="CI51" i="99" s="1"/>
  <c r="AC51" i="99"/>
  <c r="AD51" i="99"/>
  <c r="AE51" i="99"/>
  <c r="AF51" i="99"/>
  <c r="CM51" i="99" s="1"/>
  <c r="AG51" i="99"/>
  <c r="AH51" i="99"/>
  <c r="AI51" i="99"/>
  <c r="AJ51" i="99"/>
  <c r="CQ51" i="99" s="1"/>
  <c r="AK51" i="99"/>
  <c r="AL51" i="99"/>
  <c r="AM51" i="99"/>
  <c r="AN51" i="99"/>
  <c r="CU51" i="99" s="1"/>
  <c r="AO51" i="99"/>
  <c r="AA52" i="99"/>
  <c r="AB52" i="99"/>
  <c r="AC52" i="99"/>
  <c r="AD52" i="99"/>
  <c r="AE52" i="99"/>
  <c r="AF52" i="99"/>
  <c r="AG52" i="99"/>
  <c r="AH52" i="99"/>
  <c r="AI52" i="99"/>
  <c r="AJ52" i="99"/>
  <c r="AK52" i="99"/>
  <c r="AL52" i="99"/>
  <c r="AM52" i="99"/>
  <c r="AN52" i="99"/>
  <c r="AO52" i="99"/>
  <c r="AA53" i="99"/>
  <c r="AB53" i="99"/>
  <c r="AC53" i="99"/>
  <c r="AD53" i="99"/>
  <c r="CK53" i="99" s="1"/>
  <c r="AE53" i="99"/>
  <c r="AF53" i="99"/>
  <c r="AG53" i="99"/>
  <c r="AH53" i="99"/>
  <c r="AI53" i="99"/>
  <c r="AJ53" i="99"/>
  <c r="AK53" i="99"/>
  <c r="AL53" i="99"/>
  <c r="CS53" i="99" s="1"/>
  <c r="AM53" i="99"/>
  <c r="AN53" i="99"/>
  <c r="AO53" i="99"/>
  <c r="AA54" i="99"/>
  <c r="CH54" i="99" s="1"/>
  <c r="AB54" i="99"/>
  <c r="AC54" i="99"/>
  <c r="E54" i="41" s="1"/>
  <c r="N54" i="41" s="1"/>
  <c r="AD54" i="99"/>
  <c r="AE54" i="99"/>
  <c r="CL54" i="99" s="1"/>
  <c r="AF54" i="99"/>
  <c r="AG54" i="99"/>
  <c r="AH54" i="99"/>
  <c r="AI54" i="99"/>
  <c r="CP54" i="99" s="1"/>
  <c r="AJ54" i="99"/>
  <c r="AK54" i="99"/>
  <c r="AL54" i="99"/>
  <c r="AM54" i="99"/>
  <c r="AN54" i="99"/>
  <c r="AO54" i="99"/>
  <c r="AA55" i="99"/>
  <c r="AB55" i="99"/>
  <c r="CI55" i="99" s="1"/>
  <c r="AC55" i="99"/>
  <c r="AD55" i="99"/>
  <c r="AE55" i="99"/>
  <c r="AF55" i="99"/>
  <c r="CM55" i="99" s="1"/>
  <c r="AG55" i="99"/>
  <c r="AH55" i="99"/>
  <c r="AI55" i="99"/>
  <c r="AJ55" i="99"/>
  <c r="CQ55" i="99" s="1"/>
  <c r="AK55" i="99"/>
  <c r="AL55" i="99"/>
  <c r="AM55" i="99"/>
  <c r="AN55" i="99"/>
  <c r="CU55" i="99" s="1"/>
  <c r="AO55" i="99"/>
  <c r="AA56" i="99"/>
  <c r="AB56" i="99"/>
  <c r="AC56" i="99"/>
  <c r="CJ56" i="99" s="1"/>
  <c r="AD56" i="99"/>
  <c r="AE56" i="99"/>
  <c r="AF56" i="99"/>
  <c r="AG56" i="99"/>
  <c r="CN56" i="99" s="1"/>
  <c r="AH56" i="99"/>
  <c r="AI56" i="99"/>
  <c r="AJ56" i="99"/>
  <c r="AK56" i="99"/>
  <c r="AL56" i="99"/>
  <c r="AM56" i="99"/>
  <c r="AN56" i="99"/>
  <c r="AO56" i="99"/>
  <c r="AA57" i="99"/>
  <c r="AB57" i="99"/>
  <c r="AC57" i="99"/>
  <c r="AD57" i="99"/>
  <c r="CK57" i="99" s="1"/>
  <c r="AE57" i="99"/>
  <c r="AF57" i="99"/>
  <c r="AG57" i="99"/>
  <c r="AH57" i="99"/>
  <c r="CO57" i="99" s="1"/>
  <c r="AI57" i="99"/>
  <c r="AJ57" i="99"/>
  <c r="AK57" i="99"/>
  <c r="AL57" i="99"/>
  <c r="CS57" i="99" s="1"/>
  <c r="AM57" i="99"/>
  <c r="AN57" i="99"/>
  <c r="AO57" i="99"/>
  <c r="AA58" i="99"/>
  <c r="CH58" i="99" s="1"/>
  <c r="AB58" i="99"/>
  <c r="AC58" i="99"/>
  <c r="E58" i="41" s="1"/>
  <c r="N58" i="41" s="1"/>
  <c r="AD58" i="99"/>
  <c r="AE58" i="99"/>
  <c r="CL58" i="99" s="1"/>
  <c r="AF58" i="99"/>
  <c r="AG58" i="99"/>
  <c r="AH58" i="99"/>
  <c r="AI58" i="99"/>
  <c r="CP58" i="99" s="1"/>
  <c r="AJ58" i="99"/>
  <c r="AK58" i="99"/>
  <c r="AL58" i="99"/>
  <c r="AM58" i="99"/>
  <c r="CT58" i="99" s="1"/>
  <c r="AN58" i="99"/>
  <c r="AO58" i="99"/>
  <c r="AA59" i="99"/>
  <c r="AB59" i="99"/>
  <c r="AC59" i="99"/>
  <c r="AD59" i="99"/>
  <c r="AE59" i="99"/>
  <c r="AF59" i="99"/>
  <c r="CM59" i="99" s="1"/>
  <c r="AG59" i="99"/>
  <c r="AH59" i="99"/>
  <c r="AI59" i="99"/>
  <c r="AJ59" i="99"/>
  <c r="CQ59" i="99" s="1"/>
  <c r="AK59" i="99"/>
  <c r="AL59" i="99"/>
  <c r="AM59" i="99"/>
  <c r="AN59" i="99"/>
  <c r="CU59" i="99" s="1"/>
  <c r="AO59" i="99"/>
  <c r="AA60" i="99"/>
  <c r="AB60" i="99"/>
  <c r="AC60" i="99"/>
  <c r="CJ60" i="99" s="1"/>
  <c r="AD60" i="99"/>
  <c r="AE60" i="99"/>
  <c r="AF60" i="99"/>
  <c r="AG60" i="99"/>
  <c r="CN60" i="99" s="1"/>
  <c r="AH60" i="99"/>
  <c r="AI60" i="99"/>
  <c r="AJ60" i="99"/>
  <c r="AK60" i="99"/>
  <c r="CR60" i="99" s="1"/>
  <c r="AL60" i="99"/>
  <c r="AM60" i="99"/>
  <c r="AN60" i="99"/>
  <c r="AO60" i="99"/>
  <c r="AA61" i="99"/>
  <c r="AB61" i="99"/>
  <c r="AC61" i="99"/>
  <c r="AD61" i="99"/>
  <c r="CK61" i="99" s="1"/>
  <c r="AE61" i="99"/>
  <c r="AF61" i="99"/>
  <c r="AG61" i="99"/>
  <c r="AH61" i="99"/>
  <c r="O61" i="41" s="1"/>
  <c r="AI61" i="99"/>
  <c r="AJ61" i="99"/>
  <c r="AK61" i="99"/>
  <c r="AL61" i="99"/>
  <c r="CS61" i="99" s="1"/>
  <c r="AM61" i="99"/>
  <c r="AN61" i="99"/>
  <c r="AO61" i="99"/>
  <c r="AA62" i="99"/>
  <c r="CH62" i="99" s="1"/>
  <c r="AB62" i="99"/>
  <c r="AC62" i="99"/>
  <c r="E62" i="41" s="1"/>
  <c r="N62" i="41" s="1"/>
  <c r="AD62" i="99"/>
  <c r="AE62" i="99"/>
  <c r="AF62" i="99"/>
  <c r="AG62" i="99"/>
  <c r="AH62" i="99"/>
  <c r="AI62" i="99"/>
  <c r="CP62" i="99" s="1"/>
  <c r="AJ62" i="99"/>
  <c r="AK62" i="99"/>
  <c r="AL62" i="99"/>
  <c r="AM62" i="99"/>
  <c r="CT62" i="99" s="1"/>
  <c r="AN62" i="99"/>
  <c r="AO62" i="99"/>
  <c r="AA63" i="99"/>
  <c r="AB63" i="99"/>
  <c r="CI63" i="99" s="1"/>
  <c r="AC63" i="99"/>
  <c r="AD63" i="99"/>
  <c r="AE63" i="99"/>
  <c r="AF63" i="99"/>
  <c r="CM63" i="99" s="1"/>
  <c r="AG63" i="99"/>
  <c r="AH63" i="99"/>
  <c r="AI63" i="99"/>
  <c r="AJ63" i="99"/>
  <c r="CQ63" i="99" s="1"/>
  <c r="AK63" i="99"/>
  <c r="AL63" i="99"/>
  <c r="AM63" i="99"/>
  <c r="AN63" i="99"/>
  <c r="CU63" i="99" s="1"/>
  <c r="AO63" i="99"/>
  <c r="AA64" i="99"/>
  <c r="AB64" i="99"/>
  <c r="AC64" i="99"/>
  <c r="CJ64" i="99" s="1"/>
  <c r="AD64" i="99"/>
  <c r="AE64" i="99"/>
  <c r="AF64" i="99"/>
  <c r="AG64" i="99"/>
  <c r="AH64" i="99"/>
  <c r="AI64" i="99"/>
  <c r="AJ64" i="99"/>
  <c r="AK64" i="99"/>
  <c r="CR64" i="99" s="1"/>
  <c r="AL64" i="99"/>
  <c r="AM64" i="99"/>
  <c r="AN64" i="99"/>
  <c r="AO64" i="99"/>
  <c r="AA65" i="99"/>
  <c r="AB65" i="99"/>
  <c r="AC65" i="99"/>
  <c r="AD65" i="99"/>
  <c r="AE65" i="99"/>
  <c r="AF65" i="99"/>
  <c r="AG65" i="99"/>
  <c r="AH65" i="99"/>
  <c r="CO65" i="99" s="1"/>
  <c r="AI65" i="99"/>
  <c r="AJ65" i="99"/>
  <c r="AK65" i="99"/>
  <c r="AL65" i="99"/>
  <c r="CS65" i="99" s="1"/>
  <c r="AM65" i="99"/>
  <c r="AN65" i="99"/>
  <c r="AO65" i="99"/>
  <c r="AA66" i="99"/>
  <c r="CH66" i="99" s="1"/>
  <c r="AB66" i="99"/>
  <c r="AC66" i="99"/>
  <c r="E66" i="41" s="1"/>
  <c r="N66" i="41" s="1"/>
  <c r="AD66" i="99"/>
  <c r="AE66" i="99"/>
  <c r="CL66" i="99" s="1"/>
  <c r="AF66" i="99"/>
  <c r="AG66" i="99"/>
  <c r="AH66" i="99"/>
  <c r="AI66" i="99"/>
  <c r="CP66" i="99" s="1"/>
  <c r="AJ66" i="99"/>
  <c r="AK66" i="99"/>
  <c r="AL66" i="99"/>
  <c r="AM66" i="99"/>
  <c r="CT66" i="99" s="1"/>
  <c r="AN66" i="99"/>
  <c r="AO66" i="99"/>
  <c r="AA67" i="99"/>
  <c r="AB67" i="99"/>
  <c r="CI67" i="99" s="1"/>
  <c r="AC67" i="99"/>
  <c r="AD67" i="99"/>
  <c r="AE67" i="99"/>
  <c r="AF67" i="99"/>
  <c r="AG67" i="99"/>
  <c r="AH67" i="99"/>
  <c r="AI67" i="99"/>
  <c r="AJ67" i="99"/>
  <c r="CQ67" i="99" s="1"/>
  <c r="AK67" i="99"/>
  <c r="AL67" i="99"/>
  <c r="AM67" i="99"/>
  <c r="AN67" i="99"/>
  <c r="CU67" i="99" s="1"/>
  <c r="AO67" i="99"/>
  <c r="AA68" i="99"/>
  <c r="AB68" i="99"/>
  <c r="AC68" i="99"/>
  <c r="CJ68" i="99" s="1"/>
  <c r="AD68" i="99"/>
  <c r="AE68" i="99"/>
  <c r="AF68" i="99"/>
  <c r="AG68" i="99"/>
  <c r="CN68" i="99" s="1"/>
  <c r="AH68" i="99"/>
  <c r="AI68" i="99"/>
  <c r="AJ68" i="99"/>
  <c r="AK68" i="99"/>
  <c r="CR68" i="99" s="1"/>
  <c r="AL68" i="99"/>
  <c r="AM68" i="99"/>
  <c r="AN68" i="99"/>
  <c r="AO68" i="99"/>
  <c r="AA69" i="99"/>
  <c r="AB69" i="99"/>
  <c r="AC69" i="99"/>
  <c r="AD69" i="99"/>
  <c r="CK69" i="99" s="1"/>
  <c r="AE69" i="99"/>
  <c r="AF69" i="99"/>
  <c r="AG69" i="99"/>
  <c r="AH69" i="99"/>
  <c r="CO69" i="99" s="1"/>
  <c r="AI69" i="99"/>
  <c r="AJ69" i="99"/>
  <c r="AK69" i="99"/>
  <c r="AL69" i="99"/>
  <c r="CS69" i="99" s="1"/>
  <c r="AM69" i="99"/>
  <c r="AN69" i="99"/>
  <c r="AO69" i="99"/>
  <c r="AA70" i="99"/>
  <c r="CH70" i="99" s="1"/>
  <c r="AB70" i="99"/>
  <c r="AC70" i="99"/>
  <c r="E70" i="41" s="1"/>
  <c r="N70" i="41" s="1"/>
  <c r="AD70" i="99"/>
  <c r="AE70" i="99"/>
  <c r="CL70" i="99" s="1"/>
  <c r="AF70" i="99"/>
  <c r="AG70" i="99"/>
  <c r="AH70" i="99"/>
  <c r="AI70" i="99"/>
  <c r="CP70" i="99" s="1"/>
  <c r="AJ70" i="99"/>
  <c r="AK70" i="99"/>
  <c r="AL70" i="99"/>
  <c r="AM70" i="99"/>
  <c r="CT70" i="99" s="1"/>
  <c r="AN70" i="99"/>
  <c r="AO70" i="99"/>
  <c r="AA71" i="99"/>
  <c r="AB71" i="99"/>
  <c r="CI71" i="99" s="1"/>
  <c r="AC71" i="99"/>
  <c r="AD71" i="99"/>
  <c r="AE71" i="99"/>
  <c r="AF71" i="99"/>
  <c r="CM71" i="99" s="1"/>
  <c r="AG71" i="99"/>
  <c r="AH71" i="99"/>
  <c r="AI71" i="99"/>
  <c r="AJ71" i="99"/>
  <c r="CQ71" i="99" s="1"/>
  <c r="AK71" i="99"/>
  <c r="AL71" i="99"/>
  <c r="AM71" i="99"/>
  <c r="AN71" i="99"/>
  <c r="CU71" i="99" s="1"/>
  <c r="AO71" i="99"/>
  <c r="AA72" i="99"/>
  <c r="AB72" i="99"/>
  <c r="AC72" i="99"/>
  <c r="AD72" i="99"/>
  <c r="AE72" i="99"/>
  <c r="AF72" i="99"/>
  <c r="AG72" i="99"/>
  <c r="CN72" i="99" s="1"/>
  <c r="AH72" i="99"/>
  <c r="AI72" i="99"/>
  <c r="AJ72" i="99"/>
  <c r="AK72" i="99"/>
  <c r="CR72" i="99" s="1"/>
  <c r="AL72" i="99"/>
  <c r="AM72" i="99"/>
  <c r="AN72" i="99"/>
  <c r="AO72" i="99"/>
  <c r="AA73" i="99"/>
  <c r="AB73" i="99"/>
  <c r="AC73" i="99"/>
  <c r="AD73" i="99"/>
  <c r="CK73" i="99" s="1"/>
  <c r="AE73" i="99"/>
  <c r="AF73" i="99"/>
  <c r="AG73" i="99"/>
  <c r="AH73" i="99"/>
  <c r="AI73" i="99"/>
  <c r="AJ73" i="99"/>
  <c r="AK73" i="99"/>
  <c r="AL73" i="99"/>
  <c r="CS73" i="99" s="1"/>
  <c r="AM73" i="99"/>
  <c r="AN73" i="99"/>
  <c r="AO73" i="99"/>
  <c r="AA74" i="99"/>
  <c r="CH74" i="99" s="1"/>
  <c r="AB74" i="99"/>
  <c r="AC74" i="99"/>
  <c r="E74" i="41" s="1"/>
  <c r="N74" i="41" s="1"/>
  <c r="AD74" i="99"/>
  <c r="AE74" i="99"/>
  <c r="CL74" i="99" s="1"/>
  <c r="AF74" i="99"/>
  <c r="AG74" i="99"/>
  <c r="AH74" i="99"/>
  <c r="AI74" i="99"/>
  <c r="CP74" i="99" s="1"/>
  <c r="AJ74" i="99"/>
  <c r="AK74" i="99"/>
  <c r="AL74" i="99"/>
  <c r="AM74" i="99"/>
  <c r="CT74" i="99" s="1"/>
  <c r="AN74" i="99"/>
  <c r="AO74" i="99"/>
  <c r="AA75" i="99"/>
  <c r="AB75" i="99"/>
  <c r="CI75" i="99" s="1"/>
  <c r="AC75" i="99"/>
  <c r="AD75" i="99"/>
  <c r="AE75" i="99"/>
  <c r="AF75" i="99"/>
  <c r="CM75" i="99" s="1"/>
  <c r="AG75" i="99"/>
  <c r="AH75" i="99"/>
  <c r="AI75" i="99"/>
  <c r="AJ75" i="99"/>
  <c r="CQ75" i="99" s="1"/>
  <c r="AK75" i="99"/>
  <c r="AL75" i="99"/>
  <c r="AM75" i="99"/>
  <c r="AN75" i="99"/>
  <c r="CU75" i="99" s="1"/>
  <c r="AO75" i="99"/>
  <c r="AA76" i="99"/>
  <c r="DB76" i="99" s="1"/>
  <c r="AB76" i="99"/>
  <c r="AC76" i="99"/>
  <c r="DD76" i="99" s="1"/>
  <c r="AD76" i="99"/>
  <c r="AE76" i="99"/>
  <c r="AF76" i="99"/>
  <c r="AG76" i="99"/>
  <c r="DH76" i="99" s="1"/>
  <c r="AH76" i="99"/>
  <c r="DI76" i="99" s="1"/>
  <c r="AI76" i="99"/>
  <c r="CP76" i="99" s="1"/>
  <c r="AJ76" i="99"/>
  <c r="AK76" i="99"/>
  <c r="DL76" i="99" s="1"/>
  <c r="AL76" i="99"/>
  <c r="AM76" i="99"/>
  <c r="CT76" i="99" s="1"/>
  <c r="AN76" i="99"/>
  <c r="AO76" i="99"/>
  <c r="AA77" i="99"/>
  <c r="DB77" i="99" s="1"/>
  <c r="AB77" i="99"/>
  <c r="DC77" i="99" s="1"/>
  <c r="AC77" i="99"/>
  <c r="AD77" i="99"/>
  <c r="DE77" i="99" s="1"/>
  <c r="AE77" i="99"/>
  <c r="AF77" i="99"/>
  <c r="AG77" i="99"/>
  <c r="AH77" i="99"/>
  <c r="DI77" i="99" s="1"/>
  <c r="AI77" i="99"/>
  <c r="AJ77" i="99"/>
  <c r="AK77" i="99"/>
  <c r="AL77" i="99"/>
  <c r="DM77" i="99" s="1"/>
  <c r="AM77" i="99"/>
  <c r="DN77" i="99" s="1"/>
  <c r="AN77" i="99"/>
  <c r="DO77" i="99" s="1"/>
  <c r="AO77" i="99"/>
  <c r="AA78" i="99"/>
  <c r="CH78" i="99" s="1"/>
  <c r="AB78" i="99"/>
  <c r="AC78" i="99"/>
  <c r="E78" i="41" s="1"/>
  <c r="N78" i="41" s="1"/>
  <c r="AD78" i="99"/>
  <c r="AE78" i="99"/>
  <c r="CL78" i="99" s="1"/>
  <c r="AF78" i="99"/>
  <c r="AG78" i="99"/>
  <c r="AH78" i="99"/>
  <c r="AI78" i="99"/>
  <c r="CP78" i="99" s="1"/>
  <c r="AJ78" i="99"/>
  <c r="AK78" i="99"/>
  <c r="AL78" i="99"/>
  <c r="AM78" i="99"/>
  <c r="CT78" i="99" s="1"/>
  <c r="AN78" i="99"/>
  <c r="AO78" i="99"/>
  <c r="AA79" i="99"/>
  <c r="AB79" i="99"/>
  <c r="CI79" i="99" s="1"/>
  <c r="AC79" i="99"/>
  <c r="AD79" i="99"/>
  <c r="AE79" i="99"/>
  <c r="AF79" i="99"/>
  <c r="CM79" i="99" s="1"/>
  <c r="AG79" i="99"/>
  <c r="AH79" i="99"/>
  <c r="AI79" i="99"/>
  <c r="AJ79" i="99"/>
  <c r="CQ79" i="99" s="1"/>
  <c r="AK79" i="99"/>
  <c r="AL79" i="99"/>
  <c r="AM79" i="99"/>
  <c r="AN79" i="99"/>
  <c r="CU79" i="99" s="1"/>
  <c r="AO79" i="99"/>
  <c r="AA80" i="99"/>
  <c r="AB80" i="99"/>
  <c r="AC80" i="99"/>
  <c r="CJ80" i="99" s="1"/>
  <c r="AD80" i="99"/>
  <c r="AE80" i="99"/>
  <c r="AF80" i="99"/>
  <c r="AG80" i="99"/>
  <c r="CN80" i="99" s="1"/>
  <c r="AH80" i="99"/>
  <c r="AI80" i="99"/>
  <c r="AJ80" i="99"/>
  <c r="AK80" i="99"/>
  <c r="CR80" i="99" s="1"/>
  <c r="AL80" i="99"/>
  <c r="AM80" i="99"/>
  <c r="AN80" i="99"/>
  <c r="AO80" i="99"/>
  <c r="AA81" i="99"/>
  <c r="AB81" i="99"/>
  <c r="AC81" i="99"/>
  <c r="AD81" i="99"/>
  <c r="CK81" i="99" s="1"/>
  <c r="AE81" i="99"/>
  <c r="AF81" i="99"/>
  <c r="AG81" i="99"/>
  <c r="AH81" i="99"/>
  <c r="O81" i="41" s="1"/>
  <c r="AI81" i="99"/>
  <c r="AJ81" i="99"/>
  <c r="AK81" i="99"/>
  <c r="AL81" i="99"/>
  <c r="CS81" i="99" s="1"/>
  <c r="AM81" i="99"/>
  <c r="AN81" i="99"/>
  <c r="AO81" i="99"/>
  <c r="AA82" i="99"/>
  <c r="CH82" i="99" s="1"/>
  <c r="AB82" i="99"/>
  <c r="AC82" i="99"/>
  <c r="E82" i="41" s="1"/>
  <c r="N82" i="41" s="1"/>
  <c r="AD82" i="99"/>
  <c r="AE82" i="99"/>
  <c r="CL82" i="99" s="1"/>
  <c r="AF82" i="99"/>
  <c r="AG82" i="99"/>
  <c r="AH82" i="99"/>
  <c r="AI82" i="99"/>
  <c r="CP82" i="99" s="1"/>
  <c r="AJ82" i="99"/>
  <c r="AK82" i="99"/>
  <c r="AL82" i="99"/>
  <c r="AM82" i="99"/>
  <c r="CT82" i="99" s="1"/>
  <c r="AN82" i="99"/>
  <c r="AO82" i="99"/>
  <c r="AA83" i="99"/>
  <c r="AB83" i="99"/>
  <c r="CI83" i="99" s="1"/>
  <c r="AC83" i="99"/>
  <c r="AD83" i="99"/>
  <c r="AE83" i="99"/>
  <c r="AF83" i="99"/>
  <c r="CM83" i="99" s="1"/>
  <c r="AG83" i="99"/>
  <c r="AH83" i="99"/>
  <c r="AI83" i="99"/>
  <c r="AJ83" i="99"/>
  <c r="CQ83" i="99" s="1"/>
  <c r="AK83" i="99"/>
  <c r="AL83" i="99"/>
  <c r="AM83" i="99"/>
  <c r="AN83" i="99"/>
  <c r="CU83" i="99" s="1"/>
  <c r="AO83" i="99"/>
  <c r="AA84" i="99"/>
  <c r="CH84" i="99" s="1"/>
  <c r="AB84" i="99"/>
  <c r="AC84" i="99"/>
  <c r="CJ84" i="99" s="1"/>
  <c r="AD84" i="99"/>
  <c r="AE84" i="99"/>
  <c r="AF84" i="99"/>
  <c r="AG84" i="99"/>
  <c r="CN84" i="99" s="1"/>
  <c r="AH84" i="99"/>
  <c r="AI84" i="99"/>
  <c r="CP84" i="99" s="1"/>
  <c r="AJ84" i="99"/>
  <c r="AK84" i="99"/>
  <c r="CR84" i="99" s="1"/>
  <c r="AL84" i="99"/>
  <c r="AM84" i="99"/>
  <c r="CT84" i="99" s="1"/>
  <c r="AN84" i="99"/>
  <c r="AO84" i="99"/>
  <c r="AA85" i="99"/>
  <c r="AB85" i="99"/>
  <c r="AC85" i="99"/>
  <c r="AD85" i="99"/>
  <c r="CK85" i="99" s="1"/>
  <c r="AE85" i="99"/>
  <c r="AF85" i="99"/>
  <c r="AG85" i="99"/>
  <c r="AH85" i="99"/>
  <c r="AI85" i="99"/>
  <c r="AJ85" i="99"/>
  <c r="AK85" i="99"/>
  <c r="AL85" i="99"/>
  <c r="AM85" i="99"/>
  <c r="AN85" i="99"/>
  <c r="AO85" i="99"/>
  <c r="AA86" i="99"/>
  <c r="AB86" i="99"/>
  <c r="DC86" i="99" s="1"/>
  <c r="AC86" i="99"/>
  <c r="E86" i="41" s="1"/>
  <c r="N86" i="41" s="1"/>
  <c r="AD86" i="99"/>
  <c r="AE86" i="99"/>
  <c r="DF86" i="99" s="1"/>
  <c r="AF86" i="99"/>
  <c r="AG86" i="99"/>
  <c r="AH86" i="99"/>
  <c r="AI86" i="99"/>
  <c r="DJ86" i="99" s="1"/>
  <c r="AJ86" i="99"/>
  <c r="DK86" i="99" s="1"/>
  <c r="AK86" i="99"/>
  <c r="DL86" i="99" s="1"/>
  <c r="AL86" i="99"/>
  <c r="AM86" i="99"/>
  <c r="DN86" i="99" s="1"/>
  <c r="AN86" i="99"/>
  <c r="AO86" i="99"/>
  <c r="AA87" i="99"/>
  <c r="AB87" i="99"/>
  <c r="AC87" i="99"/>
  <c r="AD87" i="99"/>
  <c r="AE87" i="99"/>
  <c r="AF87" i="99"/>
  <c r="AG87" i="99"/>
  <c r="AH87" i="99"/>
  <c r="AI87" i="99"/>
  <c r="AJ87" i="99"/>
  <c r="AK87" i="99"/>
  <c r="AL87" i="99"/>
  <c r="AM87" i="99"/>
  <c r="AN87" i="99"/>
  <c r="AO87" i="99"/>
  <c r="AA88" i="99"/>
  <c r="AB88" i="99"/>
  <c r="AC88" i="99"/>
  <c r="AD88" i="99"/>
  <c r="AE88" i="99"/>
  <c r="AF88" i="99"/>
  <c r="AG88" i="99"/>
  <c r="AH88" i="99"/>
  <c r="AI88" i="99"/>
  <c r="AJ88" i="99"/>
  <c r="AK88" i="99"/>
  <c r="AL88" i="99"/>
  <c r="AM88" i="99"/>
  <c r="AN88" i="99"/>
  <c r="AO88" i="99"/>
  <c r="AA89" i="99"/>
  <c r="AB89" i="99"/>
  <c r="AC89" i="99"/>
  <c r="AD89" i="99"/>
  <c r="CK89" i="99" s="1"/>
  <c r="AE89" i="99"/>
  <c r="AF89" i="99"/>
  <c r="AG89" i="99"/>
  <c r="AH89" i="99"/>
  <c r="O89" i="41" s="1"/>
  <c r="AI89" i="99"/>
  <c r="AJ89" i="99"/>
  <c r="AK89" i="99"/>
  <c r="AL89" i="99"/>
  <c r="CS89" i="99" s="1"/>
  <c r="AM89" i="99"/>
  <c r="AN89" i="99"/>
  <c r="AO89" i="99"/>
  <c r="AA90" i="99"/>
  <c r="CH90" i="99" s="1"/>
  <c r="AB90" i="99"/>
  <c r="AC90" i="99"/>
  <c r="E90" i="41" s="1"/>
  <c r="N90" i="41" s="1"/>
  <c r="AD90" i="99"/>
  <c r="AE90" i="99"/>
  <c r="CL90" i="99" s="1"/>
  <c r="AF90" i="99"/>
  <c r="AG90" i="99"/>
  <c r="AH90" i="99"/>
  <c r="AI90" i="99"/>
  <c r="CP90" i="99" s="1"/>
  <c r="AJ90" i="99"/>
  <c r="AK90" i="99"/>
  <c r="AL90" i="99"/>
  <c r="AM90" i="99"/>
  <c r="CT90" i="99" s="1"/>
  <c r="AN90" i="99"/>
  <c r="AO90" i="99"/>
  <c r="AA91" i="99"/>
  <c r="AB91" i="99"/>
  <c r="CI91" i="99" s="1"/>
  <c r="AC91" i="99"/>
  <c r="AD91" i="99"/>
  <c r="AE91" i="99"/>
  <c r="AF91" i="99"/>
  <c r="CM91" i="99" s="1"/>
  <c r="AG91" i="99"/>
  <c r="AH91" i="99"/>
  <c r="AI91" i="99"/>
  <c r="AJ91" i="99"/>
  <c r="CQ91" i="99" s="1"/>
  <c r="AK91" i="99"/>
  <c r="AL91" i="99"/>
  <c r="AM91" i="99"/>
  <c r="AN91" i="99"/>
  <c r="AO91" i="99"/>
  <c r="AA92" i="99"/>
  <c r="AB92" i="99"/>
  <c r="AC92" i="99"/>
  <c r="CJ92" i="99" s="1"/>
  <c r="AD92" i="99"/>
  <c r="AE92" i="99"/>
  <c r="AF92" i="99"/>
  <c r="AG92" i="99"/>
  <c r="CN92" i="99" s="1"/>
  <c r="AH92" i="99"/>
  <c r="AI92" i="99"/>
  <c r="AJ92" i="99"/>
  <c r="AK92" i="99"/>
  <c r="CR92" i="99" s="1"/>
  <c r="AL92" i="99"/>
  <c r="AM92" i="99"/>
  <c r="AN92" i="99"/>
  <c r="AO92" i="99"/>
  <c r="AA93" i="99"/>
  <c r="AB93" i="99"/>
  <c r="AC93" i="99"/>
  <c r="AD93" i="99"/>
  <c r="CK93" i="99" s="1"/>
  <c r="AE93" i="99"/>
  <c r="AF93" i="99"/>
  <c r="AG93" i="99"/>
  <c r="AH93" i="99"/>
  <c r="AI93" i="99"/>
  <c r="AJ93" i="99"/>
  <c r="AK93" i="99"/>
  <c r="AL93" i="99"/>
  <c r="AM93" i="99"/>
  <c r="AN93" i="99"/>
  <c r="AO93" i="99"/>
  <c r="AA94" i="99"/>
  <c r="CH94" i="99" s="1"/>
  <c r="AB94" i="99"/>
  <c r="AC94" i="99"/>
  <c r="E94" i="41" s="1"/>
  <c r="N94" i="41" s="1"/>
  <c r="AD94" i="99"/>
  <c r="AE94" i="99"/>
  <c r="CL94" i="99" s="1"/>
  <c r="AF94" i="99"/>
  <c r="AG94" i="99"/>
  <c r="AH94" i="99"/>
  <c r="AI94" i="99"/>
  <c r="CP94" i="99" s="1"/>
  <c r="AJ94" i="99"/>
  <c r="AK94" i="99"/>
  <c r="AL94" i="99"/>
  <c r="AM94" i="99"/>
  <c r="CT94" i="99" s="1"/>
  <c r="AN94" i="99"/>
  <c r="AO94" i="99"/>
  <c r="AA95" i="99"/>
  <c r="AB95" i="99"/>
  <c r="CI95" i="99" s="1"/>
  <c r="AC95" i="99"/>
  <c r="AD95" i="99"/>
  <c r="AE95" i="99"/>
  <c r="AF95" i="99"/>
  <c r="AG95" i="99"/>
  <c r="AH95" i="99"/>
  <c r="AI95" i="99"/>
  <c r="AJ95" i="99"/>
  <c r="AK95" i="99"/>
  <c r="AL95" i="99"/>
  <c r="AM95" i="99"/>
  <c r="AN95" i="99"/>
  <c r="CU95" i="99" s="1"/>
  <c r="AO95" i="99"/>
  <c r="AA96" i="99"/>
  <c r="AB96" i="99"/>
  <c r="AC96" i="99"/>
  <c r="CJ96" i="99" s="1"/>
  <c r="AD96" i="99"/>
  <c r="AE96" i="99"/>
  <c r="AF96" i="99"/>
  <c r="AG96" i="99"/>
  <c r="CN96" i="99" s="1"/>
  <c r="AH96" i="99"/>
  <c r="AI96" i="99"/>
  <c r="AJ96" i="99"/>
  <c r="AK96" i="99"/>
  <c r="CR96" i="99" s="1"/>
  <c r="AL96" i="99"/>
  <c r="AM96" i="99"/>
  <c r="AN96" i="99"/>
  <c r="AO96" i="99"/>
  <c r="AA97" i="99"/>
  <c r="AB97" i="99"/>
  <c r="AC97" i="99"/>
  <c r="AD97" i="99"/>
  <c r="CK97" i="99" s="1"/>
  <c r="AE97" i="99"/>
  <c r="AF97" i="99"/>
  <c r="AG97" i="99"/>
  <c r="AH97" i="99"/>
  <c r="O97" i="41" s="1"/>
  <c r="AI97" i="99"/>
  <c r="AJ97" i="99"/>
  <c r="AK97" i="99"/>
  <c r="AL97" i="99"/>
  <c r="CS97" i="99" s="1"/>
  <c r="AM97" i="99"/>
  <c r="AN97" i="99"/>
  <c r="AO97" i="99"/>
  <c r="AA98" i="99"/>
  <c r="DB98" i="99" s="1"/>
  <c r="AB98" i="99"/>
  <c r="DC98" i="99" s="1"/>
  <c r="AC98" i="99"/>
  <c r="E98" i="41" s="1"/>
  <c r="N98" i="41" s="1"/>
  <c r="AD98" i="99"/>
  <c r="AE98" i="99"/>
  <c r="DF98" i="99" s="1"/>
  <c r="AF98" i="99"/>
  <c r="AG98" i="99"/>
  <c r="AH98" i="99"/>
  <c r="AI98" i="99"/>
  <c r="DJ98" i="99" s="1"/>
  <c r="AJ98" i="99"/>
  <c r="DK98" i="99" s="1"/>
  <c r="AK98" i="99"/>
  <c r="DL98" i="99" s="1"/>
  <c r="AL98" i="99"/>
  <c r="AM98" i="99"/>
  <c r="DN98" i="99" s="1"/>
  <c r="AN98" i="99"/>
  <c r="AO98" i="99"/>
  <c r="AA99" i="99"/>
  <c r="AB99" i="99"/>
  <c r="AC99" i="99"/>
  <c r="AD99" i="99"/>
  <c r="AE99" i="99"/>
  <c r="AF99" i="99"/>
  <c r="AG99" i="99"/>
  <c r="AH99" i="99"/>
  <c r="AI99" i="99"/>
  <c r="AJ99" i="99"/>
  <c r="AK99" i="99"/>
  <c r="AL99" i="99"/>
  <c r="AM99" i="99"/>
  <c r="AN99" i="99"/>
  <c r="AO99" i="99"/>
  <c r="AA100" i="99"/>
  <c r="AB100" i="99"/>
  <c r="AC100" i="99"/>
  <c r="AD100" i="99"/>
  <c r="AE100" i="99"/>
  <c r="AF100" i="99"/>
  <c r="AG100" i="99"/>
  <c r="AH100" i="99"/>
  <c r="AI100" i="99"/>
  <c r="AJ100" i="99"/>
  <c r="AK100" i="99"/>
  <c r="AL100" i="99"/>
  <c r="AM100" i="99"/>
  <c r="AN100" i="99"/>
  <c r="AO100" i="99"/>
  <c r="AA101" i="99"/>
  <c r="AB101" i="99"/>
  <c r="AC101" i="99"/>
  <c r="AD101" i="99"/>
  <c r="AE101" i="99"/>
  <c r="AF101" i="99"/>
  <c r="AG101" i="99"/>
  <c r="AH101" i="99"/>
  <c r="O101" i="41" s="1"/>
  <c r="AI101" i="99"/>
  <c r="AJ101" i="99"/>
  <c r="AK101" i="99"/>
  <c r="AL101" i="99"/>
  <c r="AM101" i="99"/>
  <c r="AN101" i="99"/>
  <c r="AO101" i="99"/>
  <c r="AA102" i="99"/>
  <c r="AB102" i="99"/>
  <c r="AC102" i="99"/>
  <c r="E102" i="41" s="1"/>
  <c r="N102" i="41" s="1"/>
  <c r="AD102" i="99"/>
  <c r="AE102" i="99"/>
  <c r="AF102" i="99"/>
  <c r="AG102" i="99"/>
  <c r="AH102" i="99"/>
  <c r="AI102" i="99"/>
  <c r="AJ102" i="99"/>
  <c r="AK102" i="99"/>
  <c r="AL102" i="99"/>
  <c r="AM102" i="99"/>
  <c r="AN102" i="99"/>
  <c r="AO102" i="99"/>
  <c r="AA103" i="99"/>
  <c r="AB103" i="99"/>
  <c r="AC103" i="99"/>
  <c r="AD103" i="99"/>
  <c r="AE103" i="99"/>
  <c r="AF103" i="99"/>
  <c r="AG103" i="99"/>
  <c r="AH103" i="99"/>
  <c r="AI103" i="99"/>
  <c r="AJ103" i="99"/>
  <c r="AK103" i="99"/>
  <c r="AL103" i="99"/>
  <c r="AM103" i="99"/>
  <c r="AN103" i="99"/>
  <c r="AO103" i="99"/>
  <c r="AA104" i="99"/>
  <c r="AB104" i="99"/>
  <c r="AC104" i="99"/>
  <c r="AD104" i="99"/>
  <c r="AE104" i="99"/>
  <c r="AF104" i="99"/>
  <c r="AG104" i="99"/>
  <c r="AH104" i="99"/>
  <c r="AI104" i="99"/>
  <c r="AJ104" i="99"/>
  <c r="AK104" i="99"/>
  <c r="AL104" i="99"/>
  <c r="AM104" i="99"/>
  <c r="AN104" i="99"/>
  <c r="AO104" i="99"/>
  <c r="AA105" i="99"/>
  <c r="AB105" i="99"/>
  <c r="AC105" i="99"/>
  <c r="AD105" i="99"/>
  <c r="AE105" i="99"/>
  <c r="AF105" i="99"/>
  <c r="AG105" i="99"/>
  <c r="AH105" i="99"/>
  <c r="O105" i="41" s="1"/>
  <c r="AI105" i="99"/>
  <c r="AJ105" i="99"/>
  <c r="AK105" i="99"/>
  <c r="AL105" i="99"/>
  <c r="AM105" i="99"/>
  <c r="AN105" i="99"/>
  <c r="AO105" i="99"/>
  <c r="AA106" i="99"/>
  <c r="AB106" i="99"/>
  <c r="AC106" i="99"/>
  <c r="E106" i="41" s="1"/>
  <c r="N106" i="41" s="1"/>
  <c r="AD106" i="99"/>
  <c r="AE106" i="99"/>
  <c r="AF106" i="99"/>
  <c r="AG106" i="99"/>
  <c r="AH106" i="99"/>
  <c r="AI106" i="99"/>
  <c r="AJ106" i="99"/>
  <c r="AK106" i="99"/>
  <c r="AL106" i="99"/>
  <c r="AM106" i="99"/>
  <c r="AN106" i="99"/>
  <c r="AO106" i="99"/>
  <c r="AA107" i="99"/>
  <c r="AB107" i="99"/>
  <c r="AC107" i="99"/>
  <c r="AD107" i="99"/>
  <c r="AE107" i="99"/>
  <c r="AF107" i="99"/>
  <c r="AG107" i="99"/>
  <c r="AH107" i="99"/>
  <c r="AI107" i="99"/>
  <c r="AJ107" i="99"/>
  <c r="AK107" i="99"/>
  <c r="AL107" i="99"/>
  <c r="AM107" i="99"/>
  <c r="AN107" i="99"/>
  <c r="AO107" i="99"/>
  <c r="AA108" i="99"/>
  <c r="AB108" i="99"/>
  <c r="AC108" i="99"/>
  <c r="AD108" i="99"/>
  <c r="AE108" i="99"/>
  <c r="AF108" i="99"/>
  <c r="AG108" i="99"/>
  <c r="AH108" i="99"/>
  <c r="AI108" i="99"/>
  <c r="AJ108" i="99"/>
  <c r="AK108" i="99"/>
  <c r="AL108" i="99"/>
  <c r="AM108" i="99"/>
  <c r="AN108" i="99"/>
  <c r="AO108" i="99"/>
  <c r="AA109" i="99"/>
  <c r="AB109" i="99"/>
  <c r="AC109" i="99"/>
  <c r="AD109" i="99"/>
  <c r="AE109" i="99"/>
  <c r="AF109" i="99"/>
  <c r="AG109" i="99"/>
  <c r="AH109" i="99"/>
  <c r="O109" i="41" s="1"/>
  <c r="AI109" i="99"/>
  <c r="AJ109" i="99"/>
  <c r="AK109" i="99"/>
  <c r="AL109" i="99"/>
  <c r="AM109" i="99"/>
  <c r="AN109" i="99"/>
  <c r="AO109" i="99"/>
  <c r="AA110" i="99"/>
  <c r="DB110" i="99" s="1"/>
  <c r="AB110" i="99"/>
  <c r="AC110" i="99"/>
  <c r="E110" i="41" s="1"/>
  <c r="N110" i="41" s="1"/>
  <c r="AD110" i="99"/>
  <c r="AE110" i="99"/>
  <c r="DF110" i="99" s="1"/>
  <c r="AF110" i="99"/>
  <c r="DG110" i="99" s="1"/>
  <c r="AG110" i="99"/>
  <c r="AH110" i="99"/>
  <c r="AI110" i="99"/>
  <c r="DJ110" i="99" s="1"/>
  <c r="AJ110" i="99"/>
  <c r="DK110" i="99" s="1"/>
  <c r="AK110" i="99"/>
  <c r="DL110" i="99" s="1"/>
  <c r="AL110" i="99"/>
  <c r="AM110" i="99"/>
  <c r="DN110" i="99" s="1"/>
  <c r="AN110" i="99"/>
  <c r="AO110" i="99"/>
  <c r="AA111" i="99"/>
  <c r="AB111" i="99"/>
  <c r="CI111" i="99" s="1"/>
  <c r="AC111" i="99"/>
  <c r="AD111" i="99"/>
  <c r="AE111" i="99"/>
  <c r="AF111" i="99"/>
  <c r="CM111" i="99" s="1"/>
  <c r="AG111" i="99"/>
  <c r="AH111" i="99"/>
  <c r="AI111" i="99"/>
  <c r="AJ111" i="99"/>
  <c r="CQ111" i="99" s="1"/>
  <c r="AK111" i="99"/>
  <c r="AL111" i="99"/>
  <c r="AM111" i="99"/>
  <c r="AN111" i="99"/>
  <c r="CU111" i="99" s="1"/>
  <c r="AO111" i="99"/>
  <c r="AA112" i="99"/>
  <c r="AB112" i="99"/>
  <c r="AC112" i="99"/>
  <c r="AD112" i="99"/>
  <c r="AE112" i="99"/>
  <c r="AF112" i="99"/>
  <c r="AG112" i="99"/>
  <c r="AH112" i="99"/>
  <c r="AI112" i="99"/>
  <c r="AJ112" i="99"/>
  <c r="AK112" i="99"/>
  <c r="CR112" i="99" s="1"/>
  <c r="AL112" i="99"/>
  <c r="AM112" i="99"/>
  <c r="AN112" i="99"/>
  <c r="AO112" i="99"/>
  <c r="AA113" i="99"/>
  <c r="AB113" i="99"/>
  <c r="AC113" i="99"/>
  <c r="AD113" i="99"/>
  <c r="CK113" i="99" s="1"/>
  <c r="AE113" i="99"/>
  <c r="AF113" i="99"/>
  <c r="AG113" i="99"/>
  <c r="AH113" i="99"/>
  <c r="O113" i="41" s="1"/>
  <c r="AI113" i="99"/>
  <c r="AJ113" i="99"/>
  <c r="AK113" i="99"/>
  <c r="AL113" i="99"/>
  <c r="CS113" i="99" s="1"/>
  <c r="AM113" i="99"/>
  <c r="AN113" i="99"/>
  <c r="AO113" i="99"/>
  <c r="AA114" i="99"/>
  <c r="CH114" i="99" s="1"/>
  <c r="AB114" i="99"/>
  <c r="AC114" i="99"/>
  <c r="AD114" i="99"/>
  <c r="AE114" i="99"/>
  <c r="CL114" i="99" s="1"/>
  <c r="AF114" i="99"/>
  <c r="F114" i="87" s="1"/>
  <c r="AG114" i="99"/>
  <c r="E114" i="87" s="1"/>
  <c r="AH114" i="99"/>
  <c r="AI114" i="99"/>
  <c r="CP114" i="99" s="1"/>
  <c r="AJ114" i="99"/>
  <c r="AK114" i="99"/>
  <c r="AL114" i="99"/>
  <c r="AM114" i="99"/>
  <c r="CT114" i="99" s="1"/>
  <c r="AN114" i="99"/>
  <c r="AO114" i="99"/>
  <c r="AA115" i="99"/>
  <c r="AB115" i="99"/>
  <c r="CI115" i="99" s="1"/>
  <c r="AC115" i="99"/>
  <c r="AD115" i="99"/>
  <c r="AE115" i="99"/>
  <c r="AF115" i="99"/>
  <c r="F115" i="87" s="1"/>
  <c r="AG115" i="99"/>
  <c r="E115" i="87" s="1"/>
  <c r="AH115" i="99"/>
  <c r="AI115" i="99"/>
  <c r="AJ115" i="99"/>
  <c r="CQ115" i="99" s="1"/>
  <c r="AK115" i="99"/>
  <c r="AL115" i="99"/>
  <c r="AM115" i="99"/>
  <c r="AN115" i="99"/>
  <c r="CU115" i="99" s="1"/>
  <c r="AO115" i="99"/>
  <c r="DC76" i="99"/>
  <c r="DE76" i="99"/>
  <c r="DG76" i="99"/>
  <c r="DK76" i="99"/>
  <c r="DM76" i="99"/>
  <c r="DO76" i="99"/>
  <c r="DD77" i="99"/>
  <c r="DF77" i="99"/>
  <c r="DH77" i="99"/>
  <c r="DJ77" i="99"/>
  <c r="DL77" i="99"/>
  <c r="DJ78" i="99"/>
  <c r="DE86" i="99"/>
  <c r="DG86" i="99"/>
  <c r="DI86" i="99"/>
  <c r="DM86" i="99"/>
  <c r="DO86" i="99"/>
  <c r="DD87" i="99"/>
  <c r="DN87" i="99"/>
  <c r="DE98" i="99"/>
  <c r="DG98" i="99"/>
  <c r="DI98" i="99"/>
  <c r="DM98" i="99"/>
  <c r="DO98" i="99"/>
  <c r="DC110" i="99"/>
  <c r="DE110" i="99"/>
  <c r="DI110" i="99"/>
  <c r="DM110" i="99"/>
  <c r="DO110" i="99"/>
  <c r="M2" i="41"/>
  <c r="M3" i="41"/>
  <c r="M4" i="4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M69" i="41"/>
  <c r="M70" i="41"/>
  <c r="M71" i="41"/>
  <c r="M72" i="41"/>
  <c r="M73" i="41"/>
  <c r="M74" i="41"/>
  <c r="M75" i="41"/>
  <c r="M76" i="41"/>
  <c r="M77" i="41"/>
  <c r="M78" i="41"/>
  <c r="M79" i="41"/>
  <c r="M80" i="41"/>
  <c r="M81" i="41"/>
  <c r="M82" i="41"/>
  <c r="M83" i="41"/>
  <c r="M84" i="41"/>
  <c r="M85" i="41"/>
  <c r="M86" i="41"/>
  <c r="M87" i="41"/>
  <c r="M88" i="41"/>
  <c r="M89" i="41"/>
  <c r="M90" i="41"/>
  <c r="M91" i="41"/>
  <c r="M92" i="41"/>
  <c r="M93" i="41"/>
  <c r="M94" i="41"/>
  <c r="M95" i="41"/>
  <c r="M96" i="41"/>
  <c r="M97" i="41"/>
  <c r="M98" i="41"/>
  <c r="M99" i="41"/>
  <c r="M100" i="41"/>
  <c r="M101" i="41"/>
  <c r="M102" i="41"/>
  <c r="M103" i="41"/>
  <c r="M104" i="41"/>
  <c r="M105" i="41"/>
  <c r="M106" i="41"/>
  <c r="M107" i="41"/>
  <c r="M108" i="41"/>
  <c r="M109" i="41"/>
  <c r="M110" i="41"/>
  <c r="M111" i="41"/>
  <c r="M112" i="41"/>
  <c r="M113" i="41"/>
  <c r="M114" i="41"/>
  <c r="M115" i="41"/>
  <c r="O2" i="41"/>
  <c r="I2" i="41"/>
  <c r="R2" i="41" s="1"/>
  <c r="I3" i="41"/>
  <c r="R3" i="41" s="1"/>
  <c r="O4" i="41"/>
  <c r="I4" i="41"/>
  <c r="R4" i="41" s="1"/>
  <c r="I5" i="41"/>
  <c r="R5" i="41" s="1"/>
  <c r="O6" i="41"/>
  <c r="I6" i="41"/>
  <c r="R6" i="41" s="1"/>
  <c r="I7" i="41"/>
  <c r="R7" i="41" s="1"/>
  <c r="O8" i="41"/>
  <c r="I8" i="41"/>
  <c r="R8" i="41" s="1"/>
  <c r="I9" i="41"/>
  <c r="R9" i="41" s="1"/>
  <c r="O10" i="41"/>
  <c r="I10" i="41"/>
  <c r="R10" i="41" s="1"/>
  <c r="I11" i="41"/>
  <c r="R11" i="41" s="1"/>
  <c r="O12" i="41"/>
  <c r="I12" i="41"/>
  <c r="R12" i="41" s="1"/>
  <c r="I13" i="41"/>
  <c r="R13" i="41" s="1"/>
  <c r="O14" i="41"/>
  <c r="I14" i="41"/>
  <c r="R14" i="41" s="1"/>
  <c r="I15" i="41"/>
  <c r="R15" i="41" s="1"/>
  <c r="O16" i="41"/>
  <c r="I16" i="41"/>
  <c r="R16" i="41" s="1"/>
  <c r="I17" i="41"/>
  <c r="R17" i="41" s="1"/>
  <c r="O18" i="41"/>
  <c r="I18" i="41"/>
  <c r="R18" i="41" s="1"/>
  <c r="I19" i="41"/>
  <c r="R19" i="41" s="1"/>
  <c r="O20" i="41"/>
  <c r="I20" i="41"/>
  <c r="R20" i="41" s="1"/>
  <c r="I21" i="41"/>
  <c r="R21" i="41" s="1"/>
  <c r="O22" i="41"/>
  <c r="I22" i="41"/>
  <c r="R22" i="41" s="1"/>
  <c r="I23" i="41"/>
  <c r="R23" i="41" s="1"/>
  <c r="O24" i="41"/>
  <c r="I24" i="41"/>
  <c r="R24" i="41" s="1"/>
  <c r="I25" i="41"/>
  <c r="R25" i="41" s="1"/>
  <c r="O26" i="41"/>
  <c r="I26" i="41"/>
  <c r="R26" i="41" s="1"/>
  <c r="I27" i="41"/>
  <c r="R27" i="41" s="1"/>
  <c r="O28" i="41"/>
  <c r="I28" i="41"/>
  <c r="R28" i="41" s="1"/>
  <c r="I29" i="41"/>
  <c r="R29" i="41" s="1"/>
  <c r="O30" i="41"/>
  <c r="I30" i="41"/>
  <c r="R30" i="41" s="1"/>
  <c r="I31" i="41"/>
  <c r="R31" i="41" s="1"/>
  <c r="O32" i="41"/>
  <c r="I32" i="41"/>
  <c r="R32" i="41" s="1"/>
  <c r="I33" i="41"/>
  <c r="R33" i="41" s="1"/>
  <c r="O34" i="41"/>
  <c r="I34" i="41"/>
  <c r="R34" i="41" s="1"/>
  <c r="O35" i="41"/>
  <c r="I35" i="41"/>
  <c r="R35" i="41" s="1"/>
  <c r="O36" i="41"/>
  <c r="I36" i="41"/>
  <c r="R36" i="41" s="1"/>
  <c r="I37" i="41"/>
  <c r="R37" i="41" s="1"/>
  <c r="O38" i="41"/>
  <c r="I38" i="41"/>
  <c r="R38" i="41" s="1"/>
  <c r="I39" i="41"/>
  <c r="R39" i="41" s="1"/>
  <c r="O40" i="41"/>
  <c r="I40" i="41"/>
  <c r="R40" i="41" s="1"/>
  <c r="I41" i="41"/>
  <c r="R41" i="41" s="1"/>
  <c r="O42" i="41"/>
  <c r="I42" i="41"/>
  <c r="R42" i="41" s="1"/>
  <c r="I43" i="41"/>
  <c r="R43" i="41" s="1"/>
  <c r="O44" i="41"/>
  <c r="I44" i="41"/>
  <c r="R44" i="41" s="1"/>
  <c r="O45" i="41"/>
  <c r="I45" i="41"/>
  <c r="R45" i="41" s="1"/>
  <c r="O46" i="41"/>
  <c r="I46" i="41"/>
  <c r="R46" i="41" s="1"/>
  <c r="O47" i="41"/>
  <c r="I47" i="41"/>
  <c r="R47" i="41" s="1"/>
  <c r="O48" i="41"/>
  <c r="I48" i="41"/>
  <c r="R48" i="41" s="1"/>
  <c r="I49" i="41"/>
  <c r="R49" i="41" s="1"/>
  <c r="O50" i="41"/>
  <c r="I50" i="41"/>
  <c r="R50" i="41" s="1"/>
  <c r="I51" i="41"/>
  <c r="R51" i="41" s="1"/>
  <c r="O52" i="41"/>
  <c r="I52" i="41"/>
  <c r="R52" i="41" s="1"/>
  <c r="I53" i="41"/>
  <c r="R53" i="41" s="1"/>
  <c r="O54" i="41"/>
  <c r="I54" i="41"/>
  <c r="R54" i="41" s="1"/>
  <c r="O55" i="41"/>
  <c r="I55" i="41"/>
  <c r="R55" i="41" s="1"/>
  <c r="O56" i="41"/>
  <c r="I56" i="41"/>
  <c r="R56" i="41" s="1"/>
  <c r="I57" i="41"/>
  <c r="R57" i="41" s="1"/>
  <c r="O58" i="41"/>
  <c r="I58" i="41"/>
  <c r="R58" i="41" s="1"/>
  <c r="I59" i="41"/>
  <c r="R59" i="41" s="1"/>
  <c r="O60" i="41"/>
  <c r="I60" i="41"/>
  <c r="R60" i="41" s="1"/>
  <c r="I61" i="41"/>
  <c r="R61" i="41" s="1"/>
  <c r="O62" i="41"/>
  <c r="I62" i="41"/>
  <c r="R62" i="41" s="1"/>
  <c r="O63" i="41"/>
  <c r="O64" i="41"/>
  <c r="O66" i="41"/>
  <c r="I67" i="41"/>
  <c r="R67" i="41" s="1"/>
  <c r="O68" i="41"/>
  <c r="I68" i="41"/>
  <c r="R68" i="41" s="1"/>
  <c r="O70" i="41"/>
  <c r="O71" i="41"/>
  <c r="O72" i="41"/>
  <c r="I73" i="41"/>
  <c r="R73" i="41" s="1"/>
  <c r="O74" i="41"/>
  <c r="I74" i="41"/>
  <c r="R74" i="41" s="1"/>
  <c r="O76" i="41"/>
  <c r="Q76" i="41"/>
  <c r="O78" i="41"/>
  <c r="O79" i="41"/>
  <c r="O80" i="41"/>
  <c r="I80" i="41"/>
  <c r="R80" i="41" s="1"/>
  <c r="O82" i="41"/>
  <c r="I82" i="41"/>
  <c r="R82" i="41" s="1"/>
  <c r="O84" i="41"/>
  <c r="I85" i="41"/>
  <c r="R85" i="41" s="1"/>
  <c r="O86" i="41"/>
  <c r="I86" i="41"/>
  <c r="R86" i="41" s="1"/>
  <c r="O87" i="41"/>
  <c r="I87" i="41"/>
  <c r="R87" i="41" s="1"/>
  <c r="O88" i="41"/>
  <c r="I88" i="41"/>
  <c r="R88" i="41" s="1"/>
  <c r="O90" i="41"/>
  <c r="I91" i="41"/>
  <c r="R91" i="41" s="1"/>
  <c r="O92" i="41"/>
  <c r="I92" i="41"/>
  <c r="R92" i="41" s="1"/>
  <c r="O94" i="41"/>
  <c r="O95" i="41"/>
  <c r="O96" i="41"/>
  <c r="I97" i="41"/>
  <c r="R97" i="41" s="1"/>
  <c r="O98" i="41"/>
  <c r="Q98" i="41"/>
  <c r="I98" i="41"/>
  <c r="R98" i="41" s="1"/>
  <c r="O100" i="41"/>
  <c r="O102" i="41"/>
  <c r="O103" i="41"/>
  <c r="I103" i="41"/>
  <c r="R103" i="41" s="1"/>
  <c r="O104" i="41"/>
  <c r="I104" i="41"/>
  <c r="R104" i="41" s="1"/>
  <c r="I105" i="41"/>
  <c r="R105" i="41" s="1"/>
  <c r="O106" i="41"/>
  <c r="I106" i="41"/>
  <c r="R106" i="41" s="1"/>
  <c r="O108" i="41"/>
  <c r="I109" i="41"/>
  <c r="R109" i="41" s="1"/>
  <c r="O110" i="41"/>
  <c r="Q110" i="41"/>
  <c r="O111" i="41"/>
  <c r="O112" i="41"/>
  <c r="O114" i="41"/>
  <c r="J1" i="41"/>
  <c r="S1" i="41" s="1"/>
  <c r="I1" i="41"/>
  <c r="R1" i="41" s="1"/>
  <c r="Y13" i="99"/>
  <c r="Y11" i="99"/>
  <c r="Q13" i="99"/>
  <c r="Q11" i="99"/>
  <c r="CY115" i="99"/>
  <c r="BF115" i="99"/>
  <c r="BE115" i="99"/>
  <c r="BD115" i="99"/>
  <c r="BC115" i="99"/>
  <c r="AS115" i="99"/>
  <c r="AR115" i="99"/>
  <c r="AQ115" i="99"/>
  <c r="AP115" i="99"/>
  <c r="CT115" i="99"/>
  <c r="CR115" i="99"/>
  <c r="CP115" i="99"/>
  <c r="CN115" i="99"/>
  <c r="CM115" i="99"/>
  <c r="CL115" i="99"/>
  <c r="CJ115" i="99"/>
  <c r="CH115" i="99"/>
  <c r="CY114" i="99"/>
  <c r="BF114" i="99"/>
  <c r="BE114" i="99"/>
  <c r="BD114" i="99"/>
  <c r="BC114" i="99"/>
  <c r="AS114" i="99"/>
  <c r="AR114" i="99"/>
  <c r="AQ114" i="99"/>
  <c r="AP114" i="99"/>
  <c r="CU114" i="99"/>
  <c r="CS114" i="99"/>
  <c r="CQ114" i="99"/>
  <c r="CO114" i="99"/>
  <c r="CM114" i="99"/>
  <c r="CK114" i="99"/>
  <c r="CI114" i="99"/>
  <c r="CY113" i="99"/>
  <c r="BF113" i="99"/>
  <c r="BE113" i="99"/>
  <c r="BD113" i="99"/>
  <c r="BC113" i="99"/>
  <c r="G113" i="28" s="1"/>
  <c r="N113" i="28" s="1"/>
  <c r="AS113" i="99"/>
  <c r="AR113" i="99"/>
  <c r="AQ113" i="99"/>
  <c r="AP113" i="99"/>
  <c r="CU113" i="99"/>
  <c r="CT113" i="99"/>
  <c r="CR113" i="99"/>
  <c r="CQ113" i="99"/>
  <c r="CP113" i="99"/>
  <c r="CN113" i="99"/>
  <c r="CL113" i="99"/>
  <c r="CJ113" i="99"/>
  <c r="CH113" i="99"/>
  <c r="CY112" i="99"/>
  <c r="CQ112" i="99"/>
  <c r="BF112" i="99"/>
  <c r="BE112" i="99"/>
  <c r="BD112" i="99"/>
  <c r="BC112" i="99"/>
  <c r="G112" i="28" s="1"/>
  <c r="N112" i="28" s="1"/>
  <c r="AS112" i="99"/>
  <c r="AR112" i="99"/>
  <c r="AQ112" i="99"/>
  <c r="AP112" i="99"/>
  <c r="CU112" i="99"/>
  <c r="CS112" i="99"/>
  <c r="CP112" i="99"/>
  <c r="CO112" i="99"/>
  <c r="CN112" i="99"/>
  <c r="CM112" i="99"/>
  <c r="CL112" i="99"/>
  <c r="CK112" i="99"/>
  <c r="CJ112" i="99"/>
  <c r="CI112" i="99"/>
  <c r="CH112" i="99"/>
  <c r="CY111" i="99"/>
  <c r="CF111" i="99"/>
  <c r="DC111" i="99" s="1"/>
  <c r="CE111" i="99"/>
  <c r="CE112" i="99" s="1"/>
  <c r="CE113" i="99" s="1"/>
  <c r="CE114" i="99" s="1"/>
  <c r="CE115" i="99" s="1"/>
  <c r="CE116" i="99" s="1"/>
  <c r="CE117" i="99" s="1"/>
  <c r="CE118" i="99" s="1"/>
  <c r="CE119" i="99" s="1"/>
  <c r="CE120" i="99" s="1"/>
  <c r="CE121" i="99" s="1"/>
  <c r="BF111" i="99"/>
  <c r="BE111" i="99"/>
  <c r="BD111" i="99"/>
  <c r="BC111" i="99"/>
  <c r="AS111" i="99"/>
  <c r="AR111" i="99"/>
  <c r="AQ111" i="99"/>
  <c r="AP111" i="99"/>
  <c r="CT111" i="99"/>
  <c r="CR111" i="99"/>
  <c r="CP111" i="99"/>
  <c r="CN111" i="99"/>
  <c r="CL111" i="99"/>
  <c r="CJ111" i="99"/>
  <c r="CH111" i="99"/>
  <c r="CY110" i="99"/>
  <c r="BF110" i="99"/>
  <c r="BE110" i="99"/>
  <c r="BD110" i="99"/>
  <c r="BC110" i="99"/>
  <c r="AS110" i="99"/>
  <c r="AR110" i="99"/>
  <c r="AQ110" i="99"/>
  <c r="AP110" i="99"/>
  <c r="CQ110" i="99"/>
  <c r="CM110" i="99"/>
  <c r="CY109" i="99"/>
  <c r="CB109" i="99"/>
  <c r="BF109" i="99"/>
  <c r="BE109" i="99"/>
  <c r="BD109" i="99"/>
  <c r="BC109" i="99"/>
  <c r="BB109" i="99"/>
  <c r="BA109" i="99"/>
  <c r="AZ109" i="99"/>
  <c r="AY109" i="99"/>
  <c r="AX109" i="99"/>
  <c r="AW109" i="99"/>
  <c r="AV109" i="99"/>
  <c r="AU109" i="99"/>
  <c r="AT109" i="99"/>
  <c r="AS109" i="99"/>
  <c r="AR109" i="99"/>
  <c r="AQ109" i="99"/>
  <c r="AP109" i="99"/>
  <c r="B109" i="99"/>
  <c r="CY108" i="99"/>
  <c r="CB108" i="99"/>
  <c r="BF108" i="99"/>
  <c r="BE108" i="99"/>
  <c r="BD108" i="99"/>
  <c r="BC108" i="99"/>
  <c r="BB108" i="99"/>
  <c r="BA108" i="99"/>
  <c r="AZ108" i="99"/>
  <c r="AY108" i="99"/>
  <c r="AX108" i="99"/>
  <c r="AW108" i="99"/>
  <c r="AV108" i="99"/>
  <c r="AU108" i="99"/>
  <c r="AT108" i="99"/>
  <c r="AS108" i="99"/>
  <c r="AR108" i="99"/>
  <c r="AQ108" i="99"/>
  <c r="AP108" i="99"/>
  <c r="B108" i="99"/>
  <c r="CY107" i="99"/>
  <c r="CB107" i="99"/>
  <c r="BF107" i="99"/>
  <c r="BE107" i="99"/>
  <c r="BD107" i="99"/>
  <c r="BC107" i="99"/>
  <c r="BB107" i="99"/>
  <c r="BA107" i="99"/>
  <c r="AZ107" i="99"/>
  <c r="AY107" i="99"/>
  <c r="AX107" i="99"/>
  <c r="AW107" i="99"/>
  <c r="AV107" i="99"/>
  <c r="AU107" i="99"/>
  <c r="AT107" i="99"/>
  <c r="AS107" i="99"/>
  <c r="AR107" i="99"/>
  <c r="AQ107" i="99"/>
  <c r="AP107" i="99"/>
  <c r="B107" i="99"/>
  <c r="CY106" i="99"/>
  <c r="CB106" i="99"/>
  <c r="BF106" i="99"/>
  <c r="BE106" i="99"/>
  <c r="BD106" i="99"/>
  <c r="BC106" i="99"/>
  <c r="BB106" i="99"/>
  <c r="BA106" i="99"/>
  <c r="AZ106" i="99"/>
  <c r="AY106" i="99"/>
  <c r="AX106" i="99"/>
  <c r="AW106" i="99"/>
  <c r="AV106" i="99"/>
  <c r="AU106" i="99"/>
  <c r="AT106" i="99"/>
  <c r="AS106" i="99"/>
  <c r="AR106" i="99"/>
  <c r="AQ106" i="99"/>
  <c r="AP106" i="99"/>
  <c r="B106" i="99"/>
  <c r="CY105" i="99"/>
  <c r="CB105" i="99"/>
  <c r="BF105" i="99"/>
  <c r="BE105" i="99"/>
  <c r="BD105" i="99"/>
  <c r="BC105" i="99"/>
  <c r="BB105" i="99"/>
  <c r="BA105" i="99"/>
  <c r="AZ105" i="99"/>
  <c r="AY105" i="99"/>
  <c r="AX105" i="99"/>
  <c r="AW105" i="99"/>
  <c r="AV105" i="99"/>
  <c r="AU105" i="99"/>
  <c r="AT105" i="99"/>
  <c r="AS105" i="99"/>
  <c r="AR105" i="99"/>
  <c r="AQ105" i="99"/>
  <c r="AP105" i="99"/>
  <c r="B105" i="99"/>
  <c r="CY104" i="99"/>
  <c r="CB104" i="99"/>
  <c r="BF104" i="99"/>
  <c r="BE104" i="99"/>
  <c r="BD104" i="99"/>
  <c r="BC104" i="99"/>
  <c r="BB104" i="99"/>
  <c r="BA104" i="99"/>
  <c r="AZ104" i="99"/>
  <c r="AY104" i="99"/>
  <c r="AX104" i="99"/>
  <c r="AW104" i="99"/>
  <c r="AV104" i="99"/>
  <c r="AU104" i="99"/>
  <c r="AT104" i="99"/>
  <c r="AS104" i="99"/>
  <c r="AR104" i="99"/>
  <c r="AQ104" i="99"/>
  <c r="AP104" i="99"/>
  <c r="B104" i="99"/>
  <c r="CY103" i="99"/>
  <c r="CB103" i="99"/>
  <c r="BF103" i="99"/>
  <c r="BE103" i="99"/>
  <c r="BD103" i="99"/>
  <c r="BC103" i="99"/>
  <c r="BB103" i="99"/>
  <c r="BA103" i="99"/>
  <c r="AZ103" i="99"/>
  <c r="AY103" i="99"/>
  <c r="AX103" i="99"/>
  <c r="AW103" i="99"/>
  <c r="AV103" i="99"/>
  <c r="AU103" i="99"/>
  <c r="AT103" i="99"/>
  <c r="AS103" i="99"/>
  <c r="AR103" i="99"/>
  <c r="AQ103" i="99"/>
  <c r="AP103" i="99"/>
  <c r="B103" i="99"/>
  <c r="CY102" i="99"/>
  <c r="CB102" i="99"/>
  <c r="BF102" i="99"/>
  <c r="BE102" i="99"/>
  <c r="BD102" i="99"/>
  <c r="BC102" i="99"/>
  <c r="BB102" i="99"/>
  <c r="BA102" i="99"/>
  <c r="AZ102" i="99"/>
  <c r="AY102" i="99"/>
  <c r="AX102" i="99"/>
  <c r="AW102" i="99"/>
  <c r="AV102" i="99"/>
  <c r="AU102" i="99"/>
  <c r="AT102" i="99"/>
  <c r="AS102" i="99"/>
  <c r="AR102" i="99"/>
  <c r="AQ102" i="99"/>
  <c r="AP102" i="99"/>
  <c r="B102" i="99"/>
  <c r="CY101" i="99"/>
  <c r="CB101" i="99"/>
  <c r="BF101" i="99"/>
  <c r="BE101" i="99"/>
  <c r="BD101" i="99"/>
  <c r="BC101" i="99"/>
  <c r="BB101" i="99"/>
  <c r="BA101" i="99"/>
  <c r="AZ101" i="99"/>
  <c r="AY101" i="99"/>
  <c r="AX101" i="99"/>
  <c r="AW101" i="99"/>
  <c r="AV101" i="99"/>
  <c r="AU101" i="99"/>
  <c r="AT101" i="99"/>
  <c r="AS101" i="99"/>
  <c r="AR101" i="99"/>
  <c r="AQ101" i="99"/>
  <c r="AP101" i="99"/>
  <c r="B101" i="99"/>
  <c r="CY100" i="99"/>
  <c r="CB100" i="99"/>
  <c r="I100" i="27" s="1"/>
  <c r="S100" i="27" s="1"/>
  <c r="BF100" i="99"/>
  <c r="BE100" i="99"/>
  <c r="BD100" i="99"/>
  <c r="BC100" i="99"/>
  <c r="BB100" i="99"/>
  <c r="BA100" i="99"/>
  <c r="AZ100" i="99"/>
  <c r="AY100" i="99"/>
  <c r="AX100" i="99"/>
  <c r="AW100" i="99"/>
  <c r="AV100" i="99"/>
  <c r="AU100" i="99"/>
  <c r="AT100" i="99"/>
  <c r="AS100" i="99"/>
  <c r="AR100" i="99"/>
  <c r="AQ100" i="99"/>
  <c r="AP100" i="99"/>
  <c r="B100" i="99"/>
  <c r="CY99" i="99"/>
  <c r="CF99" i="99"/>
  <c r="CB99" i="99"/>
  <c r="I99" i="41" s="1"/>
  <c r="R99" i="41" s="1"/>
  <c r="BF99" i="99"/>
  <c r="BE99" i="99"/>
  <c r="BD99" i="99"/>
  <c r="BC99" i="99"/>
  <c r="BB99" i="99"/>
  <c r="BA99" i="99"/>
  <c r="AZ99" i="99"/>
  <c r="AY99" i="99"/>
  <c r="AX99" i="99"/>
  <c r="AW99" i="99"/>
  <c r="AV99" i="99"/>
  <c r="AU99" i="99"/>
  <c r="AT99" i="99"/>
  <c r="AS99" i="99"/>
  <c r="AR99" i="99"/>
  <c r="AQ99" i="99"/>
  <c r="AP99" i="99"/>
  <c r="B99" i="99"/>
  <c r="CY98" i="99"/>
  <c r="CE98" i="99"/>
  <c r="CE99" i="99" s="1"/>
  <c r="CE100" i="99" s="1"/>
  <c r="CE101" i="99" s="1"/>
  <c r="CE102" i="99" s="1"/>
  <c r="CE103" i="99" s="1"/>
  <c r="CE104" i="99" s="1"/>
  <c r="CE105" i="99" s="1"/>
  <c r="CE106" i="99" s="1"/>
  <c r="CE107" i="99" s="1"/>
  <c r="CE108" i="99" s="1"/>
  <c r="CE109" i="99" s="1"/>
  <c r="CD98" i="99"/>
  <c r="CD99" i="99" s="1"/>
  <c r="CB98" i="99"/>
  <c r="BF98" i="99"/>
  <c r="BE98" i="99"/>
  <c r="BD98" i="99"/>
  <c r="BC98" i="99"/>
  <c r="BB98" i="99"/>
  <c r="BA98" i="99"/>
  <c r="AZ98" i="99"/>
  <c r="AY98" i="99"/>
  <c r="AX98" i="99"/>
  <c r="AW98" i="99"/>
  <c r="AV98" i="99"/>
  <c r="AU98" i="99"/>
  <c r="AT98" i="99"/>
  <c r="AS98" i="99"/>
  <c r="AR98" i="99"/>
  <c r="AQ98" i="99"/>
  <c r="AP98" i="99"/>
  <c r="CU98" i="99"/>
  <c r="CS98" i="99"/>
  <c r="B98" i="99"/>
  <c r="CY97" i="99"/>
  <c r="CB97" i="99"/>
  <c r="BF97" i="99"/>
  <c r="BE97" i="99"/>
  <c r="BD97" i="99"/>
  <c r="BC97" i="99"/>
  <c r="BB97" i="99"/>
  <c r="BA97" i="99"/>
  <c r="AZ97" i="99"/>
  <c r="AY97" i="99"/>
  <c r="AX97" i="99"/>
  <c r="AW97" i="99"/>
  <c r="AV97" i="99"/>
  <c r="AU97" i="99"/>
  <c r="AT97" i="99"/>
  <c r="AS97" i="99"/>
  <c r="AR97" i="99"/>
  <c r="AQ97" i="99"/>
  <c r="AP97" i="99"/>
  <c r="CT97" i="99"/>
  <c r="CR97" i="99"/>
  <c r="CP97" i="99"/>
  <c r="CN97" i="99"/>
  <c r="CL97" i="99"/>
  <c r="CJ97" i="99"/>
  <c r="CH97" i="99"/>
  <c r="B97" i="99"/>
  <c r="CY96" i="99"/>
  <c r="CB96" i="99"/>
  <c r="I96" i="27" s="1"/>
  <c r="S96" i="27" s="1"/>
  <c r="BF96" i="99"/>
  <c r="BE96" i="99"/>
  <c r="BD96" i="99"/>
  <c r="BC96" i="99"/>
  <c r="BB96" i="99"/>
  <c r="BA96" i="99"/>
  <c r="AZ96" i="99"/>
  <c r="AY96" i="99"/>
  <c r="AX96" i="99"/>
  <c r="AW96" i="99"/>
  <c r="AV96" i="99"/>
  <c r="AU96" i="99"/>
  <c r="AT96" i="99"/>
  <c r="AS96" i="99"/>
  <c r="AR96" i="99"/>
  <c r="AQ96" i="99"/>
  <c r="AP96" i="99"/>
  <c r="CU96" i="99"/>
  <c r="CS96" i="99"/>
  <c r="CQ96" i="99"/>
  <c r="CO96" i="99"/>
  <c r="CM96" i="99"/>
  <c r="CK96" i="99"/>
  <c r="CI96" i="99"/>
  <c r="B96" i="99"/>
  <c r="CY95" i="99"/>
  <c r="CS95" i="99"/>
  <c r="CB95" i="99"/>
  <c r="BF95" i="99"/>
  <c r="BE95" i="99"/>
  <c r="BD95" i="99"/>
  <c r="BC95" i="99"/>
  <c r="BB95" i="99"/>
  <c r="BA95" i="99"/>
  <c r="AZ95" i="99"/>
  <c r="AY95" i="99"/>
  <c r="AX95" i="99"/>
  <c r="AW95" i="99"/>
  <c r="AV95" i="99"/>
  <c r="AU95" i="99"/>
  <c r="AT95" i="99"/>
  <c r="AS95" i="99"/>
  <c r="AR95" i="99"/>
  <c r="AQ95" i="99"/>
  <c r="AP95" i="99"/>
  <c r="CT95" i="99"/>
  <c r="CR95" i="99"/>
  <c r="CQ95" i="99"/>
  <c r="CP95" i="99"/>
  <c r="CO95" i="99"/>
  <c r="CN95" i="99"/>
  <c r="CM95" i="99"/>
  <c r="CL95" i="99"/>
  <c r="CJ95" i="99"/>
  <c r="CH95" i="99"/>
  <c r="B95" i="99"/>
  <c r="CY94" i="99"/>
  <c r="CB94" i="99"/>
  <c r="I94" i="41" s="1"/>
  <c r="R94" i="41" s="1"/>
  <c r="BF94" i="99"/>
  <c r="BE94" i="99"/>
  <c r="BD94" i="99"/>
  <c r="BC94" i="99"/>
  <c r="BB94" i="99"/>
  <c r="BA94" i="99"/>
  <c r="AZ94" i="99"/>
  <c r="AY94" i="99"/>
  <c r="AX94" i="99"/>
  <c r="AW94" i="99"/>
  <c r="AV94" i="99"/>
  <c r="AU94" i="99"/>
  <c r="AT94" i="99"/>
  <c r="AS94" i="99"/>
  <c r="AR94" i="99"/>
  <c r="AQ94" i="99"/>
  <c r="AP94" i="99"/>
  <c r="CU94" i="99"/>
  <c r="CS94" i="99"/>
  <c r="CQ94" i="99"/>
  <c r="CO94" i="99"/>
  <c r="CM94" i="99"/>
  <c r="CK94" i="99"/>
  <c r="CI94" i="99"/>
  <c r="B94" i="99"/>
  <c r="CY93" i="99"/>
  <c r="CI93" i="99"/>
  <c r="CB93" i="99"/>
  <c r="BF93" i="99"/>
  <c r="BE93" i="99"/>
  <c r="BD93" i="99"/>
  <c r="BC93" i="99"/>
  <c r="BB93" i="99"/>
  <c r="BA93" i="99"/>
  <c r="AZ93" i="99"/>
  <c r="AY93" i="99"/>
  <c r="AX93" i="99"/>
  <c r="AW93" i="99"/>
  <c r="AV93" i="99"/>
  <c r="AU93" i="99"/>
  <c r="AT93" i="99"/>
  <c r="AS93" i="99"/>
  <c r="AR93" i="99"/>
  <c r="AQ93" i="99"/>
  <c r="AP93" i="99"/>
  <c r="CT93" i="99"/>
  <c r="CS93" i="99"/>
  <c r="CR93" i="99"/>
  <c r="CP93" i="99"/>
  <c r="CN93" i="99"/>
  <c r="CL93" i="99"/>
  <c r="CJ93" i="99"/>
  <c r="CH93" i="99"/>
  <c r="B93" i="99"/>
  <c r="CY92" i="99"/>
  <c r="CB92" i="99"/>
  <c r="BF92" i="99"/>
  <c r="BE92" i="99"/>
  <c r="BD92" i="99"/>
  <c r="BC92" i="99"/>
  <c r="BB92" i="99"/>
  <c r="BA92" i="99"/>
  <c r="AZ92" i="99"/>
  <c r="AY92" i="99"/>
  <c r="AX92" i="99"/>
  <c r="AW92" i="99"/>
  <c r="AV92" i="99"/>
  <c r="AU92" i="99"/>
  <c r="AT92" i="99"/>
  <c r="AS92" i="99"/>
  <c r="AR92" i="99"/>
  <c r="AQ92" i="99"/>
  <c r="AP92" i="99"/>
  <c r="CU92" i="99"/>
  <c r="CS92" i="99"/>
  <c r="CQ92" i="99"/>
  <c r="CO92" i="99"/>
  <c r="CM92" i="99"/>
  <c r="CK92" i="99"/>
  <c r="CI92" i="99"/>
  <c r="B92" i="99"/>
  <c r="DA91" i="99"/>
  <c r="CY91" i="99"/>
  <c r="CB91" i="99"/>
  <c r="BF91" i="99"/>
  <c r="BE91" i="99"/>
  <c r="BD91" i="99"/>
  <c r="BC91" i="99"/>
  <c r="BB91" i="99"/>
  <c r="BA91" i="99"/>
  <c r="AZ91" i="99"/>
  <c r="AY91" i="99"/>
  <c r="AX91" i="99"/>
  <c r="AW91" i="99"/>
  <c r="AV91" i="99"/>
  <c r="AU91" i="99"/>
  <c r="AT91" i="99"/>
  <c r="AS91" i="99"/>
  <c r="AR91" i="99"/>
  <c r="AQ91" i="99"/>
  <c r="AP91" i="99"/>
  <c r="CU91" i="99"/>
  <c r="CT91" i="99"/>
  <c r="CR91" i="99"/>
  <c r="CP91" i="99"/>
  <c r="CN91" i="99"/>
  <c r="CL91" i="99"/>
  <c r="CJ91" i="99"/>
  <c r="CH91" i="99"/>
  <c r="B91" i="99"/>
  <c r="CY90" i="99"/>
  <c r="CB90" i="99"/>
  <c r="BF90" i="99"/>
  <c r="BE90" i="99"/>
  <c r="BD90" i="99"/>
  <c r="BC90" i="99"/>
  <c r="BB90" i="99"/>
  <c r="BA90" i="99"/>
  <c r="AZ90" i="99"/>
  <c r="AY90" i="99"/>
  <c r="AX90" i="99"/>
  <c r="AW90" i="99"/>
  <c r="AV90" i="99"/>
  <c r="AU90" i="99"/>
  <c r="AT90" i="99"/>
  <c r="AS90" i="99"/>
  <c r="AR90" i="99"/>
  <c r="AQ90" i="99"/>
  <c r="AP90" i="99"/>
  <c r="CU90" i="99"/>
  <c r="CS90" i="99"/>
  <c r="CR90" i="99"/>
  <c r="CQ90" i="99"/>
  <c r="CO90" i="99"/>
  <c r="CN90" i="99"/>
  <c r="CM90" i="99"/>
  <c r="CK90" i="99"/>
  <c r="CJ90" i="99"/>
  <c r="CI90" i="99"/>
  <c r="B90" i="99"/>
  <c r="CY89" i="99"/>
  <c r="CB89" i="99"/>
  <c r="BF89" i="99"/>
  <c r="BE89" i="99"/>
  <c r="BD89" i="99"/>
  <c r="BC89" i="99"/>
  <c r="BB89" i="99"/>
  <c r="BA89" i="99"/>
  <c r="AZ89" i="99"/>
  <c r="AY89" i="99"/>
  <c r="AX89" i="99"/>
  <c r="AW89" i="99"/>
  <c r="AV89" i="99"/>
  <c r="AU89" i="99"/>
  <c r="AT89" i="99"/>
  <c r="AS89" i="99"/>
  <c r="AR89" i="99"/>
  <c r="AQ89" i="99"/>
  <c r="AP89" i="99"/>
  <c r="CT89" i="99"/>
  <c r="CR89" i="99"/>
  <c r="CP89" i="99"/>
  <c r="CN89" i="99"/>
  <c r="CL89" i="99"/>
  <c r="CJ89" i="99"/>
  <c r="CH89" i="99"/>
  <c r="B89" i="99"/>
  <c r="CY88" i="99"/>
  <c r="CO88" i="99"/>
  <c r="CB88" i="99"/>
  <c r="BF88" i="99"/>
  <c r="BE88" i="99"/>
  <c r="BD88" i="99"/>
  <c r="BC88" i="99"/>
  <c r="BB88" i="99"/>
  <c r="BA88" i="99"/>
  <c r="AZ88" i="99"/>
  <c r="AY88" i="99"/>
  <c r="AX88" i="99"/>
  <c r="AW88" i="99"/>
  <c r="AV88" i="99"/>
  <c r="AU88" i="99"/>
  <c r="AT88" i="99"/>
  <c r="AS88" i="99"/>
  <c r="AR88" i="99"/>
  <c r="AQ88" i="99"/>
  <c r="AP88" i="99"/>
  <c r="CU88" i="99"/>
  <c r="CS88" i="99"/>
  <c r="CQ88" i="99"/>
  <c r="CN88" i="99"/>
  <c r="CM88" i="99"/>
  <c r="CL88" i="99"/>
  <c r="CK88" i="99"/>
  <c r="CJ88" i="99"/>
  <c r="CI88" i="99"/>
  <c r="CH88" i="99"/>
  <c r="B88" i="99"/>
  <c r="CY87" i="99"/>
  <c r="CF87" i="99"/>
  <c r="DK87" i="99" s="1"/>
  <c r="CB87" i="99"/>
  <c r="BF87" i="99"/>
  <c r="BE87" i="99"/>
  <c r="BD87" i="99"/>
  <c r="BC87" i="99"/>
  <c r="BB87" i="99"/>
  <c r="BA87" i="99"/>
  <c r="AZ87" i="99"/>
  <c r="AY87" i="99"/>
  <c r="AX87" i="99"/>
  <c r="AW87" i="99"/>
  <c r="AV87" i="99"/>
  <c r="AU87" i="99"/>
  <c r="AT87" i="99"/>
  <c r="AS87" i="99"/>
  <c r="AR87" i="99"/>
  <c r="AQ87" i="99"/>
  <c r="AP87" i="99"/>
  <c r="CT87" i="99"/>
  <c r="CR87" i="99"/>
  <c r="CP87" i="99"/>
  <c r="CN87" i="99"/>
  <c r="CL87" i="99"/>
  <c r="CK87" i="99"/>
  <c r="CJ87" i="99"/>
  <c r="CH87" i="99"/>
  <c r="B87" i="99"/>
  <c r="CY86" i="99"/>
  <c r="CM86" i="99"/>
  <c r="CB86" i="99"/>
  <c r="BF86" i="99"/>
  <c r="BE86" i="99"/>
  <c r="BD86" i="99"/>
  <c r="BC86" i="99"/>
  <c r="BB86" i="99"/>
  <c r="BA86" i="99"/>
  <c r="AZ86" i="99"/>
  <c r="AY86" i="99"/>
  <c r="AX86" i="99"/>
  <c r="AW86" i="99"/>
  <c r="AV86" i="99"/>
  <c r="AU86" i="99"/>
  <c r="AT86" i="99"/>
  <c r="AS86" i="99"/>
  <c r="AR86" i="99"/>
  <c r="AQ86" i="99"/>
  <c r="AP86" i="99"/>
  <c r="CQ86" i="99"/>
  <c r="B86" i="99"/>
  <c r="CY85" i="99"/>
  <c r="CP85" i="99"/>
  <c r="CB85" i="99"/>
  <c r="I85" i="84" s="1"/>
  <c r="I133" i="84" s="1"/>
  <c r="BX85" i="99"/>
  <c r="BX97" i="99" s="1"/>
  <c r="BX109" i="99" s="1"/>
  <c r="BX121" i="99" s="1"/>
  <c r="BW85" i="99"/>
  <c r="BW97" i="99" s="1"/>
  <c r="BW109" i="99" s="1"/>
  <c r="BW121" i="99" s="1"/>
  <c r="BV85" i="99"/>
  <c r="BV97" i="99" s="1"/>
  <c r="BV109" i="99" s="1"/>
  <c r="BV121" i="99" s="1"/>
  <c r="BU85" i="99"/>
  <c r="BT85" i="99"/>
  <c r="BT97" i="99" s="1"/>
  <c r="BT109" i="99" s="1"/>
  <c r="BT121" i="99" s="1"/>
  <c r="BS85" i="99"/>
  <c r="BS97" i="99" s="1"/>
  <c r="BS109" i="99" s="1"/>
  <c r="BS121" i="99" s="1"/>
  <c r="BR85" i="99"/>
  <c r="BR97" i="99" s="1"/>
  <c r="BR109" i="99" s="1"/>
  <c r="BR121" i="99" s="1"/>
  <c r="BQ85" i="99"/>
  <c r="BQ97" i="99" s="1"/>
  <c r="BQ109" i="99" s="1"/>
  <c r="BQ121" i="99" s="1"/>
  <c r="BP85" i="99"/>
  <c r="BP97" i="99" s="1"/>
  <c r="BP109" i="99" s="1"/>
  <c r="BP121" i="99" s="1"/>
  <c r="BO85" i="99"/>
  <c r="BO97" i="99" s="1"/>
  <c r="BO109" i="99" s="1"/>
  <c r="BO121" i="99" s="1"/>
  <c r="BN85" i="99"/>
  <c r="BN97" i="99" s="1"/>
  <c r="BN109" i="99" s="1"/>
  <c r="BN121" i="99" s="1"/>
  <c r="BM85" i="99"/>
  <c r="BM97" i="99" s="1"/>
  <c r="BM109" i="99" s="1"/>
  <c r="BM121" i="99" s="1"/>
  <c r="BF85" i="99"/>
  <c r="BE85" i="99"/>
  <c r="BD85" i="99"/>
  <c r="BC85" i="99"/>
  <c r="BB85" i="99"/>
  <c r="BA85" i="99"/>
  <c r="AZ85" i="99"/>
  <c r="AY85" i="99"/>
  <c r="AX85" i="99"/>
  <c r="AW85" i="99"/>
  <c r="AV85" i="99"/>
  <c r="AU85" i="99"/>
  <c r="AT85" i="99"/>
  <c r="AS85" i="99"/>
  <c r="AR85" i="99"/>
  <c r="AQ85" i="99"/>
  <c r="AP85" i="99"/>
  <c r="CT85" i="99"/>
  <c r="CS85" i="99"/>
  <c r="CR85" i="99"/>
  <c r="CN85" i="99"/>
  <c r="CM85" i="99"/>
  <c r="CL85" i="99"/>
  <c r="CJ85" i="99"/>
  <c r="CI85" i="99"/>
  <c r="CH85" i="99"/>
  <c r="B85" i="99"/>
  <c r="CY84" i="99"/>
  <c r="CB84" i="99"/>
  <c r="BX84" i="99"/>
  <c r="BX96" i="99" s="1"/>
  <c r="BX108" i="99" s="1"/>
  <c r="BX120" i="99" s="1"/>
  <c r="BW84" i="99"/>
  <c r="BW96" i="99" s="1"/>
  <c r="BW108" i="99" s="1"/>
  <c r="BW120" i="99" s="1"/>
  <c r="BV84" i="99"/>
  <c r="BV96" i="99" s="1"/>
  <c r="BV108" i="99" s="1"/>
  <c r="BV120" i="99" s="1"/>
  <c r="BU84" i="99"/>
  <c r="BT84" i="99"/>
  <c r="BT96" i="99" s="1"/>
  <c r="BT108" i="99" s="1"/>
  <c r="BT120" i="99" s="1"/>
  <c r="BS84" i="99"/>
  <c r="BS96" i="99" s="1"/>
  <c r="BS108" i="99" s="1"/>
  <c r="BS120" i="99" s="1"/>
  <c r="BR84" i="99"/>
  <c r="BR96" i="99" s="1"/>
  <c r="BR108" i="99" s="1"/>
  <c r="BR120" i="99" s="1"/>
  <c r="BQ84" i="99"/>
  <c r="BQ96" i="99" s="1"/>
  <c r="BQ108" i="99" s="1"/>
  <c r="BQ120" i="99" s="1"/>
  <c r="BP84" i="99"/>
  <c r="BP96" i="99" s="1"/>
  <c r="BP108" i="99" s="1"/>
  <c r="BP120" i="99" s="1"/>
  <c r="BO84" i="99"/>
  <c r="BO96" i="99" s="1"/>
  <c r="BO108" i="99" s="1"/>
  <c r="BO120" i="99" s="1"/>
  <c r="BN84" i="99"/>
  <c r="BN96" i="99" s="1"/>
  <c r="BN108" i="99" s="1"/>
  <c r="BN120" i="99" s="1"/>
  <c r="BM84" i="99"/>
  <c r="BM96" i="99" s="1"/>
  <c r="BM108" i="99" s="1"/>
  <c r="BM120" i="99" s="1"/>
  <c r="BF84" i="99"/>
  <c r="BE84" i="99"/>
  <c r="BD84" i="99"/>
  <c r="BC84" i="99"/>
  <c r="BB84" i="99"/>
  <c r="BA84" i="99"/>
  <c r="AZ84" i="99"/>
  <c r="AY84" i="99"/>
  <c r="AX84" i="99"/>
  <c r="AW84" i="99"/>
  <c r="AV84" i="99"/>
  <c r="AU84" i="99"/>
  <c r="AT84" i="99"/>
  <c r="AS84" i="99"/>
  <c r="AR84" i="99"/>
  <c r="AQ84" i="99"/>
  <c r="AP84" i="99"/>
  <c r="CU84" i="99"/>
  <c r="CS84" i="99"/>
  <c r="CQ84" i="99"/>
  <c r="CO84" i="99"/>
  <c r="CM84" i="99"/>
  <c r="CK84" i="99"/>
  <c r="CI84" i="99"/>
  <c r="B84" i="99"/>
  <c r="CY83" i="99"/>
  <c r="CB83" i="99"/>
  <c r="BX83" i="99"/>
  <c r="BX95" i="99" s="1"/>
  <c r="BX107" i="99" s="1"/>
  <c r="BX119" i="99" s="1"/>
  <c r="BW83" i="99"/>
  <c r="BW95" i="99" s="1"/>
  <c r="BW107" i="99" s="1"/>
  <c r="BW119" i="99" s="1"/>
  <c r="BV83" i="99"/>
  <c r="BV95" i="99" s="1"/>
  <c r="BV107" i="99" s="1"/>
  <c r="BV119" i="99" s="1"/>
  <c r="BU83" i="99"/>
  <c r="BT83" i="99"/>
  <c r="BT95" i="99" s="1"/>
  <c r="BT107" i="99" s="1"/>
  <c r="BT119" i="99" s="1"/>
  <c r="BS83" i="99"/>
  <c r="BS95" i="99" s="1"/>
  <c r="BS107" i="99" s="1"/>
  <c r="BS119" i="99" s="1"/>
  <c r="BR83" i="99"/>
  <c r="BR95" i="99" s="1"/>
  <c r="BR107" i="99" s="1"/>
  <c r="BR119" i="99" s="1"/>
  <c r="BQ83" i="99"/>
  <c r="BQ95" i="99" s="1"/>
  <c r="BQ107" i="99" s="1"/>
  <c r="BQ119" i="99" s="1"/>
  <c r="BP83" i="99"/>
  <c r="BP95" i="99" s="1"/>
  <c r="BP107" i="99" s="1"/>
  <c r="BP119" i="99" s="1"/>
  <c r="BO83" i="99"/>
  <c r="BO95" i="99" s="1"/>
  <c r="BO107" i="99" s="1"/>
  <c r="BO119" i="99" s="1"/>
  <c r="BN83" i="99"/>
  <c r="BN95" i="99" s="1"/>
  <c r="BN107" i="99" s="1"/>
  <c r="BN119" i="99" s="1"/>
  <c r="BM83" i="99"/>
  <c r="BM95" i="99" s="1"/>
  <c r="BM107" i="99" s="1"/>
  <c r="BM119" i="99" s="1"/>
  <c r="BF83" i="99"/>
  <c r="BE83" i="99"/>
  <c r="BD83" i="99"/>
  <c r="BC83" i="99"/>
  <c r="BB83" i="99"/>
  <c r="BA83" i="99"/>
  <c r="AZ83" i="99"/>
  <c r="AY83" i="99"/>
  <c r="AX83" i="99"/>
  <c r="AW83" i="99"/>
  <c r="AV83" i="99"/>
  <c r="AU83" i="99"/>
  <c r="AT83" i="99"/>
  <c r="AS83" i="99"/>
  <c r="AR83" i="99"/>
  <c r="AQ83" i="99"/>
  <c r="AP83" i="99"/>
  <c r="CT83" i="99"/>
  <c r="CS83" i="99"/>
  <c r="CR83" i="99"/>
  <c r="CP83" i="99"/>
  <c r="CO83" i="99"/>
  <c r="CN83" i="99"/>
  <c r="CL83" i="99"/>
  <c r="CK83" i="99"/>
  <c r="CJ83" i="99"/>
  <c r="CH83" i="99"/>
  <c r="B83" i="99"/>
  <c r="CY82" i="99"/>
  <c r="CU82" i="99"/>
  <c r="CQ82" i="99"/>
  <c r="CB82" i="99"/>
  <c r="BX82" i="99"/>
  <c r="BX94" i="99" s="1"/>
  <c r="BX106" i="99" s="1"/>
  <c r="BX118" i="99" s="1"/>
  <c r="BW82" i="99"/>
  <c r="BW94" i="99" s="1"/>
  <c r="BW106" i="99" s="1"/>
  <c r="BW118" i="99" s="1"/>
  <c r="BV82" i="99"/>
  <c r="BV94" i="99" s="1"/>
  <c r="BV106" i="99" s="1"/>
  <c r="BV118" i="99" s="1"/>
  <c r="BU82" i="99"/>
  <c r="BT82" i="99"/>
  <c r="BT94" i="99" s="1"/>
  <c r="BT106" i="99" s="1"/>
  <c r="BT118" i="99" s="1"/>
  <c r="BS82" i="99"/>
  <c r="BS94" i="99" s="1"/>
  <c r="BS106" i="99" s="1"/>
  <c r="BS118" i="99" s="1"/>
  <c r="BR82" i="99"/>
  <c r="BR94" i="99" s="1"/>
  <c r="BR106" i="99" s="1"/>
  <c r="BR118" i="99" s="1"/>
  <c r="BQ82" i="99"/>
  <c r="BQ94" i="99" s="1"/>
  <c r="BQ106" i="99" s="1"/>
  <c r="BQ118" i="99" s="1"/>
  <c r="BP82" i="99"/>
  <c r="BP94" i="99" s="1"/>
  <c r="BP106" i="99" s="1"/>
  <c r="BP118" i="99" s="1"/>
  <c r="BO82" i="99"/>
  <c r="BO94" i="99" s="1"/>
  <c r="BO106" i="99" s="1"/>
  <c r="BO118" i="99" s="1"/>
  <c r="BN82" i="99"/>
  <c r="BN94" i="99" s="1"/>
  <c r="BN106" i="99" s="1"/>
  <c r="BN118" i="99" s="1"/>
  <c r="BM82" i="99"/>
  <c r="BM94" i="99" s="1"/>
  <c r="BM106" i="99" s="1"/>
  <c r="BM118" i="99" s="1"/>
  <c r="BF82" i="99"/>
  <c r="BE82" i="99"/>
  <c r="BD82" i="99"/>
  <c r="BC82" i="99"/>
  <c r="BB82" i="99"/>
  <c r="BA82" i="99"/>
  <c r="AZ82" i="99"/>
  <c r="AY82" i="99"/>
  <c r="AX82" i="99"/>
  <c r="AW82" i="99"/>
  <c r="AV82" i="99"/>
  <c r="AU82" i="99"/>
  <c r="AT82" i="99"/>
  <c r="AS82" i="99"/>
  <c r="AR82" i="99"/>
  <c r="AQ82" i="99"/>
  <c r="AP82" i="99"/>
  <c r="CS82" i="99"/>
  <c r="CO82" i="99"/>
  <c r="CM82" i="99"/>
  <c r="CK82" i="99"/>
  <c r="CI82" i="99"/>
  <c r="B82" i="99"/>
  <c r="CY81" i="99"/>
  <c r="CB81" i="99"/>
  <c r="BX81" i="99"/>
  <c r="BX93" i="99" s="1"/>
  <c r="BX105" i="99" s="1"/>
  <c r="BX117" i="99" s="1"/>
  <c r="BW81" i="99"/>
  <c r="BW93" i="99" s="1"/>
  <c r="BW105" i="99" s="1"/>
  <c r="BW117" i="99" s="1"/>
  <c r="BV81" i="99"/>
  <c r="BV93" i="99" s="1"/>
  <c r="BV105" i="99" s="1"/>
  <c r="BV117" i="99" s="1"/>
  <c r="BU81" i="99"/>
  <c r="BT81" i="99"/>
  <c r="BT93" i="99" s="1"/>
  <c r="BT105" i="99" s="1"/>
  <c r="BT117" i="99" s="1"/>
  <c r="BS81" i="99"/>
  <c r="BS93" i="99" s="1"/>
  <c r="BS105" i="99" s="1"/>
  <c r="BS117" i="99" s="1"/>
  <c r="BR81" i="99"/>
  <c r="BR93" i="99" s="1"/>
  <c r="BR105" i="99" s="1"/>
  <c r="BR117" i="99" s="1"/>
  <c r="BQ81" i="99"/>
  <c r="BQ93" i="99" s="1"/>
  <c r="BQ105" i="99" s="1"/>
  <c r="BQ117" i="99" s="1"/>
  <c r="BP81" i="99"/>
  <c r="BP93" i="99" s="1"/>
  <c r="BP105" i="99" s="1"/>
  <c r="BP117" i="99" s="1"/>
  <c r="BO81" i="99"/>
  <c r="BO93" i="99" s="1"/>
  <c r="BO105" i="99" s="1"/>
  <c r="BO117" i="99" s="1"/>
  <c r="BN81" i="99"/>
  <c r="BN93" i="99" s="1"/>
  <c r="BN105" i="99" s="1"/>
  <c r="BN117" i="99" s="1"/>
  <c r="BM81" i="99"/>
  <c r="BM93" i="99" s="1"/>
  <c r="BM105" i="99" s="1"/>
  <c r="BM117" i="99" s="1"/>
  <c r="BF81" i="99"/>
  <c r="BE81" i="99"/>
  <c r="BD81" i="99"/>
  <c r="BC81" i="99"/>
  <c r="BB81" i="99"/>
  <c r="BA81" i="99"/>
  <c r="AZ81" i="99"/>
  <c r="AY81" i="99"/>
  <c r="AX81" i="99"/>
  <c r="AW81" i="99"/>
  <c r="AV81" i="99"/>
  <c r="AU81" i="99"/>
  <c r="AT81" i="99"/>
  <c r="AS81" i="99"/>
  <c r="AR81" i="99"/>
  <c r="AQ81" i="99"/>
  <c r="AP81" i="99"/>
  <c r="CU81" i="99"/>
  <c r="CT81" i="99"/>
  <c r="CR81" i="99"/>
  <c r="CQ81" i="99"/>
  <c r="CP81" i="99"/>
  <c r="CN81" i="99"/>
  <c r="CM81" i="99"/>
  <c r="CL81" i="99"/>
  <c r="CJ81" i="99"/>
  <c r="CI81" i="99"/>
  <c r="CH81" i="99"/>
  <c r="B81" i="99"/>
  <c r="CY80" i="99"/>
  <c r="CB80" i="99"/>
  <c r="I80" i="27" s="1"/>
  <c r="S80" i="27" s="1"/>
  <c r="BX80" i="99"/>
  <c r="BX92" i="99" s="1"/>
  <c r="BX104" i="99" s="1"/>
  <c r="BX116" i="99" s="1"/>
  <c r="BW80" i="99"/>
  <c r="BW92" i="99" s="1"/>
  <c r="BW104" i="99" s="1"/>
  <c r="BW116" i="99" s="1"/>
  <c r="BV80" i="99"/>
  <c r="BV92" i="99" s="1"/>
  <c r="BV104" i="99" s="1"/>
  <c r="BV116" i="99" s="1"/>
  <c r="BU80" i="99"/>
  <c r="BT80" i="99"/>
  <c r="BT92" i="99" s="1"/>
  <c r="BT104" i="99" s="1"/>
  <c r="BT116" i="99" s="1"/>
  <c r="BS80" i="99"/>
  <c r="BS92" i="99" s="1"/>
  <c r="BS104" i="99" s="1"/>
  <c r="BS116" i="99" s="1"/>
  <c r="BR80" i="99"/>
  <c r="BR92" i="99" s="1"/>
  <c r="BR104" i="99" s="1"/>
  <c r="BR116" i="99" s="1"/>
  <c r="BQ80" i="99"/>
  <c r="BQ92" i="99" s="1"/>
  <c r="BQ104" i="99" s="1"/>
  <c r="BQ116" i="99" s="1"/>
  <c r="BP80" i="99"/>
  <c r="BP92" i="99" s="1"/>
  <c r="BP104" i="99" s="1"/>
  <c r="BP116" i="99" s="1"/>
  <c r="BO80" i="99"/>
  <c r="BO92" i="99" s="1"/>
  <c r="BO104" i="99" s="1"/>
  <c r="BO116" i="99" s="1"/>
  <c r="BN80" i="99"/>
  <c r="BN92" i="99" s="1"/>
  <c r="BN104" i="99" s="1"/>
  <c r="BN116" i="99" s="1"/>
  <c r="BM80" i="99"/>
  <c r="BM92" i="99" s="1"/>
  <c r="BM104" i="99" s="1"/>
  <c r="BM116" i="99" s="1"/>
  <c r="BF80" i="99"/>
  <c r="BE80" i="99"/>
  <c r="BD80" i="99"/>
  <c r="BC80" i="99"/>
  <c r="BB80" i="99"/>
  <c r="BA80" i="99"/>
  <c r="AZ80" i="99"/>
  <c r="AY80" i="99"/>
  <c r="AX80" i="99"/>
  <c r="AW80" i="99"/>
  <c r="AV80" i="99"/>
  <c r="AU80" i="99"/>
  <c r="AT80" i="99"/>
  <c r="AS80" i="99"/>
  <c r="AR80" i="99"/>
  <c r="AQ80" i="99"/>
  <c r="AP80" i="99"/>
  <c r="CU80" i="99"/>
  <c r="CS80" i="99"/>
  <c r="CQ80" i="99"/>
  <c r="CO80" i="99"/>
  <c r="CM80" i="99"/>
  <c r="CK80" i="99"/>
  <c r="CI80" i="99"/>
  <c r="B80" i="99"/>
  <c r="CY79" i="99"/>
  <c r="CB79" i="99"/>
  <c r="BX79" i="99"/>
  <c r="BX91" i="99" s="1"/>
  <c r="BX103" i="99" s="1"/>
  <c r="BX115" i="99" s="1"/>
  <c r="BW79" i="99"/>
  <c r="BW91" i="99" s="1"/>
  <c r="BW103" i="99" s="1"/>
  <c r="BW115" i="99" s="1"/>
  <c r="BV79" i="99"/>
  <c r="BV91" i="99" s="1"/>
  <c r="BV103" i="99" s="1"/>
  <c r="BV115" i="99" s="1"/>
  <c r="BU79" i="99"/>
  <c r="BT79" i="99"/>
  <c r="BT91" i="99" s="1"/>
  <c r="BT103" i="99" s="1"/>
  <c r="BT115" i="99" s="1"/>
  <c r="BS79" i="99"/>
  <c r="BS91" i="99" s="1"/>
  <c r="BS103" i="99" s="1"/>
  <c r="BS115" i="99" s="1"/>
  <c r="BR79" i="99"/>
  <c r="BR91" i="99" s="1"/>
  <c r="BR103" i="99" s="1"/>
  <c r="BR115" i="99" s="1"/>
  <c r="BQ79" i="99"/>
  <c r="BQ91" i="99" s="1"/>
  <c r="BQ103" i="99" s="1"/>
  <c r="BQ115" i="99" s="1"/>
  <c r="BP79" i="99"/>
  <c r="BP91" i="99" s="1"/>
  <c r="BP103" i="99" s="1"/>
  <c r="BP115" i="99" s="1"/>
  <c r="BO79" i="99"/>
  <c r="BO91" i="99" s="1"/>
  <c r="BO103" i="99" s="1"/>
  <c r="BO115" i="99" s="1"/>
  <c r="BN79" i="99"/>
  <c r="BN91" i="99" s="1"/>
  <c r="BN103" i="99" s="1"/>
  <c r="BN115" i="99" s="1"/>
  <c r="BM79" i="99"/>
  <c r="BM91" i="99" s="1"/>
  <c r="BM103" i="99" s="1"/>
  <c r="BM115" i="99" s="1"/>
  <c r="BF79" i="99"/>
  <c r="BE79" i="99"/>
  <c r="BD79" i="99"/>
  <c r="BC79" i="99"/>
  <c r="BB79" i="99"/>
  <c r="BA79" i="99"/>
  <c r="AZ79" i="99"/>
  <c r="AY79" i="99"/>
  <c r="AX79" i="99"/>
  <c r="AW79" i="99"/>
  <c r="AV79" i="99"/>
  <c r="AU79" i="99"/>
  <c r="AT79" i="99"/>
  <c r="AS79" i="99"/>
  <c r="AR79" i="99"/>
  <c r="AQ79" i="99"/>
  <c r="AP79" i="99"/>
  <c r="CT79" i="99"/>
  <c r="CS79" i="99"/>
  <c r="CR79" i="99"/>
  <c r="CP79" i="99"/>
  <c r="CO79" i="99"/>
  <c r="CN79" i="99"/>
  <c r="CL79" i="99"/>
  <c r="CK79" i="99"/>
  <c r="CJ79" i="99"/>
  <c r="CH79" i="99"/>
  <c r="B79" i="99"/>
  <c r="CY78" i="99"/>
  <c r="CF78" i="99"/>
  <c r="CB78" i="99"/>
  <c r="BX78" i="99"/>
  <c r="BX90" i="99" s="1"/>
  <c r="BX102" i="99" s="1"/>
  <c r="BX114" i="99" s="1"/>
  <c r="BW78" i="99"/>
  <c r="BW90" i="99" s="1"/>
  <c r="BW102" i="99" s="1"/>
  <c r="BW114" i="99" s="1"/>
  <c r="BV78" i="99"/>
  <c r="BV90" i="99" s="1"/>
  <c r="BV102" i="99" s="1"/>
  <c r="BV114" i="99" s="1"/>
  <c r="BU78" i="99"/>
  <c r="BT78" i="99"/>
  <c r="BT90" i="99" s="1"/>
  <c r="BT102" i="99" s="1"/>
  <c r="BT114" i="99" s="1"/>
  <c r="BS78" i="99"/>
  <c r="BS90" i="99" s="1"/>
  <c r="BS102" i="99" s="1"/>
  <c r="BS114" i="99" s="1"/>
  <c r="BR78" i="99"/>
  <c r="BR90" i="99" s="1"/>
  <c r="BR102" i="99" s="1"/>
  <c r="BR114" i="99" s="1"/>
  <c r="BQ78" i="99"/>
  <c r="BQ90" i="99" s="1"/>
  <c r="BQ102" i="99" s="1"/>
  <c r="BQ114" i="99" s="1"/>
  <c r="BP78" i="99"/>
  <c r="BP90" i="99" s="1"/>
  <c r="BP102" i="99" s="1"/>
  <c r="BP114" i="99" s="1"/>
  <c r="BO78" i="99"/>
  <c r="BO90" i="99" s="1"/>
  <c r="BO102" i="99" s="1"/>
  <c r="BO114" i="99" s="1"/>
  <c r="BN78" i="99"/>
  <c r="BN90" i="99" s="1"/>
  <c r="BN102" i="99" s="1"/>
  <c r="BN114" i="99" s="1"/>
  <c r="BM78" i="99"/>
  <c r="BM90" i="99" s="1"/>
  <c r="BM102" i="99" s="1"/>
  <c r="BM114" i="99" s="1"/>
  <c r="BF78" i="99"/>
  <c r="BE78" i="99"/>
  <c r="BD78" i="99"/>
  <c r="BC78" i="99"/>
  <c r="BB78" i="99"/>
  <c r="BA78" i="99"/>
  <c r="AZ78" i="99"/>
  <c r="AY78" i="99"/>
  <c r="AX78" i="99"/>
  <c r="AW78" i="99"/>
  <c r="AV78" i="99"/>
  <c r="AU78" i="99"/>
  <c r="AT78" i="99"/>
  <c r="AS78" i="99"/>
  <c r="AR78" i="99"/>
  <c r="AQ78" i="99"/>
  <c r="AP78" i="99"/>
  <c r="CU78" i="99"/>
  <c r="CS78" i="99"/>
  <c r="CQ78" i="99"/>
  <c r="CO78" i="99"/>
  <c r="CM78" i="99"/>
  <c r="CK78" i="99"/>
  <c r="CJ78" i="99"/>
  <c r="CI78" i="99"/>
  <c r="B78" i="99"/>
  <c r="CY77" i="99"/>
  <c r="CB77" i="99"/>
  <c r="BX77" i="99"/>
  <c r="BX89" i="99" s="1"/>
  <c r="BX101" i="99" s="1"/>
  <c r="BX113" i="99" s="1"/>
  <c r="BW77" i="99"/>
  <c r="BW89" i="99" s="1"/>
  <c r="BW101" i="99" s="1"/>
  <c r="BW113" i="99" s="1"/>
  <c r="BV77" i="99"/>
  <c r="BV89" i="99" s="1"/>
  <c r="BV101" i="99" s="1"/>
  <c r="BV113" i="99" s="1"/>
  <c r="BU77" i="99"/>
  <c r="BT77" i="99"/>
  <c r="BT89" i="99" s="1"/>
  <c r="BT101" i="99" s="1"/>
  <c r="BT113" i="99" s="1"/>
  <c r="BS77" i="99"/>
  <c r="BS89" i="99" s="1"/>
  <c r="BS101" i="99" s="1"/>
  <c r="BS113" i="99" s="1"/>
  <c r="BR77" i="99"/>
  <c r="BR89" i="99" s="1"/>
  <c r="BR101" i="99" s="1"/>
  <c r="BR113" i="99" s="1"/>
  <c r="BQ77" i="99"/>
  <c r="BQ89" i="99" s="1"/>
  <c r="BQ101" i="99" s="1"/>
  <c r="BQ113" i="99" s="1"/>
  <c r="BP77" i="99"/>
  <c r="BP89" i="99" s="1"/>
  <c r="BP101" i="99" s="1"/>
  <c r="BP113" i="99" s="1"/>
  <c r="BO77" i="99"/>
  <c r="BO89" i="99" s="1"/>
  <c r="BO101" i="99" s="1"/>
  <c r="BO113" i="99" s="1"/>
  <c r="BN77" i="99"/>
  <c r="BN89" i="99" s="1"/>
  <c r="BN101" i="99" s="1"/>
  <c r="BN113" i="99" s="1"/>
  <c r="BM77" i="99"/>
  <c r="BM89" i="99" s="1"/>
  <c r="BM101" i="99" s="1"/>
  <c r="BM113" i="99" s="1"/>
  <c r="BF77" i="99"/>
  <c r="BE77" i="99"/>
  <c r="BD77" i="99"/>
  <c r="BC77" i="99"/>
  <c r="BB77" i="99"/>
  <c r="BA77" i="99"/>
  <c r="AZ77" i="99"/>
  <c r="AY77" i="99"/>
  <c r="AX77" i="99"/>
  <c r="AW77" i="99"/>
  <c r="AV77" i="99"/>
  <c r="AU77" i="99"/>
  <c r="AT77" i="99"/>
  <c r="AS77" i="99"/>
  <c r="AR77" i="99"/>
  <c r="AQ77" i="99"/>
  <c r="AP77" i="99"/>
  <c r="B77" i="99"/>
  <c r="CY76" i="99"/>
  <c r="CB76" i="99"/>
  <c r="BX76" i="99"/>
  <c r="BX88" i="99" s="1"/>
  <c r="BX100" i="99" s="1"/>
  <c r="BX112" i="99" s="1"/>
  <c r="BW76" i="99"/>
  <c r="BW88" i="99" s="1"/>
  <c r="BW100" i="99" s="1"/>
  <c r="BW112" i="99" s="1"/>
  <c r="BV76" i="99"/>
  <c r="BV88" i="99" s="1"/>
  <c r="BV100" i="99" s="1"/>
  <c r="BV112" i="99" s="1"/>
  <c r="BU76" i="99"/>
  <c r="BT76" i="99"/>
  <c r="BT88" i="99" s="1"/>
  <c r="BT100" i="99" s="1"/>
  <c r="BT112" i="99" s="1"/>
  <c r="BS76" i="99"/>
  <c r="BS88" i="99" s="1"/>
  <c r="BS100" i="99" s="1"/>
  <c r="BS112" i="99" s="1"/>
  <c r="BR76" i="99"/>
  <c r="BR88" i="99" s="1"/>
  <c r="BR100" i="99" s="1"/>
  <c r="BR112" i="99" s="1"/>
  <c r="BQ76" i="99"/>
  <c r="BQ88" i="99" s="1"/>
  <c r="BQ100" i="99" s="1"/>
  <c r="BQ112" i="99" s="1"/>
  <c r="BP76" i="99"/>
  <c r="BP88" i="99" s="1"/>
  <c r="BP100" i="99" s="1"/>
  <c r="BP112" i="99" s="1"/>
  <c r="BO76" i="99"/>
  <c r="BO88" i="99" s="1"/>
  <c r="BO100" i="99" s="1"/>
  <c r="BO112" i="99" s="1"/>
  <c r="BN76" i="99"/>
  <c r="BN88" i="99" s="1"/>
  <c r="BN100" i="99" s="1"/>
  <c r="BN112" i="99" s="1"/>
  <c r="BM76" i="99"/>
  <c r="BM88" i="99" s="1"/>
  <c r="BM100" i="99" s="1"/>
  <c r="BM112" i="99" s="1"/>
  <c r="BF76" i="99"/>
  <c r="BE76" i="99"/>
  <c r="BD76" i="99"/>
  <c r="BC76" i="99"/>
  <c r="BB76" i="99"/>
  <c r="BA76" i="99"/>
  <c r="AZ76" i="99"/>
  <c r="AY76" i="99"/>
  <c r="AX76" i="99"/>
  <c r="AW76" i="99"/>
  <c r="AV76" i="99"/>
  <c r="AU76" i="99"/>
  <c r="AT76" i="99"/>
  <c r="AS76" i="99"/>
  <c r="AR76" i="99"/>
  <c r="AQ76" i="99"/>
  <c r="AP76" i="99"/>
  <c r="CH76" i="99"/>
  <c r="B76" i="99"/>
  <c r="DT75" i="99"/>
  <c r="DT76" i="99" s="1"/>
  <c r="DT77" i="99" s="1"/>
  <c r="DT78" i="99" s="1"/>
  <c r="DT79" i="99" s="1"/>
  <c r="DT80" i="99" s="1"/>
  <c r="DT81" i="99" s="1"/>
  <c r="DT82" i="99" s="1"/>
  <c r="DT83" i="99" s="1"/>
  <c r="DT84" i="99" s="1"/>
  <c r="DT85" i="99" s="1"/>
  <c r="DT86" i="99" s="1"/>
  <c r="DT87" i="99" s="1"/>
  <c r="DT88" i="99" s="1"/>
  <c r="DT89" i="99" s="1"/>
  <c r="DT90" i="99" s="1"/>
  <c r="DT91" i="99" s="1"/>
  <c r="DT92" i="99" s="1"/>
  <c r="DT93" i="99" s="1"/>
  <c r="DT94" i="99" s="1"/>
  <c r="DT95" i="99" s="1"/>
  <c r="DT96" i="99" s="1"/>
  <c r="DT97" i="99" s="1"/>
  <c r="DT98" i="99" s="1"/>
  <c r="DT99" i="99" s="1"/>
  <c r="DT100" i="99" s="1"/>
  <c r="DT101" i="99" s="1"/>
  <c r="DT102" i="99" s="1"/>
  <c r="DT103" i="99" s="1"/>
  <c r="DT104" i="99" s="1"/>
  <c r="DT105" i="99" s="1"/>
  <c r="DT106" i="99" s="1"/>
  <c r="DT107" i="99" s="1"/>
  <c r="DT108" i="99" s="1"/>
  <c r="DT109" i="99" s="1"/>
  <c r="DT110" i="99" s="1"/>
  <c r="DT111" i="99" s="1"/>
  <c r="DT112" i="99" s="1"/>
  <c r="DT113" i="99" s="1"/>
  <c r="DT114" i="99" s="1"/>
  <c r="DT115" i="99" s="1"/>
  <c r="DT116" i="99" s="1"/>
  <c r="DT117" i="99" s="1"/>
  <c r="DT118" i="99" s="1"/>
  <c r="DT119" i="99" s="1"/>
  <c r="DT120" i="99" s="1"/>
  <c r="DT121" i="99" s="1"/>
  <c r="CY75" i="99"/>
  <c r="CL75" i="99"/>
  <c r="CB75" i="99"/>
  <c r="I75" i="41" s="1"/>
  <c r="R75" i="41" s="1"/>
  <c r="BX75" i="99"/>
  <c r="BX87" i="99" s="1"/>
  <c r="BX99" i="99" s="1"/>
  <c r="BX111" i="99" s="1"/>
  <c r="BW75" i="99"/>
  <c r="BW87" i="99" s="1"/>
  <c r="BW99" i="99" s="1"/>
  <c r="BW111" i="99" s="1"/>
  <c r="BV75" i="99"/>
  <c r="BV87" i="99" s="1"/>
  <c r="BV99" i="99" s="1"/>
  <c r="BV111" i="99" s="1"/>
  <c r="BU75" i="99"/>
  <c r="BT75" i="99"/>
  <c r="BT87" i="99" s="1"/>
  <c r="BT99" i="99" s="1"/>
  <c r="BT111" i="99" s="1"/>
  <c r="BS75" i="99"/>
  <c r="BS87" i="99" s="1"/>
  <c r="BS99" i="99" s="1"/>
  <c r="BS111" i="99" s="1"/>
  <c r="BR75" i="99"/>
  <c r="BR87" i="99" s="1"/>
  <c r="BR99" i="99" s="1"/>
  <c r="BR111" i="99" s="1"/>
  <c r="BQ75" i="99"/>
  <c r="BQ87" i="99" s="1"/>
  <c r="BQ99" i="99" s="1"/>
  <c r="BQ111" i="99" s="1"/>
  <c r="BP75" i="99"/>
  <c r="BP87" i="99" s="1"/>
  <c r="BP99" i="99" s="1"/>
  <c r="BP111" i="99" s="1"/>
  <c r="BO75" i="99"/>
  <c r="BO87" i="99" s="1"/>
  <c r="BO99" i="99" s="1"/>
  <c r="BO111" i="99" s="1"/>
  <c r="BN75" i="99"/>
  <c r="BN87" i="99" s="1"/>
  <c r="BN99" i="99" s="1"/>
  <c r="BN111" i="99" s="1"/>
  <c r="BM75" i="99"/>
  <c r="BM87" i="99" s="1"/>
  <c r="BM99" i="99" s="1"/>
  <c r="BM111" i="99" s="1"/>
  <c r="BF75" i="99"/>
  <c r="BE75" i="99"/>
  <c r="BD75" i="99"/>
  <c r="BC75" i="99"/>
  <c r="BB75" i="99"/>
  <c r="BA75" i="99"/>
  <c r="AZ75" i="99"/>
  <c r="AY75" i="99"/>
  <c r="AX75" i="99"/>
  <c r="AW75" i="99"/>
  <c r="AV75" i="99"/>
  <c r="AU75" i="99"/>
  <c r="AT75" i="99"/>
  <c r="AS75" i="99"/>
  <c r="AR75" i="99"/>
  <c r="AQ75" i="99"/>
  <c r="AP75" i="99"/>
  <c r="CT75" i="99"/>
  <c r="CR75" i="99"/>
  <c r="CP75" i="99"/>
  <c r="CN75" i="99"/>
  <c r="CK75" i="99"/>
  <c r="CJ75" i="99"/>
  <c r="CH75" i="99"/>
  <c r="B75" i="99"/>
  <c r="CY74" i="99"/>
  <c r="CI74" i="99"/>
  <c r="CB74" i="99"/>
  <c r="BX74" i="99"/>
  <c r="BX86" i="99" s="1"/>
  <c r="BX98" i="99" s="1"/>
  <c r="BX110" i="99" s="1"/>
  <c r="BW74" i="99"/>
  <c r="BW86" i="99" s="1"/>
  <c r="BW98" i="99" s="1"/>
  <c r="BW110" i="99" s="1"/>
  <c r="BV74" i="99"/>
  <c r="BV86" i="99" s="1"/>
  <c r="BV98" i="99" s="1"/>
  <c r="BV110" i="99" s="1"/>
  <c r="BU74" i="99"/>
  <c r="BT74" i="99"/>
  <c r="BT86" i="99" s="1"/>
  <c r="BT98" i="99" s="1"/>
  <c r="BT110" i="99" s="1"/>
  <c r="BS74" i="99"/>
  <c r="BS86" i="99" s="1"/>
  <c r="BS98" i="99" s="1"/>
  <c r="BS110" i="99" s="1"/>
  <c r="BR74" i="99"/>
  <c r="BR86" i="99" s="1"/>
  <c r="BR98" i="99" s="1"/>
  <c r="BR110" i="99" s="1"/>
  <c r="BQ74" i="99"/>
  <c r="BQ86" i="99" s="1"/>
  <c r="BQ98" i="99" s="1"/>
  <c r="BQ110" i="99" s="1"/>
  <c r="BP74" i="99"/>
  <c r="BP86" i="99" s="1"/>
  <c r="BP98" i="99" s="1"/>
  <c r="BP110" i="99" s="1"/>
  <c r="BO74" i="99"/>
  <c r="BO86" i="99" s="1"/>
  <c r="BO98" i="99" s="1"/>
  <c r="BO110" i="99" s="1"/>
  <c r="BN74" i="99"/>
  <c r="BN86" i="99" s="1"/>
  <c r="BN98" i="99" s="1"/>
  <c r="BN110" i="99" s="1"/>
  <c r="BM74" i="99"/>
  <c r="BM86" i="99" s="1"/>
  <c r="BM98" i="99" s="1"/>
  <c r="BM110" i="99" s="1"/>
  <c r="BF74" i="99"/>
  <c r="BE74" i="99"/>
  <c r="BD74" i="99"/>
  <c r="BC74" i="99"/>
  <c r="BB74" i="99"/>
  <c r="BA74" i="99"/>
  <c r="AZ74" i="99"/>
  <c r="AY74" i="99"/>
  <c r="AX74" i="99"/>
  <c r="AW74" i="99"/>
  <c r="AV74" i="99"/>
  <c r="AU74" i="99"/>
  <c r="AT74" i="99"/>
  <c r="AS74" i="99"/>
  <c r="AR74" i="99"/>
  <c r="AQ74" i="99"/>
  <c r="AP74" i="99"/>
  <c r="CU74" i="99"/>
  <c r="CS74" i="99"/>
  <c r="CR74" i="99"/>
  <c r="CQ74" i="99"/>
  <c r="CO74" i="99"/>
  <c r="CN74" i="99"/>
  <c r="CM74" i="99"/>
  <c r="CK74" i="99"/>
  <c r="CJ74" i="99"/>
  <c r="B74" i="99"/>
  <c r="CY73" i="99"/>
  <c r="CJ73" i="99"/>
  <c r="CB73" i="99"/>
  <c r="BF73" i="99"/>
  <c r="BE73" i="99"/>
  <c r="BD73" i="99"/>
  <c r="BC73" i="99"/>
  <c r="BB73" i="99"/>
  <c r="BA73" i="99"/>
  <c r="AZ73" i="99"/>
  <c r="AY73" i="99"/>
  <c r="AX73" i="99"/>
  <c r="AW73" i="99"/>
  <c r="AV73" i="99"/>
  <c r="AU73" i="99"/>
  <c r="AT73" i="99"/>
  <c r="AS73" i="99"/>
  <c r="AR73" i="99"/>
  <c r="AQ73" i="99"/>
  <c r="AP73" i="99"/>
  <c r="CT73" i="99"/>
  <c r="CR73" i="99"/>
  <c r="CP73" i="99"/>
  <c r="CN73" i="99"/>
  <c r="CM73" i="99"/>
  <c r="CL73" i="99"/>
  <c r="CH73" i="99"/>
  <c r="B73" i="99"/>
  <c r="CY72" i="99"/>
  <c r="CU72" i="99"/>
  <c r="CM72" i="99"/>
  <c r="CB72" i="99"/>
  <c r="BF72" i="99"/>
  <c r="BE72" i="99"/>
  <c r="BD72" i="99"/>
  <c r="BC72" i="99"/>
  <c r="BB72" i="99"/>
  <c r="BA72" i="99"/>
  <c r="AZ72" i="99"/>
  <c r="AY72" i="99"/>
  <c r="AX72" i="99"/>
  <c r="AW72" i="99"/>
  <c r="AV72" i="99"/>
  <c r="AU72" i="99"/>
  <c r="AT72" i="99"/>
  <c r="AS72" i="99"/>
  <c r="AR72" i="99"/>
  <c r="AQ72" i="99"/>
  <c r="AP72" i="99"/>
  <c r="CS72" i="99"/>
  <c r="CQ72" i="99"/>
  <c r="CO72" i="99"/>
  <c r="CK72" i="99"/>
  <c r="CJ72" i="99"/>
  <c r="CI72" i="99"/>
  <c r="B72" i="99"/>
  <c r="CY71" i="99"/>
  <c r="CJ71" i="99"/>
  <c r="CB71" i="99"/>
  <c r="BF71" i="99"/>
  <c r="BE71" i="99"/>
  <c r="BD71" i="99"/>
  <c r="BC71" i="99"/>
  <c r="BB71" i="99"/>
  <c r="BA71" i="99"/>
  <c r="AZ71" i="99"/>
  <c r="AY71" i="99"/>
  <c r="AX71" i="99"/>
  <c r="AW71" i="99"/>
  <c r="AV71" i="99"/>
  <c r="AU71" i="99"/>
  <c r="AT71" i="99"/>
  <c r="AS71" i="99"/>
  <c r="AR71" i="99"/>
  <c r="AQ71" i="99"/>
  <c r="AP71" i="99"/>
  <c r="CT71" i="99"/>
  <c r="CS71" i="99"/>
  <c r="CR71" i="99"/>
  <c r="CP71" i="99"/>
  <c r="CO71" i="99"/>
  <c r="CN71" i="99"/>
  <c r="CL71" i="99"/>
  <c r="CK71" i="99"/>
  <c r="CH71" i="99"/>
  <c r="B71" i="99"/>
  <c r="CY70" i="99"/>
  <c r="CQ70" i="99"/>
  <c r="CB70" i="99"/>
  <c r="BF70" i="99"/>
  <c r="BE70" i="99"/>
  <c r="BD70" i="99"/>
  <c r="BC70" i="99"/>
  <c r="BB70" i="99"/>
  <c r="BA70" i="99"/>
  <c r="AZ70" i="99"/>
  <c r="AY70" i="99"/>
  <c r="AX70" i="99"/>
  <c r="AW70" i="99"/>
  <c r="AV70" i="99"/>
  <c r="AU70" i="99"/>
  <c r="AT70" i="99"/>
  <c r="AS70" i="99"/>
  <c r="AR70" i="99"/>
  <c r="AQ70" i="99"/>
  <c r="AP70" i="99"/>
  <c r="CU70" i="99"/>
  <c r="CS70" i="99"/>
  <c r="CO70" i="99"/>
  <c r="CM70" i="99"/>
  <c r="CK70" i="99"/>
  <c r="CI70" i="99"/>
  <c r="B70" i="99"/>
  <c r="CY69" i="99"/>
  <c r="CJ69" i="99"/>
  <c r="CB69" i="99"/>
  <c r="I69" i="84" s="1"/>
  <c r="BF69" i="99"/>
  <c r="BE69" i="99"/>
  <c r="BD69" i="99"/>
  <c r="BC69" i="99"/>
  <c r="BB69" i="99"/>
  <c r="BA69" i="99"/>
  <c r="AZ69" i="99"/>
  <c r="AY69" i="99"/>
  <c r="AX69" i="99"/>
  <c r="AW69" i="99"/>
  <c r="AV69" i="99"/>
  <c r="AU69" i="99"/>
  <c r="AT69" i="99"/>
  <c r="AS69" i="99"/>
  <c r="AR69" i="99"/>
  <c r="AQ69" i="99"/>
  <c r="AP69" i="99"/>
  <c r="CU69" i="99"/>
  <c r="CT69" i="99"/>
  <c r="CR69" i="99"/>
  <c r="CQ69" i="99"/>
  <c r="CP69" i="99"/>
  <c r="CN69" i="99"/>
  <c r="CM69" i="99"/>
  <c r="CL69" i="99"/>
  <c r="CH69" i="99"/>
  <c r="B69" i="99"/>
  <c r="CY68" i="99"/>
  <c r="CB68" i="99"/>
  <c r="BF68" i="99"/>
  <c r="BE68" i="99"/>
  <c r="BD68" i="99"/>
  <c r="BC68" i="99"/>
  <c r="BB68" i="99"/>
  <c r="BA68" i="99"/>
  <c r="AZ68" i="99"/>
  <c r="AY68" i="99"/>
  <c r="AX68" i="99"/>
  <c r="AW68" i="99"/>
  <c r="AV68" i="99"/>
  <c r="AU68" i="99"/>
  <c r="AT68" i="99"/>
  <c r="AS68" i="99"/>
  <c r="AR68" i="99"/>
  <c r="AQ68" i="99"/>
  <c r="AP68" i="99"/>
  <c r="CU68" i="99"/>
  <c r="CS68" i="99"/>
  <c r="CQ68" i="99"/>
  <c r="CO68" i="99"/>
  <c r="CM68" i="99"/>
  <c r="CK68" i="99"/>
  <c r="CI68" i="99"/>
  <c r="B68" i="99"/>
  <c r="CY67" i="99"/>
  <c r="CB67" i="99"/>
  <c r="BF67" i="99"/>
  <c r="BE67" i="99"/>
  <c r="BD67" i="99"/>
  <c r="BC67" i="99"/>
  <c r="BB67" i="99"/>
  <c r="BA67" i="99"/>
  <c r="AZ67" i="99"/>
  <c r="AY67" i="99"/>
  <c r="AX67" i="99"/>
  <c r="AW67" i="99"/>
  <c r="AV67" i="99"/>
  <c r="AU67" i="99"/>
  <c r="AT67" i="99"/>
  <c r="AS67" i="99"/>
  <c r="AR67" i="99"/>
  <c r="AQ67" i="99"/>
  <c r="AP67" i="99"/>
  <c r="CT67" i="99"/>
  <c r="CR67" i="99"/>
  <c r="CP67" i="99"/>
  <c r="CN67" i="99"/>
  <c r="CM67" i="99"/>
  <c r="CL67" i="99"/>
  <c r="CJ67" i="99"/>
  <c r="CH67" i="99"/>
  <c r="B67" i="99"/>
  <c r="CY66" i="99"/>
  <c r="CB66" i="99"/>
  <c r="BF66" i="99"/>
  <c r="BE66" i="99"/>
  <c r="BD66" i="99"/>
  <c r="BC66" i="99"/>
  <c r="BB66" i="99"/>
  <c r="BA66" i="99"/>
  <c r="AZ66" i="99"/>
  <c r="AY66" i="99"/>
  <c r="AX66" i="99"/>
  <c r="AW66" i="99"/>
  <c r="AV66" i="99"/>
  <c r="AU66" i="99"/>
  <c r="AT66" i="99"/>
  <c r="AS66" i="99"/>
  <c r="AR66" i="99"/>
  <c r="AQ66" i="99"/>
  <c r="AP66" i="99"/>
  <c r="CU66" i="99"/>
  <c r="CS66" i="99"/>
  <c r="CQ66" i="99"/>
  <c r="CO66" i="99"/>
  <c r="CM66" i="99"/>
  <c r="CK66" i="99"/>
  <c r="CI66" i="99"/>
  <c r="B66" i="99"/>
  <c r="CY65" i="99"/>
  <c r="CR65" i="99"/>
  <c r="CB65" i="99"/>
  <c r="BF65" i="99"/>
  <c r="BE65" i="99"/>
  <c r="BD65" i="99"/>
  <c r="BC65" i="99"/>
  <c r="BB65" i="99"/>
  <c r="BA65" i="99"/>
  <c r="AZ65" i="99"/>
  <c r="AY65" i="99"/>
  <c r="AX65" i="99"/>
  <c r="AW65" i="99"/>
  <c r="AV65" i="99"/>
  <c r="AU65" i="99"/>
  <c r="AT65" i="99"/>
  <c r="AS65" i="99"/>
  <c r="AR65" i="99"/>
  <c r="AQ65" i="99"/>
  <c r="AP65" i="99"/>
  <c r="CU65" i="99"/>
  <c r="CT65" i="99"/>
  <c r="CP65" i="99"/>
  <c r="CN65" i="99"/>
  <c r="CL65" i="99"/>
  <c r="CK65" i="99"/>
  <c r="CJ65" i="99"/>
  <c r="CH65" i="99"/>
  <c r="B65" i="99"/>
  <c r="CY64" i="99"/>
  <c r="CB64" i="99"/>
  <c r="BF64" i="99"/>
  <c r="BE64" i="99"/>
  <c r="BD64" i="99"/>
  <c r="BC64" i="99"/>
  <c r="BB64" i="99"/>
  <c r="BA64" i="99"/>
  <c r="AZ64" i="99"/>
  <c r="AY64" i="99"/>
  <c r="AX64" i="99"/>
  <c r="AW64" i="99"/>
  <c r="AV64" i="99"/>
  <c r="AU64" i="99"/>
  <c r="AT64" i="99"/>
  <c r="AS64" i="99"/>
  <c r="AR64" i="99"/>
  <c r="AQ64" i="99"/>
  <c r="AP64" i="99"/>
  <c r="CU64" i="99"/>
  <c r="CS64" i="99"/>
  <c r="CQ64" i="99"/>
  <c r="CO64" i="99"/>
  <c r="CN64" i="99"/>
  <c r="CM64" i="99"/>
  <c r="CK64" i="99"/>
  <c r="CI64" i="99"/>
  <c r="B64" i="99"/>
  <c r="DS63" i="99"/>
  <c r="DS64" i="99" s="1"/>
  <c r="DS65" i="99" s="1"/>
  <c r="DS66" i="99" s="1"/>
  <c r="DS67" i="99" s="1"/>
  <c r="DS68" i="99" s="1"/>
  <c r="DS69" i="99" s="1"/>
  <c r="DS70" i="99" s="1"/>
  <c r="DS71" i="99" s="1"/>
  <c r="DS72" i="99" s="1"/>
  <c r="DS73" i="99" s="1"/>
  <c r="DS74" i="99" s="1"/>
  <c r="DS75" i="99" s="1"/>
  <c r="DS76" i="99" s="1"/>
  <c r="DS77" i="99" s="1"/>
  <c r="DS78" i="99" s="1"/>
  <c r="DS79" i="99" s="1"/>
  <c r="DS80" i="99" s="1"/>
  <c r="DS81" i="99" s="1"/>
  <c r="DS82" i="99" s="1"/>
  <c r="DS83" i="99" s="1"/>
  <c r="DS84" i="99" s="1"/>
  <c r="DS85" i="99" s="1"/>
  <c r="DS86" i="99" s="1"/>
  <c r="DS87" i="99" s="1"/>
  <c r="DS88" i="99" s="1"/>
  <c r="DS89" i="99" s="1"/>
  <c r="DS90" i="99" s="1"/>
  <c r="DS91" i="99" s="1"/>
  <c r="DS92" i="99" s="1"/>
  <c r="DS93" i="99" s="1"/>
  <c r="DS94" i="99" s="1"/>
  <c r="DS95" i="99" s="1"/>
  <c r="DS96" i="99" s="1"/>
  <c r="DS97" i="99" s="1"/>
  <c r="DS98" i="99" s="1"/>
  <c r="DS99" i="99" s="1"/>
  <c r="DS100" i="99" s="1"/>
  <c r="DS101" i="99" s="1"/>
  <c r="DS102" i="99" s="1"/>
  <c r="DS103" i="99" s="1"/>
  <c r="DS104" i="99" s="1"/>
  <c r="DS105" i="99" s="1"/>
  <c r="DS106" i="99" s="1"/>
  <c r="DS107" i="99" s="1"/>
  <c r="DS108" i="99" s="1"/>
  <c r="DS109" i="99" s="1"/>
  <c r="DS110" i="99" s="1"/>
  <c r="DS111" i="99" s="1"/>
  <c r="DS112" i="99" s="1"/>
  <c r="DS113" i="99" s="1"/>
  <c r="DS114" i="99" s="1"/>
  <c r="DS115" i="99" s="1"/>
  <c r="DS116" i="99" s="1"/>
  <c r="DS117" i="99" s="1"/>
  <c r="DS118" i="99" s="1"/>
  <c r="DS119" i="99" s="1"/>
  <c r="DS120" i="99" s="1"/>
  <c r="DS121" i="99" s="1"/>
  <c r="CY63" i="99"/>
  <c r="CB63" i="99"/>
  <c r="BF63" i="99"/>
  <c r="BE63" i="99"/>
  <c r="BD63" i="99"/>
  <c r="BC63" i="99"/>
  <c r="BB63" i="99"/>
  <c r="BA63" i="99"/>
  <c r="AZ63" i="99"/>
  <c r="AY63" i="99"/>
  <c r="AX63" i="99"/>
  <c r="AW63" i="99"/>
  <c r="AV63" i="99"/>
  <c r="AU63" i="99"/>
  <c r="AT63" i="99"/>
  <c r="AS63" i="99"/>
  <c r="AR63" i="99"/>
  <c r="AQ63" i="99"/>
  <c r="AP63" i="99"/>
  <c r="CT63" i="99"/>
  <c r="CR63" i="99"/>
  <c r="CP63" i="99"/>
  <c r="CN63" i="99"/>
  <c r="CL63" i="99"/>
  <c r="CJ63" i="99"/>
  <c r="CH63" i="99"/>
  <c r="B63" i="99"/>
  <c r="CY62" i="99"/>
  <c r="CB62" i="99"/>
  <c r="BF62" i="99"/>
  <c r="BE62" i="99"/>
  <c r="BD62" i="99"/>
  <c r="BC62" i="99"/>
  <c r="BB62" i="99"/>
  <c r="BA62" i="99"/>
  <c r="AZ62" i="99"/>
  <c r="AY62" i="99"/>
  <c r="AX62" i="99"/>
  <c r="AW62" i="99"/>
  <c r="AV62" i="99"/>
  <c r="AU62" i="99"/>
  <c r="AT62" i="99"/>
  <c r="AS62" i="99"/>
  <c r="AR62" i="99"/>
  <c r="AQ62" i="99"/>
  <c r="AP62" i="99"/>
  <c r="CU62" i="99"/>
  <c r="CS62" i="99"/>
  <c r="CQ62" i="99"/>
  <c r="CO62" i="99"/>
  <c r="CM62" i="99"/>
  <c r="CL62" i="99"/>
  <c r="CK62" i="99"/>
  <c r="CI62" i="99"/>
  <c r="B62" i="99"/>
  <c r="DA61" i="99"/>
  <c r="CY61" i="99"/>
  <c r="BF61" i="99"/>
  <c r="BE61" i="99"/>
  <c r="BD61" i="99"/>
  <c r="BC61" i="99"/>
  <c r="BB61" i="99"/>
  <c r="BA61" i="99"/>
  <c r="AZ61" i="99"/>
  <c r="AY61" i="99"/>
  <c r="AX61" i="99"/>
  <c r="AW61" i="99"/>
  <c r="AV61" i="99"/>
  <c r="AU61" i="99"/>
  <c r="AT61" i="99"/>
  <c r="AS61" i="99"/>
  <c r="AR61" i="99"/>
  <c r="AQ61" i="99"/>
  <c r="AP61" i="99"/>
  <c r="CT61" i="99"/>
  <c r="CR61" i="99"/>
  <c r="CP61" i="99"/>
  <c r="CN61" i="99"/>
  <c r="CL61" i="99"/>
  <c r="CJ61" i="99"/>
  <c r="CH61" i="99"/>
  <c r="B61" i="99"/>
  <c r="DA60" i="99"/>
  <c r="CY60" i="99"/>
  <c r="BF60" i="99"/>
  <c r="BE60" i="99"/>
  <c r="BD60" i="99"/>
  <c r="BC60" i="99"/>
  <c r="BB60" i="99"/>
  <c r="BA60" i="99"/>
  <c r="AZ60" i="99"/>
  <c r="AY60" i="99"/>
  <c r="AX60" i="99"/>
  <c r="AW60" i="99"/>
  <c r="AV60" i="99"/>
  <c r="AU60" i="99"/>
  <c r="AT60" i="99"/>
  <c r="AS60" i="99"/>
  <c r="AR60" i="99"/>
  <c r="AQ60" i="99"/>
  <c r="AP60" i="99"/>
  <c r="CU60" i="99"/>
  <c r="CT60" i="99"/>
  <c r="CS60" i="99"/>
  <c r="CQ60" i="99"/>
  <c r="CP60" i="99"/>
  <c r="CO60" i="99"/>
  <c r="CM60" i="99"/>
  <c r="CL60" i="99"/>
  <c r="CK60" i="99"/>
  <c r="CI60" i="99"/>
  <c r="CH60" i="99"/>
  <c r="B60" i="99"/>
  <c r="DA59" i="99"/>
  <c r="CY59" i="99"/>
  <c r="BF59" i="99"/>
  <c r="BE59" i="99"/>
  <c r="BD59" i="99"/>
  <c r="BC59" i="99"/>
  <c r="BB59" i="99"/>
  <c r="BA59" i="99"/>
  <c r="AZ59" i="99"/>
  <c r="AY59" i="99"/>
  <c r="AX59" i="99"/>
  <c r="AW59" i="99"/>
  <c r="AV59" i="99"/>
  <c r="AU59" i="99"/>
  <c r="AT59" i="99"/>
  <c r="AS59" i="99"/>
  <c r="AR59" i="99"/>
  <c r="AQ59" i="99"/>
  <c r="AP59" i="99"/>
  <c r="CT59" i="99"/>
  <c r="CR59" i="99"/>
  <c r="CP59" i="99"/>
  <c r="CN59" i="99"/>
  <c r="CL59" i="99"/>
  <c r="CJ59" i="99"/>
  <c r="CI59" i="99"/>
  <c r="CH59" i="99"/>
  <c r="B59" i="99"/>
  <c r="DA58" i="99"/>
  <c r="CY58" i="99"/>
  <c r="BF58" i="99"/>
  <c r="BE58" i="99"/>
  <c r="BD58" i="99"/>
  <c r="BC58" i="99"/>
  <c r="BB58" i="99"/>
  <c r="BA58" i="99"/>
  <c r="AZ58" i="99"/>
  <c r="AY58" i="99"/>
  <c r="AX58" i="99"/>
  <c r="AW58" i="99"/>
  <c r="AV58" i="99"/>
  <c r="AU58" i="99"/>
  <c r="AT58" i="99"/>
  <c r="AS58" i="99"/>
  <c r="AR58" i="99"/>
  <c r="AQ58" i="99"/>
  <c r="AP58" i="99"/>
  <c r="CU58" i="99"/>
  <c r="CS58" i="99"/>
  <c r="CQ58" i="99"/>
  <c r="CO58" i="99"/>
  <c r="CM58" i="99"/>
  <c r="CK58" i="99"/>
  <c r="CI58" i="99"/>
  <c r="B58" i="99"/>
  <c r="DA57" i="99"/>
  <c r="CY57" i="99"/>
  <c r="BF57" i="99"/>
  <c r="BE57" i="99"/>
  <c r="BD57" i="99"/>
  <c r="BC57" i="99"/>
  <c r="BB57" i="99"/>
  <c r="BA57" i="99"/>
  <c r="AZ57" i="99"/>
  <c r="AY57" i="99"/>
  <c r="AX57" i="99"/>
  <c r="AW57" i="99"/>
  <c r="AV57" i="99"/>
  <c r="AU57" i="99"/>
  <c r="AT57" i="99"/>
  <c r="AS57" i="99"/>
  <c r="AR57" i="99"/>
  <c r="AQ57" i="99"/>
  <c r="AP57" i="99"/>
  <c r="CT57" i="99"/>
  <c r="CR57" i="99"/>
  <c r="CQ57" i="99"/>
  <c r="CP57" i="99"/>
  <c r="CN57" i="99"/>
  <c r="CM57" i="99"/>
  <c r="CL57" i="99"/>
  <c r="CJ57" i="99"/>
  <c r="CI57" i="99"/>
  <c r="CH57" i="99"/>
  <c r="B57" i="99"/>
  <c r="DA56" i="99"/>
  <c r="CY56" i="99"/>
  <c r="BF56" i="99"/>
  <c r="BE56" i="99"/>
  <c r="BD56" i="99"/>
  <c r="BC56" i="99"/>
  <c r="BB56" i="99"/>
  <c r="BA56" i="99"/>
  <c r="AZ56" i="99"/>
  <c r="AY56" i="99"/>
  <c r="AX56" i="99"/>
  <c r="AW56" i="99"/>
  <c r="AV56" i="99"/>
  <c r="AU56" i="99"/>
  <c r="AT56" i="99"/>
  <c r="AS56" i="99"/>
  <c r="AR56" i="99"/>
  <c r="AQ56" i="99"/>
  <c r="AP56" i="99"/>
  <c r="CU56" i="99"/>
  <c r="CS56" i="99"/>
  <c r="CR56" i="99"/>
  <c r="CQ56" i="99"/>
  <c r="CO56" i="99"/>
  <c r="CM56" i="99"/>
  <c r="CK56" i="99"/>
  <c r="CI56" i="99"/>
  <c r="B56" i="99"/>
  <c r="DA55" i="99"/>
  <c r="CY55" i="99"/>
  <c r="CT55" i="99"/>
  <c r="CP55" i="99"/>
  <c r="BF55" i="99"/>
  <c r="BE55" i="99"/>
  <c r="BD55" i="99"/>
  <c r="BC55" i="99"/>
  <c r="BB55" i="99"/>
  <c r="BA55" i="99"/>
  <c r="AZ55" i="99"/>
  <c r="AY55" i="99"/>
  <c r="AX55" i="99"/>
  <c r="AW55" i="99"/>
  <c r="AV55" i="99"/>
  <c r="AU55" i="99"/>
  <c r="AT55" i="99"/>
  <c r="AS55" i="99"/>
  <c r="AR55" i="99"/>
  <c r="AQ55" i="99"/>
  <c r="AP55" i="99"/>
  <c r="CR55" i="99"/>
  <c r="CN55" i="99"/>
  <c r="CL55" i="99"/>
  <c r="CJ55" i="99"/>
  <c r="CH55" i="99"/>
  <c r="B55" i="99"/>
  <c r="DA54" i="99"/>
  <c r="CY54" i="99"/>
  <c r="BF54" i="99"/>
  <c r="BE54" i="99"/>
  <c r="BD54" i="99"/>
  <c r="BC54" i="99"/>
  <c r="BB54" i="99"/>
  <c r="BA54" i="99"/>
  <c r="AZ54" i="99"/>
  <c r="AY54" i="99"/>
  <c r="AX54" i="99"/>
  <c r="AW54" i="99"/>
  <c r="AV54" i="99"/>
  <c r="AU54" i="99"/>
  <c r="AT54" i="99"/>
  <c r="AS54" i="99"/>
  <c r="AR54" i="99"/>
  <c r="AQ54" i="99"/>
  <c r="AP54" i="99"/>
  <c r="CU54" i="99"/>
  <c r="CT54" i="99"/>
  <c r="CS54" i="99"/>
  <c r="CQ54" i="99"/>
  <c r="CO54" i="99"/>
  <c r="CM54" i="99"/>
  <c r="CK54" i="99"/>
  <c r="CI54" i="99"/>
  <c r="B54" i="99"/>
  <c r="DA53" i="99"/>
  <c r="CY53" i="99"/>
  <c r="BF53" i="99"/>
  <c r="BE53" i="99"/>
  <c r="BD53" i="99"/>
  <c r="BC53" i="99"/>
  <c r="BB53" i="99"/>
  <c r="BA53" i="99"/>
  <c r="AZ53" i="99"/>
  <c r="AY53" i="99"/>
  <c r="AX53" i="99"/>
  <c r="AW53" i="99"/>
  <c r="AV53" i="99"/>
  <c r="AU53" i="99"/>
  <c r="AT53" i="99"/>
  <c r="AS53" i="99"/>
  <c r="AR53" i="99"/>
  <c r="AQ53" i="99"/>
  <c r="AP53" i="99"/>
  <c r="CT53" i="99"/>
  <c r="CR53" i="99"/>
  <c r="CP53" i="99"/>
  <c r="CN53" i="99"/>
  <c r="CL53" i="99"/>
  <c r="CJ53" i="99"/>
  <c r="CH53" i="99"/>
  <c r="B53" i="99"/>
  <c r="DA52" i="99"/>
  <c r="CY52" i="99"/>
  <c r="CI52" i="99"/>
  <c r="BF52" i="99"/>
  <c r="BE52" i="99"/>
  <c r="BD52" i="99"/>
  <c r="BC52" i="99"/>
  <c r="BB52" i="99"/>
  <c r="BA52" i="99"/>
  <c r="AZ52" i="99"/>
  <c r="AY52" i="99"/>
  <c r="AX52" i="99"/>
  <c r="AW52" i="99"/>
  <c r="AV52" i="99"/>
  <c r="AU52" i="99"/>
  <c r="AT52" i="99"/>
  <c r="AS52" i="99"/>
  <c r="AR52" i="99"/>
  <c r="AQ52" i="99"/>
  <c r="AP52" i="99"/>
  <c r="CU52" i="99"/>
  <c r="CT52" i="99"/>
  <c r="CS52" i="99"/>
  <c r="CR52" i="99"/>
  <c r="CQ52" i="99"/>
  <c r="CP52" i="99"/>
  <c r="CO52" i="99"/>
  <c r="CN52" i="99"/>
  <c r="CM52" i="99"/>
  <c r="CL52" i="99"/>
  <c r="CK52" i="99"/>
  <c r="CJ52" i="99"/>
  <c r="B52" i="99"/>
  <c r="DR51" i="99"/>
  <c r="DR52" i="99" s="1"/>
  <c r="DR53" i="99" s="1"/>
  <c r="DR54" i="99" s="1"/>
  <c r="DR55" i="99" s="1"/>
  <c r="DR56" i="99" s="1"/>
  <c r="DR57" i="99" s="1"/>
  <c r="DR58" i="99" s="1"/>
  <c r="DR59" i="99" s="1"/>
  <c r="DR60" i="99" s="1"/>
  <c r="DR61" i="99" s="1"/>
  <c r="DR62" i="99" s="1"/>
  <c r="DR63" i="99" s="1"/>
  <c r="DR64" i="99" s="1"/>
  <c r="DR65" i="99" s="1"/>
  <c r="DR66" i="99" s="1"/>
  <c r="DR67" i="99" s="1"/>
  <c r="DR68" i="99" s="1"/>
  <c r="DR69" i="99" s="1"/>
  <c r="DR70" i="99" s="1"/>
  <c r="DR71" i="99" s="1"/>
  <c r="DR72" i="99" s="1"/>
  <c r="DR73" i="99" s="1"/>
  <c r="DR74" i="99" s="1"/>
  <c r="DR75" i="99" s="1"/>
  <c r="DR76" i="99" s="1"/>
  <c r="DR77" i="99" s="1"/>
  <c r="DR78" i="99" s="1"/>
  <c r="DR79" i="99" s="1"/>
  <c r="DR80" i="99" s="1"/>
  <c r="DR81" i="99" s="1"/>
  <c r="DR82" i="99" s="1"/>
  <c r="DR83" i="99" s="1"/>
  <c r="DR84" i="99" s="1"/>
  <c r="DR85" i="99" s="1"/>
  <c r="DR86" i="99" s="1"/>
  <c r="DR87" i="99" s="1"/>
  <c r="DR88" i="99" s="1"/>
  <c r="DR89" i="99" s="1"/>
  <c r="DR90" i="99" s="1"/>
  <c r="DR91" i="99" s="1"/>
  <c r="DR92" i="99" s="1"/>
  <c r="DR93" i="99" s="1"/>
  <c r="DR94" i="99" s="1"/>
  <c r="DR95" i="99" s="1"/>
  <c r="DR96" i="99" s="1"/>
  <c r="DR97" i="99" s="1"/>
  <c r="DR98" i="99" s="1"/>
  <c r="DR99" i="99" s="1"/>
  <c r="DR100" i="99" s="1"/>
  <c r="DR101" i="99" s="1"/>
  <c r="DR102" i="99" s="1"/>
  <c r="DR103" i="99" s="1"/>
  <c r="DR104" i="99" s="1"/>
  <c r="DR105" i="99" s="1"/>
  <c r="DR106" i="99" s="1"/>
  <c r="DR107" i="99" s="1"/>
  <c r="DR108" i="99" s="1"/>
  <c r="DR109" i="99" s="1"/>
  <c r="DR110" i="99" s="1"/>
  <c r="DR111" i="99" s="1"/>
  <c r="DR112" i="99" s="1"/>
  <c r="DR113" i="99" s="1"/>
  <c r="DR114" i="99" s="1"/>
  <c r="DR115" i="99" s="1"/>
  <c r="DR116" i="99" s="1"/>
  <c r="DR117" i="99" s="1"/>
  <c r="DR118" i="99" s="1"/>
  <c r="DR119" i="99" s="1"/>
  <c r="DR120" i="99" s="1"/>
  <c r="DR121" i="99" s="1"/>
  <c r="DA51" i="99"/>
  <c r="CY51" i="99"/>
  <c r="BF51" i="99"/>
  <c r="BE51" i="99"/>
  <c r="BD51" i="99"/>
  <c r="BC51" i="99"/>
  <c r="BB51" i="99"/>
  <c r="BA51" i="99"/>
  <c r="AZ51" i="99"/>
  <c r="AY51" i="99"/>
  <c r="AX51" i="99"/>
  <c r="AW51" i="99"/>
  <c r="AV51" i="99"/>
  <c r="AU51" i="99"/>
  <c r="AT51" i="99"/>
  <c r="AS51" i="99"/>
  <c r="AR51" i="99"/>
  <c r="AQ51" i="99"/>
  <c r="AP51" i="99"/>
  <c r="CT51" i="99"/>
  <c r="CR51" i="99"/>
  <c r="CP51" i="99"/>
  <c r="CN51" i="99"/>
  <c r="CL51" i="99"/>
  <c r="CJ51" i="99"/>
  <c r="CH51" i="99"/>
  <c r="B51" i="99"/>
  <c r="DA50" i="99"/>
  <c r="CY50" i="99"/>
  <c r="CU50" i="99"/>
  <c r="CM50" i="99"/>
  <c r="BF50" i="99"/>
  <c r="BE50" i="99"/>
  <c r="BD50" i="99"/>
  <c r="BC50" i="99"/>
  <c r="BB50" i="99"/>
  <c r="BA50" i="99"/>
  <c r="AZ50" i="99"/>
  <c r="AY50" i="99"/>
  <c r="AX50" i="99"/>
  <c r="AW50" i="99"/>
  <c r="AV50" i="99"/>
  <c r="AU50" i="99"/>
  <c r="AT50" i="99"/>
  <c r="AS50" i="99"/>
  <c r="AR50" i="99"/>
  <c r="AQ50" i="99"/>
  <c r="AP50" i="99"/>
  <c r="CS50" i="99"/>
  <c r="CQ50" i="99"/>
  <c r="CO50" i="99"/>
  <c r="CK50" i="99"/>
  <c r="CI50" i="99"/>
  <c r="CH50" i="99"/>
  <c r="B50" i="99"/>
  <c r="DA49" i="99"/>
  <c r="CY49" i="99"/>
  <c r="BF49" i="99"/>
  <c r="BE49" i="99"/>
  <c r="BD49" i="99"/>
  <c r="BC49" i="99"/>
  <c r="BB49" i="99"/>
  <c r="BA49" i="99"/>
  <c r="AZ49" i="99"/>
  <c r="AY49" i="99"/>
  <c r="AX49" i="99"/>
  <c r="AW49" i="99"/>
  <c r="AV49" i="99"/>
  <c r="AU49" i="99"/>
  <c r="AT49" i="99"/>
  <c r="AS49" i="99"/>
  <c r="AR49" i="99"/>
  <c r="AQ49" i="99"/>
  <c r="AP49" i="99"/>
  <c r="CT49" i="99"/>
  <c r="CR49" i="99"/>
  <c r="CP49" i="99"/>
  <c r="CO49" i="99"/>
  <c r="CN49" i="99"/>
  <c r="CL49" i="99"/>
  <c r="CJ49" i="99"/>
  <c r="CH49" i="99"/>
  <c r="B49" i="99"/>
  <c r="DA48" i="99"/>
  <c r="CY48" i="99"/>
  <c r="BF48" i="99"/>
  <c r="BE48" i="99"/>
  <c r="BD48" i="99"/>
  <c r="BC48" i="99"/>
  <c r="BB48" i="99"/>
  <c r="BA48" i="99"/>
  <c r="AZ48" i="99"/>
  <c r="AY48" i="99"/>
  <c r="AX48" i="99"/>
  <c r="AW48" i="99"/>
  <c r="AV48" i="99"/>
  <c r="AU48" i="99"/>
  <c r="AT48" i="99"/>
  <c r="AS48" i="99"/>
  <c r="AR48" i="99"/>
  <c r="AQ48" i="99"/>
  <c r="AP48" i="99"/>
  <c r="CU48" i="99"/>
  <c r="CS48" i="99"/>
  <c r="CQ48" i="99"/>
  <c r="CO48" i="99"/>
  <c r="CM48" i="99"/>
  <c r="CK48" i="99"/>
  <c r="CI48" i="99"/>
  <c r="CH48" i="99"/>
  <c r="B48" i="99"/>
  <c r="DA47" i="99"/>
  <c r="CY47" i="99"/>
  <c r="CT47" i="99"/>
  <c r="BF47" i="99"/>
  <c r="BE47" i="99"/>
  <c r="BD47" i="99"/>
  <c r="BC47" i="99"/>
  <c r="BB47" i="99"/>
  <c r="BA47" i="99"/>
  <c r="AZ47" i="99"/>
  <c r="AY47" i="99"/>
  <c r="AX47" i="99"/>
  <c r="AW47" i="99"/>
  <c r="AV47" i="99"/>
  <c r="AU47" i="99"/>
  <c r="AT47" i="99"/>
  <c r="AS47" i="99"/>
  <c r="AR47" i="99"/>
  <c r="AQ47" i="99"/>
  <c r="AP47" i="99"/>
  <c r="CR47" i="99"/>
  <c r="CP47" i="99"/>
  <c r="CN47" i="99"/>
  <c r="CM47" i="99"/>
  <c r="CL47" i="99"/>
  <c r="CJ47" i="99"/>
  <c r="CH47" i="99"/>
  <c r="B47" i="99"/>
  <c r="DA46" i="99"/>
  <c r="CY46" i="99"/>
  <c r="BF46" i="99"/>
  <c r="BE46" i="99"/>
  <c r="BD46" i="99"/>
  <c r="BC46" i="99"/>
  <c r="BB46" i="99"/>
  <c r="BA46" i="99"/>
  <c r="AZ46" i="99"/>
  <c r="AY46" i="99"/>
  <c r="AX46" i="99"/>
  <c r="AW46" i="99"/>
  <c r="AV46" i="99"/>
  <c r="AU46" i="99"/>
  <c r="AT46" i="99"/>
  <c r="AS46" i="99"/>
  <c r="AR46" i="99"/>
  <c r="AQ46" i="99"/>
  <c r="AP46" i="99"/>
  <c r="CU46" i="99"/>
  <c r="CS46" i="99"/>
  <c r="CQ46" i="99"/>
  <c r="CO46" i="99"/>
  <c r="CM46" i="99"/>
  <c r="CK46" i="99"/>
  <c r="CI46" i="99"/>
  <c r="B46" i="99"/>
  <c r="DA45" i="99"/>
  <c r="CY45" i="99"/>
  <c r="BF45" i="99"/>
  <c r="BE45" i="99"/>
  <c r="BD45" i="99"/>
  <c r="BC45" i="99"/>
  <c r="BB45" i="99"/>
  <c r="BA45" i="99"/>
  <c r="AZ45" i="99"/>
  <c r="AY45" i="99"/>
  <c r="AX45" i="99"/>
  <c r="AW45" i="99"/>
  <c r="AV45" i="99"/>
  <c r="AU45" i="99"/>
  <c r="AT45" i="99"/>
  <c r="AS45" i="99"/>
  <c r="AR45" i="99"/>
  <c r="AQ45" i="99"/>
  <c r="AP45" i="99"/>
  <c r="CT45" i="99"/>
  <c r="CR45" i="99"/>
  <c r="CP45" i="99"/>
  <c r="CN45" i="99"/>
  <c r="CL45" i="99"/>
  <c r="CJ45" i="99"/>
  <c r="CH45" i="99"/>
  <c r="B45" i="99"/>
  <c r="DA44" i="99"/>
  <c r="CY44" i="99"/>
  <c r="BF44" i="99"/>
  <c r="BE44" i="99"/>
  <c r="BD44" i="99"/>
  <c r="BC44" i="99"/>
  <c r="BB44" i="99"/>
  <c r="BA44" i="99"/>
  <c r="AZ44" i="99"/>
  <c r="AY44" i="99"/>
  <c r="AX44" i="99"/>
  <c r="AW44" i="99"/>
  <c r="AV44" i="99"/>
  <c r="AU44" i="99"/>
  <c r="AT44" i="99"/>
  <c r="AS44" i="99"/>
  <c r="AR44" i="99"/>
  <c r="AQ44" i="99"/>
  <c r="AP44" i="99"/>
  <c r="CU44" i="99"/>
  <c r="CS44" i="99"/>
  <c r="CR44" i="99"/>
  <c r="CQ44" i="99"/>
  <c r="CO44" i="99"/>
  <c r="CM44" i="99"/>
  <c r="CK44" i="99"/>
  <c r="CI44" i="99"/>
  <c r="B44" i="99"/>
  <c r="DA43" i="99"/>
  <c r="CY43" i="99"/>
  <c r="CT43" i="99"/>
  <c r="BF43" i="99"/>
  <c r="BE43" i="99"/>
  <c r="BD43" i="99"/>
  <c r="BC43" i="99"/>
  <c r="BB43" i="99"/>
  <c r="BA43" i="99"/>
  <c r="AZ43" i="99"/>
  <c r="AY43" i="99"/>
  <c r="AX43" i="99"/>
  <c r="AW43" i="99"/>
  <c r="AV43" i="99"/>
  <c r="AU43" i="99"/>
  <c r="AT43" i="99"/>
  <c r="AS43" i="99"/>
  <c r="AR43" i="99"/>
  <c r="AQ43" i="99"/>
  <c r="AP43" i="99"/>
  <c r="CS43" i="99"/>
  <c r="CR43" i="99"/>
  <c r="CP43" i="99"/>
  <c r="CO43" i="99"/>
  <c r="CN43" i="99"/>
  <c r="CL43" i="99"/>
  <c r="CK43" i="99"/>
  <c r="CJ43" i="99"/>
  <c r="CH43" i="99"/>
  <c r="B43" i="99"/>
  <c r="DA42" i="99"/>
  <c r="CY42" i="99"/>
  <c r="BF42" i="99"/>
  <c r="BE42" i="99"/>
  <c r="BD42" i="99"/>
  <c r="BC42" i="99"/>
  <c r="BB42" i="99"/>
  <c r="BA42" i="99"/>
  <c r="AZ42" i="99"/>
  <c r="AY42" i="99"/>
  <c r="AX42" i="99"/>
  <c r="AW42" i="99"/>
  <c r="AV42" i="99"/>
  <c r="AU42" i="99"/>
  <c r="AT42" i="99"/>
  <c r="AS42" i="99"/>
  <c r="AR42" i="99"/>
  <c r="AQ42" i="99"/>
  <c r="AP42" i="99"/>
  <c r="CU42" i="99"/>
  <c r="CS42" i="99"/>
  <c r="CQ42" i="99"/>
  <c r="CO42" i="99"/>
  <c r="CM42" i="99"/>
  <c r="CK42" i="99"/>
  <c r="CI42" i="99"/>
  <c r="CH42" i="99"/>
  <c r="B42" i="99"/>
  <c r="DA41" i="99"/>
  <c r="CY41" i="99"/>
  <c r="BF41" i="99"/>
  <c r="BE41" i="99"/>
  <c r="BD41" i="99"/>
  <c r="BC41" i="99"/>
  <c r="BB41" i="99"/>
  <c r="BA41" i="99"/>
  <c r="AZ41" i="99"/>
  <c r="AY41" i="99"/>
  <c r="AX41" i="99"/>
  <c r="AW41" i="99"/>
  <c r="AV41" i="99"/>
  <c r="AU41" i="99"/>
  <c r="AT41" i="99"/>
  <c r="AS41" i="99"/>
  <c r="AR41" i="99"/>
  <c r="AQ41" i="99"/>
  <c r="AP41" i="99"/>
  <c r="CU41" i="99"/>
  <c r="CT41" i="99"/>
  <c r="CR41" i="99"/>
  <c r="CQ41" i="99"/>
  <c r="CP41" i="99"/>
  <c r="CN41" i="99"/>
  <c r="CM41" i="99"/>
  <c r="CL41" i="99"/>
  <c r="CJ41" i="99"/>
  <c r="CI41" i="99"/>
  <c r="CH41" i="99"/>
  <c r="B41" i="99"/>
  <c r="DA40" i="99"/>
  <c r="CY40" i="99"/>
  <c r="BF40" i="99"/>
  <c r="BE40" i="99"/>
  <c r="BD40" i="99"/>
  <c r="BC40" i="99"/>
  <c r="BB40" i="99"/>
  <c r="BA40" i="99"/>
  <c r="AZ40" i="99"/>
  <c r="AY40" i="99"/>
  <c r="AX40" i="99"/>
  <c r="AW40" i="99"/>
  <c r="AV40" i="99"/>
  <c r="AU40" i="99"/>
  <c r="AT40" i="99"/>
  <c r="AS40" i="99"/>
  <c r="AR40" i="99"/>
  <c r="AQ40" i="99"/>
  <c r="AP40" i="99"/>
  <c r="CU40" i="99"/>
  <c r="CS40" i="99"/>
  <c r="CQ40" i="99"/>
  <c r="CO40" i="99"/>
  <c r="CM40" i="99"/>
  <c r="CK40" i="99"/>
  <c r="CI40" i="99"/>
  <c r="B40" i="99"/>
  <c r="DQ39" i="99"/>
  <c r="DQ40" i="99" s="1"/>
  <c r="DQ41" i="99" s="1"/>
  <c r="DQ42" i="99" s="1"/>
  <c r="DQ43" i="99" s="1"/>
  <c r="DQ44" i="99" s="1"/>
  <c r="DQ45" i="99" s="1"/>
  <c r="DQ46" i="99" s="1"/>
  <c r="DQ47" i="99" s="1"/>
  <c r="DQ48" i="99" s="1"/>
  <c r="DQ49" i="99" s="1"/>
  <c r="DQ50" i="99" s="1"/>
  <c r="DQ51" i="99" s="1"/>
  <c r="DQ52" i="99" s="1"/>
  <c r="DQ53" i="99" s="1"/>
  <c r="DQ54" i="99" s="1"/>
  <c r="DQ55" i="99" s="1"/>
  <c r="DQ56" i="99" s="1"/>
  <c r="DQ57" i="99" s="1"/>
  <c r="DQ58" i="99" s="1"/>
  <c r="DQ59" i="99" s="1"/>
  <c r="DQ60" i="99" s="1"/>
  <c r="DQ61" i="99" s="1"/>
  <c r="DQ62" i="99" s="1"/>
  <c r="DQ63" i="99" s="1"/>
  <c r="DQ64" i="99" s="1"/>
  <c r="DQ65" i="99" s="1"/>
  <c r="DQ66" i="99" s="1"/>
  <c r="DQ67" i="99" s="1"/>
  <c r="DQ68" i="99" s="1"/>
  <c r="DQ69" i="99" s="1"/>
  <c r="DQ70" i="99" s="1"/>
  <c r="DQ71" i="99" s="1"/>
  <c r="DQ72" i="99" s="1"/>
  <c r="DQ73" i="99" s="1"/>
  <c r="DQ74" i="99" s="1"/>
  <c r="DQ75" i="99" s="1"/>
  <c r="DQ76" i="99" s="1"/>
  <c r="DQ77" i="99" s="1"/>
  <c r="DQ78" i="99" s="1"/>
  <c r="DQ79" i="99" s="1"/>
  <c r="DQ80" i="99" s="1"/>
  <c r="DQ81" i="99" s="1"/>
  <c r="DQ82" i="99" s="1"/>
  <c r="DQ83" i="99" s="1"/>
  <c r="DQ84" i="99" s="1"/>
  <c r="DQ85" i="99" s="1"/>
  <c r="DQ86" i="99" s="1"/>
  <c r="DQ87" i="99" s="1"/>
  <c r="DQ88" i="99" s="1"/>
  <c r="DQ89" i="99" s="1"/>
  <c r="DQ90" i="99" s="1"/>
  <c r="DQ91" i="99" s="1"/>
  <c r="DQ92" i="99" s="1"/>
  <c r="DQ93" i="99" s="1"/>
  <c r="DQ94" i="99" s="1"/>
  <c r="DQ95" i="99" s="1"/>
  <c r="DQ96" i="99" s="1"/>
  <c r="DQ97" i="99" s="1"/>
  <c r="DQ98" i="99" s="1"/>
  <c r="DQ99" i="99" s="1"/>
  <c r="DQ100" i="99" s="1"/>
  <c r="DQ101" i="99" s="1"/>
  <c r="DQ102" i="99" s="1"/>
  <c r="DQ103" i="99" s="1"/>
  <c r="DQ104" i="99" s="1"/>
  <c r="DQ105" i="99" s="1"/>
  <c r="DQ106" i="99" s="1"/>
  <c r="DQ107" i="99" s="1"/>
  <c r="DQ108" i="99" s="1"/>
  <c r="DQ109" i="99" s="1"/>
  <c r="DQ110" i="99" s="1"/>
  <c r="DQ111" i="99" s="1"/>
  <c r="DQ112" i="99" s="1"/>
  <c r="DQ113" i="99" s="1"/>
  <c r="DQ114" i="99" s="1"/>
  <c r="DQ115" i="99" s="1"/>
  <c r="DQ116" i="99" s="1"/>
  <c r="DQ117" i="99" s="1"/>
  <c r="DQ118" i="99" s="1"/>
  <c r="DQ119" i="99" s="1"/>
  <c r="DQ120" i="99" s="1"/>
  <c r="DQ121" i="99" s="1"/>
  <c r="DA39" i="99"/>
  <c r="CY39" i="99"/>
  <c r="BF39" i="99"/>
  <c r="BE39" i="99"/>
  <c r="BD39" i="99"/>
  <c r="BC39" i="99"/>
  <c r="BB39" i="99"/>
  <c r="BA39" i="99"/>
  <c r="AZ39" i="99"/>
  <c r="AY39" i="99"/>
  <c r="AX39" i="99"/>
  <c r="AW39" i="99"/>
  <c r="AV39" i="99"/>
  <c r="AU39" i="99"/>
  <c r="AT39" i="99"/>
  <c r="AS39" i="99"/>
  <c r="AR39" i="99"/>
  <c r="AQ39" i="99"/>
  <c r="AP39" i="99"/>
  <c r="CT39" i="99"/>
  <c r="CR39" i="99"/>
  <c r="CQ39" i="99"/>
  <c r="CP39" i="99"/>
  <c r="CN39" i="99"/>
  <c r="CL39" i="99"/>
  <c r="CJ39" i="99"/>
  <c r="CH39" i="99"/>
  <c r="B39" i="99"/>
  <c r="DA38" i="99"/>
  <c r="CY38" i="99"/>
  <c r="BF38" i="99"/>
  <c r="BE38" i="99"/>
  <c r="BD38" i="99"/>
  <c r="BC38" i="99"/>
  <c r="BB38" i="99"/>
  <c r="BA38" i="99"/>
  <c r="AZ38" i="99"/>
  <c r="AY38" i="99"/>
  <c r="AX38" i="99"/>
  <c r="AW38" i="99"/>
  <c r="AV38" i="99"/>
  <c r="AU38" i="99"/>
  <c r="AT38" i="99"/>
  <c r="AS38" i="99"/>
  <c r="AR38" i="99"/>
  <c r="AQ38" i="99"/>
  <c r="AP38" i="99"/>
  <c r="CU38" i="99"/>
  <c r="CS38" i="99"/>
  <c r="CR38" i="99"/>
  <c r="CQ38" i="99"/>
  <c r="CO38" i="99"/>
  <c r="CN38" i="99"/>
  <c r="CM38" i="99"/>
  <c r="CK38" i="99"/>
  <c r="CJ38" i="99"/>
  <c r="CI38" i="99"/>
  <c r="B38" i="99"/>
  <c r="DA37" i="99"/>
  <c r="CY37" i="99"/>
  <c r="BF37" i="99"/>
  <c r="BE37" i="99"/>
  <c r="BD37" i="99"/>
  <c r="BC37" i="99"/>
  <c r="BB37" i="99"/>
  <c r="BA37" i="99"/>
  <c r="AZ37" i="99"/>
  <c r="AY37" i="99"/>
  <c r="AX37" i="99"/>
  <c r="AW37" i="99"/>
  <c r="AV37" i="99"/>
  <c r="AU37" i="99"/>
  <c r="AT37" i="99"/>
  <c r="AS37" i="99"/>
  <c r="AR37" i="99"/>
  <c r="AQ37" i="99"/>
  <c r="AP37" i="99"/>
  <c r="CU37" i="99"/>
  <c r="CT37" i="99"/>
  <c r="CR37" i="99"/>
  <c r="CQ37" i="99"/>
  <c r="CP37" i="99"/>
  <c r="CN37" i="99"/>
  <c r="CM37" i="99"/>
  <c r="CL37" i="99"/>
  <c r="CJ37" i="99"/>
  <c r="CI37" i="99"/>
  <c r="CH37" i="99"/>
  <c r="B37" i="99"/>
  <c r="DA36" i="99"/>
  <c r="CY36" i="99"/>
  <c r="BF36" i="99"/>
  <c r="BE36" i="99"/>
  <c r="BD36" i="99"/>
  <c r="BC36" i="99"/>
  <c r="BB36" i="99"/>
  <c r="BA36" i="99"/>
  <c r="AZ36" i="99"/>
  <c r="AY36" i="99"/>
  <c r="AX36" i="99"/>
  <c r="AW36" i="99"/>
  <c r="AV36" i="99"/>
  <c r="AU36" i="99"/>
  <c r="AT36" i="99"/>
  <c r="AS36" i="99"/>
  <c r="AR36" i="99"/>
  <c r="AQ36" i="99"/>
  <c r="AP36" i="99"/>
  <c r="CU36" i="99"/>
  <c r="CS36" i="99"/>
  <c r="CQ36" i="99"/>
  <c r="CO36" i="99"/>
  <c r="CM36" i="99"/>
  <c r="CK36" i="99"/>
  <c r="CI36" i="99"/>
  <c r="B36" i="99"/>
  <c r="DA35" i="99"/>
  <c r="CY35" i="99"/>
  <c r="CJ35" i="99"/>
  <c r="BF35" i="99"/>
  <c r="BE35" i="99"/>
  <c r="BD35" i="99"/>
  <c r="BC35" i="99"/>
  <c r="BB35" i="99"/>
  <c r="BA35" i="99"/>
  <c r="AZ35" i="99"/>
  <c r="AY35" i="99"/>
  <c r="AX35" i="99"/>
  <c r="AW35" i="99"/>
  <c r="AV35" i="99"/>
  <c r="AU35" i="99"/>
  <c r="AT35" i="99"/>
  <c r="AS35" i="99"/>
  <c r="AR35" i="99"/>
  <c r="AQ35" i="99"/>
  <c r="AP35" i="99"/>
  <c r="CU35" i="99"/>
  <c r="CT35" i="99"/>
  <c r="CR35" i="99"/>
  <c r="CP35" i="99"/>
  <c r="CN35" i="99"/>
  <c r="CL35" i="99"/>
  <c r="CH35" i="99"/>
  <c r="B35" i="99"/>
  <c r="DA34" i="99"/>
  <c r="CY34" i="99"/>
  <c r="CU34" i="99"/>
  <c r="CQ34" i="99"/>
  <c r="BF34" i="99"/>
  <c r="BE34" i="99"/>
  <c r="BD34" i="99"/>
  <c r="BC34" i="99"/>
  <c r="BB34" i="99"/>
  <c r="BA34" i="99"/>
  <c r="AZ34" i="99"/>
  <c r="AY34" i="99"/>
  <c r="AX34" i="99"/>
  <c r="AW34" i="99"/>
  <c r="AV34" i="99"/>
  <c r="AU34" i="99"/>
  <c r="AT34" i="99"/>
  <c r="AS34" i="99"/>
  <c r="AR34" i="99"/>
  <c r="AQ34" i="99"/>
  <c r="AP34" i="99"/>
  <c r="CS34" i="99"/>
  <c r="CO34" i="99"/>
  <c r="CM34" i="99"/>
  <c r="CK34" i="99"/>
  <c r="CI34" i="99"/>
  <c r="B34" i="99"/>
  <c r="DA33" i="99"/>
  <c r="CY33" i="99"/>
  <c r="BF33" i="99"/>
  <c r="BE33" i="99"/>
  <c r="BD33" i="99"/>
  <c r="BC33" i="99"/>
  <c r="BB33" i="99"/>
  <c r="BA33" i="99"/>
  <c r="AZ33" i="99"/>
  <c r="AY33" i="99"/>
  <c r="AX33" i="99"/>
  <c r="AW33" i="99"/>
  <c r="AV33" i="99"/>
  <c r="AU33" i="99"/>
  <c r="AT33" i="99"/>
  <c r="AS33" i="99"/>
  <c r="AR33" i="99"/>
  <c r="AQ33" i="99"/>
  <c r="AP33" i="99"/>
  <c r="CT33" i="99"/>
  <c r="CR33" i="99"/>
  <c r="CP33" i="99"/>
  <c r="CN33" i="99"/>
  <c r="CL33" i="99"/>
  <c r="CK33" i="99"/>
  <c r="CJ33" i="99"/>
  <c r="CH33" i="99"/>
  <c r="B33" i="99"/>
  <c r="DA32" i="99"/>
  <c r="CY32" i="99"/>
  <c r="BF32" i="99"/>
  <c r="BE32" i="99"/>
  <c r="BD32" i="99"/>
  <c r="BC32" i="99"/>
  <c r="BB32" i="99"/>
  <c r="BA32" i="99"/>
  <c r="AZ32" i="99"/>
  <c r="AY32" i="99"/>
  <c r="AX32" i="99"/>
  <c r="AW32" i="99"/>
  <c r="AV32" i="99"/>
  <c r="AU32" i="99"/>
  <c r="AT32" i="99"/>
  <c r="AS32" i="99"/>
  <c r="AR32" i="99"/>
  <c r="AQ32" i="99"/>
  <c r="AP32" i="99"/>
  <c r="CU32" i="99"/>
  <c r="CT32" i="99"/>
  <c r="CS32" i="99"/>
  <c r="CQ32" i="99"/>
  <c r="CP32" i="99"/>
  <c r="CO32" i="99"/>
  <c r="CM32" i="99"/>
  <c r="CL32" i="99"/>
  <c r="CK32" i="99"/>
  <c r="CI32" i="99"/>
  <c r="CH32" i="99"/>
  <c r="B32" i="99"/>
  <c r="DA31" i="99"/>
  <c r="CY31" i="99"/>
  <c r="CJ31" i="99"/>
  <c r="BF31" i="99"/>
  <c r="BE31" i="99"/>
  <c r="BD31" i="99"/>
  <c r="BC31" i="99"/>
  <c r="BB31" i="99"/>
  <c r="BA31" i="99"/>
  <c r="AZ31" i="99"/>
  <c r="AY31" i="99"/>
  <c r="AX31" i="99"/>
  <c r="AW31" i="99"/>
  <c r="AV31" i="99"/>
  <c r="AU31" i="99"/>
  <c r="AT31" i="99"/>
  <c r="AS31" i="99"/>
  <c r="AR31" i="99"/>
  <c r="AQ31" i="99"/>
  <c r="AP31" i="99"/>
  <c r="CT31" i="99"/>
  <c r="CS31" i="99"/>
  <c r="CR31" i="99"/>
  <c r="CP31" i="99"/>
  <c r="CO31" i="99"/>
  <c r="CN31" i="99"/>
  <c r="CL31" i="99"/>
  <c r="CK31" i="99"/>
  <c r="CH31" i="99"/>
  <c r="B31" i="99"/>
  <c r="DA30" i="99"/>
  <c r="CY30" i="99"/>
  <c r="CU30" i="99"/>
  <c r="CQ30" i="99"/>
  <c r="BF30" i="99"/>
  <c r="BE30" i="99"/>
  <c r="BD30" i="99"/>
  <c r="BC30" i="99"/>
  <c r="BB30" i="99"/>
  <c r="BA30" i="99"/>
  <c r="AZ30" i="99"/>
  <c r="AY30" i="99"/>
  <c r="AX30" i="99"/>
  <c r="AW30" i="99"/>
  <c r="AV30" i="99"/>
  <c r="AU30" i="99"/>
  <c r="AT30" i="99"/>
  <c r="AS30" i="99"/>
  <c r="AR30" i="99"/>
  <c r="AQ30" i="99"/>
  <c r="AP30" i="99"/>
  <c r="CS30" i="99"/>
  <c r="CO30" i="99"/>
  <c r="CM30" i="99"/>
  <c r="CK30" i="99"/>
  <c r="CI30" i="99"/>
  <c r="B30" i="99"/>
  <c r="DA29" i="99"/>
  <c r="CY29" i="99"/>
  <c r="CR29" i="99"/>
  <c r="BF29" i="99"/>
  <c r="BE29" i="99"/>
  <c r="BD29" i="99"/>
  <c r="BC29" i="99"/>
  <c r="BB29" i="99"/>
  <c r="BA29" i="99"/>
  <c r="AZ29" i="99"/>
  <c r="AY29" i="99"/>
  <c r="AX29" i="99"/>
  <c r="AW29" i="99"/>
  <c r="AV29" i="99"/>
  <c r="AU29" i="99"/>
  <c r="AT29" i="99"/>
  <c r="AS29" i="99"/>
  <c r="AR29" i="99"/>
  <c r="AQ29" i="99"/>
  <c r="AP29" i="99"/>
  <c r="CT29" i="99"/>
  <c r="CS29" i="99"/>
  <c r="CP29" i="99"/>
  <c r="CN29" i="99"/>
  <c r="CL29" i="99"/>
  <c r="CK29" i="99"/>
  <c r="CJ29" i="99"/>
  <c r="CH29" i="99"/>
  <c r="B29" i="99"/>
  <c r="DA28" i="99"/>
  <c r="CY28" i="99"/>
  <c r="CM28" i="99"/>
  <c r="BF28" i="99"/>
  <c r="BE28" i="99"/>
  <c r="BD28" i="99"/>
  <c r="BC28" i="99"/>
  <c r="BB28" i="99"/>
  <c r="BA28" i="99"/>
  <c r="AZ28" i="99"/>
  <c r="AY28" i="99"/>
  <c r="AX28" i="99"/>
  <c r="AW28" i="99"/>
  <c r="AV28" i="99"/>
  <c r="AU28" i="99"/>
  <c r="AT28" i="99"/>
  <c r="AS28" i="99"/>
  <c r="AR28" i="99"/>
  <c r="AQ28" i="99"/>
  <c r="AP28" i="99"/>
  <c r="CU28" i="99"/>
  <c r="CS28" i="99"/>
  <c r="CQ28" i="99"/>
  <c r="CO28" i="99"/>
  <c r="CK28" i="99"/>
  <c r="CI28" i="99"/>
  <c r="B28" i="99"/>
  <c r="DP27" i="99"/>
  <c r="DP28" i="99" s="1"/>
  <c r="DP29" i="99" s="1"/>
  <c r="DP30" i="99" s="1"/>
  <c r="DP31" i="99" s="1"/>
  <c r="DP32" i="99" s="1"/>
  <c r="DP33" i="99" s="1"/>
  <c r="DP34" i="99" s="1"/>
  <c r="DP35" i="99" s="1"/>
  <c r="DP36" i="99" s="1"/>
  <c r="DP37" i="99" s="1"/>
  <c r="DP38" i="99" s="1"/>
  <c r="DP39" i="99" s="1"/>
  <c r="DP40" i="99" s="1"/>
  <c r="DP41" i="99" s="1"/>
  <c r="DP42" i="99" s="1"/>
  <c r="DP43" i="99" s="1"/>
  <c r="DP44" i="99" s="1"/>
  <c r="DP45" i="99" s="1"/>
  <c r="DP46" i="99" s="1"/>
  <c r="DP47" i="99" s="1"/>
  <c r="DP48" i="99" s="1"/>
  <c r="DP49" i="99" s="1"/>
  <c r="DP50" i="99" s="1"/>
  <c r="DP51" i="99" s="1"/>
  <c r="DP52" i="99" s="1"/>
  <c r="DP53" i="99" s="1"/>
  <c r="DP54" i="99" s="1"/>
  <c r="DP55" i="99" s="1"/>
  <c r="DP56" i="99" s="1"/>
  <c r="DP57" i="99" s="1"/>
  <c r="DP58" i="99" s="1"/>
  <c r="DP59" i="99" s="1"/>
  <c r="DP60" i="99" s="1"/>
  <c r="DP61" i="99" s="1"/>
  <c r="DP62" i="99" s="1"/>
  <c r="DP63" i="99" s="1"/>
  <c r="DP64" i="99" s="1"/>
  <c r="DP65" i="99" s="1"/>
  <c r="DP66" i="99" s="1"/>
  <c r="DP67" i="99" s="1"/>
  <c r="DP68" i="99" s="1"/>
  <c r="DP69" i="99" s="1"/>
  <c r="DP70" i="99" s="1"/>
  <c r="DP71" i="99" s="1"/>
  <c r="DP72" i="99" s="1"/>
  <c r="DP73" i="99" s="1"/>
  <c r="DP74" i="99" s="1"/>
  <c r="DP75" i="99" s="1"/>
  <c r="DP76" i="99" s="1"/>
  <c r="DP77" i="99" s="1"/>
  <c r="DP78" i="99" s="1"/>
  <c r="DP79" i="99" s="1"/>
  <c r="DP80" i="99" s="1"/>
  <c r="DP81" i="99" s="1"/>
  <c r="DP82" i="99" s="1"/>
  <c r="DP83" i="99" s="1"/>
  <c r="DP84" i="99" s="1"/>
  <c r="DP85" i="99" s="1"/>
  <c r="DP86" i="99" s="1"/>
  <c r="DP87" i="99" s="1"/>
  <c r="DP88" i="99" s="1"/>
  <c r="DP89" i="99" s="1"/>
  <c r="DP90" i="99" s="1"/>
  <c r="DP91" i="99" s="1"/>
  <c r="DP92" i="99" s="1"/>
  <c r="DP93" i="99" s="1"/>
  <c r="DP94" i="99" s="1"/>
  <c r="DP95" i="99" s="1"/>
  <c r="DP96" i="99" s="1"/>
  <c r="DP97" i="99" s="1"/>
  <c r="DP98" i="99" s="1"/>
  <c r="DP99" i="99" s="1"/>
  <c r="DP100" i="99" s="1"/>
  <c r="DP101" i="99" s="1"/>
  <c r="DP102" i="99" s="1"/>
  <c r="DP103" i="99" s="1"/>
  <c r="DP104" i="99" s="1"/>
  <c r="DP105" i="99" s="1"/>
  <c r="DP106" i="99" s="1"/>
  <c r="DP107" i="99" s="1"/>
  <c r="DP108" i="99" s="1"/>
  <c r="DP109" i="99" s="1"/>
  <c r="DP110" i="99" s="1"/>
  <c r="DP111" i="99" s="1"/>
  <c r="DP112" i="99" s="1"/>
  <c r="DP113" i="99" s="1"/>
  <c r="DP114" i="99" s="1"/>
  <c r="DP115" i="99" s="1"/>
  <c r="DP116" i="99" s="1"/>
  <c r="DP117" i="99" s="1"/>
  <c r="DP118" i="99" s="1"/>
  <c r="DP119" i="99" s="1"/>
  <c r="DP120" i="99" s="1"/>
  <c r="DP121" i="99" s="1"/>
  <c r="DA27" i="99"/>
  <c r="CY27" i="99"/>
  <c r="BF27" i="99"/>
  <c r="BE27" i="99"/>
  <c r="BD27" i="99"/>
  <c r="BC27" i="99"/>
  <c r="BB27" i="99"/>
  <c r="BA27" i="99"/>
  <c r="AZ27" i="99"/>
  <c r="AY27" i="99"/>
  <c r="AX27" i="99"/>
  <c r="AW27" i="99"/>
  <c r="AV27" i="99"/>
  <c r="AU27" i="99"/>
  <c r="AT27" i="99"/>
  <c r="AS27" i="99"/>
  <c r="AR27" i="99"/>
  <c r="AQ27" i="99"/>
  <c r="AP27" i="99"/>
  <c r="CT27" i="99"/>
  <c r="CR27" i="99"/>
  <c r="CP27" i="99"/>
  <c r="CN27" i="99"/>
  <c r="CM27" i="99"/>
  <c r="CL27" i="99"/>
  <c r="CJ27" i="99"/>
  <c r="CH27" i="99"/>
  <c r="B27" i="99"/>
  <c r="DA26" i="99"/>
  <c r="CY26" i="99"/>
  <c r="BF26" i="99"/>
  <c r="BE26" i="99"/>
  <c r="BD26" i="99"/>
  <c r="BC26" i="99"/>
  <c r="BB26" i="99"/>
  <c r="BA26" i="99"/>
  <c r="AZ26" i="99"/>
  <c r="AY26" i="99"/>
  <c r="AX26" i="99"/>
  <c r="AW26" i="99"/>
  <c r="AV26" i="99"/>
  <c r="AU26" i="99"/>
  <c r="AT26" i="99"/>
  <c r="AS26" i="99"/>
  <c r="AR26" i="99"/>
  <c r="AQ26" i="99"/>
  <c r="AP26" i="99"/>
  <c r="CU26" i="99"/>
  <c r="CS26" i="99"/>
  <c r="CR26" i="99"/>
  <c r="CQ26" i="99"/>
  <c r="CO26" i="99"/>
  <c r="CN26" i="99"/>
  <c r="CM26" i="99"/>
  <c r="CK26" i="99"/>
  <c r="CJ26" i="99"/>
  <c r="CI26" i="99"/>
  <c r="B26" i="99"/>
  <c r="DA25" i="99"/>
  <c r="CY25" i="99"/>
  <c r="BF25" i="99"/>
  <c r="BE25" i="99"/>
  <c r="BD25" i="99"/>
  <c r="BC25" i="99"/>
  <c r="BB25" i="99"/>
  <c r="BA25" i="99"/>
  <c r="AZ25" i="99"/>
  <c r="AY25" i="99"/>
  <c r="AX25" i="99"/>
  <c r="AW25" i="99"/>
  <c r="AV25" i="99"/>
  <c r="AU25" i="99"/>
  <c r="AT25" i="99"/>
  <c r="AS25" i="99"/>
  <c r="AR25" i="99"/>
  <c r="AQ25" i="99"/>
  <c r="AP25" i="99"/>
  <c r="CT25" i="99"/>
  <c r="CS25" i="99"/>
  <c r="CR25" i="99"/>
  <c r="CP25" i="99"/>
  <c r="CN25" i="99"/>
  <c r="CL25" i="99"/>
  <c r="CJ25" i="99"/>
  <c r="CH25" i="99"/>
  <c r="B25" i="99"/>
  <c r="DA24" i="99"/>
  <c r="CY24" i="99"/>
  <c r="BF24" i="99"/>
  <c r="BE24" i="99"/>
  <c r="BD24" i="99"/>
  <c r="BC24" i="99"/>
  <c r="BB24" i="99"/>
  <c r="BA24" i="99"/>
  <c r="AZ24" i="99"/>
  <c r="AY24" i="99"/>
  <c r="AX24" i="99"/>
  <c r="AW24" i="99"/>
  <c r="AV24" i="99"/>
  <c r="AU24" i="99"/>
  <c r="AT24" i="99"/>
  <c r="AS24" i="99"/>
  <c r="AR24" i="99"/>
  <c r="AQ24" i="99"/>
  <c r="AP24" i="99"/>
  <c r="CU24" i="99"/>
  <c r="CS24" i="99"/>
  <c r="CQ24" i="99"/>
  <c r="CO24" i="99"/>
  <c r="CM24" i="99"/>
  <c r="CK24" i="99"/>
  <c r="CI24" i="99"/>
  <c r="B24" i="99"/>
  <c r="DA23" i="99"/>
  <c r="CY23" i="99"/>
  <c r="BF23" i="99"/>
  <c r="BE23" i="99"/>
  <c r="BD23" i="99"/>
  <c r="BC23" i="99"/>
  <c r="BB23" i="99"/>
  <c r="BA23" i="99"/>
  <c r="AZ23" i="99"/>
  <c r="AY23" i="99"/>
  <c r="AX23" i="99"/>
  <c r="AW23" i="99"/>
  <c r="AV23" i="99"/>
  <c r="AU23" i="99"/>
  <c r="AT23" i="99"/>
  <c r="AS23" i="99"/>
  <c r="AR23" i="99"/>
  <c r="AQ23" i="99"/>
  <c r="AP23" i="99"/>
  <c r="CU23" i="99"/>
  <c r="CT23" i="99"/>
  <c r="CR23" i="99"/>
  <c r="CP23" i="99"/>
  <c r="CN23" i="99"/>
  <c r="CL23" i="99"/>
  <c r="CJ23" i="99"/>
  <c r="CH23" i="99"/>
  <c r="B23" i="99"/>
  <c r="DA22" i="99"/>
  <c r="CY22" i="99"/>
  <c r="CN22" i="99"/>
  <c r="BF22" i="99"/>
  <c r="BE22" i="99"/>
  <c r="BD22" i="99"/>
  <c r="BC22" i="99"/>
  <c r="BB22" i="99"/>
  <c r="BA22" i="99"/>
  <c r="AZ22" i="99"/>
  <c r="AY22" i="99"/>
  <c r="AX22" i="99"/>
  <c r="AW22" i="99"/>
  <c r="AV22" i="99"/>
  <c r="AU22" i="99"/>
  <c r="AT22" i="99"/>
  <c r="AS22" i="99"/>
  <c r="AR22" i="99"/>
  <c r="AQ22" i="99"/>
  <c r="AP22" i="99"/>
  <c r="CU22" i="99"/>
  <c r="CS22" i="99"/>
  <c r="CQ22" i="99"/>
  <c r="CO22" i="99"/>
  <c r="CM22" i="99"/>
  <c r="CK22" i="99"/>
  <c r="CJ22" i="99"/>
  <c r="CI22" i="99"/>
  <c r="B22" i="99"/>
  <c r="DA21" i="99"/>
  <c r="CY21" i="99"/>
  <c r="BF21" i="99"/>
  <c r="BE21" i="99"/>
  <c r="BD21" i="99"/>
  <c r="BC21" i="99"/>
  <c r="BB21" i="99"/>
  <c r="BA21" i="99"/>
  <c r="AZ21" i="99"/>
  <c r="AY21" i="99"/>
  <c r="AX21" i="99"/>
  <c r="AW21" i="99"/>
  <c r="AV21" i="99"/>
  <c r="AU21" i="99"/>
  <c r="AT21" i="99"/>
  <c r="AS21" i="99"/>
  <c r="AR21" i="99"/>
  <c r="AQ21" i="99"/>
  <c r="AP21" i="99"/>
  <c r="CT21" i="99"/>
  <c r="CR21" i="99"/>
  <c r="CP21" i="99"/>
  <c r="CO21" i="99"/>
  <c r="CN21" i="99"/>
  <c r="CL21" i="99"/>
  <c r="CJ21" i="99"/>
  <c r="CH21" i="99"/>
  <c r="B21" i="99"/>
  <c r="DA20" i="99"/>
  <c r="CY20" i="99"/>
  <c r="BF20" i="99"/>
  <c r="BE20" i="99"/>
  <c r="BD20" i="99"/>
  <c r="BC20" i="99"/>
  <c r="BB20" i="99"/>
  <c r="BA20" i="99"/>
  <c r="AZ20" i="99"/>
  <c r="AY20" i="99"/>
  <c r="AX20" i="99"/>
  <c r="AW20" i="99"/>
  <c r="AV20" i="99"/>
  <c r="AU20" i="99"/>
  <c r="AT20" i="99"/>
  <c r="AS20" i="99"/>
  <c r="AR20" i="99"/>
  <c r="AQ20" i="99"/>
  <c r="AP20" i="99"/>
  <c r="CU20" i="99"/>
  <c r="CS20" i="99"/>
  <c r="CQ20" i="99"/>
  <c r="CO20" i="99"/>
  <c r="CM20" i="99"/>
  <c r="CK20" i="99"/>
  <c r="CI20" i="99"/>
  <c r="B20" i="99"/>
  <c r="DA19" i="99"/>
  <c r="CY19" i="99"/>
  <c r="CP19" i="99"/>
  <c r="CJ19" i="99"/>
  <c r="BF19" i="99"/>
  <c r="BE19" i="99"/>
  <c r="BD19" i="99"/>
  <c r="BC19" i="99"/>
  <c r="BB19" i="99"/>
  <c r="BA19" i="99"/>
  <c r="AZ19" i="99"/>
  <c r="AY19" i="99"/>
  <c r="AX19" i="99"/>
  <c r="AW19" i="99"/>
  <c r="AV19" i="99"/>
  <c r="AU19" i="99"/>
  <c r="AT19" i="99"/>
  <c r="AS19" i="99"/>
  <c r="AR19" i="99"/>
  <c r="AQ19" i="99"/>
  <c r="AP19" i="99"/>
  <c r="CT19" i="99"/>
  <c r="CR19" i="99"/>
  <c r="CN19" i="99"/>
  <c r="CL19" i="99"/>
  <c r="CI19" i="99"/>
  <c r="CH19" i="99"/>
  <c r="B19" i="99"/>
  <c r="DA18" i="99"/>
  <c r="CY18" i="99"/>
  <c r="BF18" i="99"/>
  <c r="BE18" i="99"/>
  <c r="BD18" i="99"/>
  <c r="BC18" i="99"/>
  <c r="BB18" i="99"/>
  <c r="BA18" i="99"/>
  <c r="AZ18" i="99"/>
  <c r="AY18" i="99"/>
  <c r="AX18" i="99"/>
  <c r="AW18" i="99"/>
  <c r="AV18" i="99"/>
  <c r="AU18" i="99"/>
  <c r="AT18" i="99"/>
  <c r="AS18" i="99"/>
  <c r="AR18" i="99"/>
  <c r="AQ18" i="99"/>
  <c r="AP18" i="99"/>
  <c r="CU18" i="99"/>
  <c r="CS18" i="99"/>
  <c r="CR18" i="99"/>
  <c r="CQ18" i="99"/>
  <c r="CO18" i="99"/>
  <c r="CN18" i="99"/>
  <c r="CM18" i="99"/>
  <c r="CK18" i="99"/>
  <c r="CJ18" i="99"/>
  <c r="CI18" i="99"/>
  <c r="B18" i="99"/>
  <c r="DA17" i="99"/>
  <c r="CY17" i="99"/>
  <c r="CP17" i="99"/>
  <c r="CJ17" i="99"/>
  <c r="BF17" i="99"/>
  <c r="BE17" i="99"/>
  <c r="BD17" i="99"/>
  <c r="BC17" i="99"/>
  <c r="BB17" i="99"/>
  <c r="BA17" i="99"/>
  <c r="AZ17" i="99"/>
  <c r="AY17" i="99"/>
  <c r="AX17" i="99"/>
  <c r="AW17" i="99"/>
  <c r="AV17" i="99"/>
  <c r="AU17" i="99"/>
  <c r="AT17" i="99"/>
  <c r="AS17" i="99"/>
  <c r="AR17" i="99"/>
  <c r="AQ17" i="99"/>
  <c r="AP17" i="99"/>
  <c r="CT17" i="99"/>
  <c r="CR17" i="99"/>
  <c r="CN17" i="99"/>
  <c r="CM17" i="99"/>
  <c r="CL17" i="99"/>
  <c r="CH17" i="99"/>
  <c r="B17" i="99"/>
  <c r="DA16" i="99"/>
  <c r="CY16" i="99"/>
  <c r="CT16" i="99"/>
  <c r="BF16" i="99"/>
  <c r="BE16" i="99"/>
  <c r="BD16" i="99"/>
  <c r="BC16" i="99"/>
  <c r="BB16" i="99"/>
  <c r="BA16" i="99"/>
  <c r="AZ16" i="99"/>
  <c r="AY16" i="99"/>
  <c r="AX16" i="99"/>
  <c r="AW16" i="99"/>
  <c r="AV16" i="99"/>
  <c r="AU16" i="99"/>
  <c r="AT16" i="99"/>
  <c r="AS16" i="99"/>
  <c r="AR16" i="99"/>
  <c r="AQ16" i="99"/>
  <c r="AP16" i="99"/>
  <c r="CU16" i="99"/>
  <c r="CS16" i="99"/>
  <c r="CQ16" i="99"/>
  <c r="CO16" i="99"/>
  <c r="CM16" i="99"/>
  <c r="CK16" i="99"/>
  <c r="CI16" i="99"/>
  <c r="B16" i="99"/>
  <c r="DA15" i="99"/>
  <c r="CY15" i="99"/>
  <c r="CJ15" i="99"/>
  <c r="BF15" i="99"/>
  <c r="BE15" i="99"/>
  <c r="BD15" i="99"/>
  <c r="BC15" i="99"/>
  <c r="BB15" i="99"/>
  <c r="BA15" i="99"/>
  <c r="AZ15" i="99"/>
  <c r="AY15" i="99"/>
  <c r="AX15" i="99"/>
  <c r="AW15" i="99"/>
  <c r="AV15" i="99"/>
  <c r="AU15" i="99"/>
  <c r="AT15" i="99"/>
  <c r="AS15" i="99"/>
  <c r="AR15" i="99"/>
  <c r="AQ15" i="99"/>
  <c r="AP15" i="99"/>
  <c r="CT15" i="99"/>
  <c r="CR15" i="99"/>
  <c r="CP15" i="99"/>
  <c r="CN15" i="99"/>
  <c r="CL15" i="99"/>
  <c r="CI15" i="99"/>
  <c r="CH15" i="99"/>
  <c r="B15" i="99"/>
  <c r="DA14" i="99"/>
  <c r="CY14" i="99"/>
  <c r="BF14" i="99"/>
  <c r="BE14" i="99"/>
  <c r="BD14" i="99"/>
  <c r="BC14" i="99"/>
  <c r="BB14" i="99"/>
  <c r="BA14" i="99"/>
  <c r="AZ14" i="99"/>
  <c r="AY14" i="99"/>
  <c r="AX14" i="99"/>
  <c r="AW14" i="99"/>
  <c r="AV14" i="99"/>
  <c r="AU14" i="99"/>
  <c r="AT14" i="99"/>
  <c r="AS14" i="99"/>
  <c r="AR14" i="99"/>
  <c r="AQ14" i="99"/>
  <c r="AP14" i="99"/>
  <c r="CU14" i="99"/>
  <c r="CS14" i="99"/>
  <c r="CR14" i="99"/>
  <c r="CQ14" i="99"/>
  <c r="CO14" i="99"/>
  <c r="CN14" i="99"/>
  <c r="CM14" i="99"/>
  <c r="CK14" i="99"/>
  <c r="CJ14" i="99"/>
  <c r="CI14" i="99"/>
  <c r="B14" i="99"/>
  <c r="DA13" i="99"/>
  <c r="CY13" i="99"/>
  <c r="BY25" i="99"/>
  <c r="BF13" i="99"/>
  <c r="BE13" i="99"/>
  <c r="BD13" i="99"/>
  <c r="BC13" i="99"/>
  <c r="BB13" i="99"/>
  <c r="BA13" i="99"/>
  <c r="AZ13" i="99"/>
  <c r="AY13" i="99"/>
  <c r="AX13" i="99"/>
  <c r="AW13" i="99"/>
  <c r="AV13" i="99"/>
  <c r="AU13" i="99"/>
  <c r="AT13" i="99"/>
  <c r="AS13" i="99"/>
  <c r="AR13" i="99"/>
  <c r="AQ13" i="99"/>
  <c r="AP13" i="99"/>
  <c r="CT13" i="99"/>
  <c r="CR13" i="99"/>
  <c r="CP13" i="99"/>
  <c r="CN13" i="99"/>
  <c r="CL13" i="99"/>
  <c r="CK13" i="99"/>
  <c r="CJ13" i="99"/>
  <c r="CH13" i="99"/>
  <c r="B13" i="99"/>
  <c r="DA12" i="99"/>
  <c r="CY12" i="99"/>
  <c r="BY24" i="99"/>
  <c r="BF12" i="99"/>
  <c r="BE12" i="99"/>
  <c r="BD12" i="99"/>
  <c r="BC12" i="99"/>
  <c r="BB12" i="99"/>
  <c r="BA12" i="99"/>
  <c r="AZ12" i="99"/>
  <c r="AY12" i="99"/>
  <c r="AX12" i="99"/>
  <c r="AW12" i="99"/>
  <c r="AV12" i="99"/>
  <c r="AU12" i="99"/>
  <c r="AT12" i="99"/>
  <c r="AS12" i="99"/>
  <c r="AR12" i="99"/>
  <c r="AQ12" i="99"/>
  <c r="AP12" i="99"/>
  <c r="CU12" i="99"/>
  <c r="CS12" i="99"/>
  <c r="CQ12" i="99"/>
  <c r="CO12" i="99"/>
  <c r="CM12" i="99"/>
  <c r="CK12" i="99"/>
  <c r="CI12" i="99"/>
  <c r="B12" i="99"/>
  <c r="DA11" i="99"/>
  <c r="CY11" i="99"/>
  <c r="CH11" i="99"/>
  <c r="BF11" i="99"/>
  <c r="BE11" i="99"/>
  <c r="BD11" i="99"/>
  <c r="BC11" i="99"/>
  <c r="BB11" i="99"/>
  <c r="BA11" i="99"/>
  <c r="AZ11" i="99"/>
  <c r="AY11" i="99"/>
  <c r="AX11" i="99"/>
  <c r="AW11" i="99"/>
  <c r="AV11" i="99"/>
  <c r="AU11" i="99"/>
  <c r="AT11" i="99"/>
  <c r="AS11" i="99"/>
  <c r="AR11" i="99"/>
  <c r="AQ11" i="99"/>
  <c r="AP11" i="99"/>
  <c r="CT11" i="99"/>
  <c r="CS11" i="99"/>
  <c r="CR11" i="99"/>
  <c r="CP11" i="99"/>
  <c r="CO11" i="99"/>
  <c r="CN11" i="99"/>
  <c r="CL11" i="99"/>
  <c r="CK11" i="99"/>
  <c r="CJ11" i="99"/>
  <c r="B11" i="99"/>
  <c r="DA10" i="99"/>
  <c r="CY10" i="99"/>
  <c r="BF10" i="99"/>
  <c r="BE10" i="99"/>
  <c r="BD10" i="99"/>
  <c r="BC10" i="99"/>
  <c r="BB10" i="99"/>
  <c r="BA10" i="99"/>
  <c r="AZ10" i="99"/>
  <c r="AY10" i="99"/>
  <c r="AX10" i="99"/>
  <c r="AW10" i="99"/>
  <c r="AV10" i="99"/>
  <c r="AU10" i="99"/>
  <c r="AT10" i="99"/>
  <c r="AS10" i="99"/>
  <c r="AR10" i="99"/>
  <c r="AQ10" i="99"/>
  <c r="AP10" i="99"/>
  <c r="CU10" i="99"/>
  <c r="CT10" i="99"/>
  <c r="CS10" i="99"/>
  <c r="CQ10" i="99"/>
  <c r="CO10" i="99"/>
  <c r="CM10" i="99"/>
  <c r="CK10" i="99"/>
  <c r="CI10" i="99"/>
  <c r="B10" i="99"/>
  <c r="DA9" i="99"/>
  <c r="CY9" i="99"/>
  <c r="BF9" i="99"/>
  <c r="BE9" i="99"/>
  <c r="BD9" i="99"/>
  <c r="BC9" i="99"/>
  <c r="BB9" i="99"/>
  <c r="BA9" i="99"/>
  <c r="AZ9" i="99"/>
  <c r="AY9" i="99"/>
  <c r="AX9" i="99"/>
  <c r="AW9" i="99"/>
  <c r="AV9" i="99"/>
  <c r="AU9" i="99"/>
  <c r="AT9" i="99"/>
  <c r="AS9" i="99"/>
  <c r="AR9" i="99"/>
  <c r="AQ9" i="99"/>
  <c r="AP9" i="99"/>
  <c r="CT9" i="99"/>
  <c r="CR9" i="99"/>
  <c r="CP9" i="99"/>
  <c r="CN9" i="99"/>
  <c r="CL9" i="99"/>
  <c r="CJ9" i="99"/>
  <c r="CH9" i="99"/>
  <c r="B9" i="99"/>
  <c r="DA8" i="99"/>
  <c r="CY8" i="99"/>
  <c r="BY20" i="99"/>
  <c r="BF8" i="99"/>
  <c r="BE8" i="99"/>
  <c r="BD8" i="99"/>
  <c r="BC8" i="99"/>
  <c r="BB8" i="99"/>
  <c r="BA8" i="99"/>
  <c r="AZ8" i="99"/>
  <c r="AY8" i="99"/>
  <c r="AX8" i="99"/>
  <c r="AW8" i="99"/>
  <c r="AV8" i="99"/>
  <c r="AU8" i="99"/>
  <c r="AT8" i="99"/>
  <c r="AS8" i="99"/>
  <c r="AR8" i="99"/>
  <c r="AQ8" i="99"/>
  <c r="AP8" i="99"/>
  <c r="CU8" i="99"/>
  <c r="CS8" i="99"/>
  <c r="CQ8" i="99"/>
  <c r="CO8" i="99"/>
  <c r="CN8" i="99"/>
  <c r="CM8" i="99"/>
  <c r="CK8" i="99"/>
  <c r="CI8" i="99"/>
  <c r="B8" i="99"/>
  <c r="DA7" i="99"/>
  <c r="CY7" i="99"/>
  <c r="CH7" i="99"/>
  <c r="BY19" i="99"/>
  <c r="BF7" i="99"/>
  <c r="BE7" i="99"/>
  <c r="BD7" i="99"/>
  <c r="BC7" i="99"/>
  <c r="BB7" i="99"/>
  <c r="BA7" i="99"/>
  <c r="AZ7" i="99"/>
  <c r="AY7" i="99"/>
  <c r="AX7" i="99"/>
  <c r="AW7" i="99"/>
  <c r="AV7" i="99"/>
  <c r="AU7" i="99"/>
  <c r="AT7" i="99"/>
  <c r="AS7" i="99"/>
  <c r="AR7" i="99"/>
  <c r="AQ7" i="99"/>
  <c r="AP7" i="99"/>
  <c r="CT7" i="99"/>
  <c r="CS7" i="99"/>
  <c r="CR7" i="99"/>
  <c r="CP7" i="99"/>
  <c r="CO7" i="99"/>
  <c r="CN7" i="99"/>
  <c r="CL7" i="99"/>
  <c r="CK7" i="99"/>
  <c r="CJ7" i="99"/>
  <c r="B7" i="99"/>
  <c r="DA6" i="99"/>
  <c r="CY6" i="99"/>
  <c r="BF6" i="99"/>
  <c r="BE6" i="99"/>
  <c r="BD6" i="99"/>
  <c r="BC6" i="99"/>
  <c r="BB6" i="99"/>
  <c r="BA6" i="99"/>
  <c r="AZ6" i="99"/>
  <c r="AY6" i="99"/>
  <c r="AX6" i="99"/>
  <c r="AW6" i="99"/>
  <c r="AV6" i="99"/>
  <c r="AU6" i="99"/>
  <c r="AT6" i="99"/>
  <c r="AS6" i="99"/>
  <c r="AR6" i="99"/>
  <c r="AQ6" i="99"/>
  <c r="AP6" i="99"/>
  <c r="CU6" i="99"/>
  <c r="CT6" i="99"/>
  <c r="CS6" i="99"/>
  <c r="CQ6" i="99"/>
  <c r="CO6" i="99"/>
  <c r="CM6" i="99"/>
  <c r="CK6" i="99"/>
  <c r="CI6" i="99"/>
  <c r="B6" i="99"/>
  <c r="DA5" i="99"/>
  <c r="CY5" i="99"/>
  <c r="BF5" i="99"/>
  <c r="BE5" i="99"/>
  <c r="BD5" i="99"/>
  <c r="BC5" i="99"/>
  <c r="BB5" i="99"/>
  <c r="BA5" i="99"/>
  <c r="AZ5" i="99"/>
  <c r="AY5" i="99"/>
  <c r="AX5" i="99"/>
  <c r="AW5" i="99"/>
  <c r="AV5" i="99"/>
  <c r="AU5" i="99"/>
  <c r="AT5" i="99"/>
  <c r="AS5" i="99"/>
  <c r="AR5" i="99"/>
  <c r="AQ5" i="99"/>
  <c r="AP5" i="99"/>
  <c r="CT5" i="99"/>
  <c r="CR5" i="99"/>
  <c r="CP5" i="99"/>
  <c r="CN5" i="99"/>
  <c r="CL5" i="99"/>
  <c r="CJ5" i="99"/>
  <c r="CH5" i="99"/>
  <c r="B5" i="99"/>
  <c r="DA4" i="99"/>
  <c r="CY4" i="99"/>
  <c r="BF4" i="99"/>
  <c r="BE4" i="99"/>
  <c r="BD4" i="99"/>
  <c r="BC4" i="99"/>
  <c r="BB4" i="99"/>
  <c r="BA4" i="99"/>
  <c r="AZ4" i="99"/>
  <c r="AY4" i="99"/>
  <c r="AX4" i="99"/>
  <c r="AW4" i="99"/>
  <c r="AV4" i="99"/>
  <c r="AU4" i="99"/>
  <c r="AT4" i="99"/>
  <c r="AS4" i="99"/>
  <c r="AR4" i="99"/>
  <c r="AQ4" i="99"/>
  <c r="AP4" i="99"/>
  <c r="CU4" i="99"/>
  <c r="CS4" i="99"/>
  <c r="CQ4" i="99"/>
  <c r="CO4" i="99"/>
  <c r="CM4" i="99"/>
  <c r="CK4" i="99"/>
  <c r="CJ4" i="99"/>
  <c r="CI4" i="99"/>
  <c r="B4" i="99"/>
  <c r="DA3" i="99"/>
  <c r="CY3" i="99"/>
  <c r="CH3" i="99"/>
  <c r="BY15" i="99"/>
  <c r="BF3" i="99"/>
  <c r="BE3" i="99"/>
  <c r="BD3" i="99"/>
  <c r="BC3" i="99"/>
  <c r="BB3" i="99"/>
  <c r="BA3" i="99"/>
  <c r="AZ3" i="99"/>
  <c r="AY3" i="99"/>
  <c r="AX3" i="99"/>
  <c r="AW3" i="99"/>
  <c r="AV3" i="99"/>
  <c r="AU3" i="99"/>
  <c r="AT3" i="99"/>
  <c r="AS3" i="99"/>
  <c r="AR3" i="99"/>
  <c r="AQ3" i="99"/>
  <c r="AP3" i="99"/>
  <c r="CT3" i="99"/>
  <c r="CS3" i="99"/>
  <c r="CR3" i="99"/>
  <c r="CP3" i="99"/>
  <c r="CO3" i="99"/>
  <c r="CN3" i="99"/>
  <c r="CL3" i="99"/>
  <c r="CK3" i="99"/>
  <c r="CJ3" i="99"/>
  <c r="B3" i="99"/>
  <c r="DA2" i="99"/>
  <c r="CY2" i="99"/>
  <c r="BF2" i="99"/>
  <c r="BE2" i="99"/>
  <c r="BD2" i="99"/>
  <c r="BC2" i="99"/>
  <c r="BB2" i="99"/>
  <c r="BA2" i="99"/>
  <c r="AZ2" i="99"/>
  <c r="AY2" i="99"/>
  <c r="AX2" i="99"/>
  <c r="AW2" i="99"/>
  <c r="AV2" i="99"/>
  <c r="AU2" i="99"/>
  <c r="AT2" i="99"/>
  <c r="AS2" i="99"/>
  <c r="AR2" i="99"/>
  <c r="AQ2" i="99"/>
  <c r="AP2" i="99"/>
  <c r="CU2" i="99"/>
  <c r="CS2" i="99"/>
  <c r="CQ2" i="99"/>
  <c r="CP2" i="99"/>
  <c r="CO2" i="99"/>
  <c r="CM2" i="99"/>
  <c r="CK2" i="99"/>
  <c r="CI2" i="99"/>
  <c r="B2" i="99"/>
  <c r="CH170" i="39"/>
  <c r="CI170" i="39"/>
  <c r="CJ170" i="39"/>
  <c r="CK170" i="39"/>
  <c r="CL170" i="39"/>
  <c r="CM170" i="39"/>
  <c r="CN170" i="39"/>
  <c r="CO170" i="39"/>
  <c r="CP170" i="39"/>
  <c r="CQ170" i="39"/>
  <c r="CR170" i="39"/>
  <c r="CS170" i="39"/>
  <c r="CT170" i="39"/>
  <c r="CU170" i="39"/>
  <c r="CY170" i="39"/>
  <c r="DA170" i="39"/>
  <c r="DB170" i="39"/>
  <c r="DC170" i="39"/>
  <c r="DD170" i="39"/>
  <c r="DE170" i="39"/>
  <c r="DF170" i="39"/>
  <c r="DG170" i="39"/>
  <c r="DH170" i="39"/>
  <c r="DI170" i="39"/>
  <c r="DJ170" i="39"/>
  <c r="DK170" i="39"/>
  <c r="DL170" i="39"/>
  <c r="DM170" i="39"/>
  <c r="DN170" i="39"/>
  <c r="DO170" i="39"/>
  <c r="DP170" i="39"/>
  <c r="DP171" i="39" s="1"/>
  <c r="DP172" i="39" s="1"/>
  <c r="DP173" i="39" s="1"/>
  <c r="DP174" i="39" s="1"/>
  <c r="DP175" i="39" s="1"/>
  <c r="DQ170" i="39"/>
  <c r="DQ171" i="39" s="1"/>
  <c r="DQ172" i="39" s="1"/>
  <c r="DQ173" i="39" s="1"/>
  <c r="DQ174" i="39" s="1"/>
  <c r="DQ175" i="39" s="1"/>
  <c r="DR170" i="39"/>
  <c r="DS170" i="39"/>
  <c r="DT170" i="39"/>
  <c r="DT171" i="39" s="1"/>
  <c r="DT172" i="39" s="1"/>
  <c r="DT173" i="39" s="1"/>
  <c r="DT174" i="39" s="1"/>
  <c r="DT175" i="39" s="1"/>
  <c r="CH171" i="39"/>
  <c r="CI171" i="39"/>
  <c r="CJ171" i="39"/>
  <c r="CK171" i="39"/>
  <c r="CL171" i="39"/>
  <c r="CM171" i="39"/>
  <c r="CN171" i="39"/>
  <c r="CO171" i="39"/>
  <c r="CP171" i="39"/>
  <c r="CQ171" i="39"/>
  <c r="CR171" i="39"/>
  <c r="CS171" i="39"/>
  <c r="CT171" i="39"/>
  <c r="CU171" i="39"/>
  <c r="CY171" i="39"/>
  <c r="DA171" i="39"/>
  <c r="DB171" i="39"/>
  <c r="DC171" i="39"/>
  <c r="DD171" i="39"/>
  <c r="DE171" i="39"/>
  <c r="DF171" i="39"/>
  <c r="DG171" i="39"/>
  <c r="DH171" i="39"/>
  <c r="DI171" i="39"/>
  <c r="DJ171" i="39"/>
  <c r="DK171" i="39"/>
  <c r="DL171" i="39"/>
  <c r="DM171" i="39"/>
  <c r="DN171" i="39"/>
  <c r="DO171" i="39"/>
  <c r="DR171" i="39"/>
  <c r="DR172" i="39" s="1"/>
  <c r="DR173" i="39" s="1"/>
  <c r="DR174" i="39" s="1"/>
  <c r="DR175" i="39" s="1"/>
  <c r="DS171" i="39"/>
  <c r="CH172" i="39"/>
  <c r="CI172" i="39"/>
  <c r="CJ172" i="39"/>
  <c r="CK172" i="39"/>
  <c r="CL172" i="39"/>
  <c r="CM172" i="39"/>
  <c r="CN172" i="39"/>
  <c r="CO172" i="39"/>
  <c r="CP172" i="39"/>
  <c r="CQ172" i="39"/>
  <c r="CR172" i="39"/>
  <c r="CS172" i="39"/>
  <c r="CT172" i="39"/>
  <c r="CU172" i="39"/>
  <c r="CY172" i="39"/>
  <c r="DA172" i="39"/>
  <c r="DB172" i="39"/>
  <c r="DC172" i="39"/>
  <c r="DD172" i="39"/>
  <c r="DE172" i="39"/>
  <c r="DF172" i="39"/>
  <c r="DG172" i="39"/>
  <c r="DH172" i="39"/>
  <c r="DI172" i="39"/>
  <c r="DJ172" i="39"/>
  <c r="DK172" i="39"/>
  <c r="DL172" i="39"/>
  <c r="DM172" i="39"/>
  <c r="DN172" i="39"/>
  <c r="DO172" i="39"/>
  <c r="DS172" i="39"/>
  <c r="DS173" i="39" s="1"/>
  <c r="DS174" i="39" s="1"/>
  <c r="DS175" i="39" s="1"/>
  <c r="CH173" i="39"/>
  <c r="CI173" i="39"/>
  <c r="CJ173" i="39"/>
  <c r="CK173" i="39"/>
  <c r="CL173" i="39"/>
  <c r="CM173" i="39"/>
  <c r="CN173" i="39"/>
  <c r="CO173" i="39"/>
  <c r="CP173" i="39"/>
  <c r="CQ173" i="39"/>
  <c r="CR173" i="39"/>
  <c r="CS173" i="39"/>
  <c r="CT173" i="39"/>
  <c r="CU173" i="39"/>
  <c r="CY173" i="39"/>
  <c r="DA173" i="39"/>
  <c r="DB173" i="39"/>
  <c r="DC173" i="39"/>
  <c r="DD173" i="39"/>
  <c r="DE173" i="39"/>
  <c r="DF173" i="39"/>
  <c r="DG173" i="39"/>
  <c r="DH173" i="39"/>
  <c r="DI173" i="39"/>
  <c r="DJ173" i="39"/>
  <c r="DK173" i="39"/>
  <c r="DL173" i="39"/>
  <c r="DM173" i="39"/>
  <c r="DN173" i="39"/>
  <c r="DO173" i="39"/>
  <c r="CH174" i="39"/>
  <c r="CI174" i="39"/>
  <c r="CJ174" i="39"/>
  <c r="CK174" i="39"/>
  <c r="CL174" i="39"/>
  <c r="CM174" i="39"/>
  <c r="CN174" i="39"/>
  <c r="CO174" i="39"/>
  <c r="CP174" i="39"/>
  <c r="CQ174" i="39"/>
  <c r="CR174" i="39"/>
  <c r="CS174" i="39"/>
  <c r="CT174" i="39"/>
  <c r="CU174" i="39"/>
  <c r="CY174" i="39"/>
  <c r="DA174" i="39"/>
  <c r="DB174" i="39"/>
  <c r="DC174" i="39"/>
  <c r="DD174" i="39"/>
  <c r="DE174" i="39"/>
  <c r="DF174" i="39"/>
  <c r="DG174" i="39"/>
  <c r="DH174" i="39"/>
  <c r="DI174" i="39"/>
  <c r="DJ174" i="39"/>
  <c r="DK174" i="39"/>
  <c r="DL174" i="39"/>
  <c r="DM174" i="39"/>
  <c r="DN174" i="39"/>
  <c r="DO174" i="39"/>
  <c r="CH175" i="39"/>
  <c r="CI175" i="39"/>
  <c r="CJ175" i="39"/>
  <c r="CK175" i="39"/>
  <c r="CL175" i="39"/>
  <c r="CM175" i="39"/>
  <c r="CN175" i="39"/>
  <c r="CO175" i="39"/>
  <c r="CP175" i="39"/>
  <c r="CQ175" i="39"/>
  <c r="CR175" i="39"/>
  <c r="CS175" i="39"/>
  <c r="CT175" i="39"/>
  <c r="CU175" i="39"/>
  <c r="CY175" i="39"/>
  <c r="DA175" i="39"/>
  <c r="DB175" i="39"/>
  <c r="DC175" i="39"/>
  <c r="DD175" i="39"/>
  <c r="DE175" i="39"/>
  <c r="DF175" i="39"/>
  <c r="DG175" i="39"/>
  <c r="DH175" i="39"/>
  <c r="DI175" i="39"/>
  <c r="DJ175" i="39"/>
  <c r="DK175" i="39"/>
  <c r="DL175" i="39"/>
  <c r="DM175" i="39"/>
  <c r="DN175" i="39"/>
  <c r="DO175" i="39"/>
  <c r="CF172" i="39"/>
  <c r="CF173" i="39" s="1"/>
  <c r="CF174" i="39" s="1"/>
  <c r="CF175" i="39" s="1"/>
  <c r="CF171" i="39"/>
  <c r="CE171" i="39"/>
  <c r="CE172" i="39" s="1"/>
  <c r="CE173" i="39" s="1"/>
  <c r="CE174" i="39" s="1"/>
  <c r="CE175" i="39" s="1"/>
  <c r="BJ170" i="39"/>
  <c r="BK170" i="39" s="1"/>
  <c r="BM170" i="39"/>
  <c r="BN170" i="39"/>
  <c r="BO170" i="39"/>
  <c r="BP170" i="39"/>
  <c r="BQ170" i="39"/>
  <c r="BR170" i="39"/>
  <c r="BS170" i="39"/>
  <c r="BT170" i="39"/>
  <c r="BU170" i="39"/>
  <c r="BV170" i="39"/>
  <c r="BW170" i="39"/>
  <c r="BX170" i="39"/>
  <c r="BY170" i="39"/>
  <c r="BZ170" i="39"/>
  <c r="CA170" i="39"/>
  <c r="CB170" i="39"/>
  <c r="BM171" i="39"/>
  <c r="BN171" i="39"/>
  <c r="BO171" i="39"/>
  <c r="BP171" i="39"/>
  <c r="BQ171" i="39"/>
  <c r="BR171" i="39"/>
  <c r="BS171" i="39"/>
  <c r="BT171" i="39"/>
  <c r="BU171" i="39"/>
  <c r="BV171" i="39"/>
  <c r="BW171" i="39"/>
  <c r="BX171" i="39"/>
  <c r="BY171" i="39"/>
  <c r="BZ171" i="39"/>
  <c r="CA171" i="39"/>
  <c r="CB171" i="39"/>
  <c r="BM172" i="39"/>
  <c r="BN172" i="39"/>
  <c r="BO172" i="39"/>
  <c r="BP172" i="39"/>
  <c r="BQ172" i="39"/>
  <c r="BR172" i="39"/>
  <c r="BS172" i="39"/>
  <c r="BT172" i="39"/>
  <c r="BU172" i="39"/>
  <c r="BV172" i="39"/>
  <c r="BW172" i="39"/>
  <c r="BX172" i="39"/>
  <c r="BY172" i="39"/>
  <c r="BZ172" i="39"/>
  <c r="CA172" i="39"/>
  <c r="CB172" i="39"/>
  <c r="BM173" i="39"/>
  <c r="BN173" i="39"/>
  <c r="BO173" i="39"/>
  <c r="BP173" i="39"/>
  <c r="BQ173" i="39"/>
  <c r="BR173" i="39"/>
  <c r="BS173" i="39"/>
  <c r="BT173" i="39"/>
  <c r="BU173" i="39"/>
  <c r="BV173" i="39"/>
  <c r="BW173" i="39"/>
  <c r="BX173" i="39"/>
  <c r="BY173" i="39"/>
  <c r="BZ173" i="39"/>
  <c r="CA173" i="39"/>
  <c r="CB173" i="39"/>
  <c r="BM174" i="39"/>
  <c r="BN174" i="39"/>
  <c r="BO174" i="39"/>
  <c r="BP174" i="39"/>
  <c r="BQ174" i="39"/>
  <c r="BR174" i="39"/>
  <c r="BS174" i="39"/>
  <c r="BT174" i="39"/>
  <c r="BU174" i="39"/>
  <c r="BV174" i="39"/>
  <c r="BW174" i="39"/>
  <c r="BX174" i="39"/>
  <c r="BY174" i="39"/>
  <c r="BZ174" i="39"/>
  <c r="CA174" i="39"/>
  <c r="CB174" i="39"/>
  <c r="BM175" i="39"/>
  <c r="BN175" i="39"/>
  <c r="BO175" i="39"/>
  <c r="BP175" i="39"/>
  <c r="BQ175" i="39"/>
  <c r="BR175" i="39"/>
  <c r="BS175" i="39"/>
  <c r="BT175" i="39"/>
  <c r="BU175" i="39"/>
  <c r="BV175" i="39"/>
  <c r="BW175" i="39"/>
  <c r="BX175" i="39"/>
  <c r="BY175" i="39"/>
  <c r="BZ175" i="39"/>
  <c r="CA175" i="39"/>
  <c r="CB175" i="39"/>
  <c r="AP38" i="39"/>
  <c r="AQ38" i="39"/>
  <c r="AR38" i="39"/>
  <c r="AS38" i="39"/>
  <c r="AT38" i="39"/>
  <c r="AU38" i="39"/>
  <c r="AV38" i="39"/>
  <c r="AW38" i="39"/>
  <c r="AX38" i="39"/>
  <c r="AY38" i="39"/>
  <c r="AZ38" i="39"/>
  <c r="BA38" i="39"/>
  <c r="BB38" i="39"/>
  <c r="BC38" i="39"/>
  <c r="BD38" i="39"/>
  <c r="BE38" i="39"/>
  <c r="BF38" i="39"/>
  <c r="AP39" i="39"/>
  <c r="AQ39" i="39"/>
  <c r="AR39" i="39"/>
  <c r="AS39" i="39"/>
  <c r="AT39" i="39"/>
  <c r="AU39" i="39"/>
  <c r="AV39" i="39"/>
  <c r="AW39" i="39"/>
  <c r="AX39" i="39"/>
  <c r="AY39" i="39"/>
  <c r="AZ39" i="39"/>
  <c r="BA39" i="39"/>
  <c r="BB39" i="39"/>
  <c r="BC39" i="39"/>
  <c r="BD39" i="39"/>
  <c r="BE39" i="39"/>
  <c r="BF39" i="39"/>
  <c r="AP40" i="39"/>
  <c r="AQ40" i="39"/>
  <c r="AR40" i="39"/>
  <c r="AS40" i="39"/>
  <c r="AT40" i="39"/>
  <c r="AU40" i="39"/>
  <c r="AV40" i="39"/>
  <c r="AW40" i="39"/>
  <c r="AX40" i="39"/>
  <c r="AY40" i="39"/>
  <c r="AZ40" i="39"/>
  <c r="BA40" i="39"/>
  <c r="BB40" i="39"/>
  <c r="BC40" i="39"/>
  <c r="BD40" i="39"/>
  <c r="BE40" i="39"/>
  <c r="BF40" i="39"/>
  <c r="AP41" i="39"/>
  <c r="AQ41" i="39"/>
  <c r="AR41" i="39"/>
  <c r="AS41" i="39"/>
  <c r="AT41" i="39"/>
  <c r="AU41" i="39"/>
  <c r="AV41" i="39"/>
  <c r="AW41" i="39"/>
  <c r="AX41" i="39"/>
  <c r="AY41" i="39"/>
  <c r="AZ41" i="39"/>
  <c r="BA41" i="39"/>
  <c r="BB41" i="39"/>
  <c r="BC41" i="39"/>
  <c r="BD41" i="39"/>
  <c r="BE41" i="39"/>
  <c r="BF41" i="39"/>
  <c r="AP42" i="39"/>
  <c r="AQ42" i="39"/>
  <c r="AR42" i="39"/>
  <c r="AS42" i="39"/>
  <c r="AT42" i="39"/>
  <c r="AU42" i="39"/>
  <c r="AV42" i="39"/>
  <c r="AW42" i="39"/>
  <c r="AX42" i="39"/>
  <c r="AY42" i="39"/>
  <c r="AZ42" i="39"/>
  <c r="BA42" i="39"/>
  <c r="BB42" i="39"/>
  <c r="BC42" i="39"/>
  <c r="BD42" i="39"/>
  <c r="BE42" i="39"/>
  <c r="BF42" i="39"/>
  <c r="AP43" i="39"/>
  <c r="AQ43" i="39"/>
  <c r="AR43" i="39"/>
  <c r="AS43" i="39"/>
  <c r="AT43" i="39"/>
  <c r="AU43" i="39"/>
  <c r="AV43" i="39"/>
  <c r="AW43" i="39"/>
  <c r="AX43" i="39"/>
  <c r="AY43" i="39"/>
  <c r="AZ43" i="39"/>
  <c r="BA43" i="39"/>
  <c r="BB43" i="39"/>
  <c r="BC43" i="39"/>
  <c r="BD43" i="39"/>
  <c r="BE43" i="39"/>
  <c r="BF43" i="39"/>
  <c r="AP44" i="39"/>
  <c r="AQ44" i="39"/>
  <c r="AR44" i="39"/>
  <c r="AS44" i="39"/>
  <c r="AT44" i="39"/>
  <c r="AU44" i="39"/>
  <c r="AV44" i="39"/>
  <c r="AW44" i="39"/>
  <c r="AX44" i="39"/>
  <c r="AY44" i="39"/>
  <c r="AZ44" i="39"/>
  <c r="BA44" i="39"/>
  <c r="BB44" i="39"/>
  <c r="BC44" i="39"/>
  <c r="BD44" i="39"/>
  <c r="BE44" i="39"/>
  <c r="BF44" i="39"/>
  <c r="AP45" i="39"/>
  <c r="AQ45" i="39"/>
  <c r="AR45" i="39"/>
  <c r="AS45" i="39"/>
  <c r="AT45" i="39"/>
  <c r="AU45" i="39"/>
  <c r="AV45" i="39"/>
  <c r="AW45" i="39"/>
  <c r="AX45" i="39"/>
  <c r="AY45" i="39"/>
  <c r="AZ45" i="39"/>
  <c r="BA45" i="39"/>
  <c r="BB45" i="39"/>
  <c r="BC45" i="39"/>
  <c r="BD45" i="39"/>
  <c r="BE45" i="39"/>
  <c r="BF45" i="39"/>
  <c r="AP46" i="39"/>
  <c r="AQ46" i="39"/>
  <c r="AR46" i="39"/>
  <c r="AS46" i="39"/>
  <c r="AT46" i="39"/>
  <c r="AU46" i="39"/>
  <c r="AV46" i="39"/>
  <c r="AW46" i="39"/>
  <c r="AX46" i="39"/>
  <c r="AY46" i="39"/>
  <c r="AZ46" i="39"/>
  <c r="BA46" i="39"/>
  <c r="BB46" i="39"/>
  <c r="BC46" i="39"/>
  <c r="BD46" i="39"/>
  <c r="BE46" i="39"/>
  <c r="BF46" i="39"/>
  <c r="AP47" i="39"/>
  <c r="AQ47" i="39"/>
  <c r="AR47" i="39"/>
  <c r="AS47" i="39"/>
  <c r="AT47" i="39"/>
  <c r="AU47" i="39"/>
  <c r="AV47" i="39"/>
  <c r="AW47" i="39"/>
  <c r="AX47" i="39"/>
  <c r="AY47" i="39"/>
  <c r="AZ47" i="39"/>
  <c r="BA47" i="39"/>
  <c r="BB47" i="39"/>
  <c r="BC47" i="39"/>
  <c r="BD47" i="39"/>
  <c r="BE47" i="39"/>
  <c r="BF47" i="39"/>
  <c r="AP48" i="39"/>
  <c r="AQ48" i="39"/>
  <c r="AR48" i="39"/>
  <c r="AS48" i="39"/>
  <c r="AT48" i="39"/>
  <c r="AU48" i="39"/>
  <c r="AV48" i="39"/>
  <c r="AW48" i="39"/>
  <c r="AX48" i="39"/>
  <c r="AY48" i="39"/>
  <c r="AZ48" i="39"/>
  <c r="BA48" i="39"/>
  <c r="BB48" i="39"/>
  <c r="BC48" i="39"/>
  <c r="BD48" i="39"/>
  <c r="BE48" i="39"/>
  <c r="BF48" i="39"/>
  <c r="AP49" i="39"/>
  <c r="AQ49" i="39"/>
  <c r="AR49" i="39"/>
  <c r="AS49" i="39"/>
  <c r="AT49" i="39"/>
  <c r="AU49" i="39"/>
  <c r="AV49" i="39"/>
  <c r="AW49" i="39"/>
  <c r="AX49" i="39"/>
  <c r="AY49" i="39"/>
  <c r="AZ49" i="39"/>
  <c r="BA49" i="39"/>
  <c r="BB49" i="39"/>
  <c r="BC49" i="39"/>
  <c r="BD49" i="39"/>
  <c r="BE49" i="39"/>
  <c r="BF49" i="39"/>
  <c r="AR50" i="39"/>
  <c r="AS50" i="39"/>
  <c r="AR51" i="39"/>
  <c r="AS51" i="39"/>
  <c r="AR52" i="39"/>
  <c r="AS52" i="39"/>
  <c r="AR53" i="39"/>
  <c r="AS53" i="39"/>
  <c r="AR54" i="39"/>
  <c r="AS54" i="39"/>
  <c r="AR55" i="39"/>
  <c r="AS55" i="39"/>
  <c r="AR56" i="39"/>
  <c r="AS56" i="39"/>
  <c r="AR57" i="39"/>
  <c r="AS57" i="39"/>
  <c r="AR58" i="39"/>
  <c r="AS58" i="39"/>
  <c r="AR59" i="39"/>
  <c r="AS59" i="39"/>
  <c r="AR60" i="39"/>
  <c r="AS60" i="39"/>
  <c r="AR61" i="39"/>
  <c r="AS61" i="39"/>
  <c r="AR62" i="39"/>
  <c r="AS62" i="39"/>
  <c r="AR63" i="39"/>
  <c r="AS63" i="39"/>
  <c r="AR64" i="39"/>
  <c r="AS64" i="39"/>
  <c r="AR65" i="39"/>
  <c r="AS65" i="39"/>
  <c r="AR66" i="39"/>
  <c r="AS66" i="39"/>
  <c r="AR67" i="39"/>
  <c r="AS67" i="39"/>
  <c r="AR68" i="39"/>
  <c r="AS68" i="39"/>
  <c r="AR69" i="39"/>
  <c r="AS69" i="39"/>
  <c r="AR70" i="39"/>
  <c r="AS70" i="39"/>
  <c r="AR71" i="39"/>
  <c r="AS71" i="39"/>
  <c r="AR72" i="39"/>
  <c r="AS72" i="39"/>
  <c r="AR73" i="39"/>
  <c r="AS73" i="39"/>
  <c r="AR74" i="39"/>
  <c r="AS74" i="39"/>
  <c r="AR75" i="39"/>
  <c r="AS75" i="39"/>
  <c r="AR76" i="39"/>
  <c r="AS76" i="39"/>
  <c r="AR77" i="39"/>
  <c r="AS77" i="39"/>
  <c r="AR78" i="39"/>
  <c r="AS78" i="39"/>
  <c r="AR79" i="39"/>
  <c r="AS79" i="39"/>
  <c r="AR80" i="39"/>
  <c r="AS80" i="39"/>
  <c r="AR81" i="39"/>
  <c r="AS81" i="39"/>
  <c r="AR82" i="39"/>
  <c r="AS82" i="39"/>
  <c r="AR83" i="39"/>
  <c r="AS83" i="39"/>
  <c r="AR84" i="39"/>
  <c r="AS84" i="39"/>
  <c r="AR85" i="39"/>
  <c r="AS85" i="39"/>
  <c r="AR86" i="39"/>
  <c r="AS86" i="39"/>
  <c r="AR87" i="39"/>
  <c r="AS87" i="39"/>
  <c r="AR88" i="39"/>
  <c r="AS88" i="39"/>
  <c r="AR89" i="39"/>
  <c r="AS89" i="39"/>
  <c r="AR90" i="39"/>
  <c r="AS90" i="39"/>
  <c r="AR91" i="39"/>
  <c r="AS91" i="39"/>
  <c r="AR92" i="39"/>
  <c r="AS92" i="39"/>
  <c r="AR93" i="39"/>
  <c r="AS93" i="39"/>
  <c r="AR94" i="39"/>
  <c r="AS94" i="39"/>
  <c r="AR95" i="39"/>
  <c r="AS95" i="39"/>
  <c r="AR96" i="39"/>
  <c r="AS96" i="39"/>
  <c r="AR97" i="39"/>
  <c r="AS97" i="39"/>
  <c r="AR98" i="39"/>
  <c r="AS98" i="39"/>
  <c r="AR99" i="39"/>
  <c r="AS99" i="39"/>
  <c r="AR100" i="39"/>
  <c r="AS100" i="39"/>
  <c r="AR101" i="39"/>
  <c r="AS101" i="39"/>
  <c r="AR102" i="39"/>
  <c r="AS102" i="39"/>
  <c r="AR103" i="39"/>
  <c r="AS103" i="39"/>
  <c r="AR104" i="39"/>
  <c r="AS104" i="39"/>
  <c r="AR105" i="39"/>
  <c r="AS105" i="39"/>
  <c r="AR106" i="39"/>
  <c r="AS106" i="39"/>
  <c r="AR107" i="39"/>
  <c r="AS107" i="39"/>
  <c r="AR108" i="39"/>
  <c r="AS108" i="39"/>
  <c r="AR109" i="39"/>
  <c r="AS109" i="39"/>
  <c r="AR110" i="39"/>
  <c r="AS110" i="39"/>
  <c r="AR111" i="39"/>
  <c r="AS111" i="39"/>
  <c r="AR112" i="39"/>
  <c r="AS112" i="39"/>
  <c r="AR113" i="39"/>
  <c r="AS113" i="39"/>
  <c r="AR114" i="39"/>
  <c r="AS114" i="39"/>
  <c r="AR115" i="39"/>
  <c r="AS115" i="39"/>
  <c r="AR116" i="39"/>
  <c r="AS116" i="39"/>
  <c r="AR117" i="39"/>
  <c r="AS117" i="39"/>
  <c r="AR118" i="39"/>
  <c r="AS118" i="39"/>
  <c r="AR119" i="39"/>
  <c r="AS119" i="39"/>
  <c r="AR120" i="39"/>
  <c r="AS120" i="39"/>
  <c r="AR121" i="39"/>
  <c r="AS121" i="39"/>
  <c r="AR122" i="39"/>
  <c r="AS122" i="39"/>
  <c r="AR123" i="39"/>
  <c r="AS123" i="39"/>
  <c r="AR124" i="39"/>
  <c r="AS124" i="39"/>
  <c r="AR125" i="39"/>
  <c r="AS125" i="39"/>
  <c r="AR126" i="39"/>
  <c r="AS126" i="39"/>
  <c r="AR127" i="39"/>
  <c r="AS127" i="39"/>
  <c r="AR128" i="39"/>
  <c r="AS128" i="39"/>
  <c r="AR129" i="39"/>
  <c r="AS129" i="39"/>
  <c r="AR130" i="39"/>
  <c r="AS130" i="39"/>
  <c r="AR131" i="39"/>
  <c r="AS131" i="39"/>
  <c r="AR132" i="39"/>
  <c r="AS132" i="39"/>
  <c r="AR133" i="39"/>
  <c r="AS133" i="39"/>
  <c r="AR134" i="39"/>
  <c r="AS134" i="39"/>
  <c r="AR135" i="39"/>
  <c r="AS135" i="39"/>
  <c r="AR136" i="39"/>
  <c r="AS136" i="39"/>
  <c r="AR137" i="39"/>
  <c r="AS137" i="39"/>
  <c r="AR138" i="39"/>
  <c r="AS138" i="39"/>
  <c r="AR139" i="39"/>
  <c r="AS139" i="39"/>
  <c r="AR140" i="39"/>
  <c r="AS140" i="39"/>
  <c r="AR141" i="39"/>
  <c r="AS141" i="39"/>
  <c r="AR142" i="39"/>
  <c r="AS142" i="39"/>
  <c r="AR143" i="39"/>
  <c r="AS143" i="39"/>
  <c r="AR144" i="39"/>
  <c r="AS144" i="39"/>
  <c r="AR145" i="39"/>
  <c r="AS145" i="39"/>
  <c r="AR146" i="39"/>
  <c r="AS146" i="39"/>
  <c r="AR147" i="39"/>
  <c r="AS147" i="39"/>
  <c r="AR148" i="39"/>
  <c r="AS148" i="39"/>
  <c r="AR149" i="39"/>
  <c r="AS149" i="39"/>
  <c r="AR150" i="39"/>
  <c r="AS150" i="39"/>
  <c r="AR151" i="39"/>
  <c r="AS151" i="39"/>
  <c r="AR152" i="39"/>
  <c r="AS152" i="39"/>
  <c r="AR153" i="39"/>
  <c r="AS153" i="39"/>
  <c r="AR154" i="39"/>
  <c r="AS154" i="39"/>
  <c r="AR155" i="39"/>
  <c r="AS155" i="39"/>
  <c r="AR156" i="39"/>
  <c r="AS156" i="39"/>
  <c r="AR157" i="39"/>
  <c r="AS157" i="39"/>
  <c r="AR158" i="39"/>
  <c r="AS158" i="39"/>
  <c r="AR159" i="39"/>
  <c r="AS159" i="39"/>
  <c r="AR160" i="39"/>
  <c r="AS160" i="39"/>
  <c r="AR161" i="39"/>
  <c r="AS161" i="39"/>
  <c r="AR162" i="39"/>
  <c r="AS162" i="39"/>
  <c r="AR163" i="39"/>
  <c r="AS163" i="39"/>
  <c r="AR164" i="39"/>
  <c r="AS164" i="39"/>
  <c r="AR165" i="39"/>
  <c r="AS165" i="39"/>
  <c r="AR166" i="39"/>
  <c r="AS166" i="39"/>
  <c r="AR167" i="39"/>
  <c r="AS167" i="39"/>
  <c r="AR168" i="39"/>
  <c r="AS168" i="39"/>
  <c r="AR169" i="39"/>
  <c r="AS169" i="39"/>
  <c r="AR170" i="39"/>
  <c r="AS170" i="39"/>
  <c r="AR171" i="39"/>
  <c r="AS171" i="39"/>
  <c r="AR172" i="39"/>
  <c r="AS172" i="39"/>
  <c r="AR173" i="39"/>
  <c r="AS173" i="39"/>
  <c r="AR174" i="39"/>
  <c r="AS174" i="39"/>
  <c r="AR175" i="39"/>
  <c r="AS175" i="39"/>
  <c r="BF51" i="39"/>
  <c r="BF52" i="39"/>
  <c r="BF53" i="39"/>
  <c r="BF54" i="39"/>
  <c r="BF55" i="39"/>
  <c r="BF56" i="39"/>
  <c r="BF57" i="39"/>
  <c r="BF58" i="39"/>
  <c r="BF59" i="39"/>
  <c r="BF60" i="39"/>
  <c r="BF61" i="39"/>
  <c r="BF62" i="39"/>
  <c r="BF63" i="39"/>
  <c r="BF64" i="39"/>
  <c r="BF65" i="39"/>
  <c r="BF66" i="39"/>
  <c r="BF67" i="39"/>
  <c r="BF68" i="39"/>
  <c r="BF69" i="39"/>
  <c r="BF70" i="39"/>
  <c r="BF71" i="39"/>
  <c r="BF72" i="39"/>
  <c r="BF73" i="39"/>
  <c r="BF74" i="39"/>
  <c r="BF75" i="39"/>
  <c r="BF76" i="39"/>
  <c r="BF77" i="39"/>
  <c r="BF78" i="39"/>
  <c r="BF79" i="39"/>
  <c r="BF80" i="39"/>
  <c r="BF81" i="39"/>
  <c r="BF82" i="39"/>
  <c r="BF83" i="39"/>
  <c r="BF84" i="39"/>
  <c r="BF85" i="39"/>
  <c r="BF86" i="39"/>
  <c r="BF87" i="39"/>
  <c r="BF88" i="39"/>
  <c r="BF89" i="39"/>
  <c r="BF90" i="39"/>
  <c r="BF91" i="39"/>
  <c r="BF92" i="39"/>
  <c r="BF93" i="39"/>
  <c r="BF94" i="39"/>
  <c r="BF95" i="39"/>
  <c r="BF96" i="39"/>
  <c r="BF97" i="39"/>
  <c r="BF98" i="39"/>
  <c r="BF99" i="39"/>
  <c r="BF100" i="39"/>
  <c r="BF101" i="39"/>
  <c r="BF102" i="39"/>
  <c r="BF103" i="39"/>
  <c r="BF104" i="39"/>
  <c r="BF105" i="39"/>
  <c r="BF106" i="39"/>
  <c r="BF107" i="39"/>
  <c r="BF108" i="39"/>
  <c r="BF109" i="39"/>
  <c r="BF110" i="39"/>
  <c r="BF111" i="39"/>
  <c r="BF112" i="39"/>
  <c r="BF113" i="39"/>
  <c r="BF114" i="39"/>
  <c r="BF115" i="39"/>
  <c r="BF116" i="39"/>
  <c r="BF117" i="39"/>
  <c r="BF118" i="39"/>
  <c r="BF119" i="39"/>
  <c r="BF120" i="39"/>
  <c r="BF121" i="39"/>
  <c r="BF122" i="39"/>
  <c r="BF123" i="39"/>
  <c r="BF124" i="39"/>
  <c r="BF125" i="39"/>
  <c r="BF126" i="39"/>
  <c r="BF127" i="39"/>
  <c r="BF128" i="39"/>
  <c r="BF129" i="39"/>
  <c r="BF130" i="39"/>
  <c r="BF131" i="39"/>
  <c r="BF132" i="39"/>
  <c r="BF133" i="39"/>
  <c r="BF134" i="39"/>
  <c r="BF135" i="39"/>
  <c r="BF136" i="39"/>
  <c r="BF137" i="39"/>
  <c r="BF138" i="39"/>
  <c r="BF139" i="39"/>
  <c r="BF140" i="39"/>
  <c r="BF141" i="39"/>
  <c r="BF142" i="39"/>
  <c r="BF143" i="39"/>
  <c r="BF144" i="39"/>
  <c r="BF145" i="39"/>
  <c r="BF146" i="39"/>
  <c r="BF147" i="39"/>
  <c r="BF148" i="39"/>
  <c r="BF149" i="39"/>
  <c r="BF150" i="39"/>
  <c r="BF151" i="39"/>
  <c r="BF152" i="39"/>
  <c r="BF153" i="39"/>
  <c r="BF154" i="39"/>
  <c r="BF155" i="39"/>
  <c r="BF156" i="39"/>
  <c r="BF157" i="39"/>
  <c r="BF158" i="39"/>
  <c r="BF159" i="39"/>
  <c r="BF160" i="39"/>
  <c r="BF161" i="39"/>
  <c r="BF162" i="39"/>
  <c r="BF163" i="39"/>
  <c r="BF164" i="39"/>
  <c r="BF165" i="39"/>
  <c r="BF166" i="39"/>
  <c r="BF167" i="39"/>
  <c r="BF168" i="39"/>
  <c r="BF169" i="39"/>
  <c r="BF170" i="39"/>
  <c r="BF171" i="39"/>
  <c r="BF172" i="39"/>
  <c r="BF173" i="39"/>
  <c r="BF174" i="39"/>
  <c r="BF175" i="39"/>
  <c r="BF50" i="39"/>
  <c r="BC170" i="39"/>
  <c r="BD170" i="39"/>
  <c r="BE170" i="39"/>
  <c r="BC171" i="39"/>
  <c r="BD171" i="39"/>
  <c r="BE171" i="39"/>
  <c r="BC172" i="39"/>
  <c r="BD172" i="39"/>
  <c r="BE172" i="39"/>
  <c r="BC173" i="39"/>
  <c r="BD173" i="39"/>
  <c r="BE173" i="39"/>
  <c r="BC174" i="39"/>
  <c r="BD174" i="39"/>
  <c r="BE174" i="39"/>
  <c r="BC175" i="39"/>
  <c r="BD175" i="39"/>
  <c r="BE175" i="39"/>
  <c r="AT122" i="39"/>
  <c r="AT123" i="39"/>
  <c r="AT124" i="39"/>
  <c r="AT125" i="39"/>
  <c r="AT126" i="39"/>
  <c r="AT127" i="39"/>
  <c r="AT128" i="39"/>
  <c r="AT129" i="39"/>
  <c r="AT130" i="39"/>
  <c r="AT131" i="39"/>
  <c r="AT132" i="39"/>
  <c r="AT133" i="39"/>
  <c r="AT134" i="39"/>
  <c r="AT135" i="39"/>
  <c r="AT136" i="39"/>
  <c r="AT137" i="39"/>
  <c r="AT138" i="39"/>
  <c r="AT139" i="39"/>
  <c r="AT140" i="39"/>
  <c r="AT141" i="39"/>
  <c r="AT142" i="39"/>
  <c r="AT143" i="39"/>
  <c r="AT144" i="39"/>
  <c r="AT145" i="39"/>
  <c r="AT146" i="39"/>
  <c r="AT147" i="39"/>
  <c r="AT148" i="39"/>
  <c r="AT149" i="39"/>
  <c r="AT150" i="39"/>
  <c r="AT151" i="39"/>
  <c r="AT152" i="39"/>
  <c r="AT153" i="39"/>
  <c r="AT154" i="39"/>
  <c r="AT155" i="39"/>
  <c r="AT156" i="39"/>
  <c r="AT157" i="39"/>
  <c r="AT158" i="39"/>
  <c r="AT159" i="39"/>
  <c r="AT160" i="39"/>
  <c r="AT161" i="39"/>
  <c r="AT162" i="39"/>
  <c r="AT163" i="39"/>
  <c r="AT164" i="39"/>
  <c r="AT165" i="39"/>
  <c r="AT166" i="39"/>
  <c r="AT167" i="39"/>
  <c r="AT168" i="39"/>
  <c r="AT169" i="39"/>
  <c r="AX50" i="39"/>
  <c r="AY50" i="39"/>
  <c r="AX51" i="39"/>
  <c r="AY51" i="39"/>
  <c r="AX52" i="39"/>
  <c r="AY52" i="39"/>
  <c r="AX53" i="39"/>
  <c r="AY53" i="39"/>
  <c r="AX54" i="39"/>
  <c r="AY54" i="39"/>
  <c r="AX55" i="39"/>
  <c r="AY55" i="39"/>
  <c r="AX56" i="39"/>
  <c r="AY56" i="39"/>
  <c r="AX57" i="39"/>
  <c r="AY57" i="39"/>
  <c r="AX58" i="39"/>
  <c r="AY58" i="39"/>
  <c r="AX59" i="39"/>
  <c r="AY59" i="39"/>
  <c r="AX60" i="39"/>
  <c r="AY60" i="39"/>
  <c r="AX61" i="39"/>
  <c r="AY61" i="39"/>
  <c r="AX62" i="39"/>
  <c r="AY62" i="39"/>
  <c r="AX63" i="39"/>
  <c r="AY63" i="39"/>
  <c r="AX64" i="39"/>
  <c r="AY64" i="39"/>
  <c r="AX65" i="39"/>
  <c r="AY65" i="39"/>
  <c r="AX66" i="39"/>
  <c r="AY66" i="39"/>
  <c r="AX67" i="39"/>
  <c r="AY67" i="39"/>
  <c r="AX68" i="39"/>
  <c r="AY68" i="39"/>
  <c r="AX69" i="39"/>
  <c r="AY69" i="39"/>
  <c r="AX70" i="39"/>
  <c r="AY70" i="39"/>
  <c r="AX71" i="39"/>
  <c r="AY71" i="39"/>
  <c r="AX72" i="39"/>
  <c r="AY72" i="39"/>
  <c r="AX73" i="39"/>
  <c r="AY73" i="39"/>
  <c r="AX74" i="39"/>
  <c r="AY74" i="39"/>
  <c r="AX75" i="39"/>
  <c r="AY75" i="39"/>
  <c r="AX76" i="39"/>
  <c r="AY76" i="39"/>
  <c r="AX77" i="39"/>
  <c r="AY77" i="39"/>
  <c r="AX78" i="39"/>
  <c r="AY78" i="39"/>
  <c r="AX79" i="39"/>
  <c r="AY79" i="39"/>
  <c r="AX80" i="39"/>
  <c r="AY80" i="39"/>
  <c r="AX81" i="39"/>
  <c r="AY81" i="39"/>
  <c r="AX82" i="39"/>
  <c r="AY82" i="39"/>
  <c r="AX83" i="39"/>
  <c r="AY83" i="39"/>
  <c r="AX84" i="39"/>
  <c r="AY84" i="39"/>
  <c r="AX85" i="39"/>
  <c r="AY85" i="39"/>
  <c r="AX86" i="39"/>
  <c r="AY86" i="39"/>
  <c r="AX87" i="39"/>
  <c r="AY87" i="39"/>
  <c r="AX88" i="39"/>
  <c r="AY88" i="39"/>
  <c r="AX89" i="39"/>
  <c r="AY89" i="39"/>
  <c r="AX90" i="39"/>
  <c r="AY90" i="39"/>
  <c r="AX91" i="39"/>
  <c r="AY91" i="39"/>
  <c r="AX92" i="39"/>
  <c r="AY92" i="39"/>
  <c r="AX93" i="39"/>
  <c r="AY93" i="39"/>
  <c r="AX94" i="39"/>
  <c r="AY94" i="39"/>
  <c r="AX95" i="39"/>
  <c r="AY95" i="39"/>
  <c r="AX96" i="39"/>
  <c r="AY96" i="39"/>
  <c r="AX97" i="39"/>
  <c r="AY97" i="39"/>
  <c r="AX98" i="39"/>
  <c r="AY98" i="39"/>
  <c r="AX99" i="39"/>
  <c r="AY99" i="39"/>
  <c r="AX100" i="39"/>
  <c r="AY100" i="39"/>
  <c r="AX101" i="39"/>
  <c r="AY101" i="39"/>
  <c r="AX102" i="39"/>
  <c r="AY102" i="39"/>
  <c r="AX103" i="39"/>
  <c r="AY103" i="39"/>
  <c r="AX104" i="39"/>
  <c r="AY104" i="39"/>
  <c r="AX105" i="39"/>
  <c r="AY105" i="39"/>
  <c r="AX106" i="39"/>
  <c r="AY106" i="39"/>
  <c r="AX107" i="39"/>
  <c r="AY107" i="39"/>
  <c r="AX108" i="39"/>
  <c r="AY108" i="39"/>
  <c r="AX109" i="39"/>
  <c r="AY109" i="39"/>
  <c r="AX110" i="39"/>
  <c r="AY110" i="39"/>
  <c r="AX111" i="39"/>
  <c r="AY111" i="39"/>
  <c r="AX112" i="39"/>
  <c r="AY112" i="39"/>
  <c r="AX113" i="39"/>
  <c r="AY113" i="39"/>
  <c r="AX114" i="39"/>
  <c r="AY114" i="39"/>
  <c r="AX115" i="39"/>
  <c r="AY115" i="39"/>
  <c r="AX116" i="39"/>
  <c r="AY116" i="39"/>
  <c r="AX117" i="39"/>
  <c r="AY117" i="39"/>
  <c r="AX118" i="39"/>
  <c r="AY118" i="39"/>
  <c r="AX119" i="39"/>
  <c r="AY119" i="39"/>
  <c r="AX120" i="39"/>
  <c r="AY120" i="39"/>
  <c r="AX121" i="39"/>
  <c r="AY121" i="39"/>
  <c r="AX122" i="39"/>
  <c r="AY122" i="39"/>
  <c r="AX123" i="39"/>
  <c r="AY123" i="39"/>
  <c r="AX124" i="39"/>
  <c r="AY124" i="39"/>
  <c r="AX125" i="39"/>
  <c r="AY125" i="39"/>
  <c r="AX126" i="39"/>
  <c r="AY126" i="39"/>
  <c r="AX127" i="39"/>
  <c r="AY127" i="39"/>
  <c r="AX128" i="39"/>
  <c r="AY128" i="39"/>
  <c r="AX129" i="39"/>
  <c r="AY129" i="39"/>
  <c r="AX130" i="39"/>
  <c r="AY130" i="39"/>
  <c r="AX131" i="39"/>
  <c r="AY131" i="39"/>
  <c r="AX132" i="39"/>
  <c r="AY132" i="39"/>
  <c r="AX133" i="39"/>
  <c r="AY133" i="39"/>
  <c r="AX134" i="39"/>
  <c r="AY134" i="39"/>
  <c r="AX135" i="39"/>
  <c r="AY135" i="39"/>
  <c r="AX136" i="39"/>
  <c r="AY136" i="39"/>
  <c r="AX137" i="39"/>
  <c r="AY137" i="39"/>
  <c r="AX138" i="39"/>
  <c r="AY138" i="39"/>
  <c r="AX139" i="39"/>
  <c r="AY139" i="39"/>
  <c r="AX140" i="39"/>
  <c r="AY140" i="39"/>
  <c r="AX141" i="39"/>
  <c r="AY141" i="39"/>
  <c r="AX142" i="39"/>
  <c r="AY142" i="39"/>
  <c r="AX143" i="39"/>
  <c r="AY143" i="39"/>
  <c r="AX144" i="39"/>
  <c r="AY144" i="39"/>
  <c r="AX145" i="39"/>
  <c r="AY145" i="39"/>
  <c r="AX146" i="39"/>
  <c r="AY146" i="39"/>
  <c r="AX147" i="39"/>
  <c r="AY147" i="39"/>
  <c r="AX148" i="39"/>
  <c r="AY148" i="39"/>
  <c r="AX149" i="39"/>
  <c r="AY149" i="39"/>
  <c r="AX150" i="39"/>
  <c r="AY150" i="39"/>
  <c r="AX151" i="39"/>
  <c r="AY151" i="39"/>
  <c r="AX152" i="39"/>
  <c r="AY152" i="39"/>
  <c r="AX153" i="39"/>
  <c r="AY153" i="39"/>
  <c r="AX154" i="39"/>
  <c r="AY154" i="39"/>
  <c r="AX155" i="39"/>
  <c r="AY155" i="39"/>
  <c r="AX156" i="39"/>
  <c r="AY156" i="39"/>
  <c r="AX157" i="39"/>
  <c r="AY157" i="39"/>
  <c r="AX158" i="39"/>
  <c r="AY158" i="39"/>
  <c r="AX159" i="39"/>
  <c r="AY159" i="39"/>
  <c r="AX160" i="39"/>
  <c r="AY160" i="39"/>
  <c r="AX161" i="39"/>
  <c r="AY161" i="39"/>
  <c r="AX162" i="39"/>
  <c r="AY162" i="39"/>
  <c r="AX163" i="39"/>
  <c r="AY163" i="39"/>
  <c r="AX164" i="39"/>
  <c r="AY164" i="39"/>
  <c r="AX165" i="39"/>
  <c r="AY165" i="39"/>
  <c r="AX166" i="39"/>
  <c r="AY166" i="39"/>
  <c r="AX167" i="39"/>
  <c r="AY167" i="39"/>
  <c r="AX168" i="39"/>
  <c r="AY168" i="39"/>
  <c r="AX169" i="39"/>
  <c r="AY169" i="39"/>
  <c r="AB2" i="98"/>
  <c r="W2" i="98"/>
  <c r="X2" i="98"/>
  <c r="Y2" i="98"/>
  <c r="Z2" i="98"/>
  <c r="AA2" i="98"/>
  <c r="V2" i="98"/>
  <c r="L65" i="98"/>
  <c r="M65" i="98" s="1"/>
  <c r="L66" i="98"/>
  <c r="M66" i="98" s="1"/>
  <c r="L67" i="98"/>
  <c r="M67" i="98" s="1"/>
  <c r="L68" i="98"/>
  <c r="M68" i="98" s="1"/>
  <c r="L69" i="98"/>
  <c r="M69" i="98" s="1"/>
  <c r="L70" i="98"/>
  <c r="M70" i="98" s="1"/>
  <c r="L71" i="98"/>
  <c r="M71" i="98" s="1"/>
  <c r="L72" i="98"/>
  <c r="M72" i="98" s="1"/>
  <c r="L73" i="98"/>
  <c r="M73" i="98" s="1"/>
  <c r="L74" i="98"/>
  <c r="M74" i="98" s="1"/>
  <c r="L75" i="98"/>
  <c r="M75" i="98" s="1"/>
  <c r="L76" i="98"/>
  <c r="M76" i="98" s="1"/>
  <c r="L77" i="98"/>
  <c r="M77" i="98" s="1"/>
  <c r="L78" i="98"/>
  <c r="M78" i="98" s="1"/>
  <c r="L79" i="98"/>
  <c r="M79" i="98" s="1"/>
  <c r="L80" i="98"/>
  <c r="M80" i="98" s="1"/>
  <c r="L81" i="98"/>
  <c r="M81" i="98" s="1"/>
  <c r="L82" i="98"/>
  <c r="M82" i="98" s="1"/>
  <c r="L83" i="98"/>
  <c r="M83" i="98" s="1"/>
  <c r="L84" i="98"/>
  <c r="M84" i="98" s="1"/>
  <c r="L85" i="98"/>
  <c r="M85" i="98" s="1"/>
  <c r="L86" i="98"/>
  <c r="M86" i="98" s="1"/>
  <c r="L26" i="98"/>
  <c r="M26" i="98" s="1"/>
  <c r="L27" i="98"/>
  <c r="M27" i="98" s="1"/>
  <c r="L28" i="98"/>
  <c r="M28" i="98" s="1"/>
  <c r="L29" i="98"/>
  <c r="M29" i="98" s="1"/>
  <c r="L30" i="98"/>
  <c r="M30" i="98" s="1"/>
  <c r="L31" i="98"/>
  <c r="M31" i="98" s="1"/>
  <c r="L32" i="98"/>
  <c r="M32" i="98" s="1"/>
  <c r="L33" i="98"/>
  <c r="M33" i="98" s="1"/>
  <c r="L34" i="98"/>
  <c r="M34" i="98" s="1"/>
  <c r="L35" i="98"/>
  <c r="M35" i="98" s="1"/>
  <c r="L36" i="98"/>
  <c r="M36" i="98" s="1"/>
  <c r="L37" i="98"/>
  <c r="M37" i="98" s="1"/>
  <c r="L38" i="98"/>
  <c r="M38" i="98" s="1"/>
  <c r="L39" i="98"/>
  <c r="M39" i="98" s="1"/>
  <c r="L40" i="98"/>
  <c r="M40" i="98" s="1"/>
  <c r="L41" i="98"/>
  <c r="M41" i="98" s="1"/>
  <c r="L42" i="98"/>
  <c r="M42" i="98" s="1"/>
  <c r="L43" i="98"/>
  <c r="M43" i="98" s="1"/>
  <c r="L44" i="98"/>
  <c r="M44" i="98" s="1"/>
  <c r="L45" i="98"/>
  <c r="M45" i="98" s="1"/>
  <c r="L46" i="98"/>
  <c r="M46" i="98" s="1"/>
  <c r="L47" i="98"/>
  <c r="M47" i="98" s="1"/>
  <c r="L48" i="98"/>
  <c r="M48" i="98" s="1"/>
  <c r="L49" i="98"/>
  <c r="M49" i="98" s="1"/>
  <c r="L50" i="98"/>
  <c r="M50" i="98" s="1"/>
  <c r="L51" i="98"/>
  <c r="M51" i="98" s="1"/>
  <c r="L52" i="98"/>
  <c r="M52" i="98" s="1"/>
  <c r="L53" i="98"/>
  <c r="M53" i="98" s="1"/>
  <c r="L54" i="98"/>
  <c r="M54" i="98" s="1"/>
  <c r="L55" i="98"/>
  <c r="M55" i="98" s="1"/>
  <c r="L56" i="98"/>
  <c r="M56" i="98" s="1"/>
  <c r="L57" i="98"/>
  <c r="M57" i="98" s="1"/>
  <c r="L58" i="98"/>
  <c r="M58" i="98" s="1"/>
  <c r="L59" i="98"/>
  <c r="M59" i="98" s="1"/>
  <c r="L60" i="98"/>
  <c r="M60" i="98" s="1"/>
  <c r="L61" i="98"/>
  <c r="M61" i="98" s="1"/>
  <c r="L62" i="98"/>
  <c r="M62" i="98" s="1"/>
  <c r="L63" i="98"/>
  <c r="M63" i="98" s="1"/>
  <c r="L64" i="98"/>
  <c r="M64" i="98" s="1"/>
  <c r="L4" i="98"/>
  <c r="M4" i="98" s="1"/>
  <c r="L5" i="98"/>
  <c r="M5" i="98" s="1"/>
  <c r="L6" i="98"/>
  <c r="M6" i="98" s="1"/>
  <c r="L7" i="98"/>
  <c r="M7" i="98" s="1"/>
  <c r="L8" i="98"/>
  <c r="M8" i="98" s="1"/>
  <c r="L9" i="98"/>
  <c r="M9" i="98" s="1"/>
  <c r="L10" i="98"/>
  <c r="M10" i="98" s="1"/>
  <c r="L11" i="98"/>
  <c r="M11" i="98" s="1"/>
  <c r="L12" i="98"/>
  <c r="M12" i="98" s="1"/>
  <c r="L13" i="98"/>
  <c r="M13" i="98" s="1"/>
  <c r="L14" i="98"/>
  <c r="M14" i="98" s="1"/>
  <c r="L15" i="98"/>
  <c r="M15" i="98" s="1"/>
  <c r="L16" i="98"/>
  <c r="M16" i="98" s="1"/>
  <c r="L17" i="98"/>
  <c r="M17" i="98" s="1"/>
  <c r="L18" i="98"/>
  <c r="M18" i="98" s="1"/>
  <c r="L19" i="98"/>
  <c r="M19" i="98" s="1"/>
  <c r="L20" i="98"/>
  <c r="M20" i="98" s="1"/>
  <c r="L21" i="98"/>
  <c r="M21" i="98" s="1"/>
  <c r="L22" i="98"/>
  <c r="M22" i="98" s="1"/>
  <c r="L23" i="98"/>
  <c r="M23" i="98" s="1"/>
  <c r="L24" i="98"/>
  <c r="M24" i="98" s="1"/>
  <c r="L25" i="98"/>
  <c r="M25" i="98" s="1"/>
  <c r="L3" i="98"/>
  <c r="M3" i="98" s="1"/>
  <c r="B171" i="7"/>
  <c r="B160" i="7"/>
  <c r="B161" i="7"/>
  <c r="B162" i="7"/>
  <c r="B163" i="7"/>
  <c r="B164" i="7"/>
  <c r="B165" i="7"/>
  <c r="B166" i="7"/>
  <c r="B167" i="7"/>
  <c r="B168" i="7"/>
  <c r="B169" i="7"/>
  <c r="B170" i="7"/>
  <c r="F35" i="70"/>
  <c r="C35" i="70"/>
  <c r="F34" i="70"/>
  <c r="H35" i="70" s="1"/>
  <c r="C34" i="70"/>
  <c r="L27" i="70"/>
  <c r="K60" i="70"/>
  <c r="Q55" i="70"/>
  <c r="Q52" i="70"/>
  <c r="Q51" i="70"/>
  <c r="Q50" i="70"/>
  <c r="Q49" i="70"/>
  <c r="Q48" i="70"/>
  <c r="Q47" i="70"/>
  <c r="K38" i="70"/>
  <c r="K37" i="70"/>
  <c r="K36" i="70"/>
  <c r="K27" i="70"/>
  <c r="K26" i="70"/>
  <c r="K25" i="70"/>
  <c r="K24" i="70"/>
  <c r="K23" i="70"/>
  <c r="K22" i="70"/>
  <c r="K21" i="70"/>
  <c r="K20" i="70"/>
  <c r="K19" i="70"/>
  <c r="K18" i="70"/>
  <c r="N18" i="70"/>
  <c r="M18" i="70"/>
  <c r="L18" i="70"/>
  <c r="M27" i="70"/>
  <c r="N27" i="70"/>
  <c r="O27" i="70"/>
  <c r="L24" i="70"/>
  <c r="I70" i="70"/>
  <c r="I68" i="70"/>
  <c r="I69" i="70"/>
  <c r="I62" i="70"/>
  <c r="I63" i="70"/>
  <c r="D14" i="70"/>
  <c r="D15" i="70" s="1"/>
  <c r="E14" i="70"/>
  <c r="F14" i="70"/>
  <c r="L10" i="70"/>
  <c r="M10" i="70"/>
  <c r="N10" i="70"/>
  <c r="O10" i="70"/>
  <c r="L11" i="70"/>
  <c r="M11" i="70"/>
  <c r="N11" i="70"/>
  <c r="O11" i="70"/>
  <c r="L13" i="70"/>
  <c r="M13" i="70"/>
  <c r="N13" i="70"/>
  <c r="O13" i="70"/>
  <c r="I5" i="70"/>
  <c r="I6" i="70" s="1"/>
  <c r="I7" i="70" s="1"/>
  <c r="I8" i="70" s="1"/>
  <c r="I9" i="70" s="1"/>
  <c r="T20" i="103" l="1"/>
  <c r="U19" i="103"/>
  <c r="E1" i="85"/>
  <c r="G1" i="85" s="1"/>
  <c r="E1" i="28"/>
  <c r="E1" i="47"/>
  <c r="E1" i="84"/>
  <c r="E1" i="41"/>
  <c r="E1" i="87"/>
  <c r="BZ18" i="99"/>
  <c r="J6" i="58"/>
  <c r="R6" i="58" s="1"/>
  <c r="J6" i="29"/>
  <c r="R6" i="29" s="1"/>
  <c r="L6" i="86"/>
  <c r="BZ19" i="99"/>
  <c r="J7" i="29"/>
  <c r="R7" i="29" s="1"/>
  <c r="L7" i="86"/>
  <c r="J7" i="58"/>
  <c r="R7" i="58" s="1"/>
  <c r="BZ20" i="99"/>
  <c r="L8" i="86"/>
  <c r="J8" i="29"/>
  <c r="R8" i="29" s="1"/>
  <c r="J8" i="58"/>
  <c r="R8" i="58" s="1"/>
  <c r="DA78" i="99"/>
  <c r="H78" i="28"/>
  <c r="J78" i="85"/>
  <c r="J126" i="85" s="1"/>
  <c r="H78" i="47"/>
  <c r="P78" i="47" s="1"/>
  <c r="I78" i="84"/>
  <c r="I126" i="84" s="1"/>
  <c r="I78" i="27"/>
  <c r="I78" i="41"/>
  <c r="R78" i="41" s="1"/>
  <c r="DA95" i="99"/>
  <c r="H95" i="28"/>
  <c r="H95" i="47"/>
  <c r="P95" i="47" s="1"/>
  <c r="J95" i="85"/>
  <c r="J143" i="85" s="1"/>
  <c r="Q143" i="85" s="1"/>
  <c r="I95" i="84"/>
  <c r="I143" i="84" s="1"/>
  <c r="I95" i="27"/>
  <c r="I95" i="41"/>
  <c r="R95" i="41" s="1"/>
  <c r="DD99" i="99"/>
  <c r="DJ99" i="99"/>
  <c r="DO99" i="99"/>
  <c r="DB99" i="99"/>
  <c r="DH99" i="99"/>
  <c r="DC99" i="99"/>
  <c r="DK99" i="99"/>
  <c r="I100" i="41"/>
  <c r="R100" i="41" s="1"/>
  <c r="DJ111" i="99"/>
  <c r="DN99" i="99"/>
  <c r="O93" i="41"/>
  <c r="CO93" i="99"/>
  <c r="CO73" i="99"/>
  <c r="O73" i="41"/>
  <c r="CO29" i="99"/>
  <c r="O29" i="41"/>
  <c r="CO13" i="99"/>
  <c r="O13" i="41"/>
  <c r="I128" i="27"/>
  <c r="DF78" i="99"/>
  <c r="DK78" i="99"/>
  <c r="DG78" i="99"/>
  <c r="DN78" i="99"/>
  <c r="DB78" i="99"/>
  <c r="DI78" i="99"/>
  <c r="DO78" i="99"/>
  <c r="CO97" i="99"/>
  <c r="O17" i="41"/>
  <c r="O5" i="41"/>
  <c r="DE78" i="99"/>
  <c r="S84" i="27"/>
  <c r="I132" i="27"/>
  <c r="S132" i="27" s="1"/>
  <c r="S76" i="27"/>
  <c r="I124" i="27"/>
  <c r="BZ16" i="99"/>
  <c r="L4" i="86"/>
  <c r="J4" i="29"/>
  <c r="R4" i="29" s="1"/>
  <c r="J4" i="58"/>
  <c r="R4" i="58" s="1"/>
  <c r="BZ21" i="99"/>
  <c r="L9" i="86"/>
  <c r="J9" i="58"/>
  <c r="R9" i="58" s="1"/>
  <c r="J9" i="29"/>
  <c r="R9" i="29" s="1"/>
  <c r="CO61" i="99"/>
  <c r="H66" i="28"/>
  <c r="O66" i="28" s="1"/>
  <c r="J66" i="85"/>
  <c r="H66" i="47"/>
  <c r="P66" i="47" s="1"/>
  <c r="I66" i="84"/>
  <c r="I66" i="27"/>
  <c r="S66" i="27" s="1"/>
  <c r="I66" i="41"/>
  <c r="R66" i="41" s="1"/>
  <c r="DA72" i="99"/>
  <c r="CB120" i="99"/>
  <c r="H72" i="28"/>
  <c r="O72" i="28" s="1"/>
  <c r="H72" i="47"/>
  <c r="P72" i="47" s="1"/>
  <c r="J72" i="85"/>
  <c r="I72" i="84"/>
  <c r="I72" i="41"/>
  <c r="R72" i="41" s="1"/>
  <c r="I72" i="27"/>
  <c r="S72" i="27" s="1"/>
  <c r="CO81" i="99"/>
  <c r="BU93" i="99"/>
  <c r="K81" i="86"/>
  <c r="I81" i="29"/>
  <c r="Q81" i="29" s="1"/>
  <c r="I81" i="58"/>
  <c r="Q81" i="58" s="1"/>
  <c r="DA81" i="99"/>
  <c r="J81" i="85"/>
  <c r="J129" i="85" s="1"/>
  <c r="H81" i="28"/>
  <c r="H81" i="47"/>
  <c r="P81" i="47" s="1"/>
  <c r="I81" i="84"/>
  <c r="I129" i="84" s="1"/>
  <c r="I81" i="27"/>
  <c r="BU96" i="99"/>
  <c r="K84" i="86"/>
  <c r="I84" i="29"/>
  <c r="Q84" i="29" s="1"/>
  <c r="I84" i="58"/>
  <c r="Q84" i="58" s="1"/>
  <c r="DA84" i="99"/>
  <c r="J84" i="85"/>
  <c r="J132" i="85" s="1"/>
  <c r="H84" i="28"/>
  <c r="H84" i="47"/>
  <c r="P84" i="47" s="1"/>
  <c r="I84" i="84"/>
  <c r="I132" i="84" s="1"/>
  <c r="I84" i="41"/>
  <c r="R84" i="41" s="1"/>
  <c r="CO89" i="99"/>
  <c r="CH110" i="99"/>
  <c r="G115" i="29"/>
  <c r="O115" i="29" s="1"/>
  <c r="G115" i="28"/>
  <c r="N115" i="28" s="1"/>
  <c r="I115" i="85"/>
  <c r="O77" i="41"/>
  <c r="DG99" i="99"/>
  <c r="DC78" i="99"/>
  <c r="BZ22" i="99"/>
  <c r="L10" i="86"/>
  <c r="J10" i="58"/>
  <c r="R10" i="58" s="1"/>
  <c r="J10" i="29"/>
  <c r="R10" i="29" s="1"/>
  <c r="BU90" i="99"/>
  <c r="K78" i="86"/>
  <c r="I78" i="58"/>
  <c r="Q78" i="58" s="1"/>
  <c r="I78" i="29"/>
  <c r="Q78" i="29" s="1"/>
  <c r="DA100" i="99"/>
  <c r="J100" i="85"/>
  <c r="H100" i="28"/>
  <c r="O100" i="28" s="1"/>
  <c r="H100" i="47"/>
  <c r="P100" i="47" s="1"/>
  <c r="I100" i="84"/>
  <c r="DA101" i="99"/>
  <c r="J101" i="85"/>
  <c r="H101" i="28"/>
  <c r="O101" i="28" s="1"/>
  <c r="H101" i="47"/>
  <c r="P101" i="47" s="1"/>
  <c r="I101" i="27"/>
  <c r="S101" i="27" s="1"/>
  <c r="I101" i="84"/>
  <c r="I101" i="41"/>
  <c r="R101" i="41" s="1"/>
  <c r="H102" i="28"/>
  <c r="O102" i="28" s="1"/>
  <c r="J102" i="85"/>
  <c r="H102" i="47"/>
  <c r="P102" i="47" s="1"/>
  <c r="I102" i="84"/>
  <c r="I102" i="27"/>
  <c r="S102" i="27" s="1"/>
  <c r="DA102" i="99"/>
  <c r="I102" i="41"/>
  <c r="R102" i="41" s="1"/>
  <c r="DB111" i="99"/>
  <c r="DG111" i="99"/>
  <c r="DL111" i="99"/>
  <c r="DD111" i="99"/>
  <c r="DK111" i="99"/>
  <c r="DF111" i="99"/>
  <c r="DN111" i="99"/>
  <c r="G114" i="29"/>
  <c r="O114" i="29" s="1"/>
  <c r="G114" i="28"/>
  <c r="N114" i="28" s="1"/>
  <c r="DB86" i="99"/>
  <c r="CH86" i="99"/>
  <c r="O85" i="41"/>
  <c r="CO85" i="99"/>
  <c r="O53" i="41"/>
  <c r="CO53" i="99"/>
  <c r="O41" i="41"/>
  <c r="CO41" i="99"/>
  <c r="O9" i="41"/>
  <c r="CO9" i="99"/>
  <c r="F1" i="28"/>
  <c r="F1" i="47"/>
  <c r="F1" i="85"/>
  <c r="H1" i="85" s="1"/>
  <c r="BZ17" i="99"/>
  <c r="L5" i="86"/>
  <c r="J5" i="58"/>
  <c r="R5" i="58" s="1"/>
  <c r="J5" i="29"/>
  <c r="R5" i="29" s="1"/>
  <c r="CO25" i="99"/>
  <c r="CO37" i="99"/>
  <c r="H63" i="28"/>
  <c r="O63" i="28" s="1"/>
  <c r="H63" i="47"/>
  <c r="P63" i="47" s="1"/>
  <c r="J63" i="85"/>
  <c r="I63" i="84"/>
  <c r="I63" i="27"/>
  <c r="S63" i="27" s="1"/>
  <c r="I63" i="41"/>
  <c r="R63" i="41" s="1"/>
  <c r="DA90" i="99"/>
  <c r="H90" i="28"/>
  <c r="J90" i="85"/>
  <c r="J138" i="85" s="1"/>
  <c r="Q138" i="85" s="1"/>
  <c r="H90" i="47"/>
  <c r="P90" i="47" s="1"/>
  <c r="I90" i="84"/>
  <c r="I138" i="84" s="1"/>
  <c r="I90" i="27"/>
  <c r="I90" i="41"/>
  <c r="R90" i="41" s="1"/>
  <c r="H94" i="28"/>
  <c r="J94" i="85"/>
  <c r="J142" i="85" s="1"/>
  <c r="H94" i="47"/>
  <c r="P94" i="47" s="1"/>
  <c r="I94" i="84"/>
  <c r="I142" i="84" s="1"/>
  <c r="I94" i="27"/>
  <c r="DA94" i="99"/>
  <c r="CH98" i="99"/>
  <c r="O69" i="41"/>
  <c r="O65" i="41"/>
  <c r="O57" i="41"/>
  <c r="DH111" i="99"/>
  <c r="DL99" i="99"/>
  <c r="S92" i="27"/>
  <c r="I140" i="27"/>
  <c r="BZ23" i="99"/>
  <c r="L11" i="86"/>
  <c r="J11" i="58"/>
  <c r="R11" i="58" s="1"/>
  <c r="J11" i="29"/>
  <c r="R11" i="29" s="1"/>
  <c r="CO33" i="99"/>
  <c r="H64" i="28"/>
  <c r="O64" i="28" s="1"/>
  <c r="H64" i="47"/>
  <c r="P64" i="47" s="1"/>
  <c r="J64" i="85"/>
  <c r="I64" i="84"/>
  <c r="I64" i="27"/>
  <c r="S64" i="27" s="1"/>
  <c r="I64" i="41"/>
  <c r="R64" i="41" s="1"/>
  <c r="CB115" i="99"/>
  <c r="H67" i="28"/>
  <c r="O67" i="28" s="1"/>
  <c r="H67" i="47"/>
  <c r="P67" i="47" s="1"/>
  <c r="J67" i="85"/>
  <c r="I67" i="84"/>
  <c r="I67" i="27"/>
  <c r="S67" i="27" s="1"/>
  <c r="DA71" i="99"/>
  <c r="CB119" i="99"/>
  <c r="H71" i="28"/>
  <c r="O71" i="28" s="1"/>
  <c r="H71" i="47"/>
  <c r="P71" i="47" s="1"/>
  <c r="J71" i="85"/>
  <c r="I71" i="84"/>
  <c r="I71" i="27"/>
  <c r="S71" i="27" s="1"/>
  <c r="I71" i="41"/>
  <c r="R71" i="41" s="1"/>
  <c r="DA73" i="99"/>
  <c r="CB121" i="99"/>
  <c r="J73" i="85"/>
  <c r="H73" i="47"/>
  <c r="P73" i="47" s="1"/>
  <c r="H73" i="28"/>
  <c r="O73" i="28" s="1"/>
  <c r="I73" i="84"/>
  <c r="I73" i="27"/>
  <c r="S73" i="27" s="1"/>
  <c r="BU91" i="99"/>
  <c r="I79" i="29"/>
  <c r="Q79" i="29" s="1"/>
  <c r="K79" i="86"/>
  <c r="I79" i="58"/>
  <c r="Q79" i="58" s="1"/>
  <c r="DA79" i="99"/>
  <c r="H79" i="28"/>
  <c r="H79" i="47"/>
  <c r="P79" i="47" s="1"/>
  <c r="J79" i="85"/>
  <c r="J127" i="85" s="1"/>
  <c r="I79" i="84"/>
  <c r="I127" i="84" s="1"/>
  <c r="V127" i="84" s="1"/>
  <c r="I79" i="27"/>
  <c r="DB87" i="99"/>
  <c r="DG87" i="99"/>
  <c r="DL87" i="99"/>
  <c r="DH87" i="99"/>
  <c r="DO87" i="99"/>
  <c r="CF88" i="99"/>
  <c r="DC87" i="99"/>
  <c r="DJ87" i="99"/>
  <c r="DA93" i="99"/>
  <c r="J93" i="85"/>
  <c r="J141" i="85" s="1"/>
  <c r="H93" i="28"/>
  <c r="H93" i="47"/>
  <c r="P93" i="47" s="1"/>
  <c r="I93" i="27"/>
  <c r="DA99" i="99"/>
  <c r="H99" i="28"/>
  <c r="O99" i="28" s="1"/>
  <c r="H99" i="47"/>
  <c r="P99" i="47" s="1"/>
  <c r="J99" i="85"/>
  <c r="I99" i="84"/>
  <c r="I99" i="27"/>
  <c r="S99" i="27" s="1"/>
  <c r="CO113" i="99"/>
  <c r="BJ3" i="99"/>
  <c r="K2" i="84"/>
  <c r="K2" i="27"/>
  <c r="U2" i="27" s="1"/>
  <c r="K2" i="41"/>
  <c r="T2" i="41" s="1"/>
  <c r="I93" i="41"/>
  <c r="R93" i="41" s="1"/>
  <c r="I81" i="41"/>
  <c r="R81" i="41" s="1"/>
  <c r="I79" i="41"/>
  <c r="R79" i="41" s="1"/>
  <c r="DO111" i="99"/>
  <c r="DF99" i="99"/>
  <c r="DF87" i="99"/>
  <c r="DM78" i="99"/>
  <c r="I93" i="84"/>
  <c r="I141" i="84" s="1"/>
  <c r="I144" i="27"/>
  <c r="S144" i="27" s="1"/>
  <c r="S83" i="27"/>
  <c r="I131" i="27"/>
  <c r="E1" i="86"/>
  <c r="G1" i="86" s="1"/>
  <c r="O1" i="86" s="1"/>
  <c r="E1" i="29"/>
  <c r="M1" i="29" s="1"/>
  <c r="E1" i="58"/>
  <c r="M1" i="58" s="1"/>
  <c r="BZ24" i="99"/>
  <c r="L12" i="86"/>
  <c r="J12" i="29"/>
  <c r="R12" i="29" s="1"/>
  <c r="J12" i="58"/>
  <c r="R12" i="58" s="1"/>
  <c r="BZ25" i="99"/>
  <c r="L13" i="86"/>
  <c r="J13" i="58"/>
  <c r="R13" i="58" s="1"/>
  <c r="J13" i="29"/>
  <c r="R13" i="29" s="1"/>
  <c r="CB110" i="99"/>
  <c r="H62" i="28"/>
  <c r="O62" i="28" s="1"/>
  <c r="J62" i="85"/>
  <c r="H62" i="47"/>
  <c r="P62" i="47" s="1"/>
  <c r="I62" i="84"/>
  <c r="I62" i="27"/>
  <c r="S62" i="27" s="1"/>
  <c r="J65" i="85"/>
  <c r="H65" i="47"/>
  <c r="P65" i="47" s="1"/>
  <c r="H65" i="28"/>
  <c r="O65" i="28" s="1"/>
  <c r="I65" i="84"/>
  <c r="I65" i="27"/>
  <c r="S65" i="27" s="1"/>
  <c r="DA70" i="99"/>
  <c r="CB118" i="99"/>
  <c r="H70" i="28"/>
  <c r="O70" i="28" s="1"/>
  <c r="J70" i="85"/>
  <c r="H70" i="47"/>
  <c r="P70" i="47" s="1"/>
  <c r="I70" i="84"/>
  <c r="I70" i="27"/>
  <c r="S70" i="27" s="1"/>
  <c r="BU88" i="99"/>
  <c r="K76" i="86"/>
  <c r="I76" i="29"/>
  <c r="Q76" i="29" s="1"/>
  <c r="I76" i="58"/>
  <c r="Q76" i="58" s="1"/>
  <c r="DA76" i="99"/>
  <c r="J76" i="85"/>
  <c r="J124" i="85" s="1"/>
  <c r="H76" i="47"/>
  <c r="P76" i="47" s="1"/>
  <c r="H76" i="28"/>
  <c r="I76" i="84"/>
  <c r="I124" i="84" s="1"/>
  <c r="BU89" i="99"/>
  <c r="K77" i="86"/>
  <c r="I77" i="29"/>
  <c r="Q77" i="29" s="1"/>
  <c r="I77" i="58"/>
  <c r="Q77" i="58" s="1"/>
  <c r="DA77" i="99"/>
  <c r="J77" i="85"/>
  <c r="J125" i="85" s="1"/>
  <c r="H77" i="28"/>
  <c r="H77" i="47"/>
  <c r="P77" i="47" s="1"/>
  <c r="I77" i="27"/>
  <c r="BU94" i="99"/>
  <c r="K82" i="86"/>
  <c r="I82" i="58"/>
  <c r="Q82" i="58" s="1"/>
  <c r="I82" i="29"/>
  <c r="Q82" i="29" s="1"/>
  <c r="DA82" i="99"/>
  <c r="H82" i="28"/>
  <c r="J82" i="85"/>
  <c r="J130" i="85" s="1"/>
  <c r="H82" i="47"/>
  <c r="P82" i="47" s="1"/>
  <c r="I82" i="84"/>
  <c r="I130" i="84" s="1"/>
  <c r="I82" i="27"/>
  <c r="BU95" i="99"/>
  <c r="I83" i="29"/>
  <c r="Q83" i="29" s="1"/>
  <c r="K83" i="86"/>
  <c r="I83" i="58"/>
  <c r="Q83" i="58" s="1"/>
  <c r="DA83" i="99"/>
  <c r="H83" i="28"/>
  <c r="H83" i="47"/>
  <c r="P83" i="47" s="1"/>
  <c r="J83" i="85"/>
  <c r="J131" i="85" s="1"/>
  <c r="I83" i="84"/>
  <c r="I131" i="84" s="1"/>
  <c r="DA86" i="99"/>
  <c r="H86" i="28"/>
  <c r="J86" i="85"/>
  <c r="J134" i="85" s="1"/>
  <c r="H86" i="47"/>
  <c r="P86" i="47" s="1"/>
  <c r="I86" i="84"/>
  <c r="I134" i="84" s="1"/>
  <c r="I86" i="27"/>
  <c r="DA88" i="99"/>
  <c r="H88" i="28"/>
  <c r="H88" i="47"/>
  <c r="P88" i="47" s="1"/>
  <c r="J88" i="85"/>
  <c r="J136" i="85" s="1"/>
  <c r="DA89" i="99"/>
  <c r="J89" i="85"/>
  <c r="J137" i="85" s="1"/>
  <c r="Q137" i="85" s="1"/>
  <c r="H89" i="28"/>
  <c r="H89" i="47"/>
  <c r="P89" i="47" s="1"/>
  <c r="I89" i="84"/>
  <c r="I137" i="84" s="1"/>
  <c r="I89" i="27"/>
  <c r="DA92" i="99"/>
  <c r="J92" i="85"/>
  <c r="J140" i="85" s="1"/>
  <c r="H92" i="47"/>
  <c r="P92" i="47" s="1"/>
  <c r="H92" i="28"/>
  <c r="I92" i="84"/>
  <c r="I140" i="84" s="1"/>
  <c r="DA97" i="99"/>
  <c r="J97" i="85"/>
  <c r="J145" i="85" s="1"/>
  <c r="H97" i="28"/>
  <c r="H97" i="47"/>
  <c r="P97" i="47" s="1"/>
  <c r="I97" i="84"/>
  <c r="I145" i="84" s="1"/>
  <c r="I97" i="27"/>
  <c r="CK98" i="99"/>
  <c r="DA98" i="99"/>
  <c r="H98" i="28"/>
  <c r="O98" i="28" s="1"/>
  <c r="J98" i="85"/>
  <c r="H98" i="47"/>
  <c r="P98" i="47" s="1"/>
  <c r="I98" i="84"/>
  <c r="I98" i="27"/>
  <c r="S98" i="27" s="1"/>
  <c r="DA103" i="99"/>
  <c r="H103" i="28"/>
  <c r="O103" i="28" s="1"/>
  <c r="H103" i="47"/>
  <c r="P103" i="47" s="1"/>
  <c r="J103" i="85"/>
  <c r="I103" i="84"/>
  <c r="DA104" i="99"/>
  <c r="H104" i="28"/>
  <c r="O104" i="28" s="1"/>
  <c r="H104" i="47"/>
  <c r="P104" i="47" s="1"/>
  <c r="J104" i="85"/>
  <c r="DA105" i="99"/>
  <c r="J105" i="85"/>
  <c r="H105" i="28"/>
  <c r="O105" i="28" s="1"/>
  <c r="H105" i="47"/>
  <c r="P105" i="47" s="1"/>
  <c r="I105" i="84"/>
  <c r="I105" i="27"/>
  <c r="S105" i="27" s="1"/>
  <c r="DA106" i="99"/>
  <c r="H106" i="28"/>
  <c r="O106" i="28" s="1"/>
  <c r="J106" i="85"/>
  <c r="H106" i="47"/>
  <c r="P106" i="47" s="1"/>
  <c r="I106" i="84"/>
  <c r="I106" i="27"/>
  <c r="S106" i="27" s="1"/>
  <c r="DA107" i="99"/>
  <c r="H107" i="28"/>
  <c r="O107" i="28" s="1"/>
  <c r="H107" i="47"/>
  <c r="P107" i="47" s="1"/>
  <c r="J107" i="85"/>
  <c r="I107" i="84"/>
  <c r="DA108" i="99"/>
  <c r="J108" i="85"/>
  <c r="H108" i="47"/>
  <c r="P108" i="47" s="1"/>
  <c r="H108" i="28"/>
  <c r="O108" i="28" s="1"/>
  <c r="I108" i="84"/>
  <c r="DA109" i="99"/>
  <c r="J109" i="85"/>
  <c r="H109" i="28"/>
  <c r="O109" i="28" s="1"/>
  <c r="H109" i="47"/>
  <c r="P109" i="47" s="1"/>
  <c r="I109" i="27"/>
  <c r="S109" i="27" s="1"/>
  <c r="I108" i="41"/>
  <c r="R108" i="41" s="1"/>
  <c r="I107" i="41"/>
  <c r="R107" i="41" s="1"/>
  <c r="I96" i="41"/>
  <c r="R96" i="41" s="1"/>
  <c r="I89" i="41"/>
  <c r="R89" i="41" s="1"/>
  <c r="Q86" i="41"/>
  <c r="I76" i="41"/>
  <c r="R76" i="41" s="1"/>
  <c r="I70" i="41"/>
  <c r="R70" i="41" s="1"/>
  <c r="I69" i="41"/>
  <c r="R69" i="41" s="1"/>
  <c r="F115" i="85"/>
  <c r="E114" i="41"/>
  <c r="N114" i="41" s="1"/>
  <c r="E114" i="84"/>
  <c r="DN112" i="99"/>
  <c r="DM111" i="99"/>
  <c r="DE111" i="99"/>
  <c r="I104" i="27"/>
  <c r="S104" i="27" s="1"/>
  <c r="I88" i="27"/>
  <c r="S91" i="27"/>
  <c r="I139" i="27"/>
  <c r="S139" i="27" s="1"/>
  <c r="I123" i="27"/>
  <c r="S75" i="27"/>
  <c r="L1" i="106"/>
  <c r="F1" i="86"/>
  <c r="H1" i="86" s="1"/>
  <c r="F1" i="29"/>
  <c r="F1" i="58"/>
  <c r="BZ14" i="99"/>
  <c r="L2" i="86"/>
  <c r="J2" i="58"/>
  <c r="R2" i="58" s="1"/>
  <c r="J2" i="29"/>
  <c r="R2" i="29" s="1"/>
  <c r="BZ15" i="99"/>
  <c r="L3" i="86"/>
  <c r="J3" i="58"/>
  <c r="R3" i="58" s="1"/>
  <c r="J3" i="29"/>
  <c r="R3" i="29" s="1"/>
  <c r="DA68" i="99"/>
  <c r="CB116" i="99"/>
  <c r="J68" i="85"/>
  <c r="H68" i="28"/>
  <c r="O68" i="28" s="1"/>
  <c r="H68" i="47"/>
  <c r="P68" i="47" s="1"/>
  <c r="I68" i="84"/>
  <c r="DA69" i="99"/>
  <c r="CB117" i="99"/>
  <c r="J69" i="85"/>
  <c r="H69" i="28"/>
  <c r="O69" i="28" s="1"/>
  <c r="H69" i="47"/>
  <c r="P69" i="47" s="1"/>
  <c r="I69" i="27"/>
  <c r="S69" i="27" s="1"/>
  <c r="BU86" i="99"/>
  <c r="K74" i="86"/>
  <c r="I74" i="58"/>
  <c r="Q74" i="58" s="1"/>
  <c r="I74" i="29"/>
  <c r="Q74" i="29" s="1"/>
  <c r="DA74" i="99"/>
  <c r="H74" i="28"/>
  <c r="J74" i="85"/>
  <c r="J122" i="85" s="1"/>
  <c r="H74" i="47"/>
  <c r="P74" i="47" s="1"/>
  <c r="I74" i="84"/>
  <c r="I122" i="84" s="1"/>
  <c r="I74" i="27"/>
  <c r="BU87" i="99"/>
  <c r="I75" i="29"/>
  <c r="Q75" i="29" s="1"/>
  <c r="I75" i="58"/>
  <c r="Q75" i="58" s="1"/>
  <c r="K75" i="86"/>
  <c r="DA75" i="99"/>
  <c r="H75" i="28"/>
  <c r="H75" i="47"/>
  <c r="P75" i="47" s="1"/>
  <c r="J75" i="85"/>
  <c r="J123" i="85" s="1"/>
  <c r="I75" i="84"/>
  <c r="I123" i="84" s="1"/>
  <c r="V123" i="84" s="1"/>
  <c r="BU92" i="99"/>
  <c r="I80" i="29"/>
  <c r="Q80" i="29" s="1"/>
  <c r="I80" i="58"/>
  <c r="Q80" i="58" s="1"/>
  <c r="K80" i="86"/>
  <c r="DA80" i="99"/>
  <c r="H80" i="28"/>
  <c r="H80" i="47"/>
  <c r="P80" i="47" s="1"/>
  <c r="J80" i="85"/>
  <c r="J128" i="85" s="1"/>
  <c r="BU97" i="99"/>
  <c r="K85" i="86"/>
  <c r="I85" i="29"/>
  <c r="Q85" i="29" s="1"/>
  <c r="I85" i="58"/>
  <c r="Q85" i="58" s="1"/>
  <c r="DA85" i="99"/>
  <c r="J85" i="85"/>
  <c r="J133" i="85" s="1"/>
  <c r="H85" i="28"/>
  <c r="H85" i="47"/>
  <c r="P85" i="47" s="1"/>
  <c r="I85" i="27"/>
  <c r="DA87" i="99"/>
  <c r="H87" i="28"/>
  <c r="H87" i="47"/>
  <c r="P87" i="47" s="1"/>
  <c r="J87" i="85"/>
  <c r="J135" i="85" s="1"/>
  <c r="I87" i="84"/>
  <c r="I135" i="84" s="1"/>
  <c r="H91" i="28"/>
  <c r="H91" i="47"/>
  <c r="P91" i="47" s="1"/>
  <c r="J91" i="85"/>
  <c r="J139" i="85" s="1"/>
  <c r="Q139" i="85" s="1"/>
  <c r="I91" i="84"/>
  <c r="I139" i="84" s="1"/>
  <c r="DA96" i="99"/>
  <c r="H96" i="28"/>
  <c r="H96" i="47"/>
  <c r="P96" i="47" s="1"/>
  <c r="J96" i="85"/>
  <c r="J144" i="85" s="1"/>
  <c r="I83" i="41"/>
  <c r="R83" i="41" s="1"/>
  <c r="I77" i="41"/>
  <c r="R77" i="41" s="1"/>
  <c r="I65" i="41"/>
  <c r="R65" i="41" s="1"/>
  <c r="E115" i="84"/>
  <c r="E115" i="85"/>
  <c r="I103" i="27"/>
  <c r="S103" i="27" s="1"/>
  <c r="I87" i="27"/>
  <c r="I104" i="84"/>
  <c r="I88" i="84"/>
  <c r="I136" i="84" s="1"/>
  <c r="DM99" i="99"/>
  <c r="DE99" i="99"/>
  <c r="DN88" i="99"/>
  <c r="DJ88" i="99"/>
  <c r="DB88" i="99"/>
  <c r="DM87" i="99"/>
  <c r="DE87" i="99"/>
  <c r="DL78" i="99"/>
  <c r="F115" i="86"/>
  <c r="F115" i="58"/>
  <c r="N115" i="58" s="1"/>
  <c r="E114" i="86"/>
  <c r="E114" i="58"/>
  <c r="M114" i="58" s="1"/>
  <c r="F113" i="85"/>
  <c r="F113" i="47"/>
  <c r="N113" i="47" s="1"/>
  <c r="E112" i="87"/>
  <c r="E112" i="85"/>
  <c r="E112" i="47"/>
  <c r="M112" i="47" s="1"/>
  <c r="E112" i="84"/>
  <c r="F111" i="86"/>
  <c r="F111" i="58"/>
  <c r="N111" i="58" s="1"/>
  <c r="F111" i="87"/>
  <c r="E110" i="86"/>
  <c r="E110" i="58"/>
  <c r="M110" i="58" s="1"/>
  <c r="F109" i="85"/>
  <c r="F109" i="47"/>
  <c r="N109" i="47" s="1"/>
  <c r="E108" i="87"/>
  <c r="E108" i="85"/>
  <c r="E108" i="47"/>
  <c r="M108" i="47" s="1"/>
  <c r="E108" i="84"/>
  <c r="F107" i="86"/>
  <c r="F107" i="58"/>
  <c r="N107" i="58" s="1"/>
  <c r="F107" i="87"/>
  <c r="E106" i="86"/>
  <c r="E106" i="58"/>
  <c r="M106" i="58" s="1"/>
  <c r="F105" i="85"/>
  <c r="F105" i="47"/>
  <c r="N105" i="47" s="1"/>
  <c r="E104" i="87"/>
  <c r="E104" i="85"/>
  <c r="E104" i="47"/>
  <c r="M104" i="47" s="1"/>
  <c r="E104" i="84"/>
  <c r="F103" i="86"/>
  <c r="F103" i="58"/>
  <c r="N103" i="58" s="1"/>
  <c r="F103" i="87"/>
  <c r="E102" i="86"/>
  <c r="E102" i="58"/>
  <c r="M102" i="58" s="1"/>
  <c r="F101" i="85"/>
  <c r="F101" i="47"/>
  <c r="N101" i="47" s="1"/>
  <c r="E100" i="87"/>
  <c r="E100" i="85"/>
  <c r="E100" i="47"/>
  <c r="M100" i="47" s="1"/>
  <c r="E100" i="84"/>
  <c r="F99" i="86"/>
  <c r="F99" i="58"/>
  <c r="N99" i="58" s="1"/>
  <c r="F99" i="87"/>
  <c r="E98" i="86"/>
  <c r="E98" i="58"/>
  <c r="M98" i="58" s="1"/>
  <c r="F97" i="85"/>
  <c r="F97" i="47"/>
  <c r="N97" i="47" s="1"/>
  <c r="E96" i="87"/>
  <c r="E96" i="85"/>
  <c r="E96" i="47"/>
  <c r="M96" i="47" s="1"/>
  <c r="E96" i="84"/>
  <c r="F95" i="86"/>
  <c r="F95" i="58"/>
  <c r="N95" i="58" s="1"/>
  <c r="F95" i="87"/>
  <c r="E94" i="86"/>
  <c r="E94" i="58"/>
  <c r="M94" i="58" s="1"/>
  <c r="F93" i="85"/>
  <c r="F93" i="47"/>
  <c r="N93" i="47" s="1"/>
  <c r="E92" i="87"/>
  <c r="E92" i="85"/>
  <c r="E92" i="47"/>
  <c r="M92" i="47" s="1"/>
  <c r="E92" i="84"/>
  <c r="F91" i="86"/>
  <c r="F91" i="58"/>
  <c r="N91" i="58" s="1"/>
  <c r="F91" i="87"/>
  <c r="E90" i="86"/>
  <c r="E90" i="58"/>
  <c r="M90" i="58" s="1"/>
  <c r="F89" i="85"/>
  <c r="F89" i="47"/>
  <c r="N89" i="47" s="1"/>
  <c r="E88" i="87"/>
  <c r="E88" i="85"/>
  <c r="E88" i="47"/>
  <c r="M88" i="47" s="1"/>
  <c r="E88" i="84"/>
  <c r="F87" i="86"/>
  <c r="F87" i="58"/>
  <c r="N87" i="58" s="1"/>
  <c r="F87" i="87"/>
  <c r="E86" i="86"/>
  <c r="E86" i="58"/>
  <c r="M86" i="58" s="1"/>
  <c r="F85" i="85"/>
  <c r="F85" i="47"/>
  <c r="N85" i="47" s="1"/>
  <c r="E84" i="87"/>
  <c r="E84" i="85"/>
  <c r="E84" i="47"/>
  <c r="M84" i="47" s="1"/>
  <c r="E84" i="84"/>
  <c r="F83" i="86"/>
  <c r="F83" i="58"/>
  <c r="N83" i="58" s="1"/>
  <c r="F83" i="87"/>
  <c r="E82" i="86"/>
  <c r="E82" i="58"/>
  <c r="M82" i="58" s="1"/>
  <c r="F81" i="85"/>
  <c r="F81" i="47"/>
  <c r="N81" i="47" s="1"/>
  <c r="E80" i="87"/>
  <c r="E80" i="85"/>
  <c r="E80" i="47"/>
  <c r="M80" i="47" s="1"/>
  <c r="E80" i="84"/>
  <c r="F79" i="86"/>
  <c r="F79" i="58"/>
  <c r="N79" i="58" s="1"/>
  <c r="F79" i="87"/>
  <c r="E78" i="86"/>
  <c r="E78" i="58"/>
  <c r="M78" i="58" s="1"/>
  <c r="F77" i="85"/>
  <c r="F77" i="47"/>
  <c r="N77" i="47" s="1"/>
  <c r="E76" i="87"/>
  <c r="E76" i="85"/>
  <c r="E76" i="47"/>
  <c r="M76" i="47" s="1"/>
  <c r="E76" i="84"/>
  <c r="F75" i="86"/>
  <c r="F75" i="58"/>
  <c r="N75" i="58" s="1"/>
  <c r="F75" i="87"/>
  <c r="E74" i="86"/>
  <c r="E74" i="58"/>
  <c r="M74" i="58" s="1"/>
  <c r="F73" i="85"/>
  <c r="F73" i="47"/>
  <c r="N73" i="47" s="1"/>
  <c r="E72" i="87"/>
  <c r="E72" i="85"/>
  <c r="E72" i="47"/>
  <c r="M72" i="47" s="1"/>
  <c r="E72" i="84"/>
  <c r="F71" i="86"/>
  <c r="F71" i="58"/>
  <c r="N71" i="58" s="1"/>
  <c r="F71" i="87"/>
  <c r="E70" i="86"/>
  <c r="E70" i="58"/>
  <c r="M70" i="58" s="1"/>
  <c r="F69" i="85"/>
  <c r="F69" i="47"/>
  <c r="N69" i="47" s="1"/>
  <c r="E68" i="87"/>
  <c r="E68" i="85"/>
  <c r="E68" i="47"/>
  <c r="M68" i="47" s="1"/>
  <c r="E68" i="84"/>
  <c r="F67" i="86"/>
  <c r="F67" i="58"/>
  <c r="N67" i="58" s="1"/>
  <c r="F67" i="87"/>
  <c r="E66" i="86"/>
  <c r="E66" i="58"/>
  <c r="M66" i="58" s="1"/>
  <c r="F65" i="85"/>
  <c r="F65" i="47"/>
  <c r="N65" i="47" s="1"/>
  <c r="E64" i="87"/>
  <c r="E64" i="85"/>
  <c r="E64" i="47"/>
  <c r="M64" i="47" s="1"/>
  <c r="E64" i="84"/>
  <c r="F63" i="86"/>
  <c r="F63" i="58"/>
  <c r="N63" i="58" s="1"/>
  <c r="F63" i="87"/>
  <c r="E62" i="86"/>
  <c r="E62" i="58"/>
  <c r="M62" i="58" s="1"/>
  <c r="F61" i="85"/>
  <c r="F61" i="47"/>
  <c r="N61" i="47" s="1"/>
  <c r="E60" i="87"/>
  <c r="E60" i="85"/>
  <c r="E60" i="47"/>
  <c r="M60" i="47" s="1"/>
  <c r="E60" i="84"/>
  <c r="F59" i="86"/>
  <c r="F59" i="58"/>
  <c r="N59" i="58" s="1"/>
  <c r="F59" i="87"/>
  <c r="E58" i="86"/>
  <c r="E58" i="58"/>
  <c r="M58" i="58" s="1"/>
  <c r="F57" i="85"/>
  <c r="F57" i="47"/>
  <c r="N57" i="47" s="1"/>
  <c r="E56" i="87"/>
  <c r="E56" i="85"/>
  <c r="E56" i="47"/>
  <c r="M56" i="47" s="1"/>
  <c r="E56" i="84"/>
  <c r="F55" i="86"/>
  <c r="F55" i="58"/>
  <c r="N55" i="58" s="1"/>
  <c r="F55" i="87"/>
  <c r="E54" i="86"/>
  <c r="E54" i="58"/>
  <c r="M54" i="58" s="1"/>
  <c r="F53" i="85"/>
  <c r="F53" i="47"/>
  <c r="N53" i="47" s="1"/>
  <c r="E52" i="87"/>
  <c r="E52" i="85"/>
  <c r="E52" i="47"/>
  <c r="M52" i="47" s="1"/>
  <c r="E52" i="84"/>
  <c r="F51" i="86"/>
  <c r="F51" i="58"/>
  <c r="N51" i="58" s="1"/>
  <c r="F51" i="87"/>
  <c r="E50" i="86"/>
  <c r="E50" i="58"/>
  <c r="M50" i="58" s="1"/>
  <c r="F49" i="85"/>
  <c r="F49" i="47"/>
  <c r="N49" i="47" s="1"/>
  <c r="E48" i="87"/>
  <c r="E48" i="85"/>
  <c r="E48" i="47"/>
  <c r="M48" i="47" s="1"/>
  <c r="E48" i="84"/>
  <c r="F47" i="86"/>
  <c r="F47" i="58"/>
  <c r="N47" i="58" s="1"/>
  <c r="F47" i="87"/>
  <c r="E46" i="86"/>
  <c r="E46" i="58"/>
  <c r="M46" i="58" s="1"/>
  <c r="F45" i="85"/>
  <c r="F45" i="47"/>
  <c r="N45" i="47" s="1"/>
  <c r="E44" i="87"/>
  <c r="E44" i="85"/>
  <c r="E44" i="47"/>
  <c r="M44" i="47" s="1"/>
  <c r="E44" i="84"/>
  <c r="F43" i="86"/>
  <c r="F43" i="58"/>
  <c r="N43" i="58" s="1"/>
  <c r="F43" i="87"/>
  <c r="E42" i="86"/>
  <c r="E42" i="58"/>
  <c r="M42" i="58" s="1"/>
  <c r="F41" i="85"/>
  <c r="F41" i="47"/>
  <c r="N41" i="47" s="1"/>
  <c r="E40" i="87"/>
  <c r="E40" i="85"/>
  <c r="E40" i="47"/>
  <c r="M40" i="47" s="1"/>
  <c r="E40" i="84"/>
  <c r="F39" i="86"/>
  <c r="F39" i="58"/>
  <c r="N39" i="58" s="1"/>
  <c r="F39" i="87"/>
  <c r="E38" i="86"/>
  <c r="E38" i="58"/>
  <c r="M38" i="58" s="1"/>
  <c r="F37" i="85"/>
  <c r="F37" i="47"/>
  <c r="N37" i="47" s="1"/>
  <c r="E36" i="87"/>
  <c r="E36" i="85"/>
  <c r="E36" i="47"/>
  <c r="M36" i="47" s="1"/>
  <c r="E36" i="84"/>
  <c r="F35" i="86"/>
  <c r="F35" i="58"/>
  <c r="N35" i="58" s="1"/>
  <c r="F35" i="87"/>
  <c r="E34" i="86"/>
  <c r="E34" i="58"/>
  <c r="M34" i="58" s="1"/>
  <c r="F33" i="85"/>
  <c r="F33" i="47"/>
  <c r="N33" i="47" s="1"/>
  <c r="E32" i="87"/>
  <c r="E32" i="85"/>
  <c r="E32" i="47"/>
  <c r="M32" i="47" s="1"/>
  <c r="E32" i="84"/>
  <c r="F31" i="86"/>
  <c r="F31" i="58"/>
  <c r="N31" i="58" s="1"/>
  <c r="F31" i="87"/>
  <c r="E30" i="86"/>
  <c r="E30" i="58"/>
  <c r="M30" i="58" s="1"/>
  <c r="F29" i="85"/>
  <c r="F29" i="47"/>
  <c r="N29" i="47" s="1"/>
  <c r="E28" i="87"/>
  <c r="E28" i="85"/>
  <c r="E28" i="47"/>
  <c r="M28" i="47" s="1"/>
  <c r="E28" i="84"/>
  <c r="F27" i="86"/>
  <c r="F27" i="58"/>
  <c r="N27" i="58" s="1"/>
  <c r="F27" i="87"/>
  <c r="E26" i="86"/>
  <c r="E26" i="58"/>
  <c r="M26" i="58" s="1"/>
  <c r="F25" i="85"/>
  <c r="F25" i="47"/>
  <c r="N25" i="47" s="1"/>
  <c r="E24" i="87"/>
  <c r="E24" i="85"/>
  <c r="E24" i="47"/>
  <c r="M24" i="47" s="1"/>
  <c r="E24" i="84"/>
  <c r="F23" i="86"/>
  <c r="F23" i="58"/>
  <c r="N23" i="58" s="1"/>
  <c r="F23" i="87"/>
  <c r="E22" i="86"/>
  <c r="E22" i="58"/>
  <c r="M22" i="58" s="1"/>
  <c r="F21" i="85"/>
  <c r="F21" i="47"/>
  <c r="N21" i="47" s="1"/>
  <c r="E20" i="87"/>
  <c r="E20" i="85"/>
  <c r="E20" i="47"/>
  <c r="M20" i="47" s="1"/>
  <c r="E20" i="84"/>
  <c r="F19" i="86"/>
  <c r="F19" i="58"/>
  <c r="N19" i="58" s="1"/>
  <c r="F19" i="87"/>
  <c r="E18" i="86"/>
  <c r="E18" i="58"/>
  <c r="M18" i="58" s="1"/>
  <c r="F17" i="85"/>
  <c r="F17" i="47"/>
  <c r="N17" i="47" s="1"/>
  <c r="E16" i="87"/>
  <c r="E16" i="85"/>
  <c r="E16" i="47"/>
  <c r="M16" i="47" s="1"/>
  <c r="E16" i="84"/>
  <c r="F15" i="86"/>
  <c r="F15" i="58"/>
  <c r="N15" i="58" s="1"/>
  <c r="F15" i="87"/>
  <c r="E14" i="86"/>
  <c r="E14" i="58"/>
  <c r="M14" i="58" s="1"/>
  <c r="F13" i="85"/>
  <c r="F13" i="47"/>
  <c r="N13" i="47" s="1"/>
  <c r="E12" i="87"/>
  <c r="E12" i="85"/>
  <c r="E12" i="47"/>
  <c r="M12" i="47" s="1"/>
  <c r="E12" i="84"/>
  <c r="F11" i="86"/>
  <c r="F11" i="58"/>
  <c r="N11" i="58" s="1"/>
  <c r="F11" i="87"/>
  <c r="E10" i="86"/>
  <c r="E10" i="58"/>
  <c r="M10" i="58" s="1"/>
  <c r="F9" i="85"/>
  <c r="F9" i="47"/>
  <c r="N9" i="47" s="1"/>
  <c r="E8" i="87"/>
  <c r="E8" i="85"/>
  <c r="E8" i="47"/>
  <c r="M8" i="47" s="1"/>
  <c r="E8" i="84"/>
  <c r="E8" i="41"/>
  <c r="F7" i="86"/>
  <c r="F7" i="58"/>
  <c r="N7" i="58" s="1"/>
  <c r="F7" i="87"/>
  <c r="E6" i="86"/>
  <c r="E6" i="58"/>
  <c r="M6" i="58" s="1"/>
  <c r="F5" i="85"/>
  <c r="F5" i="47"/>
  <c r="N5" i="47" s="1"/>
  <c r="E4" i="87"/>
  <c r="E4" i="85"/>
  <c r="E4" i="47"/>
  <c r="M4" i="47" s="1"/>
  <c r="E4" i="84"/>
  <c r="E4" i="41"/>
  <c r="F3" i="86"/>
  <c r="F3" i="58"/>
  <c r="N3" i="58" s="1"/>
  <c r="F3" i="87"/>
  <c r="E2" i="86"/>
  <c r="E2" i="58"/>
  <c r="M2" i="58" s="1"/>
  <c r="G111" i="41"/>
  <c r="P111" i="41" s="1"/>
  <c r="G87" i="41"/>
  <c r="P87" i="41" s="1"/>
  <c r="G76" i="41"/>
  <c r="E115" i="86"/>
  <c r="E115" i="58"/>
  <c r="M115" i="58" s="1"/>
  <c r="F114" i="85"/>
  <c r="F114" i="47"/>
  <c r="N114" i="47" s="1"/>
  <c r="E113" i="87"/>
  <c r="E113" i="85"/>
  <c r="E113" i="47"/>
  <c r="M113" i="47" s="1"/>
  <c r="E113" i="84"/>
  <c r="F112" i="86"/>
  <c r="F112" i="58"/>
  <c r="N112" i="58" s="1"/>
  <c r="F112" i="87"/>
  <c r="E111" i="86"/>
  <c r="E111" i="58"/>
  <c r="M111" i="58" s="1"/>
  <c r="F110" i="85"/>
  <c r="F110" i="47"/>
  <c r="N110" i="47" s="1"/>
  <c r="E109" i="87"/>
  <c r="E109" i="85"/>
  <c r="E109" i="47"/>
  <c r="M109" i="47" s="1"/>
  <c r="E109" i="84"/>
  <c r="F108" i="86"/>
  <c r="F108" i="58"/>
  <c r="N108" i="58" s="1"/>
  <c r="F108" i="87"/>
  <c r="E107" i="86"/>
  <c r="E107" i="58"/>
  <c r="M107" i="58" s="1"/>
  <c r="F106" i="85"/>
  <c r="F106" i="47"/>
  <c r="N106" i="47" s="1"/>
  <c r="E105" i="87"/>
  <c r="E105" i="85"/>
  <c r="E105" i="47"/>
  <c r="M105" i="47" s="1"/>
  <c r="E105" i="84"/>
  <c r="F104" i="86"/>
  <c r="F104" i="58"/>
  <c r="N104" i="58" s="1"/>
  <c r="F104" i="87"/>
  <c r="E103" i="86"/>
  <c r="E103" i="58"/>
  <c r="M103" i="58" s="1"/>
  <c r="F102" i="85"/>
  <c r="F102" i="47"/>
  <c r="N102" i="47" s="1"/>
  <c r="E101" i="87"/>
  <c r="E101" i="85"/>
  <c r="E101" i="47"/>
  <c r="M101" i="47" s="1"/>
  <c r="E101" i="84"/>
  <c r="F100" i="86"/>
  <c r="F100" i="58"/>
  <c r="N100" i="58" s="1"/>
  <c r="F100" i="87"/>
  <c r="E99" i="86"/>
  <c r="E99" i="58"/>
  <c r="M99" i="58" s="1"/>
  <c r="F98" i="85"/>
  <c r="F98" i="47"/>
  <c r="N98" i="47" s="1"/>
  <c r="E97" i="87"/>
  <c r="E97" i="85"/>
  <c r="E97" i="47"/>
  <c r="M97" i="47" s="1"/>
  <c r="E97" i="84"/>
  <c r="F96" i="86"/>
  <c r="F96" i="58"/>
  <c r="N96" i="58" s="1"/>
  <c r="F96" i="87"/>
  <c r="E95" i="86"/>
  <c r="E95" i="58"/>
  <c r="M95" i="58" s="1"/>
  <c r="F94" i="85"/>
  <c r="F94" i="47"/>
  <c r="N94" i="47" s="1"/>
  <c r="E93" i="87"/>
  <c r="E93" i="85"/>
  <c r="E93" i="47"/>
  <c r="M93" i="47" s="1"/>
  <c r="E93" i="84"/>
  <c r="F92" i="86"/>
  <c r="F92" i="58"/>
  <c r="N92" i="58" s="1"/>
  <c r="F92" i="87"/>
  <c r="E91" i="86"/>
  <c r="E91" i="58"/>
  <c r="M91" i="58" s="1"/>
  <c r="F90" i="85"/>
  <c r="F90" i="47"/>
  <c r="N90" i="47" s="1"/>
  <c r="E89" i="87"/>
  <c r="E89" i="85"/>
  <c r="E89" i="47"/>
  <c r="M89" i="47" s="1"/>
  <c r="E89" i="84"/>
  <c r="F88" i="86"/>
  <c r="F88" i="58"/>
  <c r="N88" i="58" s="1"/>
  <c r="F88" i="87"/>
  <c r="E87" i="86"/>
  <c r="E87" i="58"/>
  <c r="M87" i="58" s="1"/>
  <c r="F86" i="85"/>
  <c r="F86" i="47"/>
  <c r="N86" i="47" s="1"/>
  <c r="E85" i="87"/>
  <c r="E85" i="85"/>
  <c r="E85" i="47"/>
  <c r="M85" i="47" s="1"/>
  <c r="E85" i="84"/>
  <c r="F84" i="86"/>
  <c r="F84" i="58"/>
  <c r="N84" i="58" s="1"/>
  <c r="F84" i="87"/>
  <c r="E83" i="86"/>
  <c r="E83" i="58"/>
  <c r="M83" i="58" s="1"/>
  <c r="F82" i="85"/>
  <c r="F82" i="47"/>
  <c r="N82" i="47" s="1"/>
  <c r="E81" i="87"/>
  <c r="E81" i="85"/>
  <c r="E81" i="47"/>
  <c r="M81" i="47" s="1"/>
  <c r="E81" i="84"/>
  <c r="F80" i="86"/>
  <c r="F80" i="58"/>
  <c r="N80" i="58" s="1"/>
  <c r="F80" i="87"/>
  <c r="E79" i="86"/>
  <c r="E79" i="58"/>
  <c r="M79" i="58" s="1"/>
  <c r="F78" i="85"/>
  <c r="F78" i="47"/>
  <c r="N78" i="47" s="1"/>
  <c r="E77" i="87"/>
  <c r="E77" i="85"/>
  <c r="E77" i="47"/>
  <c r="M77" i="47" s="1"/>
  <c r="E77" i="84"/>
  <c r="F76" i="86"/>
  <c r="F76" i="58"/>
  <c r="N76" i="58" s="1"/>
  <c r="F76" i="87"/>
  <c r="E75" i="86"/>
  <c r="E75" i="58"/>
  <c r="M75" i="58" s="1"/>
  <c r="F74" i="85"/>
  <c r="F74" i="47"/>
  <c r="N74" i="47" s="1"/>
  <c r="E73" i="87"/>
  <c r="E73" i="85"/>
  <c r="E73" i="47"/>
  <c r="M73" i="47" s="1"/>
  <c r="E73" i="84"/>
  <c r="F72" i="86"/>
  <c r="F72" i="58"/>
  <c r="N72" i="58" s="1"/>
  <c r="F72" i="87"/>
  <c r="E71" i="86"/>
  <c r="E71" i="58"/>
  <c r="M71" i="58" s="1"/>
  <c r="F70" i="85"/>
  <c r="F70" i="47"/>
  <c r="N70" i="47" s="1"/>
  <c r="E69" i="87"/>
  <c r="E69" i="85"/>
  <c r="E69" i="47"/>
  <c r="M69" i="47" s="1"/>
  <c r="E69" i="84"/>
  <c r="F68" i="86"/>
  <c r="F68" i="58"/>
  <c r="N68" i="58" s="1"/>
  <c r="F68" i="87"/>
  <c r="E67" i="86"/>
  <c r="E67" i="58"/>
  <c r="M67" i="58" s="1"/>
  <c r="F66" i="85"/>
  <c r="F66" i="47"/>
  <c r="N66" i="47" s="1"/>
  <c r="E65" i="87"/>
  <c r="E65" i="85"/>
  <c r="E65" i="47"/>
  <c r="M65" i="47" s="1"/>
  <c r="E65" i="84"/>
  <c r="F64" i="86"/>
  <c r="F64" i="58"/>
  <c r="N64" i="58" s="1"/>
  <c r="F64" i="87"/>
  <c r="E63" i="86"/>
  <c r="E63" i="58"/>
  <c r="M63" i="58" s="1"/>
  <c r="F62" i="85"/>
  <c r="F62" i="47"/>
  <c r="N62" i="47" s="1"/>
  <c r="E61" i="87"/>
  <c r="E61" i="85"/>
  <c r="E61" i="47"/>
  <c r="M61" i="47" s="1"/>
  <c r="E61" i="84"/>
  <c r="F60" i="86"/>
  <c r="F60" i="58"/>
  <c r="N60" i="58" s="1"/>
  <c r="F60" i="87"/>
  <c r="E59" i="86"/>
  <c r="E59" i="58"/>
  <c r="M59" i="58" s="1"/>
  <c r="F58" i="85"/>
  <c r="F58" i="47"/>
  <c r="N58" i="47" s="1"/>
  <c r="E57" i="87"/>
  <c r="E57" i="85"/>
  <c r="E57" i="47"/>
  <c r="M57" i="47" s="1"/>
  <c r="E57" i="84"/>
  <c r="F56" i="86"/>
  <c r="F56" i="58"/>
  <c r="N56" i="58" s="1"/>
  <c r="F56" i="87"/>
  <c r="E55" i="86"/>
  <c r="E55" i="58"/>
  <c r="M55" i="58" s="1"/>
  <c r="F54" i="85"/>
  <c r="F54" i="47"/>
  <c r="N54" i="47" s="1"/>
  <c r="E53" i="87"/>
  <c r="E53" i="85"/>
  <c r="E53" i="47"/>
  <c r="M53" i="47" s="1"/>
  <c r="E53" i="84"/>
  <c r="F52" i="86"/>
  <c r="F52" i="58"/>
  <c r="N52" i="58" s="1"/>
  <c r="F52" i="87"/>
  <c r="E51" i="86"/>
  <c r="E51" i="58"/>
  <c r="M51" i="58" s="1"/>
  <c r="F50" i="85"/>
  <c r="F50" i="47"/>
  <c r="N50" i="47" s="1"/>
  <c r="E49" i="87"/>
  <c r="E49" i="85"/>
  <c r="E49" i="47"/>
  <c r="M49" i="47" s="1"/>
  <c r="E49" i="84"/>
  <c r="F48" i="86"/>
  <c r="F48" i="58"/>
  <c r="N48" i="58" s="1"/>
  <c r="F48" i="87"/>
  <c r="E47" i="86"/>
  <c r="E47" i="58"/>
  <c r="M47" i="58" s="1"/>
  <c r="F46" i="85"/>
  <c r="F46" i="47"/>
  <c r="N46" i="47" s="1"/>
  <c r="E45" i="87"/>
  <c r="E45" i="85"/>
  <c r="E45" i="47"/>
  <c r="M45" i="47" s="1"/>
  <c r="E45" i="84"/>
  <c r="F44" i="86"/>
  <c r="F44" i="58"/>
  <c r="N44" i="58" s="1"/>
  <c r="F44" i="87"/>
  <c r="E43" i="86"/>
  <c r="E43" i="58"/>
  <c r="M43" i="58" s="1"/>
  <c r="F42" i="85"/>
  <c r="F42" i="47"/>
  <c r="N42" i="47" s="1"/>
  <c r="E41" i="87"/>
  <c r="E41" i="85"/>
  <c r="E41" i="47"/>
  <c r="M41" i="47" s="1"/>
  <c r="E41" i="84"/>
  <c r="F40" i="86"/>
  <c r="F40" i="58"/>
  <c r="N40" i="58" s="1"/>
  <c r="F40" i="87"/>
  <c r="E39" i="86"/>
  <c r="E39" i="58"/>
  <c r="M39" i="58" s="1"/>
  <c r="F38" i="85"/>
  <c r="F38" i="47"/>
  <c r="N38" i="47" s="1"/>
  <c r="E37" i="87"/>
  <c r="E37" i="85"/>
  <c r="E37" i="47"/>
  <c r="M37" i="47" s="1"/>
  <c r="E37" i="84"/>
  <c r="F36" i="86"/>
  <c r="F36" i="58"/>
  <c r="N36" i="58" s="1"/>
  <c r="F36" i="87"/>
  <c r="E35" i="86"/>
  <c r="E35" i="58"/>
  <c r="M35" i="58" s="1"/>
  <c r="F34" i="85"/>
  <c r="F34" i="47"/>
  <c r="N34" i="47" s="1"/>
  <c r="E33" i="87"/>
  <c r="E33" i="85"/>
  <c r="E33" i="47"/>
  <c r="M33" i="47" s="1"/>
  <c r="E33" i="84"/>
  <c r="F32" i="86"/>
  <c r="F32" i="58"/>
  <c r="N32" i="58" s="1"/>
  <c r="F32" i="87"/>
  <c r="E31" i="86"/>
  <c r="E31" i="58"/>
  <c r="M31" i="58" s="1"/>
  <c r="F30" i="85"/>
  <c r="F30" i="47"/>
  <c r="N30" i="47" s="1"/>
  <c r="E29" i="87"/>
  <c r="E29" i="85"/>
  <c r="E29" i="47"/>
  <c r="M29" i="47" s="1"/>
  <c r="E29" i="84"/>
  <c r="F28" i="86"/>
  <c r="F28" i="58"/>
  <c r="N28" i="58" s="1"/>
  <c r="F28" i="87"/>
  <c r="E27" i="86"/>
  <c r="E27" i="58"/>
  <c r="M27" i="58" s="1"/>
  <c r="F26" i="85"/>
  <c r="F26" i="47"/>
  <c r="N26" i="47" s="1"/>
  <c r="E25" i="87"/>
  <c r="E25" i="85"/>
  <c r="E25" i="47"/>
  <c r="M25" i="47" s="1"/>
  <c r="E25" i="84"/>
  <c r="F24" i="86"/>
  <c r="F24" i="58"/>
  <c r="N24" i="58" s="1"/>
  <c r="F24" i="87"/>
  <c r="E23" i="86"/>
  <c r="E23" i="58"/>
  <c r="M23" i="58" s="1"/>
  <c r="F22" i="85"/>
  <c r="F22" i="47"/>
  <c r="N22" i="47" s="1"/>
  <c r="E21" i="87"/>
  <c r="E21" i="85"/>
  <c r="E21" i="47"/>
  <c r="M21" i="47" s="1"/>
  <c r="E21" i="84"/>
  <c r="F20" i="86"/>
  <c r="F20" i="58"/>
  <c r="N20" i="58" s="1"/>
  <c r="F20" i="87"/>
  <c r="E19" i="86"/>
  <c r="E19" i="58"/>
  <c r="M19" i="58" s="1"/>
  <c r="F18" i="85"/>
  <c r="F18" i="47"/>
  <c r="N18" i="47" s="1"/>
  <c r="E17" i="87"/>
  <c r="E17" i="85"/>
  <c r="E17" i="47"/>
  <c r="M17" i="47" s="1"/>
  <c r="E17" i="84"/>
  <c r="F16" i="86"/>
  <c r="F16" i="58"/>
  <c r="N16" i="58" s="1"/>
  <c r="F16" i="87"/>
  <c r="E15" i="86"/>
  <c r="E15" i="58"/>
  <c r="M15" i="58" s="1"/>
  <c r="F14" i="85"/>
  <c r="F14" i="47"/>
  <c r="N14" i="47" s="1"/>
  <c r="E13" i="87"/>
  <c r="E13" i="85"/>
  <c r="E13" i="47"/>
  <c r="M13" i="47" s="1"/>
  <c r="E13" i="84"/>
  <c r="F12" i="86"/>
  <c r="F12" i="58"/>
  <c r="N12" i="58" s="1"/>
  <c r="F12" i="87"/>
  <c r="E11" i="86"/>
  <c r="E11" i="58"/>
  <c r="M11" i="58" s="1"/>
  <c r="F10" i="85"/>
  <c r="F10" i="47"/>
  <c r="N10" i="47" s="1"/>
  <c r="E9" i="87"/>
  <c r="E9" i="85"/>
  <c r="E9" i="47"/>
  <c r="M9" i="47" s="1"/>
  <c r="E9" i="84"/>
  <c r="F8" i="86"/>
  <c r="F8" i="58"/>
  <c r="N8" i="58" s="1"/>
  <c r="F8" i="87"/>
  <c r="E7" i="86"/>
  <c r="E7" i="58"/>
  <c r="M7" i="58" s="1"/>
  <c r="F6" i="85"/>
  <c r="F6" i="47"/>
  <c r="N6" i="47" s="1"/>
  <c r="E5" i="87"/>
  <c r="E5" i="85"/>
  <c r="E5" i="47"/>
  <c r="M5" i="47" s="1"/>
  <c r="E5" i="84"/>
  <c r="F4" i="86"/>
  <c r="F4" i="58"/>
  <c r="N4" i="58" s="1"/>
  <c r="F4" i="87"/>
  <c r="E3" i="86"/>
  <c r="E3" i="58"/>
  <c r="M3" i="58" s="1"/>
  <c r="F2" i="85"/>
  <c r="F2" i="47"/>
  <c r="N2" i="47" s="1"/>
  <c r="E113" i="41"/>
  <c r="N113" i="41" s="1"/>
  <c r="E109" i="41"/>
  <c r="N109" i="41" s="1"/>
  <c r="E105" i="41"/>
  <c r="N105" i="41" s="1"/>
  <c r="E101" i="41"/>
  <c r="N101" i="41" s="1"/>
  <c r="E97" i="41"/>
  <c r="N97" i="41" s="1"/>
  <c r="E93" i="41"/>
  <c r="N93" i="41" s="1"/>
  <c r="E89" i="41"/>
  <c r="N89" i="41" s="1"/>
  <c r="E85" i="41"/>
  <c r="N85" i="41" s="1"/>
  <c r="E81" i="41"/>
  <c r="N81" i="41" s="1"/>
  <c r="E77" i="41"/>
  <c r="N77" i="41" s="1"/>
  <c r="E73" i="41"/>
  <c r="N73" i="41" s="1"/>
  <c r="E69" i="41"/>
  <c r="N69" i="41" s="1"/>
  <c r="E65" i="41"/>
  <c r="N65" i="41" s="1"/>
  <c r="E61" i="41"/>
  <c r="N61" i="41" s="1"/>
  <c r="E57" i="41"/>
  <c r="N57" i="41" s="1"/>
  <c r="E53" i="41"/>
  <c r="N53" i="41" s="1"/>
  <c r="E49" i="41"/>
  <c r="N49" i="41" s="1"/>
  <c r="E45" i="41"/>
  <c r="N45" i="41" s="1"/>
  <c r="E41" i="41"/>
  <c r="N41" i="41" s="1"/>
  <c r="E37" i="41"/>
  <c r="N37" i="41" s="1"/>
  <c r="E33" i="41"/>
  <c r="N33" i="41" s="1"/>
  <c r="E29" i="41"/>
  <c r="N29" i="41" s="1"/>
  <c r="E25" i="41"/>
  <c r="N25" i="41" s="1"/>
  <c r="E21" i="41"/>
  <c r="N21" i="41" s="1"/>
  <c r="E17" i="41"/>
  <c r="N17" i="41" s="1"/>
  <c r="E13" i="41"/>
  <c r="N13" i="41" s="1"/>
  <c r="F115" i="47"/>
  <c r="N115" i="47" s="1"/>
  <c r="E114" i="85"/>
  <c r="E114" i="47"/>
  <c r="M114" i="47" s="1"/>
  <c r="F113" i="86"/>
  <c r="F113" i="58"/>
  <c r="N113" i="58" s="1"/>
  <c r="F113" i="87"/>
  <c r="E112" i="86"/>
  <c r="E112" i="58"/>
  <c r="M112" i="58" s="1"/>
  <c r="DI111" i="99"/>
  <c r="F111" i="85"/>
  <c r="F111" i="47"/>
  <c r="N111" i="47" s="1"/>
  <c r="DH110" i="99"/>
  <c r="E110" i="87"/>
  <c r="DD110" i="99"/>
  <c r="E110" i="85"/>
  <c r="E110" i="47"/>
  <c r="M110" i="47" s="1"/>
  <c r="E110" i="84"/>
  <c r="F109" i="86"/>
  <c r="F109" i="58"/>
  <c r="N109" i="58" s="1"/>
  <c r="F109" i="87"/>
  <c r="E108" i="86"/>
  <c r="E108" i="58"/>
  <c r="M108" i="58" s="1"/>
  <c r="F107" i="85"/>
  <c r="F107" i="47"/>
  <c r="N107" i="47" s="1"/>
  <c r="E106" i="87"/>
  <c r="E106" i="85"/>
  <c r="E106" i="47"/>
  <c r="M106" i="47" s="1"/>
  <c r="E106" i="84"/>
  <c r="F105" i="86"/>
  <c r="F105" i="58"/>
  <c r="N105" i="58" s="1"/>
  <c r="F105" i="87"/>
  <c r="E104" i="86"/>
  <c r="E104" i="58"/>
  <c r="M104" i="58" s="1"/>
  <c r="F103" i="85"/>
  <c r="F103" i="47"/>
  <c r="N103" i="47" s="1"/>
  <c r="E102" i="87"/>
  <c r="E102" i="85"/>
  <c r="E102" i="47"/>
  <c r="M102" i="47" s="1"/>
  <c r="E102" i="84"/>
  <c r="F101" i="86"/>
  <c r="F101" i="58"/>
  <c r="N101" i="58" s="1"/>
  <c r="F101" i="87"/>
  <c r="E100" i="86"/>
  <c r="E100" i="58"/>
  <c r="M100" i="58" s="1"/>
  <c r="DI99" i="99"/>
  <c r="F99" i="85"/>
  <c r="F99" i="47"/>
  <c r="N99" i="47" s="1"/>
  <c r="DH98" i="99"/>
  <c r="E98" i="87"/>
  <c r="DD98" i="99"/>
  <c r="E98" i="85"/>
  <c r="E98" i="47"/>
  <c r="M98" i="47" s="1"/>
  <c r="E98" i="84"/>
  <c r="F97" i="86"/>
  <c r="F97" i="58"/>
  <c r="N97" i="58" s="1"/>
  <c r="F97" i="87"/>
  <c r="E96" i="86"/>
  <c r="E96" i="58"/>
  <c r="M96" i="58" s="1"/>
  <c r="F95" i="85"/>
  <c r="F95" i="47"/>
  <c r="N95" i="47" s="1"/>
  <c r="E94" i="87"/>
  <c r="E94" i="85"/>
  <c r="E94" i="47"/>
  <c r="M94" i="47" s="1"/>
  <c r="E94" i="84"/>
  <c r="F93" i="86"/>
  <c r="F93" i="58"/>
  <c r="N93" i="58" s="1"/>
  <c r="F93" i="87"/>
  <c r="E92" i="86"/>
  <c r="E92" i="58"/>
  <c r="M92" i="58" s="1"/>
  <c r="F91" i="85"/>
  <c r="F91" i="47"/>
  <c r="N91" i="47" s="1"/>
  <c r="E90" i="87"/>
  <c r="E90" i="85"/>
  <c r="E90" i="47"/>
  <c r="M90" i="47" s="1"/>
  <c r="E90" i="84"/>
  <c r="F89" i="86"/>
  <c r="F89" i="58"/>
  <c r="N89" i="58" s="1"/>
  <c r="F89" i="87"/>
  <c r="DF88" i="99"/>
  <c r="E88" i="86"/>
  <c r="E88" i="58"/>
  <c r="M88" i="58" s="1"/>
  <c r="DI87" i="99"/>
  <c r="F87" i="85"/>
  <c r="F87" i="47"/>
  <c r="N87" i="47" s="1"/>
  <c r="DH86" i="99"/>
  <c r="E86" i="87"/>
  <c r="DD86" i="99"/>
  <c r="E86" i="85"/>
  <c r="E86" i="47"/>
  <c r="M86" i="47" s="1"/>
  <c r="E86" i="84"/>
  <c r="F85" i="86"/>
  <c r="F85" i="58"/>
  <c r="N85" i="58" s="1"/>
  <c r="F85" i="87"/>
  <c r="E84" i="86"/>
  <c r="E84" i="58"/>
  <c r="M84" i="58" s="1"/>
  <c r="F83" i="85"/>
  <c r="F83" i="47"/>
  <c r="N83" i="47" s="1"/>
  <c r="E82" i="87"/>
  <c r="E82" i="85"/>
  <c r="E82" i="47"/>
  <c r="M82" i="47" s="1"/>
  <c r="E82" i="84"/>
  <c r="F81" i="86"/>
  <c r="F81" i="58"/>
  <c r="N81" i="58" s="1"/>
  <c r="F81" i="87"/>
  <c r="E80" i="86"/>
  <c r="E80" i="58"/>
  <c r="M80" i="58" s="1"/>
  <c r="F79" i="85"/>
  <c r="F79" i="47"/>
  <c r="N79" i="47" s="1"/>
  <c r="DH78" i="99"/>
  <c r="E78" i="87"/>
  <c r="DD78" i="99"/>
  <c r="E78" i="85"/>
  <c r="E78" i="47"/>
  <c r="M78" i="47" s="1"/>
  <c r="E78" i="84"/>
  <c r="DK77" i="99"/>
  <c r="F77" i="86"/>
  <c r="F77" i="58"/>
  <c r="N77" i="58" s="1"/>
  <c r="DG77" i="99"/>
  <c r="F77" i="87"/>
  <c r="E76" i="86"/>
  <c r="E76" i="58"/>
  <c r="M76" i="58" s="1"/>
  <c r="F75" i="85"/>
  <c r="F75" i="47"/>
  <c r="N75" i="47" s="1"/>
  <c r="E74" i="87"/>
  <c r="E74" i="85"/>
  <c r="E74" i="47"/>
  <c r="M74" i="47" s="1"/>
  <c r="E74" i="84"/>
  <c r="F73" i="86"/>
  <c r="F73" i="58"/>
  <c r="N73" i="58" s="1"/>
  <c r="F73" i="87"/>
  <c r="E72" i="86"/>
  <c r="E72" i="58"/>
  <c r="M72" i="58" s="1"/>
  <c r="F71" i="85"/>
  <c r="F71" i="47"/>
  <c r="N71" i="47" s="1"/>
  <c r="E70" i="87"/>
  <c r="E70" i="85"/>
  <c r="E70" i="47"/>
  <c r="M70" i="47" s="1"/>
  <c r="E70" i="84"/>
  <c r="F69" i="86"/>
  <c r="F69" i="58"/>
  <c r="N69" i="58" s="1"/>
  <c r="F69" i="87"/>
  <c r="E68" i="86"/>
  <c r="E68" i="58"/>
  <c r="M68" i="58" s="1"/>
  <c r="F67" i="85"/>
  <c r="F67" i="47"/>
  <c r="N67" i="47" s="1"/>
  <c r="E66" i="87"/>
  <c r="E66" i="85"/>
  <c r="E66" i="47"/>
  <c r="M66" i="47" s="1"/>
  <c r="E66" i="84"/>
  <c r="F65" i="86"/>
  <c r="F65" i="58"/>
  <c r="N65" i="58" s="1"/>
  <c r="F65" i="87"/>
  <c r="E64" i="86"/>
  <c r="E64" i="58"/>
  <c r="M64" i="58" s="1"/>
  <c r="F63" i="85"/>
  <c r="F63" i="47"/>
  <c r="N63" i="47" s="1"/>
  <c r="E62" i="87"/>
  <c r="E62" i="85"/>
  <c r="E62" i="47"/>
  <c r="M62" i="47" s="1"/>
  <c r="E62" i="84"/>
  <c r="F61" i="86"/>
  <c r="F61" i="58"/>
  <c r="N61" i="58" s="1"/>
  <c r="F61" i="87"/>
  <c r="E60" i="86"/>
  <c r="E60" i="58"/>
  <c r="M60" i="58" s="1"/>
  <c r="F59" i="85"/>
  <c r="F59" i="47"/>
  <c r="N59" i="47" s="1"/>
  <c r="E58" i="87"/>
  <c r="E58" i="85"/>
  <c r="E58" i="47"/>
  <c r="M58" i="47" s="1"/>
  <c r="E58" i="84"/>
  <c r="F57" i="86"/>
  <c r="F57" i="58"/>
  <c r="N57" i="58" s="1"/>
  <c r="F57" i="87"/>
  <c r="E56" i="86"/>
  <c r="E56" i="58"/>
  <c r="M56" i="58" s="1"/>
  <c r="F55" i="85"/>
  <c r="F55" i="47"/>
  <c r="N55" i="47" s="1"/>
  <c r="E54" i="87"/>
  <c r="E54" i="85"/>
  <c r="E54" i="47"/>
  <c r="M54" i="47" s="1"/>
  <c r="E54" i="84"/>
  <c r="F53" i="86"/>
  <c r="F53" i="58"/>
  <c r="N53" i="58" s="1"/>
  <c r="F53" i="87"/>
  <c r="E52" i="86"/>
  <c r="E52" i="58"/>
  <c r="M52" i="58" s="1"/>
  <c r="F51" i="85"/>
  <c r="F51" i="47"/>
  <c r="N51" i="47" s="1"/>
  <c r="E50" i="87"/>
  <c r="E50" i="85"/>
  <c r="E50" i="47"/>
  <c r="M50" i="47" s="1"/>
  <c r="E50" i="84"/>
  <c r="F49" i="86"/>
  <c r="F49" i="58"/>
  <c r="N49" i="58" s="1"/>
  <c r="F49" i="87"/>
  <c r="E48" i="86"/>
  <c r="E48" i="58"/>
  <c r="M48" i="58" s="1"/>
  <c r="F47" i="85"/>
  <c r="F47" i="47"/>
  <c r="N47" i="47" s="1"/>
  <c r="E46" i="87"/>
  <c r="E46" i="85"/>
  <c r="E46" i="47"/>
  <c r="M46" i="47" s="1"/>
  <c r="E46" i="84"/>
  <c r="F45" i="86"/>
  <c r="F45" i="58"/>
  <c r="N45" i="58" s="1"/>
  <c r="F45" i="87"/>
  <c r="E44" i="86"/>
  <c r="E44" i="58"/>
  <c r="M44" i="58" s="1"/>
  <c r="F43" i="85"/>
  <c r="F43" i="47"/>
  <c r="N43" i="47" s="1"/>
  <c r="E42" i="87"/>
  <c r="E42" i="85"/>
  <c r="E42" i="47"/>
  <c r="M42" i="47" s="1"/>
  <c r="E42" i="84"/>
  <c r="F41" i="86"/>
  <c r="F41" i="58"/>
  <c r="N41" i="58" s="1"/>
  <c r="F41" i="87"/>
  <c r="E40" i="86"/>
  <c r="E40" i="58"/>
  <c r="M40" i="58" s="1"/>
  <c r="F39" i="85"/>
  <c r="F39" i="47"/>
  <c r="N39" i="47" s="1"/>
  <c r="E38" i="87"/>
  <c r="E38" i="85"/>
  <c r="E38" i="47"/>
  <c r="M38" i="47" s="1"/>
  <c r="E38" i="84"/>
  <c r="F37" i="86"/>
  <c r="F37" i="58"/>
  <c r="N37" i="58" s="1"/>
  <c r="F37" i="87"/>
  <c r="E36" i="86"/>
  <c r="E36" i="58"/>
  <c r="M36" i="58" s="1"/>
  <c r="F35" i="85"/>
  <c r="F35" i="47"/>
  <c r="N35" i="47" s="1"/>
  <c r="E34" i="87"/>
  <c r="E34" i="85"/>
  <c r="E34" i="47"/>
  <c r="M34" i="47" s="1"/>
  <c r="E34" i="84"/>
  <c r="F33" i="86"/>
  <c r="F33" i="58"/>
  <c r="N33" i="58" s="1"/>
  <c r="F33" i="87"/>
  <c r="E32" i="86"/>
  <c r="E32" i="58"/>
  <c r="M32" i="58" s="1"/>
  <c r="F31" i="85"/>
  <c r="F31" i="47"/>
  <c r="N31" i="47" s="1"/>
  <c r="E30" i="87"/>
  <c r="E30" i="85"/>
  <c r="E30" i="47"/>
  <c r="M30" i="47" s="1"/>
  <c r="E30" i="84"/>
  <c r="F29" i="86"/>
  <c r="F29" i="58"/>
  <c r="N29" i="58" s="1"/>
  <c r="F29" i="87"/>
  <c r="E28" i="86"/>
  <c r="E28" i="58"/>
  <c r="M28" i="58" s="1"/>
  <c r="F27" i="85"/>
  <c r="F27" i="47"/>
  <c r="N27" i="47" s="1"/>
  <c r="E26" i="87"/>
  <c r="E26" i="85"/>
  <c r="E26" i="47"/>
  <c r="M26" i="47" s="1"/>
  <c r="E26" i="84"/>
  <c r="F25" i="86"/>
  <c r="F25" i="58"/>
  <c r="N25" i="58" s="1"/>
  <c r="F25" i="87"/>
  <c r="CL24" i="99"/>
  <c r="E24" i="86"/>
  <c r="E24" i="58"/>
  <c r="M24" i="58" s="1"/>
  <c r="F23" i="85"/>
  <c r="F23" i="47"/>
  <c r="N23" i="47" s="1"/>
  <c r="E22" i="87"/>
  <c r="E22" i="85"/>
  <c r="E22" i="47"/>
  <c r="M22" i="47" s="1"/>
  <c r="E22" i="84"/>
  <c r="F21" i="86"/>
  <c r="F21" i="58"/>
  <c r="N21" i="58" s="1"/>
  <c r="F21" i="87"/>
  <c r="CL20" i="99"/>
  <c r="E20" i="86"/>
  <c r="E20" i="58"/>
  <c r="M20" i="58" s="1"/>
  <c r="F19" i="85"/>
  <c r="F19" i="47"/>
  <c r="N19" i="47" s="1"/>
  <c r="E18" i="87"/>
  <c r="E18" i="85"/>
  <c r="E18" i="47"/>
  <c r="M18" i="47" s="1"/>
  <c r="E18" i="84"/>
  <c r="F17" i="86"/>
  <c r="F17" i="58"/>
  <c r="N17" i="58" s="1"/>
  <c r="F17" i="87"/>
  <c r="E16" i="86"/>
  <c r="E16" i="58"/>
  <c r="M16" i="58" s="1"/>
  <c r="F15" i="85"/>
  <c r="F15" i="47"/>
  <c r="N15" i="47" s="1"/>
  <c r="E14" i="87"/>
  <c r="E14" i="85"/>
  <c r="E14" i="47"/>
  <c r="M14" i="47" s="1"/>
  <c r="E14" i="84"/>
  <c r="F13" i="86"/>
  <c r="F13" i="58"/>
  <c r="N13" i="58" s="1"/>
  <c r="F13" i="87"/>
  <c r="CL12" i="99"/>
  <c r="E12" i="86"/>
  <c r="E12" i="58"/>
  <c r="M12" i="58" s="1"/>
  <c r="F11" i="85"/>
  <c r="F11" i="47"/>
  <c r="N11" i="47" s="1"/>
  <c r="E10" i="87"/>
  <c r="E10" i="85"/>
  <c r="E10" i="47"/>
  <c r="M10" i="47" s="1"/>
  <c r="E10" i="41"/>
  <c r="N10" i="41" s="1"/>
  <c r="E10" i="84"/>
  <c r="F9" i="86"/>
  <c r="F9" i="58"/>
  <c r="N9" i="58" s="1"/>
  <c r="F9" i="87"/>
  <c r="CL8" i="99"/>
  <c r="E8" i="86"/>
  <c r="E8" i="58"/>
  <c r="M8" i="58" s="1"/>
  <c r="F7" i="85"/>
  <c r="F7" i="47"/>
  <c r="N7" i="47" s="1"/>
  <c r="E6" i="87"/>
  <c r="E6" i="85"/>
  <c r="E6" i="47"/>
  <c r="M6" i="47" s="1"/>
  <c r="E6" i="41"/>
  <c r="N6" i="41" s="1"/>
  <c r="E6" i="84"/>
  <c r="F5" i="86"/>
  <c r="F5" i="58"/>
  <c r="N5" i="58" s="1"/>
  <c r="F5" i="87"/>
  <c r="CL4" i="99"/>
  <c r="E4" i="86"/>
  <c r="E4" i="58"/>
  <c r="M4" i="58" s="1"/>
  <c r="F3" i="85"/>
  <c r="F3" i="47"/>
  <c r="N3" i="47" s="1"/>
  <c r="E2" i="87"/>
  <c r="E2" i="85"/>
  <c r="E2" i="47"/>
  <c r="M2" i="47" s="1"/>
  <c r="E2" i="41"/>
  <c r="N2" i="41" s="1"/>
  <c r="E2" i="84"/>
  <c r="E112" i="41"/>
  <c r="N112" i="41" s="1"/>
  <c r="E108" i="41"/>
  <c r="N108" i="41" s="1"/>
  <c r="E104" i="41"/>
  <c r="N104" i="41" s="1"/>
  <c r="E100" i="41"/>
  <c r="N100" i="41" s="1"/>
  <c r="E96" i="41"/>
  <c r="N96" i="41" s="1"/>
  <c r="E92" i="41"/>
  <c r="N92" i="41" s="1"/>
  <c r="E88" i="41"/>
  <c r="N88" i="41" s="1"/>
  <c r="E84" i="41"/>
  <c r="N84" i="41" s="1"/>
  <c r="E80" i="41"/>
  <c r="N80" i="41" s="1"/>
  <c r="E76" i="41"/>
  <c r="N76" i="41" s="1"/>
  <c r="E72" i="41"/>
  <c r="N72" i="41" s="1"/>
  <c r="E68" i="41"/>
  <c r="E64" i="41"/>
  <c r="N64" i="41" s="1"/>
  <c r="E60" i="41"/>
  <c r="N60" i="41" s="1"/>
  <c r="E56" i="41"/>
  <c r="N56" i="41" s="1"/>
  <c r="E52" i="41"/>
  <c r="E48" i="41"/>
  <c r="N48" i="41" s="1"/>
  <c r="E44" i="41"/>
  <c r="N44" i="41" s="1"/>
  <c r="E40" i="41"/>
  <c r="N40" i="41" s="1"/>
  <c r="E36" i="41"/>
  <c r="N36" i="41" s="1"/>
  <c r="E32" i="41"/>
  <c r="E28" i="41"/>
  <c r="N28" i="41" s="1"/>
  <c r="E24" i="41"/>
  <c r="E20" i="41"/>
  <c r="E16" i="41"/>
  <c r="E12" i="41"/>
  <c r="N12" i="41" s="1"/>
  <c r="E5" i="41"/>
  <c r="N5" i="41" s="1"/>
  <c r="Q77" i="41"/>
  <c r="G77" i="41"/>
  <c r="P77" i="41" s="1"/>
  <c r="E115" i="47"/>
  <c r="M115" i="47" s="1"/>
  <c r="F114" i="86"/>
  <c r="F114" i="58"/>
  <c r="N114" i="58" s="1"/>
  <c r="E113" i="86"/>
  <c r="E113" i="58"/>
  <c r="M113" i="58" s="1"/>
  <c r="F112" i="85"/>
  <c r="F112" i="47"/>
  <c r="N112" i="47" s="1"/>
  <c r="E111" i="87"/>
  <c r="E111" i="85"/>
  <c r="E111" i="47"/>
  <c r="M111" i="47" s="1"/>
  <c r="E111" i="84"/>
  <c r="F110" i="86"/>
  <c r="F110" i="58"/>
  <c r="N110" i="58" s="1"/>
  <c r="F110" i="87"/>
  <c r="E109" i="86"/>
  <c r="E109" i="58"/>
  <c r="M109" i="58" s="1"/>
  <c r="F108" i="85"/>
  <c r="F108" i="47"/>
  <c r="N108" i="47" s="1"/>
  <c r="E107" i="87"/>
  <c r="E107" i="85"/>
  <c r="E107" i="47"/>
  <c r="M107" i="47" s="1"/>
  <c r="E107" i="84"/>
  <c r="F106" i="86"/>
  <c r="F106" i="58"/>
  <c r="N106" i="58" s="1"/>
  <c r="F106" i="87"/>
  <c r="E105" i="86"/>
  <c r="E105" i="58"/>
  <c r="M105" i="58" s="1"/>
  <c r="F104" i="85"/>
  <c r="F104" i="47"/>
  <c r="N104" i="47" s="1"/>
  <c r="E103" i="87"/>
  <c r="E103" i="85"/>
  <c r="E103" i="47"/>
  <c r="M103" i="47" s="1"/>
  <c r="E103" i="84"/>
  <c r="F102" i="86"/>
  <c r="F102" i="58"/>
  <c r="N102" i="58" s="1"/>
  <c r="F102" i="87"/>
  <c r="E101" i="86"/>
  <c r="E101" i="58"/>
  <c r="M101" i="58" s="1"/>
  <c r="F100" i="85"/>
  <c r="F100" i="47"/>
  <c r="N100" i="47" s="1"/>
  <c r="E99" i="87"/>
  <c r="E99" i="85"/>
  <c r="E99" i="47"/>
  <c r="M99" i="47" s="1"/>
  <c r="E99" i="84"/>
  <c r="F98" i="86"/>
  <c r="F98" i="58"/>
  <c r="N98" i="58" s="1"/>
  <c r="F98" i="87"/>
  <c r="E97" i="86"/>
  <c r="E97" i="58"/>
  <c r="M97" i="58" s="1"/>
  <c r="F96" i="85"/>
  <c r="F96" i="47"/>
  <c r="N96" i="47" s="1"/>
  <c r="E95" i="87"/>
  <c r="E95" i="85"/>
  <c r="E95" i="47"/>
  <c r="M95" i="47" s="1"/>
  <c r="E95" i="84"/>
  <c r="F94" i="86"/>
  <c r="F94" i="58"/>
  <c r="N94" i="58" s="1"/>
  <c r="F94" i="87"/>
  <c r="E93" i="86"/>
  <c r="E93" i="58"/>
  <c r="M93" i="58" s="1"/>
  <c r="F92" i="85"/>
  <c r="F92" i="47"/>
  <c r="N92" i="47" s="1"/>
  <c r="E91" i="87"/>
  <c r="E91" i="85"/>
  <c r="E91" i="47"/>
  <c r="M91" i="47" s="1"/>
  <c r="E91" i="84"/>
  <c r="F90" i="86"/>
  <c r="F90" i="58"/>
  <c r="N90" i="58" s="1"/>
  <c r="F90" i="87"/>
  <c r="E89" i="86"/>
  <c r="E89" i="58"/>
  <c r="M89" i="58" s="1"/>
  <c r="F88" i="85"/>
  <c r="F88" i="47"/>
  <c r="N88" i="47" s="1"/>
  <c r="E87" i="87"/>
  <c r="E87" i="85"/>
  <c r="E87" i="47"/>
  <c r="M87" i="47" s="1"/>
  <c r="E87" i="84"/>
  <c r="F86" i="86"/>
  <c r="F86" i="58"/>
  <c r="N86" i="58" s="1"/>
  <c r="F86" i="87"/>
  <c r="E85" i="86"/>
  <c r="E85" i="58"/>
  <c r="M85" i="58" s="1"/>
  <c r="F84" i="85"/>
  <c r="F84" i="47"/>
  <c r="N84" i="47" s="1"/>
  <c r="E83" i="87"/>
  <c r="E83" i="85"/>
  <c r="E83" i="47"/>
  <c r="M83" i="47" s="1"/>
  <c r="E83" i="84"/>
  <c r="F82" i="86"/>
  <c r="F82" i="58"/>
  <c r="N82" i="58" s="1"/>
  <c r="F82" i="87"/>
  <c r="E81" i="86"/>
  <c r="E81" i="58"/>
  <c r="M81" i="58" s="1"/>
  <c r="F80" i="85"/>
  <c r="F80" i="47"/>
  <c r="N80" i="47" s="1"/>
  <c r="E79" i="87"/>
  <c r="E79" i="85"/>
  <c r="E79" i="47"/>
  <c r="M79" i="47" s="1"/>
  <c r="E79" i="84"/>
  <c r="F78" i="86"/>
  <c r="F78" i="58"/>
  <c r="N78" i="58" s="1"/>
  <c r="F78" i="87"/>
  <c r="E77" i="86"/>
  <c r="E77" i="58"/>
  <c r="M77" i="58" s="1"/>
  <c r="F76" i="85"/>
  <c r="F76" i="47"/>
  <c r="N76" i="47" s="1"/>
  <c r="E75" i="87"/>
  <c r="E75" i="85"/>
  <c r="E75" i="47"/>
  <c r="M75" i="47" s="1"/>
  <c r="E75" i="84"/>
  <c r="F74" i="86"/>
  <c r="F74" i="58"/>
  <c r="N74" i="58" s="1"/>
  <c r="F74" i="87"/>
  <c r="E73" i="86"/>
  <c r="E73" i="58"/>
  <c r="M73" i="58" s="1"/>
  <c r="F72" i="85"/>
  <c r="F72" i="47"/>
  <c r="N72" i="47" s="1"/>
  <c r="E71" i="87"/>
  <c r="E71" i="85"/>
  <c r="E71" i="47"/>
  <c r="M71" i="47" s="1"/>
  <c r="E71" i="84"/>
  <c r="F70" i="86"/>
  <c r="F70" i="58"/>
  <c r="N70" i="58" s="1"/>
  <c r="F70" i="87"/>
  <c r="E69" i="86"/>
  <c r="E69" i="58"/>
  <c r="M69" i="58" s="1"/>
  <c r="F68" i="85"/>
  <c r="F68" i="47"/>
  <c r="N68" i="47" s="1"/>
  <c r="E67" i="87"/>
  <c r="E67" i="85"/>
  <c r="E67" i="47"/>
  <c r="M67" i="47" s="1"/>
  <c r="E67" i="84"/>
  <c r="F66" i="86"/>
  <c r="F66" i="58"/>
  <c r="N66" i="58" s="1"/>
  <c r="F66" i="87"/>
  <c r="E65" i="86"/>
  <c r="E65" i="58"/>
  <c r="M65" i="58" s="1"/>
  <c r="F64" i="85"/>
  <c r="F64" i="47"/>
  <c r="N64" i="47" s="1"/>
  <c r="E63" i="87"/>
  <c r="E63" i="85"/>
  <c r="E63" i="47"/>
  <c r="M63" i="47" s="1"/>
  <c r="E63" i="84"/>
  <c r="F62" i="86"/>
  <c r="F62" i="58"/>
  <c r="N62" i="58" s="1"/>
  <c r="F62" i="87"/>
  <c r="E61" i="86"/>
  <c r="E61" i="58"/>
  <c r="M61" i="58" s="1"/>
  <c r="F60" i="85"/>
  <c r="F60" i="47"/>
  <c r="N60" i="47" s="1"/>
  <c r="E59" i="87"/>
  <c r="E59" i="85"/>
  <c r="E59" i="47"/>
  <c r="M59" i="47" s="1"/>
  <c r="E59" i="84"/>
  <c r="F58" i="86"/>
  <c r="F58" i="58"/>
  <c r="N58" i="58" s="1"/>
  <c r="F58" i="87"/>
  <c r="E57" i="86"/>
  <c r="E57" i="58"/>
  <c r="M57" i="58" s="1"/>
  <c r="F56" i="85"/>
  <c r="F56" i="47"/>
  <c r="N56" i="47" s="1"/>
  <c r="E55" i="87"/>
  <c r="E55" i="85"/>
  <c r="E55" i="47"/>
  <c r="M55" i="47" s="1"/>
  <c r="E55" i="84"/>
  <c r="F54" i="86"/>
  <c r="F54" i="58"/>
  <c r="N54" i="58" s="1"/>
  <c r="F54" i="87"/>
  <c r="E53" i="86"/>
  <c r="E53" i="58"/>
  <c r="M53" i="58" s="1"/>
  <c r="F52" i="85"/>
  <c r="F52" i="47"/>
  <c r="N52" i="47" s="1"/>
  <c r="E51" i="87"/>
  <c r="E51" i="85"/>
  <c r="E51" i="47"/>
  <c r="M51" i="47" s="1"/>
  <c r="E51" i="84"/>
  <c r="F50" i="86"/>
  <c r="F50" i="58"/>
  <c r="N50" i="58" s="1"/>
  <c r="F50" i="87"/>
  <c r="E49" i="86"/>
  <c r="E49" i="58"/>
  <c r="M49" i="58" s="1"/>
  <c r="F48" i="85"/>
  <c r="F48" i="47"/>
  <c r="N48" i="47" s="1"/>
  <c r="E47" i="87"/>
  <c r="E47" i="85"/>
  <c r="E47" i="47"/>
  <c r="M47" i="47" s="1"/>
  <c r="E47" i="84"/>
  <c r="F46" i="86"/>
  <c r="F46" i="58"/>
  <c r="N46" i="58" s="1"/>
  <c r="F46" i="87"/>
  <c r="E45" i="86"/>
  <c r="E45" i="58"/>
  <c r="M45" i="58" s="1"/>
  <c r="F44" i="85"/>
  <c r="F44" i="47"/>
  <c r="N44" i="47" s="1"/>
  <c r="E43" i="87"/>
  <c r="E43" i="85"/>
  <c r="E43" i="47"/>
  <c r="M43" i="47" s="1"/>
  <c r="E43" i="84"/>
  <c r="F42" i="86"/>
  <c r="F42" i="58"/>
  <c r="N42" i="58" s="1"/>
  <c r="F42" i="87"/>
  <c r="E41" i="86"/>
  <c r="E41" i="58"/>
  <c r="M41" i="58" s="1"/>
  <c r="F40" i="85"/>
  <c r="F40" i="47"/>
  <c r="N40" i="47" s="1"/>
  <c r="E39" i="87"/>
  <c r="E39" i="85"/>
  <c r="E39" i="47"/>
  <c r="M39" i="47" s="1"/>
  <c r="E39" i="84"/>
  <c r="F38" i="86"/>
  <c r="F38" i="58"/>
  <c r="N38" i="58" s="1"/>
  <c r="F38" i="87"/>
  <c r="E37" i="86"/>
  <c r="E37" i="58"/>
  <c r="M37" i="58" s="1"/>
  <c r="F36" i="85"/>
  <c r="F36" i="47"/>
  <c r="N36" i="47" s="1"/>
  <c r="E35" i="87"/>
  <c r="E35" i="85"/>
  <c r="E35" i="47"/>
  <c r="M35" i="47" s="1"/>
  <c r="E35" i="84"/>
  <c r="F34" i="86"/>
  <c r="F34" i="58"/>
  <c r="N34" i="58" s="1"/>
  <c r="F34" i="87"/>
  <c r="E33" i="86"/>
  <c r="E33" i="58"/>
  <c r="M33" i="58" s="1"/>
  <c r="F32" i="85"/>
  <c r="F32" i="47"/>
  <c r="N32" i="47" s="1"/>
  <c r="E31" i="87"/>
  <c r="E31" i="85"/>
  <c r="E31" i="47"/>
  <c r="M31" i="47" s="1"/>
  <c r="E31" i="84"/>
  <c r="F30" i="86"/>
  <c r="F30" i="58"/>
  <c r="N30" i="58" s="1"/>
  <c r="F30" i="87"/>
  <c r="E29" i="86"/>
  <c r="E29" i="58"/>
  <c r="M29" i="58" s="1"/>
  <c r="F28" i="85"/>
  <c r="F28" i="47"/>
  <c r="N28" i="47" s="1"/>
  <c r="E27" i="87"/>
  <c r="E27" i="85"/>
  <c r="E27" i="47"/>
  <c r="M27" i="47" s="1"/>
  <c r="E27" i="84"/>
  <c r="F26" i="86"/>
  <c r="F26" i="58"/>
  <c r="N26" i="58" s="1"/>
  <c r="F26" i="87"/>
  <c r="E25" i="86"/>
  <c r="E25" i="58"/>
  <c r="M25" i="58" s="1"/>
  <c r="F24" i="85"/>
  <c r="F24" i="47"/>
  <c r="N24" i="47" s="1"/>
  <c r="E23" i="87"/>
  <c r="E23" i="85"/>
  <c r="E23" i="47"/>
  <c r="M23" i="47" s="1"/>
  <c r="E23" i="84"/>
  <c r="F22" i="86"/>
  <c r="F22" i="58"/>
  <c r="N22" i="58" s="1"/>
  <c r="F22" i="87"/>
  <c r="E21" i="86"/>
  <c r="E21" i="58"/>
  <c r="M21" i="58" s="1"/>
  <c r="F20" i="85"/>
  <c r="F20" i="47"/>
  <c r="N20" i="47" s="1"/>
  <c r="E19" i="87"/>
  <c r="E19" i="85"/>
  <c r="E19" i="47"/>
  <c r="M19" i="47" s="1"/>
  <c r="E19" i="84"/>
  <c r="F18" i="86"/>
  <c r="F18" i="58"/>
  <c r="N18" i="58" s="1"/>
  <c r="F18" i="87"/>
  <c r="E17" i="86"/>
  <c r="E17" i="58"/>
  <c r="M17" i="58" s="1"/>
  <c r="F16" i="85"/>
  <c r="F16" i="47"/>
  <c r="N16" i="47" s="1"/>
  <c r="E15" i="87"/>
  <c r="E15" i="85"/>
  <c r="E15" i="47"/>
  <c r="M15" i="47" s="1"/>
  <c r="E15" i="84"/>
  <c r="F14" i="86"/>
  <c r="F14" i="58"/>
  <c r="N14" i="58" s="1"/>
  <c r="F14" i="87"/>
  <c r="E13" i="86"/>
  <c r="E13" i="58"/>
  <c r="M13" i="58" s="1"/>
  <c r="F12" i="85"/>
  <c r="F12" i="47"/>
  <c r="N12" i="47" s="1"/>
  <c r="E11" i="87"/>
  <c r="E11" i="85"/>
  <c r="E11" i="47"/>
  <c r="M11" i="47" s="1"/>
  <c r="E11" i="84"/>
  <c r="F10" i="86"/>
  <c r="F10" i="58"/>
  <c r="N10" i="58" s="1"/>
  <c r="F10" i="87"/>
  <c r="E9" i="86"/>
  <c r="E9" i="58"/>
  <c r="M9" i="58" s="1"/>
  <c r="F8" i="85"/>
  <c r="F8" i="47"/>
  <c r="N8" i="47" s="1"/>
  <c r="E7" i="87"/>
  <c r="E7" i="85"/>
  <c r="E7" i="47"/>
  <c r="M7" i="47" s="1"/>
  <c r="E7" i="84"/>
  <c r="F6" i="86"/>
  <c r="F6" i="58"/>
  <c r="N6" i="58" s="1"/>
  <c r="F6" i="87"/>
  <c r="E5" i="86"/>
  <c r="E5" i="58"/>
  <c r="M5" i="58" s="1"/>
  <c r="F4" i="85"/>
  <c r="F4" i="47"/>
  <c r="N4" i="47" s="1"/>
  <c r="E3" i="87"/>
  <c r="E3" i="85"/>
  <c r="E3" i="47"/>
  <c r="M3" i="47" s="1"/>
  <c r="E3" i="84"/>
  <c r="E3" i="41"/>
  <c r="N3" i="41" s="1"/>
  <c r="F2" i="86"/>
  <c r="F2" i="58"/>
  <c r="N2" i="58" s="1"/>
  <c r="F2" i="87"/>
  <c r="E115" i="41"/>
  <c r="N115" i="41" s="1"/>
  <c r="E111" i="41"/>
  <c r="N111" i="41" s="1"/>
  <c r="E107" i="41"/>
  <c r="N107" i="41" s="1"/>
  <c r="E103" i="41"/>
  <c r="N103" i="41" s="1"/>
  <c r="E99" i="41"/>
  <c r="N99" i="41" s="1"/>
  <c r="E95" i="41"/>
  <c r="N95" i="41" s="1"/>
  <c r="E91" i="41"/>
  <c r="N91" i="41" s="1"/>
  <c r="E87" i="41"/>
  <c r="N87" i="41" s="1"/>
  <c r="E83" i="41"/>
  <c r="N83" i="41" s="1"/>
  <c r="E79" i="41"/>
  <c r="N79" i="41" s="1"/>
  <c r="E75" i="41"/>
  <c r="N75" i="41" s="1"/>
  <c r="E71" i="41"/>
  <c r="N71" i="41" s="1"/>
  <c r="E67" i="41"/>
  <c r="N67" i="41" s="1"/>
  <c r="E63" i="41"/>
  <c r="N63" i="41" s="1"/>
  <c r="E59" i="41"/>
  <c r="N59" i="41" s="1"/>
  <c r="E55" i="41"/>
  <c r="N55" i="41" s="1"/>
  <c r="E51" i="41"/>
  <c r="N51" i="41" s="1"/>
  <c r="E47" i="41"/>
  <c r="N47" i="41" s="1"/>
  <c r="E43" i="41"/>
  <c r="N43" i="41" s="1"/>
  <c r="E39" i="41"/>
  <c r="N39" i="41" s="1"/>
  <c r="E35" i="41"/>
  <c r="N35" i="41" s="1"/>
  <c r="E31" i="41"/>
  <c r="N31" i="41" s="1"/>
  <c r="E27" i="41"/>
  <c r="N27" i="41" s="1"/>
  <c r="E23" i="41"/>
  <c r="N23" i="41" s="1"/>
  <c r="E19" i="41"/>
  <c r="N19" i="41" s="1"/>
  <c r="E15" i="41"/>
  <c r="N15" i="41" s="1"/>
  <c r="E11" i="41"/>
  <c r="N11" i="41" s="1"/>
  <c r="G8" i="58"/>
  <c r="O8" i="58" s="1"/>
  <c r="S8" i="58" s="1"/>
  <c r="I8" i="85"/>
  <c r="G8" i="28"/>
  <c r="G8" i="47"/>
  <c r="O8" i="47" s="1"/>
  <c r="G9" i="58"/>
  <c r="O9" i="58" s="1"/>
  <c r="I9" i="85"/>
  <c r="G9" i="28"/>
  <c r="G9" i="47"/>
  <c r="O9" i="47" s="1"/>
  <c r="I10" i="85"/>
  <c r="G10" i="28"/>
  <c r="G10" i="58"/>
  <c r="O10" i="58" s="1"/>
  <c r="G10" i="47"/>
  <c r="O10" i="47" s="1"/>
  <c r="I11" i="85"/>
  <c r="G11" i="28"/>
  <c r="G11" i="58"/>
  <c r="O11" i="58" s="1"/>
  <c r="S11" i="58" s="1"/>
  <c r="G11" i="47"/>
  <c r="O11" i="47" s="1"/>
  <c r="I14" i="85"/>
  <c r="G14" i="28"/>
  <c r="G14" i="58"/>
  <c r="O14" i="58" s="1"/>
  <c r="G14" i="47"/>
  <c r="O14" i="47" s="1"/>
  <c r="G17" i="58"/>
  <c r="O17" i="58" s="1"/>
  <c r="I17" i="85"/>
  <c r="G17" i="28"/>
  <c r="G17" i="47"/>
  <c r="O17" i="47" s="1"/>
  <c r="I27" i="85"/>
  <c r="G27" i="28"/>
  <c r="G27" i="58"/>
  <c r="O27" i="58" s="1"/>
  <c r="G27" i="47"/>
  <c r="O27" i="47" s="1"/>
  <c r="G29" i="58"/>
  <c r="O29" i="58" s="1"/>
  <c r="I29" i="85"/>
  <c r="G29" i="28"/>
  <c r="G29" i="47"/>
  <c r="O29" i="47" s="1"/>
  <c r="G32" i="58"/>
  <c r="O32" i="58" s="1"/>
  <c r="I32" i="85"/>
  <c r="G32" i="28"/>
  <c r="G32" i="47"/>
  <c r="O32" i="47" s="1"/>
  <c r="G37" i="58"/>
  <c r="O37" i="58" s="1"/>
  <c r="I37" i="85"/>
  <c r="G37" i="28"/>
  <c r="G37" i="47"/>
  <c r="O37" i="47" s="1"/>
  <c r="G48" i="58"/>
  <c r="O48" i="58" s="1"/>
  <c r="I48" i="85"/>
  <c r="G48" i="28"/>
  <c r="G48" i="47"/>
  <c r="O48" i="47" s="1"/>
  <c r="I58" i="85"/>
  <c r="G58" i="28"/>
  <c r="G58" i="58"/>
  <c r="O58" i="58" s="1"/>
  <c r="G58" i="47"/>
  <c r="O58" i="47" s="1"/>
  <c r="I59" i="85"/>
  <c r="G59" i="28"/>
  <c r="G59" i="58"/>
  <c r="O59" i="58" s="1"/>
  <c r="G59" i="47"/>
  <c r="O59" i="47" s="1"/>
  <c r="G12" i="58"/>
  <c r="O12" i="58" s="1"/>
  <c r="S12" i="58" s="1"/>
  <c r="I12" i="85"/>
  <c r="G12" i="28"/>
  <c r="G12" i="47"/>
  <c r="O12" i="47" s="1"/>
  <c r="G13" i="58"/>
  <c r="O13" i="58" s="1"/>
  <c r="I13" i="85"/>
  <c r="G13" i="28"/>
  <c r="G13" i="47"/>
  <c r="O13" i="47" s="1"/>
  <c r="I19" i="85"/>
  <c r="G19" i="28"/>
  <c r="G19" i="58"/>
  <c r="O19" i="58" s="1"/>
  <c r="G19" i="47"/>
  <c r="O19" i="47" s="1"/>
  <c r="G20" i="58"/>
  <c r="O20" i="58" s="1"/>
  <c r="I20" i="85"/>
  <c r="G20" i="28"/>
  <c r="G20" i="47"/>
  <c r="O20" i="47" s="1"/>
  <c r="G24" i="58"/>
  <c r="O24" i="58" s="1"/>
  <c r="I24" i="85"/>
  <c r="G24" i="28"/>
  <c r="G24" i="47"/>
  <c r="O24" i="47" s="1"/>
  <c r="I26" i="85"/>
  <c r="G26" i="28"/>
  <c r="G26" i="58"/>
  <c r="O26" i="58" s="1"/>
  <c r="G26" i="47"/>
  <c r="O26" i="47" s="1"/>
  <c r="I31" i="85"/>
  <c r="G31" i="28"/>
  <c r="G31" i="58"/>
  <c r="O31" i="58" s="1"/>
  <c r="G31" i="47"/>
  <c r="O31" i="47" s="1"/>
  <c r="G41" i="58"/>
  <c r="O41" i="58" s="1"/>
  <c r="I41" i="85"/>
  <c r="G41" i="28"/>
  <c r="G41" i="47"/>
  <c r="O41" i="47" s="1"/>
  <c r="I42" i="85"/>
  <c r="G42" i="28"/>
  <c r="G42" i="58"/>
  <c r="O42" i="58" s="1"/>
  <c r="G42" i="47"/>
  <c r="O42" i="47" s="1"/>
  <c r="I47" i="85"/>
  <c r="G47" i="28"/>
  <c r="G47" i="58"/>
  <c r="O47" i="58" s="1"/>
  <c r="G47" i="47"/>
  <c r="O47" i="47" s="1"/>
  <c r="G49" i="58"/>
  <c r="O49" i="58" s="1"/>
  <c r="I49" i="85"/>
  <c r="G49" i="28"/>
  <c r="G49" i="47"/>
  <c r="O49" i="47" s="1"/>
  <c r="I51" i="85"/>
  <c r="G51" i="28"/>
  <c r="G51" i="58"/>
  <c r="O51" i="58" s="1"/>
  <c r="G51" i="47"/>
  <c r="O51" i="47" s="1"/>
  <c r="I55" i="85"/>
  <c r="G55" i="28"/>
  <c r="G55" i="58"/>
  <c r="O55" i="58" s="1"/>
  <c r="G55" i="47"/>
  <c r="O55" i="47" s="1"/>
  <c r="I2" i="85"/>
  <c r="G2" i="28"/>
  <c r="G2" i="58"/>
  <c r="O2" i="58" s="1"/>
  <c r="G2" i="47"/>
  <c r="O2" i="47" s="1"/>
  <c r="I3" i="85"/>
  <c r="G3" i="28"/>
  <c r="G3" i="58"/>
  <c r="O3" i="58" s="1"/>
  <c r="G3" i="47"/>
  <c r="O3" i="47" s="1"/>
  <c r="G16" i="58"/>
  <c r="O16" i="58" s="1"/>
  <c r="I16" i="85"/>
  <c r="G16" i="28"/>
  <c r="G16" i="47"/>
  <c r="O16" i="47" s="1"/>
  <c r="G28" i="58"/>
  <c r="O28" i="58" s="1"/>
  <c r="I28" i="85"/>
  <c r="G28" i="28"/>
  <c r="G28" i="47"/>
  <c r="O28" i="47" s="1"/>
  <c r="I30" i="85"/>
  <c r="G30" i="28"/>
  <c r="G30" i="58"/>
  <c r="O30" i="58" s="1"/>
  <c r="G30" i="47"/>
  <c r="O30" i="47" s="1"/>
  <c r="G33" i="58"/>
  <c r="O33" i="58" s="1"/>
  <c r="I33" i="85"/>
  <c r="G33" i="28"/>
  <c r="G33" i="47"/>
  <c r="O33" i="47" s="1"/>
  <c r="G36" i="58"/>
  <c r="O36" i="58" s="1"/>
  <c r="I36" i="85"/>
  <c r="G36" i="28"/>
  <c r="G36" i="47"/>
  <c r="O36" i="47" s="1"/>
  <c r="I38" i="85"/>
  <c r="G38" i="28"/>
  <c r="G38" i="58"/>
  <c r="O38" i="58" s="1"/>
  <c r="G38" i="47"/>
  <c r="O38" i="47" s="1"/>
  <c r="I39" i="85"/>
  <c r="G39" i="28"/>
  <c r="G39" i="58"/>
  <c r="O39" i="58" s="1"/>
  <c r="G39" i="47"/>
  <c r="O39" i="47" s="1"/>
  <c r="G40" i="58"/>
  <c r="O40" i="58" s="1"/>
  <c r="I40" i="85"/>
  <c r="G40" i="28"/>
  <c r="G40" i="47"/>
  <c r="O40" i="47" s="1"/>
  <c r="G45" i="58"/>
  <c r="O45" i="58" s="1"/>
  <c r="I45" i="85"/>
  <c r="G45" i="28"/>
  <c r="G45" i="47"/>
  <c r="O45" i="47" s="1"/>
  <c r="I46" i="85"/>
  <c r="G46" i="28"/>
  <c r="G46" i="58"/>
  <c r="O46" i="58" s="1"/>
  <c r="G46" i="47"/>
  <c r="O46" i="47" s="1"/>
  <c r="G56" i="58"/>
  <c r="O56" i="58" s="1"/>
  <c r="I56" i="85"/>
  <c r="G56" i="28"/>
  <c r="G56" i="47"/>
  <c r="O56" i="47" s="1"/>
  <c r="G4" i="58"/>
  <c r="O4" i="58" s="1"/>
  <c r="S4" i="58" s="1"/>
  <c r="I4" i="85"/>
  <c r="G4" i="28"/>
  <c r="G4" i="47"/>
  <c r="O4" i="47" s="1"/>
  <c r="G5" i="58"/>
  <c r="O5" i="58" s="1"/>
  <c r="I5" i="85"/>
  <c r="G5" i="28"/>
  <c r="G5" i="47"/>
  <c r="O5" i="47" s="1"/>
  <c r="I6" i="85"/>
  <c r="G6" i="28"/>
  <c r="G6" i="58"/>
  <c r="O6" i="58" s="1"/>
  <c r="G6" i="47"/>
  <c r="O6" i="47" s="1"/>
  <c r="I7" i="85"/>
  <c r="G7" i="28"/>
  <c r="G7" i="58"/>
  <c r="O7" i="58" s="1"/>
  <c r="G7" i="47"/>
  <c r="O7" i="47" s="1"/>
  <c r="I15" i="85"/>
  <c r="G15" i="28"/>
  <c r="G15" i="58"/>
  <c r="O15" i="58" s="1"/>
  <c r="G15" i="47"/>
  <c r="O15" i="47" s="1"/>
  <c r="I18" i="85"/>
  <c r="G18" i="28"/>
  <c r="G18" i="58"/>
  <c r="O18" i="58" s="1"/>
  <c r="G18" i="47"/>
  <c r="O18" i="47" s="1"/>
  <c r="G21" i="58"/>
  <c r="O21" i="58" s="1"/>
  <c r="I21" i="85"/>
  <c r="G21" i="28"/>
  <c r="G21" i="47"/>
  <c r="O21" i="47" s="1"/>
  <c r="I22" i="85"/>
  <c r="G22" i="28"/>
  <c r="G22" i="58"/>
  <c r="O22" i="58" s="1"/>
  <c r="G22" i="47"/>
  <c r="O22" i="47" s="1"/>
  <c r="I23" i="85"/>
  <c r="G23" i="28"/>
  <c r="G23" i="58"/>
  <c r="O23" i="58" s="1"/>
  <c r="G23" i="47"/>
  <c r="O23" i="47" s="1"/>
  <c r="G25" i="58"/>
  <c r="O25" i="58" s="1"/>
  <c r="I25" i="85"/>
  <c r="G25" i="28"/>
  <c r="G25" i="47"/>
  <c r="O25" i="47" s="1"/>
  <c r="I34" i="85"/>
  <c r="G34" i="28"/>
  <c r="G34" i="58"/>
  <c r="O34" i="58" s="1"/>
  <c r="G34" i="47"/>
  <c r="O34" i="47" s="1"/>
  <c r="I35" i="85"/>
  <c r="G35" i="28"/>
  <c r="G35" i="58"/>
  <c r="O35" i="58" s="1"/>
  <c r="G35" i="47"/>
  <c r="O35" i="47" s="1"/>
  <c r="I43" i="85"/>
  <c r="G43" i="28"/>
  <c r="G43" i="58"/>
  <c r="O43" i="58" s="1"/>
  <c r="G43" i="47"/>
  <c r="O43" i="47" s="1"/>
  <c r="G44" i="58"/>
  <c r="O44" i="58" s="1"/>
  <c r="I44" i="85"/>
  <c r="G44" i="28"/>
  <c r="G44" i="47"/>
  <c r="O44" i="47" s="1"/>
  <c r="I50" i="85"/>
  <c r="G50" i="28"/>
  <c r="G50" i="58"/>
  <c r="O50" i="58" s="1"/>
  <c r="G50" i="47"/>
  <c r="O50" i="47" s="1"/>
  <c r="G52" i="58"/>
  <c r="O52" i="58" s="1"/>
  <c r="I52" i="85"/>
  <c r="G52" i="28"/>
  <c r="G52" i="47"/>
  <c r="O52" i="47" s="1"/>
  <c r="G53" i="58"/>
  <c r="O53" i="58" s="1"/>
  <c r="I53" i="85"/>
  <c r="G53" i="28"/>
  <c r="G53" i="47"/>
  <c r="O53" i="47" s="1"/>
  <c r="I54" i="85"/>
  <c r="G54" i="28"/>
  <c r="G54" i="58"/>
  <c r="O54" i="58" s="1"/>
  <c r="G54" i="47"/>
  <c r="O54" i="47" s="1"/>
  <c r="G57" i="58"/>
  <c r="O57" i="58" s="1"/>
  <c r="I57" i="85"/>
  <c r="G57" i="28"/>
  <c r="G57" i="47"/>
  <c r="O57" i="47" s="1"/>
  <c r="G61" i="58"/>
  <c r="O61" i="58" s="1"/>
  <c r="I61" i="85"/>
  <c r="G61" i="28"/>
  <c r="G61" i="47"/>
  <c r="O61" i="47" s="1"/>
  <c r="G65" i="58"/>
  <c r="O65" i="58" s="1"/>
  <c r="I65" i="85"/>
  <c r="G65" i="28"/>
  <c r="G65" i="47"/>
  <c r="O65" i="47" s="1"/>
  <c r="I66" i="85"/>
  <c r="G66" i="28"/>
  <c r="G66" i="58"/>
  <c r="O66" i="58" s="1"/>
  <c r="G66" i="47"/>
  <c r="O66" i="47" s="1"/>
  <c r="G68" i="58"/>
  <c r="O68" i="58" s="1"/>
  <c r="I68" i="85"/>
  <c r="G68" i="28"/>
  <c r="G68" i="47"/>
  <c r="O68" i="47" s="1"/>
  <c r="I71" i="85"/>
  <c r="G71" i="28"/>
  <c r="G71" i="58"/>
  <c r="O71" i="58" s="1"/>
  <c r="G71" i="47"/>
  <c r="O71" i="47" s="1"/>
  <c r="G77" i="58"/>
  <c r="O77" i="58" s="1"/>
  <c r="I77" i="85"/>
  <c r="G77" i="28"/>
  <c r="G77" i="47"/>
  <c r="O77" i="47" s="1"/>
  <c r="G80" i="58"/>
  <c r="O80" i="58" s="1"/>
  <c r="I80" i="85"/>
  <c r="G80" i="47"/>
  <c r="O80" i="47" s="1"/>
  <c r="G80" i="28"/>
  <c r="G89" i="58"/>
  <c r="O89" i="58" s="1"/>
  <c r="I89" i="85"/>
  <c r="G89" i="28"/>
  <c r="G89" i="47"/>
  <c r="O89" i="47" s="1"/>
  <c r="G96" i="58"/>
  <c r="O96" i="58" s="1"/>
  <c r="I96" i="85"/>
  <c r="G96" i="47"/>
  <c r="O96" i="47" s="1"/>
  <c r="G96" i="28"/>
  <c r="G97" i="58"/>
  <c r="O97" i="58" s="1"/>
  <c r="I97" i="85"/>
  <c r="G97" i="28"/>
  <c r="G97" i="47"/>
  <c r="O97" i="47" s="1"/>
  <c r="I99" i="85"/>
  <c r="G99" i="58"/>
  <c r="O99" i="58" s="1"/>
  <c r="G99" i="47"/>
  <c r="O99" i="47" s="1"/>
  <c r="G99" i="28"/>
  <c r="I102" i="85"/>
  <c r="G102" i="58"/>
  <c r="O102" i="58" s="1"/>
  <c r="G102" i="28"/>
  <c r="G102" i="47"/>
  <c r="O102" i="47" s="1"/>
  <c r="G105" i="58"/>
  <c r="O105" i="58" s="1"/>
  <c r="I105" i="85"/>
  <c r="G105" i="28"/>
  <c r="G105" i="47"/>
  <c r="O105" i="47" s="1"/>
  <c r="G109" i="58"/>
  <c r="O109" i="58" s="1"/>
  <c r="I109" i="85"/>
  <c r="G109" i="28"/>
  <c r="G109" i="47"/>
  <c r="O109" i="47" s="1"/>
  <c r="I114" i="85"/>
  <c r="G114" i="58"/>
  <c r="O114" i="58" s="1"/>
  <c r="G114" i="47"/>
  <c r="O114" i="47" s="1"/>
  <c r="I62" i="85"/>
  <c r="G62" i="28"/>
  <c r="G62" i="58"/>
  <c r="O62" i="58" s="1"/>
  <c r="G62" i="47"/>
  <c r="O62" i="47" s="1"/>
  <c r="I63" i="85"/>
  <c r="G63" i="28"/>
  <c r="G63" i="58"/>
  <c r="O63" i="58" s="1"/>
  <c r="G63" i="47"/>
  <c r="O63" i="47" s="1"/>
  <c r="G64" i="58"/>
  <c r="O64" i="58" s="1"/>
  <c r="I64" i="85"/>
  <c r="G64" i="28"/>
  <c r="G64" i="47"/>
  <c r="O64" i="47" s="1"/>
  <c r="I67" i="85"/>
  <c r="G67" i="28"/>
  <c r="G67" i="58"/>
  <c r="O67" i="58" s="1"/>
  <c r="G67" i="47"/>
  <c r="O67" i="47" s="1"/>
  <c r="G69" i="58"/>
  <c r="O69" i="58" s="1"/>
  <c r="I69" i="85"/>
  <c r="G69" i="28"/>
  <c r="G69" i="47"/>
  <c r="O69" i="47" s="1"/>
  <c r="I70" i="85"/>
  <c r="G70" i="28"/>
  <c r="G70" i="58"/>
  <c r="O70" i="58" s="1"/>
  <c r="G70" i="47"/>
  <c r="O70" i="47" s="1"/>
  <c r="I79" i="85"/>
  <c r="G79" i="58"/>
  <c r="O79" i="58" s="1"/>
  <c r="G79" i="47"/>
  <c r="O79" i="47" s="1"/>
  <c r="G79" i="28"/>
  <c r="I82" i="85"/>
  <c r="G82" i="58"/>
  <c r="O82" i="58" s="1"/>
  <c r="G82" i="28"/>
  <c r="G82" i="47"/>
  <c r="O82" i="47" s="1"/>
  <c r="G84" i="58"/>
  <c r="O84" i="58" s="1"/>
  <c r="I84" i="85"/>
  <c r="G84" i="47"/>
  <c r="O84" i="47" s="1"/>
  <c r="G84" i="28"/>
  <c r="G85" i="58"/>
  <c r="O85" i="58" s="1"/>
  <c r="I85" i="85"/>
  <c r="G85" i="28"/>
  <c r="G85" i="47"/>
  <c r="O85" i="47" s="1"/>
  <c r="I86" i="85"/>
  <c r="G86" i="58"/>
  <c r="O86" i="58" s="1"/>
  <c r="G86" i="28"/>
  <c r="G86" i="47"/>
  <c r="O86" i="47" s="1"/>
  <c r="I95" i="85"/>
  <c r="G95" i="58"/>
  <c r="O95" i="58" s="1"/>
  <c r="G95" i="47"/>
  <c r="O95" i="47" s="1"/>
  <c r="G95" i="28"/>
  <c r="I98" i="85"/>
  <c r="G98" i="58"/>
  <c r="O98" i="58" s="1"/>
  <c r="G98" i="28"/>
  <c r="G98" i="47"/>
  <c r="O98" i="47" s="1"/>
  <c r="I106" i="85"/>
  <c r="G106" i="58"/>
  <c r="O106" i="58" s="1"/>
  <c r="G106" i="28"/>
  <c r="G106" i="47"/>
  <c r="O106" i="47" s="1"/>
  <c r="I111" i="85"/>
  <c r="G111" i="58"/>
  <c r="O111" i="58" s="1"/>
  <c r="G111" i="47"/>
  <c r="O111" i="47" s="1"/>
  <c r="G111" i="28"/>
  <c r="G60" i="58"/>
  <c r="O60" i="58" s="1"/>
  <c r="I60" i="85"/>
  <c r="G60" i="28"/>
  <c r="G60" i="47"/>
  <c r="O60" i="47" s="1"/>
  <c r="G72" i="58"/>
  <c r="O72" i="58" s="1"/>
  <c r="I72" i="85"/>
  <c r="G72" i="28"/>
  <c r="G72" i="47"/>
  <c r="O72" i="47" s="1"/>
  <c r="I74" i="85"/>
  <c r="G74" i="28"/>
  <c r="G74" i="58"/>
  <c r="O74" i="58" s="1"/>
  <c r="G74" i="47"/>
  <c r="O74" i="47" s="1"/>
  <c r="I83" i="85"/>
  <c r="G83" i="58"/>
  <c r="O83" i="58" s="1"/>
  <c r="G83" i="47"/>
  <c r="O83" i="47" s="1"/>
  <c r="G83" i="28"/>
  <c r="G93" i="58"/>
  <c r="O93" i="58" s="1"/>
  <c r="I93" i="85"/>
  <c r="G93" i="28"/>
  <c r="G93" i="47"/>
  <c r="O93" i="47" s="1"/>
  <c r="G100" i="58"/>
  <c r="O100" i="58" s="1"/>
  <c r="I100" i="85"/>
  <c r="G100" i="47"/>
  <c r="O100" i="47" s="1"/>
  <c r="G100" i="28"/>
  <c r="I103" i="85"/>
  <c r="G103" i="58"/>
  <c r="O103" i="58" s="1"/>
  <c r="G103" i="47"/>
  <c r="O103" i="47" s="1"/>
  <c r="G103" i="28"/>
  <c r="I107" i="85"/>
  <c r="G107" i="58"/>
  <c r="O107" i="58" s="1"/>
  <c r="G107" i="47"/>
  <c r="O107" i="47" s="1"/>
  <c r="G107" i="28"/>
  <c r="G112" i="58"/>
  <c r="O112" i="58" s="1"/>
  <c r="I112" i="85"/>
  <c r="G112" i="47"/>
  <c r="O112" i="47" s="1"/>
  <c r="G113" i="58"/>
  <c r="O113" i="58" s="1"/>
  <c r="I113" i="85"/>
  <c r="G113" i="47"/>
  <c r="O113" i="47" s="1"/>
  <c r="G115" i="58"/>
  <c r="O115" i="58" s="1"/>
  <c r="G115" i="47"/>
  <c r="O115" i="47" s="1"/>
  <c r="G73" i="58"/>
  <c r="O73" i="58" s="1"/>
  <c r="I73" i="85"/>
  <c r="G73" i="28"/>
  <c r="G73" i="47"/>
  <c r="O73" i="47" s="1"/>
  <c r="I75" i="85"/>
  <c r="G75" i="28"/>
  <c r="G75" i="58"/>
  <c r="O75" i="58" s="1"/>
  <c r="G75" i="47"/>
  <c r="O75" i="47" s="1"/>
  <c r="G76" i="58"/>
  <c r="O76" i="58" s="1"/>
  <c r="I76" i="85"/>
  <c r="G76" i="28"/>
  <c r="G76" i="47"/>
  <c r="O76" i="47" s="1"/>
  <c r="I78" i="85"/>
  <c r="G78" i="28"/>
  <c r="G78" i="58"/>
  <c r="O78" i="58" s="1"/>
  <c r="G78" i="47"/>
  <c r="O78" i="47" s="1"/>
  <c r="G81" i="58"/>
  <c r="O81" i="58" s="1"/>
  <c r="I81" i="85"/>
  <c r="G81" i="28"/>
  <c r="G81" i="47"/>
  <c r="O81" i="47" s="1"/>
  <c r="I87" i="85"/>
  <c r="G87" i="58"/>
  <c r="O87" i="58" s="1"/>
  <c r="G87" i="47"/>
  <c r="O87" i="47" s="1"/>
  <c r="G87" i="28"/>
  <c r="G88" i="58"/>
  <c r="O88" i="58" s="1"/>
  <c r="I88" i="85"/>
  <c r="G88" i="47"/>
  <c r="O88" i="47" s="1"/>
  <c r="G88" i="28"/>
  <c r="I90" i="85"/>
  <c r="G90" i="58"/>
  <c r="O90" i="58" s="1"/>
  <c r="G90" i="28"/>
  <c r="G90" i="47"/>
  <c r="O90" i="47" s="1"/>
  <c r="I91" i="85"/>
  <c r="G91" i="58"/>
  <c r="O91" i="58" s="1"/>
  <c r="G91" i="47"/>
  <c r="O91" i="47" s="1"/>
  <c r="G91" i="28"/>
  <c r="G92" i="58"/>
  <c r="O92" i="58" s="1"/>
  <c r="I92" i="85"/>
  <c r="G92" i="47"/>
  <c r="O92" i="47" s="1"/>
  <c r="G92" i="28"/>
  <c r="I94" i="85"/>
  <c r="G94" i="58"/>
  <c r="O94" i="58" s="1"/>
  <c r="G94" i="28"/>
  <c r="G94" i="47"/>
  <c r="O94" i="47" s="1"/>
  <c r="G101" i="58"/>
  <c r="O101" i="58" s="1"/>
  <c r="I101" i="85"/>
  <c r="G101" i="28"/>
  <c r="G101" i="47"/>
  <c r="O101" i="47" s="1"/>
  <c r="G104" i="58"/>
  <c r="O104" i="58" s="1"/>
  <c r="I104" i="85"/>
  <c r="G104" i="47"/>
  <c r="O104" i="47" s="1"/>
  <c r="G104" i="28"/>
  <c r="G108" i="58"/>
  <c r="O108" i="58" s="1"/>
  <c r="I108" i="85"/>
  <c r="G108" i="47"/>
  <c r="O108" i="47" s="1"/>
  <c r="G108" i="28"/>
  <c r="I110" i="85"/>
  <c r="G110" i="58"/>
  <c r="O110" i="58" s="1"/>
  <c r="G110" i="28"/>
  <c r="G110" i="47"/>
  <c r="O110" i="47" s="1"/>
  <c r="I2" i="86"/>
  <c r="G2" i="29"/>
  <c r="O2" i="29" s="1"/>
  <c r="G3" i="29"/>
  <c r="O3" i="29" s="1"/>
  <c r="I3" i="86"/>
  <c r="G4" i="29"/>
  <c r="O4" i="29" s="1"/>
  <c r="I4" i="86"/>
  <c r="G5" i="29"/>
  <c r="O5" i="29" s="1"/>
  <c r="I5" i="86"/>
  <c r="I6" i="86"/>
  <c r="G6" i="29"/>
  <c r="O6" i="29" s="1"/>
  <c r="I7" i="86"/>
  <c r="G7" i="29"/>
  <c r="O7" i="29" s="1"/>
  <c r="I8" i="86"/>
  <c r="G8" i="29"/>
  <c r="O8" i="29" s="1"/>
  <c r="G9" i="29"/>
  <c r="O9" i="29" s="1"/>
  <c r="I9" i="86"/>
  <c r="I10" i="86"/>
  <c r="G10" i="29"/>
  <c r="O10" i="29" s="1"/>
  <c r="I11" i="86"/>
  <c r="G11" i="29"/>
  <c r="O11" i="29" s="1"/>
  <c r="I12" i="86"/>
  <c r="G12" i="29"/>
  <c r="O12" i="29" s="1"/>
  <c r="G13" i="29"/>
  <c r="O13" i="29" s="1"/>
  <c r="I13" i="86"/>
  <c r="I14" i="86"/>
  <c r="G14" i="29"/>
  <c r="O14" i="29" s="1"/>
  <c r="G15" i="29"/>
  <c r="O15" i="29" s="1"/>
  <c r="I15" i="86"/>
  <c r="I16" i="86"/>
  <c r="G16" i="29"/>
  <c r="O16" i="29" s="1"/>
  <c r="I17" i="86"/>
  <c r="G17" i="29"/>
  <c r="O17" i="29" s="1"/>
  <c r="I18" i="86"/>
  <c r="G18" i="29"/>
  <c r="O18" i="29" s="1"/>
  <c r="G19" i="29"/>
  <c r="O19" i="29" s="1"/>
  <c r="I19" i="86"/>
  <c r="G20" i="29"/>
  <c r="O20" i="29" s="1"/>
  <c r="I20" i="86"/>
  <c r="I21" i="86"/>
  <c r="G21" i="29"/>
  <c r="O21" i="29" s="1"/>
  <c r="I22" i="86"/>
  <c r="G22" i="29"/>
  <c r="O22" i="29" s="1"/>
  <c r="G23" i="29"/>
  <c r="O23" i="29" s="1"/>
  <c r="I23" i="86"/>
  <c r="G24" i="29"/>
  <c r="O24" i="29" s="1"/>
  <c r="I24" i="86"/>
  <c r="I25" i="86"/>
  <c r="G25" i="29"/>
  <c r="O25" i="29" s="1"/>
  <c r="I26" i="86"/>
  <c r="G26" i="29"/>
  <c r="O26" i="29" s="1"/>
  <c r="I27" i="86"/>
  <c r="G27" i="29"/>
  <c r="O27" i="29" s="1"/>
  <c r="I28" i="86"/>
  <c r="G28" i="29"/>
  <c r="O28" i="29" s="1"/>
  <c r="I29" i="86"/>
  <c r="G29" i="29"/>
  <c r="O29" i="29" s="1"/>
  <c r="I30" i="86"/>
  <c r="G30" i="29"/>
  <c r="O30" i="29" s="1"/>
  <c r="G31" i="29"/>
  <c r="O31" i="29" s="1"/>
  <c r="I31" i="86"/>
  <c r="I32" i="86"/>
  <c r="G32" i="29"/>
  <c r="O32" i="29" s="1"/>
  <c r="I33" i="86"/>
  <c r="G33" i="29"/>
  <c r="O33" i="29" s="1"/>
  <c r="I34" i="86"/>
  <c r="G34" i="29"/>
  <c r="O34" i="29" s="1"/>
  <c r="G35" i="29"/>
  <c r="O35" i="29" s="1"/>
  <c r="I35" i="86"/>
  <c r="G36" i="29"/>
  <c r="O36" i="29" s="1"/>
  <c r="I36" i="86"/>
  <c r="I37" i="86"/>
  <c r="G37" i="29"/>
  <c r="O37" i="29" s="1"/>
  <c r="I38" i="86"/>
  <c r="G38" i="29"/>
  <c r="O38" i="29" s="1"/>
  <c r="G39" i="29"/>
  <c r="O39" i="29" s="1"/>
  <c r="I39" i="86"/>
  <c r="G40" i="29"/>
  <c r="O40" i="29" s="1"/>
  <c r="I40" i="86"/>
  <c r="G41" i="29"/>
  <c r="O41" i="29" s="1"/>
  <c r="I41" i="86"/>
  <c r="I42" i="86"/>
  <c r="G42" i="29"/>
  <c r="O42" i="29" s="1"/>
  <c r="I43" i="86"/>
  <c r="G43" i="29"/>
  <c r="O43" i="29" s="1"/>
  <c r="I44" i="86"/>
  <c r="G44" i="29"/>
  <c r="O44" i="29" s="1"/>
  <c r="G45" i="29"/>
  <c r="O45" i="29" s="1"/>
  <c r="I45" i="86"/>
  <c r="I46" i="86"/>
  <c r="G46" i="29"/>
  <c r="O46" i="29" s="1"/>
  <c r="G47" i="29"/>
  <c r="O47" i="29" s="1"/>
  <c r="I47" i="86"/>
  <c r="I48" i="86"/>
  <c r="G48" i="29"/>
  <c r="O48" i="29" s="1"/>
  <c r="I49" i="86"/>
  <c r="G49" i="29"/>
  <c r="O49" i="29" s="1"/>
  <c r="I50" i="86"/>
  <c r="G50" i="29"/>
  <c r="O50" i="29" s="1"/>
  <c r="G51" i="29"/>
  <c r="O51" i="29" s="1"/>
  <c r="I51" i="86"/>
  <c r="G52" i="29"/>
  <c r="O52" i="29" s="1"/>
  <c r="I52" i="86"/>
  <c r="I53" i="86"/>
  <c r="G53" i="29"/>
  <c r="O53" i="29" s="1"/>
  <c r="I54" i="86"/>
  <c r="G54" i="29"/>
  <c r="O54" i="29" s="1"/>
  <c r="G55" i="29"/>
  <c r="O55" i="29" s="1"/>
  <c r="I55" i="86"/>
  <c r="G56" i="29"/>
  <c r="O56" i="29" s="1"/>
  <c r="I56" i="86"/>
  <c r="I57" i="86"/>
  <c r="G57" i="29"/>
  <c r="O57" i="29" s="1"/>
  <c r="I58" i="86"/>
  <c r="G58" i="29"/>
  <c r="O58" i="29" s="1"/>
  <c r="I59" i="86"/>
  <c r="G59" i="29"/>
  <c r="O59" i="29" s="1"/>
  <c r="I60" i="86"/>
  <c r="G60" i="29"/>
  <c r="O60" i="29" s="1"/>
  <c r="I61" i="86"/>
  <c r="G61" i="29"/>
  <c r="O61" i="29" s="1"/>
  <c r="I62" i="86"/>
  <c r="G62" i="29"/>
  <c r="O62" i="29" s="1"/>
  <c r="G63" i="29"/>
  <c r="O63" i="29" s="1"/>
  <c r="I63" i="86"/>
  <c r="I64" i="86"/>
  <c r="G64" i="29"/>
  <c r="O64" i="29" s="1"/>
  <c r="I65" i="86"/>
  <c r="G65" i="29"/>
  <c r="O65" i="29" s="1"/>
  <c r="I66" i="86"/>
  <c r="G66" i="29"/>
  <c r="O66" i="29" s="1"/>
  <c r="G67" i="29"/>
  <c r="O67" i="29" s="1"/>
  <c r="I67" i="86"/>
  <c r="G68" i="29"/>
  <c r="O68" i="29" s="1"/>
  <c r="I68" i="86"/>
  <c r="I69" i="86"/>
  <c r="G69" i="29"/>
  <c r="O69" i="29" s="1"/>
  <c r="I70" i="86"/>
  <c r="G70" i="29"/>
  <c r="O70" i="29" s="1"/>
  <c r="G71" i="29"/>
  <c r="O71" i="29" s="1"/>
  <c r="I71" i="86"/>
  <c r="G72" i="29"/>
  <c r="O72" i="29" s="1"/>
  <c r="I72" i="86"/>
  <c r="G73" i="29"/>
  <c r="O73" i="29" s="1"/>
  <c r="I73" i="86"/>
  <c r="I74" i="86"/>
  <c r="G74" i="29"/>
  <c r="O74" i="29" s="1"/>
  <c r="I75" i="86"/>
  <c r="G75" i="29"/>
  <c r="O75" i="29" s="1"/>
  <c r="I76" i="86"/>
  <c r="G76" i="29"/>
  <c r="O76" i="29" s="1"/>
  <c r="G77" i="29"/>
  <c r="O77" i="29" s="1"/>
  <c r="I77" i="86"/>
  <c r="I78" i="86"/>
  <c r="G78" i="29"/>
  <c r="O78" i="29" s="1"/>
  <c r="G79" i="29"/>
  <c r="O79" i="29" s="1"/>
  <c r="I79" i="86"/>
  <c r="I80" i="86"/>
  <c r="G80" i="29"/>
  <c r="O80" i="29" s="1"/>
  <c r="I81" i="86"/>
  <c r="G81" i="29"/>
  <c r="O81" i="29" s="1"/>
  <c r="I82" i="86"/>
  <c r="G82" i="29"/>
  <c r="O82" i="29" s="1"/>
  <c r="G83" i="29"/>
  <c r="O83" i="29" s="1"/>
  <c r="I83" i="86"/>
  <c r="G84" i="29"/>
  <c r="O84" i="29" s="1"/>
  <c r="I84" i="86"/>
  <c r="I85" i="86"/>
  <c r="G85" i="29"/>
  <c r="O85" i="29" s="1"/>
  <c r="I86" i="86"/>
  <c r="G86" i="29"/>
  <c r="O86" i="29" s="1"/>
  <c r="G87" i="29"/>
  <c r="O87" i="29" s="1"/>
  <c r="I87" i="86"/>
  <c r="G88" i="29"/>
  <c r="O88" i="29" s="1"/>
  <c r="I88" i="86"/>
  <c r="I89" i="86"/>
  <c r="G89" i="29"/>
  <c r="O89" i="29" s="1"/>
  <c r="I90" i="86"/>
  <c r="G90" i="29"/>
  <c r="O90" i="29" s="1"/>
  <c r="I91" i="86"/>
  <c r="G91" i="29"/>
  <c r="O91" i="29" s="1"/>
  <c r="I92" i="86"/>
  <c r="G92" i="29"/>
  <c r="O92" i="29" s="1"/>
  <c r="I93" i="86"/>
  <c r="G93" i="29"/>
  <c r="O93" i="29" s="1"/>
  <c r="I94" i="86"/>
  <c r="G94" i="29"/>
  <c r="O94" i="29" s="1"/>
  <c r="G95" i="29"/>
  <c r="O95" i="29" s="1"/>
  <c r="I95" i="86"/>
  <c r="I96" i="86"/>
  <c r="G96" i="29"/>
  <c r="O96" i="29" s="1"/>
  <c r="I97" i="86"/>
  <c r="G97" i="29"/>
  <c r="O97" i="29" s="1"/>
  <c r="I98" i="86"/>
  <c r="G98" i="29"/>
  <c r="O98" i="29" s="1"/>
  <c r="G99" i="29"/>
  <c r="O99" i="29" s="1"/>
  <c r="I99" i="86"/>
  <c r="G100" i="29"/>
  <c r="O100" i="29" s="1"/>
  <c r="I100" i="86"/>
  <c r="I101" i="86"/>
  <c r="G101" i="29"/>
  <c r="O101" i="29" s="1"/>
  <c r="I102" i="86"/>
  <c r="G102" i="29"/>
  <c r="O102" i="29" s="1"/>
  <c r="G103" i="29"/>
  <c r="O103" i="29" s="1"/>
  <c r="I103" i="86"/>
  <c r="G104" i="29"/>
  <c r="O104" i="29" s="1"/>
  <c r="I104" i="86"/>
  <c r="G105" i="29"/>
  <c r="O105" i="29" s="1"/>
  <c r="I105" i="86"/>
  <c r="I106" i="86"/>
  <c r="G106" i="29"/>
  <c r="O106" i="29" s="1"/>
  <c r="I107" i="86"/>
  <c r="G107" i="29"/>
  <c r="O107" i="29" s="1"/>
  <c r="I108" i="86"/>
  <c r="G108" i="29"/>
  <c r="O108" i="29" s="1"/>
  <c r="G109" i="29"/>
  <c r="O109" i="29" s="1"/>
  <c r="I109" i="86"/>
  <c r="I110" i="86"/>
  <c r="G110" i="29"/>
  <c r="O110" i="29" s="1"/>
  <c r="G111" i="29"/>
  <c r="O111" i="29" s="1"/>
  <c r="I111" i="86"/>
  <c r="I112" i="86"/>
  <c r="G112" i="29"/>
  <c r="O112" i="29" s="1"/>
  <c r="I113" i="86"/>
  <c r="G113" i="29"/>
  <c r="O113" i="29" s="1"/>
  <c r="I114" i="86"/>
  <c r="I115" i="86"/>
  <c r="Q136" i="85"/>
  <c r="Q141" i="85"/>
  <c r="Q135" i="85"/>
  <c r="Q140" i="85"/>
  <c r="Q134" i="85"/>
  <c r="Q145" i="85"/>
  <c r="Q144" i="85"/>
  <c r="Q142" i="85"/>
  <c r="P124" i="84"/>
  <c r="P125" i="84" s="1"/>
  <c r="P126" i="84" s="1"/>
  <c r="P127" i="84" s="1"/>
  <c r="P128" i="84" s="1"/>
  <c r="P129" i="84" s="1"/>
  <c r="P130" i="84" s="1"/>
  <c r="P131" i="84" s="1"/>
  <c r="P132" i="84" s="1"/>
  <c r="P133" i="84" s="1"/>
  <c r="P134" i="84" s="1"/>
  <c r="P135" i="84" s="1"/>
  <c r="P136" i="84" s="1"/>
  <c r="P137" i="84" s="1"/>
  <c r="P138" i="84" s="1"/>
  <c r="P139" i="84" s="1"/>
  <c r="P140" i="84" s="1"/>
  <c r="P141" i="84" s="1"/>
  <c r="P142" i="84" s="1"/>
  <c r="P143" i="84" s="1"/>
  <c r="P144" i="84" s="1"/>
  <c r="P145" i="84" s="1"/>
  <c r="S140" i="27"/>
  <c r="S131" i="27"/>
  <c r="S128" i="27"/>
  <c r="S124" i="27"/>
  <c r="S123" i="27"/>
  <c r="V125" i="84"/>
  <c r="V137" i="84"/>
  <c r="V126" i="84"/>
  <c r="V138" i="84"/>
  <c r="V134" i="84"/>
  <c r="V122" i="84"/>
  <c r="V124" i="84"/>
  <c r="V136" i="84"/>
  <c r="V139" i="84"/>
  <c r="V135" i="84"/>
  <c r="O39" i="41"/>
  <c r="O19" i="41"/>
  <c r="N16" i="41"/>
  <c r="O15" i="41"/>
  <c r="O3" i="41"/>
  <c r="CP4" i="99"/>
  <c r="CT4" i="99"/>
  <c r="CP8" i="99"/>
  <c r="CT8" i="99"/>
  <c r="CP12" i="99"/>
  <c r="CT12" i="99"/>
  <c r="CI17" i="99"/>
  <c r="CS19" i="99"/>
  <c r="CI21" i="99"/>
  <c r="CM21" i="99"/>
  <c r="CQ21" i="99"/>
  <c r="CU21" i="99"/>
  <c r="CI25" i="99"/>
  <c r="CM25" i="99"/>
  <c r="CQ25" i="99"/>
  <c r="CU25" i="99"/>
  <c r="CU29" i="99"/>
  <c r="CR30" i="99"/>
  <c r="CK35" i="99"/>
  <c r="CO35" i="99"/>
  <c r="CS35" i="99"/>
  <c r="CH36" i="99"/>
  <c r="CL36" i="99"/>
  <c r="CP36" i="99"/>
  <c r="CT36" i="99"/>
  <c r="CH40" i="99"/>
  <c r="CL40" i="99"/>
  <c r="CP40" i="99"/>
  <c r="CT40" i="99"/>
  <c r="CI45" i="99"/>
  <c r="CM45" i="99"/>
  <c r="CQ45" i="99"/>
  <c r="CU45" i="99"/>
  <c r="CK47" i="99"/>
  <c r="CO47" i="99"/>
  <c r="CS47" i="99"/>
  <c r="CK51" i="99"/>
  <c r="CH52" i="99"/>
  <c r="CJ54" i="99"/>
  <c r="CN54" i="99"/>
  <c r="CR54" i="99"/>
  <c r="CU61" i="99"/>
  <c r="CJ62" i="99"/>
  <c r="CN62" i="99"/>
  <c r="CR62" i="99"/>
  <c r="CI65" i="99"/>
  <c r="CM65" i="99"/>
  <c r="CQ65" i="99"/>
  <c r="CK67" i="99"/>
  <c r="CO67" i="99"/>
  <c r="CS67" i="99"/>
  <c r="CI69" i="99"/>
  <c r="CI73" i="99"/>
  <c r="CL76" i="99"/>
  <c r="CR82" i="99"/>
  <c r="CH92" i="99"/>
  <c r="CL92" i="99"/>
  <c r="CP92" i="99"/>
  <c r="CT92" i="99"/>
  <c r="CK111" i="99"/>
  <c r="CO111" i="99"/>
  <c r="CS111" i="99"/>
  <c r="CI113" i="99"/>
  <c r="CM113" i="99"/>
  <c r="O27" i="41"/>
  <c r="DN76" i="99"/>
  <c r="DJ76" i="99"/>
  <c r="DF76" i="99"/>
  <c r="P76" i="41" s="1"/>
  <c r="O31" i="41"/>
  <c r="O23" i="41"/>
  <c r="O7" i="41"/>
  <c r="N4" i="41"/>
  <c r="CH4" i="99"/>
  <c r="CH8" i="99"/>
  <c r="CH12" i="99"/>
  <c r="CK15" i="99"/>
  <c r="CO15" i="99"/>
  <c r="CS15" i="99"/>
  <c r="CH16" i="99"/>
  <c r="CL16" i="99"/>
  <c r="CP16" i="99"/>
  <c r="CK19" i="99"/>
  <c r="CO19" i="99"/>
  <c r="CH20" i="99"/>
  <c r="CP20" i="99"/>
  <c r="CT20" i="99"/>
  <c r="CH24" i="99"/>
  <c r="CP24" i="99"/>
  <c r="CT24" i="99"/>
  <c r="CP28" i="99"/>
  <c r="CT28" i="99"/>
  <c r="CI29" i="99"/>
  <c r="CM29" i="99"/>
  <c r="CQ29" i="99"/>
  <c r="CJ30" i="99"/>
  <c r="CN30" i="99"/>
  <c r="CR34" i="99"/>
  <c r="CK39" i="99"/>
  <c r="CO39" i="99"/>
  <c r="CS39" i="99"/>
  <c r="CJ42" i="99"/>
  <c r="CN42" i="99"/>
  <c r="CR42" i="99"/>
  <c r="CH44" i="99"/>
  <c r="CL44" i="99"/>
  <c r="CP44" i="99"/>
  <c r="CT44" i="99"/>
  <c r="CT48" i="99"/>
  <c r="CN50" i="99"/>
  <c r="CR50" i="99"/>
  <c r="CO51" i="99"/>
  <c r="CS55" i="99"/>
  <c r="CH56" i="99"/>
  <c r="CL56" i="99"/>
  <c r="CP56" i="99"/>
  <c r="CT56" i="99"/>
  <c r="CR58" i="99"/>
  <c r="CN58" i="99"/>
  <c r="CK59" i="99"/>
  <c r="CO59" i="99"/>
  <c r="CS59" i="99"/>
  <c r="CI61" i="99"/>
  <c r="CM61" i="99"/>
  <c r="CQ61" i="99"/>
  <c r="CH64" i="99"/>
  <c r="CL64" i="99"/>
  <c r="CP64" i="99"/>
  <c r="CT64" i="99"/>
  <c r="CR70" i="99"/>
  <c r="CP72" i="99"/>
  <c r="CT72" i="99"/>
  <c r="CQ73" i="99"/>
  <c r="CR78" i="99"/>
  <c r="CH80" i="99"/>
  <c r="CL80" i="99"/>
  <c r="CP80" i="99"/>
  <c r="CT80" i="99"/>
  <c r="CJ82" i="99"/>
  <c r="CN82" i="99"/>
  <c r="CL84" i="99"/>
  <c r="CS87" i="99"/>
  <c r="CT88" i="99"/>
  <c r="CI89" i="99"/>
  <c r="CM89" i="99"/>
  <c r="CQ89" i="99"/>
  <c r="CU89" i="99"/>
  <c r="CK91" i="99"/>
  <c r="CO91" i="99"/>
  <c r="CS91" i="99"/>
  <c r="CM93" i="99"/>
  <c r="CQ93" i="99"/>
  <c r="CU93" i="99"/>
  <c r="CJ94" i="99"/>
  <c r="CN94" i="99"/>
  <c r="CR94" i="99"/>
  <c r="CP96" i="99"/>
  <c r="CT96" i="99"/>
  <c r="CI97" i="99"/>
  <c r="CM97" i="99"/>
  <c r="CQ97" i="99"/>
  <c r="CJ114" i="99"/>
  <c r="CN114" i="99"/>
  <c r="CR114" i="99"/>
  <c r="O115" i="41"/>
  <c r="O107" i="41"/>
  <c r="O99" i="41"/>
  <c r="O91" i="41"/>
  <c r="O83" i="41"/>
  <c r="O75" i="41"/>
  <c r="N68" i="41"/>
  <c r="O67" i="41"/>
  <c r="O59" i="41"/>
  <c r="N52" i="41"/>
  <c r="O51" i="41"/>
  <c r="O43" i="41"/>
  <c r="N32" i="41"/>
  <c r="N24" i="41"/>
  <c r="N20" i="41"/>
  <c r="O11" i="41"/>
  <c r="N8" i="41"/>
  <c r="CJ2" i="99"/>
  <c r="CN2" i="99"/>
  <c r="CR2" i="99"/>
  <c r="CI5" i="99"/>
  <c r="CM5" i="99"/>
  <c r="CQ5" i="99"/>
  <c r="CU5" i="99"/>
  <c r="CJ6" i="99"/>
  <c r="CN6" i="99"/>
  <c r="CR6" i="99"/>
  <c r="CI9" i="99"/>
  <c r="CM9" i="99"/>
  <c r="CQ9" i="99"/>
  <c r="CU9" i="99"/>
  <c r="CJ10" i="99"/>
  <c r="CN10" i="99"/>
  <c r="CR10" i="99"/>
  <c r="CI13" i="99"/>
  <c r="CM13" i="99"/>
  <c r="CQ13" i="99"/>
  <c r="CU13" i="99"/>
  <c r="CQ17" i="99"/>
  <c r="CU17" i="99"/>
  <c r="CR22" i="99"/>
  <c r="CK23" i="99"/>
  <c r="CO23" i="99"/>
  <c r="CS23" i="99"/>
  <c r="CK27" i="99"/>
  <c r="CO27" i="99"/>
  <c r="CS27" i="99"/>
  <c r="CH28" i="99"/>
  <c r="CL28" i="99"/>
  <c r="CI33" i="99"/>
  <c r="CM33" i="99"/>
  <c r="CQ33" i="99"/>
  <c r="CU33" i="99"/>
  <c r="CJ34" i="99"/>
  <c r="CN34" i="99"/>
  <c r="CJ46" i="99"/>
  <c r="CN46" i="99"/>
  <c r="CR46" i="99"/>
  <c r="CL48" i="99"/>
  <c r="CP48" i="99"/>
  <c r="CI49" i="99"/>
  <c r="CM49" i="99"/>
  <c r="CQ49" i="99"/>
  <c r="CU49" i="99"/>
  <c r="CJ50" i="99"/>
  <c r="CS51" i="99"/>
  <c r="CI53" i="99"/>
  <c r="CM53" i="99"/>
  <c r="CQ53" i="99"/>
  <c r="CU53" i="99"/>
  <c r="CK55" i="99"/>
  <c r="CO55" i="99"/>
  <c r="CU57" i="99"/>
  <c r="CJ58" i="99"/>
  <c r="CK63" i="99"/>
  <c r="CO63" i="99"/>
  <c r="CS63" i="99"/>
  <c r="CJ66" i="99"/>
  <c r="CN66" i="99"/>
  <c r="CR66" i="99"/>
  <c r="CH68" i="99"/>
  <c r="CL68" i="99"/>
  <c r="CP68" i="99"/>
  <c r="CT68" i="99"/>
  <c r="CJ70" i="99"/>
  <c r="CN70" i="99"/>
  <c r="CH72" i="99"/>
  <c r="CL72" i="99"/>
  <c r="CU73" i="99"/>
  <c r="CO75" i="99"/>
  <c r="CS75" i="99"/>
  <c r="CN78" i="99"/>
  <c r="CQ85" i="99"/>
  <c r="CU85" i="99"/>
  <c r="CO87" i="99"/>
  <c r="CP88" i="99"/>
  <c r="CK95" i="99"/>
  <c r="CH96" i="99"/>
  <c r="CL96" i="99"/>
  <c r="CU97" i="99"/>
  <c r="CT112" i="99"/>
  <c r="CK115" i="99"/>
  <c r="CO115" i="99"/>
  <c r="CS115" i="99"/>
  <c r="CD100" i="99"/>
  <c r="CH99" i="99"/>
  <c r="DA62" i="99"/>
  <c r="CN99" i="99"/>
  <c r="CM76" i="99"/>
  <c r="CM77" i="99"/>
  <c r="CU86" i="99"/>
  <c r="CF100" i="99"/>
  <c r="CU76" i="99"/>
  <c r="CU77" i="99"/>
  <c r="CT99" i="99"/>
  <c r="CL77" i="99"/>
  <c r="CT77" i="99"/>
  <c r="CP77" i="99"/>
  <c r="CH77" i="99"/>
  <c r="CM98" i="99"/>
  <c r="CI77" i="99"/>
  <c r="CQ77" i="99"/>
  <c r="CL110" i="99"/>
  <c r="CI76" i="99"/>
  <c r="CQ76" i="99"/>
  <c r="CR99" i="99"/>
  <c r="CP110" i="99"/>
  <c r="CT110" i="99"/>
  <c r="CP86" i="99"/>
  <c r="CM99" i="99"/>
  <c r="CQ100" i="99"/>
  <c r="CI86" i="99"/>
  <c r="CL86" i="99"/>
  <c r="CT86" i="99"/>
  <c r="CQ99" i="99"/>
  <c r="CA15" i="99"/>
  <c r="BY27" i="99"/>
  <c r="CA19" i="99"/>
  <c r="BY31" i="99"/>
  <c r="BY32" i="99"/>
  <c r="CA20" i="99"/>
  <c r="BY36" i="99"/>
  <c r="CA24" i="99"/>
  <c r="BY37" i="99"/>
  <c r="CA25" i="99"/>
  <c r="BY14" i="99"/>
  <c r="BY16" i="99"/>
  <c r="BY18" i="99"/>
  <c r="BY22" i="99"/>
  <c r="BY17" i="99"/>
  <c r="BY21" i="99"/>
  <c r="BY23" i="99"/>
  <c r="CB111" i="99"/>
  <c r="DA63" i="99"/>
  <c r="CB112" i="99"/>
  <c r="DA64" i="99"/>
  <c r="CF79" i="99"/>
  <c r="CR88" i="99"/>
  <c r="CJ76" i="99"/>
  <c r="CN76" i="99"/>
  <c r="CR76" i="99"/>
  <c r="CJ86" i="99"/>
  <c r="CN86" i="99"/>
  <c r="CR86" i="99"/>
  <c r="CB114" i="99"/>
  <c r="DA66" i="99"/>
  <c r="CK76" i="99"/>
  <c r="CO76" i="99"/>
  <c r="CS76" i="99"/>
  <c r="CJ77" i="99"/>
  <c r="CN77" i="99"/>
  <c r="CR77" i="99"/>
  <c r="CK86" i="99"/>
  <c r="CO86" i="99"/>
  <c r="CS86" i="99"/>
  <c r="CF89" i="99"/>
  <c r="CB113" i="99"/>
  <c r="DA65" i="99"/>
  <c r="CK77" i="99"/>
  <c r="CO77" i="99"/>
  <c r="CS77" i="99"/>
  <c r="CL98" i="99"/>
  <c r="CP98" i="99"/>
  <c r="CT98" i="99"/>
  <c r="CI87" i="99"/>
  <c r="CM87" i="99"/>
  <c r="CQ87" i="99"/>
  <c r="CU87" i="99"/>
  <c r="DA67" i="99"/>
  <c r="CO98" i="99"/>
  <c r="CI98" i="99"/>
  <c r="CQ98" i="99"/>
  <c r="CI99" i="99"/>
  <c r="CU99" i="99"/>
  <c r="CJ99" i="99"/>
  <c r="CP99" i="99"/>
  <c r="CJ98" i="99"/>
  <c r="CN98" i="99"/>
  <c r="CR98" i="99"/>
  <c r="CK99" i="99"/>
  <c r="CO99" i="99"/>
  <c r="CS99" i="99"/>
  <c r="CL99" i="99"/>
  <c r="CH100" i="99"/>
  <c r="CU110" i="99"/>
  <c r="CJ110" i="99"/>
  <c r="CN110" i="99"/>
  <c r="CR110" i="99"/>
  <c r="CI110" i="99"/>
  <c r="CF112" i="99"/>
  <c r="CK110" i="99"/>
  <c r="CO110" i="99"/>
  <c r="CS110" i="99"/>
  <c r="BJ171" i="39"/>
  <c r="BL170" i="39"/>
  <c r="E15" i="70"/>
  <c r="F15" i="70"/>
  <c r="P10" i="70"/>
  <c r="P24" i="70" s="1"/>
  <c r="P9" i="70"/>
  <c r="P13" i="70"/>
  <c r="P27" i="70" s="1"/>
  <c r="P11" i="70"/>
  <c r="P25" i="70" s="1"/>
  <c r="U20" i="103" l="1"/>
  <c r="V19" i="103"/>
  <c r="G1" i="87"/>
  <c r="K1" i="106"/>
  <c r="S5" i="58"/>
  <c r="S13" i="58"/>
  <c r="S9" i="58"/>
  <c r="DF89" i="99"/>
  <c r="DL89" i="99"/>
  <c r="DB89" i="99"/>
  <c r="DI89" i="99"/>
  <c r="DD89" i="99"/>
  <c r="DJ89" i="99"/>
  <c r="DH89" i="99"/>
  <c r="DM89" i="99"/>
  <c r="DN89" i="99"/>
  <c r="DE89" i="99"/>
  <c r="DK89" i="99"/>
  <c r="DC89" i="99"/>
  <c r="DO89" i="99"/>
  <c r="I3" i="47"/>
  <c r="Q3" i="47" s="1"/>
  <c r="S3" i="47" s="1"/>
  <c r="K3" i="85"/>
  <c r="I3" i="28"/>
  <c r="P3" i="28" s="1"/>
  <c r="J3" i="27"/>
  <c r="T3" i="27" s="1"/>
  <c r="J3" i="84"/>
  <c r="J3" i="41"/>
  <c r="S3" i="41" s="1"/>
  <c r="I25" i="28"/>
  <c r="P25" i="28" s="1"/>
  <c r="K25" i="85"/>
  <c r="I25" i="47"/>
  <c r="Q25" i="47" s="1"/>
  <c r="S25" i="47" s="1"/>
  <c r="J25" i="41"/>
  <c r="S25" i="41" s="1"/>
  <c r="J25" i="84"/>
  <c r="J25" i="27"/>
  <c r="T25" i="27" s="1"/>
  <c r="DG100" i="99"/>
  <c r="DL100" i="99"/>
  <c r="DC100" i="99"/>
  <c r="DI100" i="99"/>
  <c r="DD100" i="99"/>
  <c r="DK100" i="99"/>
  <c r="DE100" i="99"/>
  <c r="DM100" i="99"/>
  <c r="DO100" i="99"/>
  <c r="DH100" i="99"/>
  <c r="DN100" i="99"/>
  <c r="CF101" i="99"/>
  <c r="DB100" i="99"/>
  <c r="DJ100" i="99"/>
  <c r="DF100" i="99"/>
  <c r="CD101" i="99"/>
  <c r="CU100" i="99"/>
  <c r="CS100" i="99"/>
  <c r="CL100" i="99"/>
  <c r="CR100" i="99"/>
  <c r="CI100" i="99"/>
  <c r="CO100" i="99"/>
  <c r="CN100" i="99"/>
  <c r="CP100" i="99"/>
  <c r="CJ100" i="99"/>
  <c r="CM100" i="99"/>
  <c r="I13" i="28"/>
  <c r="P13" i="28" s="1"/>
  <c r="I13" i="47"/>
  <c r="Q13" i="47" s="1"/>
  <c r="S13" i="47" s="1"/>
  <c r="K13" i="85"/>
  <c r="J13" i="27"/>
  <c r="T13" i="27" s="1"/>
  <c r="J13" i="84"/>
  <c r="J13" i="41"/>
  <c r="S13" i="41" s="1"/>
  <c r="I20" i="47"/>
  <c r="Q20" i="47" s="1"/>
  <c r="S20" i="47" s="1"/>
  <c r="K20" i="85"/>
  <c r="I20" i="28"/>
  <c r="P20" i="28" s="1"/>
  <c r="J20" i="84"/>
  <c r="J20" i="41"/>
  <c r="S20" i="41" s="1"/>
  <c r="J20" i="27"/>
  <c r="T20" i="27" s="1"/>
  <c r="K6" i="85"/>
  <c r="I6" i="28"/>
  <c r="P6" i="28" s="1"/>
  <c r="I6" i="47"/>
  <c r="Q6" i="47" s="1"/>
  <c r="S6" i="47" s="1"/>
  <c r="J6" i="27"/>
  <c r="T6" i="27" s="1"/>
  <c r="J6" i="84"/>
  <c r="J6" i="41"/>
  <c r="S6" i="41" s="1"/>
  <c r="DG89" i="99"/>
  <c r="I5" i="28"/>
  <c r="P5" i="28" s="1"/>
  <c r="I5" i="47"/>
  <c r="Q5" i="47" s="1"/>
  <c r="S5" i="47" s="1"/>
  <c r="K5" i="85"/>
  <c r="J5" i="27"/>
  <c r="T5" i="27" s="1"/>
  <c r="J5" i="84"/>
  <c r="J5" i="41"/>
  <c r="S5" i="41" s="1"/>
  <c r="CK100" i="99"/>
  <c r="CT100" i="99"/>
  <c r="DA113" i="99"/>
  <c r="I113" i="27"/>
  <c r="S113" i="27" s="1"/>
  <c r="H113" i="28"/>
  <c r="O113" i="28" s="1"/>
  <c r="J113" i="85"/>
  <c r="H113" i="47"/>
  <c r="P113" i="47" s="1"/>
  <c r="I113" i="84"/>
  <c r="I113" i="41"/>
  <c r="R113" i="41" s="1"/>
  <c r="DA114" i="99"/>
  <c r="H114" i="28"/>
  <c r="O114" i="28" s="1"/>
  <c r="I114" i="27"/>
  <c r="S114" i="27" s="1"/>
  <c r="I114" i="84"/>
  <c r="J114" i="85"/>
  <c r="H114" i="47"/>
  <c r="P114" i="47" s="1"/>
  <c r="I114" i="41"/>
  <c r="R114" i="41" s="1"/>
  <c r="DB79" i="99"/>
  <c r="DG79" i="99"/>
  <c r="DL79" i="99"/>
  <c r="DF79" i="99"/>
  <c r="DN79" i="99"/>
  <c r="DH79" i="99"/>
  <c r="DO79" i="99"/>
  <c r="DK79" i="99"/>
  <c r="DD79" i="99"/>
  <c r="DJ79" i="99"/>
  <c r="DC79" i="99"/>
  <c r="DI79" i="99"/>
  <c r="Q79" i="41" s="1"/>
  <c r="DM79" i="99"/>
  <c r="DE79" i="99"/>
  <c r="DA111" i="99"/>
  <c r="I111" i="27"/>
  <c r="S111" i="27" s="1"/>
  <c r="H111" i="28"/>
  <c r="O111" i="28" s="1"/>
  <c r="H111" i="47"/>
  <c r="P111" i="47" s="1"/>
  <c r="J111" i="85"/>
  <c r="I111" i="84"/>
  <c r="I111" i="41"/>
  <c r="R111" i="41" s="1"/>
  <c r="I7" i="47"/>
  <c r="Q7" i="47" s="1"/>
  <c r="S7" i="47" s="1"/>
  <c r="K7" i="85"/>
  <c r="I7" i="28"/>
  <c r="P7" i="28" s="1"/>
  <c r="J7" i="27"/>
  <c r="T7" i="27" s="1"/>
  <c r="J7" i="84"/>
  <c r="J7" i="41"/>
  <c r="S7" i="41" s="1"/>
  <c r="I19" i="47"/>
  <c r="Q19" i="47" s="1"/>
  <c r="S19" i="47" s="1"/>
  <c r="K19" i="85"/>
  <c r="I19" i="28"/>
  <c r="P19" i="28" s="1"/>
  <c r="J19" i="27"/>
  <c r="T19" i="27" s="1"/>
  <c r="J19" i="84"/>
  <c r="J19" i="41"/>
  <c r="S19" i="41" s="1"/>
  <c r="S87" i="27"/>
  <c r="I135" i="27"/>
  <c r="S135" i="27" s="1"/>
  <c r="I133" i="27"/>
  <c r="S133" i="27" s="1"/>
  <c r="S85" i="27"/>
  <c r="BU109" i="99"/>
  <c r="K97" i="86"/>
  <c r="I97" i="58"/>
  <c r="Q97" i="58" s="1"/>
  <c r="I97" i="29"/>
  <c r="Q97" i="29" s="1"/>
  <c r="BU104" i="99"/>
  <c r="K92" i="86"/>
  <c r="I92" i="29"/>
  <c r="Q92" i="29" s="1"/>
  <c r="I92" i="58"/>
  <c r="Q92" i="58" s="1"/>
  <c r="O75" i="28"/>
  <c r="H123" i="28"/>
  <c r="O123" i="28" s="1"/>
  <c r="J117" i="85"/>
  <c r="I117" i="84"/>
  <c r="H117" i="28"/>
  <c r="O117" i="28" s="1"/>
  <c r="DA117" i="99"/>
  <c r="I117" i="27"/>
  <c r="S117" i="27" s="1"/>
  <c r="I117" i="41"/>
  <c r="R117" i="41" s="1"/>
  <c r="H117" i="47"/>
  <c r="P117" i="47" s="1"/>
  <c r="H145" i="28"/>
  <c r="O145" i="28" s="1"/>
  <c r="O97" i="28"/>
  <c r="O92" i="28"/>
  <c r="H140" i="28"/>
  <c r="O140" i="28" s="1"/>
  <c r="I137" i="27"/>
  <c r="S137" i="27" s="1"/>
  <c r="S89" i="27"/>
  <c r="O88" i="28"/>
  <c r="H136" i="28"/>
  <c r="O136" i="28" s="1"/>
  <c r="BU107" i="99"/>
  <c r="I95" i="29"/>
  <c r="Q95" i="29" s="1"/>
  <c r="K95" i="86"/>
  <c r="I95" i="58"/>
  <c r="Q95" i="58" s="1"/>
  <c r="BU100" i="99"/>
  <c r="I88" i="29"/>
  <c r="Q88" i="29" s="1"/>
  <c r="I88" i="58"/>
  <c r="Q88" i="58" s="1"/>
  <c r="K88" i="86"/>
  <c r="S79" i="27"/>
  <c r="I127" i="27"/>
  <c r="S127" i="27" s="1"/>
  <c r="H127" i="28"/>
  <c r="O127" i="28" s="1"/>
  <c r="O79" i="28"/>
  <c r="R1" i="27"/>
  <c r="Q1" i="41"/>
  <c r="BU108" i="99"/>
  <c r="I96" i="29"/>
  <c r="Q96" i="29" s="1"/>
  <c r="I96" i="58"/>
  <c r="Q96" i="58" s="1"/>
  <c r="K96" i="86"/>
  <c r="H129" i="28"/>
  <c r="O129" i="28" s="1"/>
  <c r="O81" i="28"/>
  <c r="Q78" i="41"/>
  <c r="I138" i="27"/>
  <c r="S138" i="27" s="1"/>
  <c r="S90" i="27"/>
  <c r="H138" i="28"/>
  <c r="O138" i="28" s="1"/>
  <c r="O90" i="28"/>
  <c r="I129" i="27"/>
  <c r="S129" i="27" s="1"/>
  <c r="S81" i="27"/>
  <c r="I126" i="27"/>
  <c r="S126" i="27" s="1"/>
  <c r="S78" i="27"/>
  <c r="H126" i="28"/>
  <c r="O126" i="28" s="1"/>
  <c r="O78" i="28"/>
  <c r="H144" i="28"/>
  <c r="O144" i="28" s="1"/>
  <c r="O96" i="28"/>
  <c r="BU99" i="99"/>
  <c r="I87" i="29"/>
  <c r="Q87" i="29" s="1"/>
  <c r="K87" i="86"/>
  <c r="I87" i="58"/>
  <c r="Q87" i="58" s="1"/>
  <c r="I145" i="27"/>
  <c r="S145" i="27" s="1"/>
  <c r="S97" i="27"/>
  <c r="H130" i="28"/>
  <c r="O130" i="28" s="1"/>
  <c r="O82" i="28"/>
  <c r="DD112" i="99"/>
  <c r="DI112" i="99"/>
  <c r="DE112" i="99"/>
  <c r="DL112" i="99"/>
  <c r="DG112" i="99"/>
  <c r="DM112" i="99"/>
  <c r="DO112" i="99"/>
  <c r="DK112" i="99"/>
  <c r="DC112" i="99"/>
  <c r="DH112" i="99"/>
  <c r="DA112" i="99"/>
  <c r="H112" i="28"/>
  <c r="O112" i="28" s="1"/>
  <c r="I112" i="27"/>
  <c r="S112" i="27" s="1"/>
  <c r="H112" i="47"/>
  <c r="P112" i="47" s="1"/>
  <c r="J112" i="85"/>
  <c r="I112" i="84"/>
  <c r="I112" i="41"/>
  <c r="R112" i="41" s="1"/>
  <c r="I15" i="47"/>
  <c r="Q15" i="47" s="1"/>
  <c r="S15" i="47" s="1"/>
  <c r="K15" i="85"/>
  <c r="I15" i="28"/>
  <c r="P15" i="28" s="1"/>
  <c r="J15" i="27"/>
  <c r="T15" i="27" s="1"/>
  <c r="J15" i="84"/>
  <c r="J15" i="41"/>
  <c r="S15" i="41" s="1"/>
  <c r="K10" i="85"/>
  <c r="I10" i="28"/>
  <c r="P10" i="28" s="1"/>
  <c r="I10" i="47"/>
  <c r="Q10" i="47" s="1"/>
  <c r="S10" i="47" s="1"/>
  <c r="J10" i="84"/>
  <c r="J10" i="27"/>
  <c r="T10" i="27" s="1"/>
  <c r="J10" i="41"/>
  <c r="S10" i="41" s="1"/>
  <c r="S7" i="58"/>
  <c r="S6" i="58"/>
  <c r="S3" i="58"/>
  <c r="S2" i="58"/>
  <c r="S10" i="58"/>
  <c r="G99" i="41"/>
  <c r="P99" i="41" s="1"/>
  <c r="DF112" i="99"/>
  <c r="O91" i="28"/>
  <c r="H139" i="28"/>
  <c r="O139" i="28" s="1"/>
  <c r="H135" i="28"/>
  <c r="O135" i="28" s="1"/>
  <c r="O87" i="28"/>
  <c r="H133" i="28"/>
  <c r="O133" i="28" s="1"/>
  <c r="O85" i="28"/>
  <c r="I122" i="27"/>
  <c r="S122" i="27" s="1"/>
  <c r="S74" i="27"/>
  <c r="H122" i="28"/>
  <c r="O122" i="28" s="1"/>
  <c r="O74" i="28"/>
  <c r="J116" i="85"/>
  <c r="H116" i="28"/>
  <c r="O116" i="28" s="1"/>
  <c r="I116" i="84"/>
  <c r="DA116" i="99"/>
  <c r="I116" i="27"/>
  <c r="S116" i="27" s="1"/>
  <c r="H116" i="47"/>
  <c r="P116" i="47" s="1"/>
  <c r="I116" i="41"/>
  <c r="R116" i="41" s="1"/>
  <c r="S88" i="27"/>
  <c r="I136" i="27"/>
  <c r="S136" i="27" s="1"/>
  <c r="DB112" i="99"/>
  <c r="I134" i="27"/>
  <c r="S134" i="27" s="1"/>
  <c r="S86" i="27"/>
  <c r="H134" i="28"/>
  <c r="O134" i="28" s="1"/>
  <c r="O86" i="28"/>
  <c r="BU106" i="99"/>
  <c r="K94" i="86"/>
  <c r="I94" i="58"/>
  <c r="Q94" i="58" s="1"/>
  <c r="I94" i="29"/>
  <c r="Q94" i="29" s="1"/>
  <c r="J118" i="85"/>
  <c r="H118" i="28"/>
  <c r="O118" i="28" s="1"/>
  <c r="I118" i="84"/>
  <c r="I118" i="27"/>
  <c r="S118" i="27" s="1"/>
  <c r="DA118" i="99"/>
  <c r="H118" i="47"/>
  <c r="P118" i="47" s="1"/>
  <c r="I118" i="41"/>
  <c r="R118" i="41" s="1"/>
  <c r="DA110" i="99"/>
  <c r="I110" i="27"/>
  <c r="S110" i="27" s="1"/>
  <c r="H110" i="28"/>
  <c r="O110" i="28" s="1"/>
  <c r="J110" i="85"/>
  <c r="H110" i="47"/>
  <c r="P110" i="47" s="1"/>
  <c r="I110" i="84"/>
  <c r="I110" i="41"/>
  <c r="R110" i="41" s="1"/>
  <c r="BZ37" i="99"/>
  <c r="L25" i="86"/>
  <c r="J25" i="58"/>
  <c r="R25" i="58" s="1"/>
  <c r="S25" i="58" s="1"/>
  <c r="J25" i="29"/>
  <c r="R25" i="29" s="1"/>
  <c r="BZ36" i="99"/>
  <c r="CA36" i="99" s="1"/>
  <c r="L24" i="86"/>
  <c r="J24" i="29"/>
  <c r="R24" i="29" s="1"/>
  <c r="J24" i="58"/>
  <c r="R24" i="58" s="1"/>
  <c r="S24" i="58" s="1"/>
  <c r="DD88" i="99"/>
  <c r="DI88" i="99"/>
  <c r="DO88" i="99"/>
  <c r="DH88" i="99"/>
  <c r="DC88" i="99"/>
  <c r="DK88" i="99"/>
  <c r="DG88" i="99"/>
  <c r="DM88" i="99"/>
  <c r="DL88" i="99"/>
  <c r="DE88" i="99"/>
  <c r="DA115" i="99"/>
  <c r="J115" i="85"/>
  <c r="H115" i="28"/>
  <c r="O115" i="28" s="1"/>
  <c r="I115" i="84"/>
  <c r="I115" i="27"/>
  <c r="S115" i="27" s="1"/>
  <c r="H115" i="47"/>
  <c r="P115" i="47" s="1"/>
  <c r="I115" i="41"/>
  <c r="R115" i="41" s="1"/>
  <c r="BZ29" i="99"/>
  <c r="L17" i="86"/>
  <c r="J17" i="58"/>
  <c r="R17" i="58" s="1"/>
  <c r="S17" i="58" s="1"/>
  <c r="J17" i="29"/>
  <c r="R17" i="29" s="1"/>
  <c r="BU102" i="99"/>
  <c r="K90" i="86"/>
  <c r="I90" i="58"/>
  <c r="Q90" i="58" s="1"/>
  <c r="I90" i="29"/>
  <c r="Q90" i="29" s="1"/>
  <c r="BZ34" i="99"/>
  <c r="J22" i="58"/>
  <c r="R22" i="58" s="1"/>
  <c r="S22" i="58" s="1"/>
  <c r="J22" i="29"/>
  <c r="R22" i="29" s="1"/>
  <c r="L22" i="86"/>
  <c r="O84" i="28"/>
  <c r="H132" i="28"/>
  <c r="O132" i="28" s="1"/>
  <c r="BU105" i="99"/>
  <c r="K93" i="86"/>
  <c r="I93" i="29"/>
  <c r="Q93" i="29" s="1"/>
  <c r="I93" i="58"/>
  <c r="Q93" i="58" s="1"/>
  <c r="J120" i="85"/>
  <c r="I120" i="84"/>
  <c r="I120" i="27"/>
  <c r="S120" i="27" s="1"/>
  <c r="DA120" i="99"/>
  <c r="H120" i="28"/>
  <c r="O120" i="28" s="1"/>
  <c r="I120" i="41"/>
  <c r="R120" i="41" s="1"/>
  <c r="H120" i="47"/>
  <c r="P120" i="47" s="1"/>
  <c r="BZ33" i="99"/>
  <c r="L21" i="86"/>
  <c r="J21" i="58"/>
  <c r="R21" i="58" s="1"/>
  <c r="S21" i="58" s="1"/>
  <c r="J21" i="29"/>
  <c r="R21" i="29" s="1"/>
  <c r="BZ28" i="99"/>
  <c r="L16" i="86"/>
  <c r="J16" i="29"/>
  <c r="R16" i="29" s="1"/>
  <c r="J16" i="58"/>
  <c r="R16" i="58" s="1"/>
  <c r="S16" i="58" s="1"/>
  <c r="S95" i="27"/>
  <c r="I143" i="27"/>
  <c r="S143" i="27" s="1"/>
  <c r="H143" i="28"/>
  <c r="O143" i="28" s="1"/>
  <c r="O95" i="28"/>
  <c r="BZ32" i="99"/>
  <c r="L20" i="86"/>
  <c r="J20" i="29"/>
  <c r="R20" i="29" s="1"/>
  <c r="J20" i="58"/>
  <c r="R20" i="58" s="1"/>
  <c r="S20" i="58" s="1"/>
  <c r="BZ31" i="99"/>
  <c r="L19" i="86"/>
  <c r="J19" i="29"/>
  <c r="R19" i="29" s="1"/>
  <c r="J19" i="58"/>
  <c r="R19" i="58" s="1"/>
  <c r="S19" i="58" s="1"/>
  <c r="BZ30" i="99"/>
  <c r="L18" i="86"/>
  <c r="J18" i="58"/>
  <c r="R18" i="58" s="1"/>
  <c r="S18" i="58" s="1"/>
  <c r="J18" i="29"/>
  <c r="R18" i="29" s="1"/>
  <c r="E1" i="27"/>
  <c r="G1" i="84"/>
  <c r="I130" i="27"/>
  <c r="S130" i="27" s="1"/>
  <c r="S82" i="27"/>
  <c r="H125" i="28"/>
  <c r="O125" i="28" s="1"/>
  <c r="O77" i="28"/>
  <c r="O76" i="28"/>
  <c r="H124" i="28"/>
  <c r="O124" i="28" s="1"/>
  <c r="H141" i="28"/>
  <c r="O141" i="28" s="1"/>
  <c r="O93" i="28"/>
  <c r="BU103" i="99"/>
  <c r="I91" i="29"/>
  <c r="Q91" i="29" s="1"/>
  <c r="I91" i="58"/>
  <c r="Q91" i="58" s="1"/>
  <c r="K91" i="86"/>
  <c r="BZ35" i="99"/>
  <c r="J23" i="29"/>
  <c r="R23" i="29" s="1"/>
  <c r="L23" i="86"/>
  <c r="J23" i="58"/>
  <c r="R23" i="58" s="1"/>
  <c r="S23" i="58" s="1"/>
  <c r="I12" i="47"/>
  <c r="Q12" i="47" s="1"/>
  <c r="K12" i="85"/>
  <c r="I12" i="28"/>
  <c r="P12" i="28" s="1"/>
  <c r="J12" i="84"/>
  <c r="J12" i="27"/>
  <c r="T12" i="27" s="1"/>
  <c r="J12" i="41"/>
  <c r="S12" i="41" s="1"/>
  <c r="I4" i="47"/>
  <c r="Q4" i="47" s="1"/>
  <c r="S4" i="47" s="1"/>
  <c r="K4" i="85"/>
  <c r="I4" i="28"/>
  <c r="P4" i="28" s="1"/>
  <c r="J4" i="84"/>
  <c r="J4" i="41"/>
  <c r="S4" i="41" s="1"/>
  <c r="J4" i="27"/>
  <c r="T4" i="27" s="1"/>
  <c r="I8" i="47"/>
  <c r="Q8" i="47" s="1"/>
  <c r="S8" i="47" s="1"/>
  <c r="I8" i="28"/>
  <c r="P8" i="28" s="1"/>
  <c r="K8" i="85"/>
  <c r="J8" i="84"/>
  <c r="J8" i="27"/>
  <c r="T8" i="27" s="1"/>
  <c r="J8" i="41"/>
  <c r="S8" i="41" s="1"/>
  <c r="I24" i="47"/>
  <c r="Q24" i="47" s="1"/>
  <c r="S24" i="47" s="1"/>
  <c r="I24" i="28"/>
  <c r="P24" i="28" s="1"/>
  <c r="K24" i="85"/>
  <c r="J24" i="84"/>
  <c r="J24" i="27"/>
  <c r="T24" i="27" s="1"/>
  <c r="J24" i="41"/>
  <c r="S24" i="41" s="1"/>
  <c r="I9" i="28"/>
  <c r="P9" i="28" s="1"/>
  <c r="K9" i="85"/>
  <c r="I9" i="47"/>
  <c r="Q9" i="47" s="1"/>
  <c r="S9" i="47" s="1"/>
  <c r="J9" i="41"/>
  <c r="S9" i="41" s="1"/>
  <c r="J9" i="84"/>
  <c r="J9" i="27"/>
  <c r="T9" i="27" s="1"/>
  <c r="K2" i="85"/>
  <c r="I2" i="28"/>
  <c r="I2" i="47"/>
  <c r="Q2" i="47" s="1"/>
  <c r="S2" i="47" s="1"/>
  <c r="J2" i="84"/>
  <c r="J2" i="27"/>
  <c r="T2" i="27" s="1"/>
  <c r="J2" i="41"/>
  <c r="S2" i="41" s="1"/>
  <c r="I11" i="47"/>
  <c r="Q11" i="47" s="1"/>
  <c r="S11" i="47" s="1"/>
  <c r="K11" i="85"/>
  <c r="I11" i="28"/>
  <c r="P11" i="28" s="1"/>
  <c r="J11" i="27"/>
  <c r="T11" i="27" s="1"/>
  <c r="J11" i="84"/>
  <c r="J11" i="41"/>
  <c r="S11" i="41" s="1"/>
  <c r="O80" i="28"/>
  <c r="H128" i="28"/>
  <c r="O128" i="28" s="1"/>
  <c r="BU98" i="99"/>
  <c r="K86" i="86"/>
  <c r="I86" i="58"/>
  <c r="Q86" i="58" s="1"/>
  <c r="I86" i="29"/>
  <c r="Q86" i="29" s="1"/>
  <c r="BZ27" i="99"/>
  <c r="CA27" i="99" s="1"/>
  <c r="L15" i="86"/>
  <c r="J15" i="58"/>
  <c r="R15" i="58" s="1"/>
  <c r="S15" i="58" s="1"/>
  <c r="J15" i="29"/>
  <c r="R15" i="29" s="1"/>
  <c r="BZ26" i="99"/>
  <c r="J14" i="58"/>
  <c r="R14" i="58" s="1"/>
  <c r="S14" i="58" s="1"/>
  <c r="J14" i="29"/>
  <c r="R14" i="29" s="1"/>
  <c r="L14" i="86"/>
  <c r="DJ112" i="99"/>
  <c r="H137" i="28"/>
  <c r="O137" i="28" s="1"/>
  <c r="O89" i="28"/>
  <c r="O83" i="28"/>
  <c r="H131" i="28"/>
  <c r="O131" i="28" s="1"/>
  <c r="I125" i="27"/>
  <c r="S125" i="27" s="1"/>
  <c r="S77" i="27"/>
  <c r="BU101" i="99"/>
  <c r="K89" i="86"/>
  <c r="I89" i="29"/>
  <c r="Q89" i="29" s="1"/>
  <c r="I89" i="58"/>
  <c r="Q89" i="58" s="1"/>
  <c r="BJ4" i="99"/>
  <c r="K3" i="84"/>
  <c r="K3" i="41"/>
  <c r="T3" i="41" s="1"/>
  <c r="K3" i="27"/>
  <c r="U3" i="27" s="1"/>
  <c r="I141" i="27"/>
  <c r="S141" i="27" s="1"/>
  <c r="S93" i="27"/>
  <c r="J121" i="85"/>
  <c r="I121" i="84"/>
  <c r="H121" i="28"/>
  <c r="O121" i="28" s="1"/>
  <c r="I121" i="27"/>
  <c r="S121" i="27" s="1"/>
  <c r="DA121" i="99"/>
  <c r="I121" i="41"/>
  <c r="R121" i="41" s="1"/>
  <c r="H121" i="47"/>
  <c r="P121" i="47" s="1"/>
  <c r="J119" i="85"/>
  <c r="DA119" i="99"/>
  <c r="I119" i="84"/>
  <c r="H119" i="28"/>
  <c r="O119" i="28" s="1"/>
  <c r="I119" i="27"/>
  <c r="S119" i="27" s="1"/>
  <c r="I119" i="41"/>
  <c r="R119" i="41" s="1"/>
  <c r="H119" i="47"/>
  <c r="P119" i="47" s="1"/>
  <c r="I142" i="27"/>
  <c r="S142" i="27" s="1"/>
  <c r="S94" i="27"/>
  <c r="H142" i="28"/>
  <c r="O142" i="28" s="1"/>
  <c r="O94" i="28"/>
  <c r="N1" i="84"/>
  <c r="L1" i="84"/>
  <c r="G1" i="27"/>
  <c r="Q1" i="27" s="1"/>
  <c r="G1" i="41"/>
  <c r="P1" i="41" s="1"/>
  <c r="Q87" i="41"/>
  <c r="Q99" i="41"/>
  <c r="Q111" i="41"/>
  <c r="S12" i="47"/>
  <c r="G78" i="41"/>
  <c r="P78" i="41" s="1"/>
  <c r="G86" i="41"/>
  <c r="P86" i="41" s="1"/>
  <c r="G98" i="41"/>
  <c r="P98" i="41" s="1"/>
  <c r="G110" i="41"/>
  <c r="P110" i="41" s="1"/>
  <c r="V133" i="84"/>
  <c r="V145" i="84"/>
  <c r="V128" i="84"/>
  <c r="V140" i="84"/>
  <c r="V131" i="84"/>
  <c r="V143" i="84"/>
  <c r="V129" i="84"/>
  <c r="V141" i="84"/>
  <c r="V132" i="84"/>
  <c r="V144" i="84"/>
  <c r="V130" i="84"/>
  <c r="V142" i="84"/>
  <c r="CA21" i="99"/>
  <c r="BY33" i="99"/>
  <c r="CF102" i="99"/>
  <c r="CF80" i="99"/>
  <c r="CA17" i="99"/>
  <c r="BY29" i="99"/>
  <c r="BY34" i="99"/>
  <c r="CA22" i="99"/>
  <c r="BY39" i="99"/>
  <c r="BY48" i="99"/>
  <c r="CF90" i="99"/>
  <c r="BY30" i="99"/>
  <c r="CA18" i="99"/>
  <c r="BY49" i="99"/>
  <c r="CA37" i="99"/>
  <c r="BY44" i="99"/>
  <c r="CA32" i="99"/>
  <c r="BY26" i="99"/>
  <c r="CA14" i="99"/>
  <c r="CF113" i="99"/>
  <c r="BY35" i="99"/>
  <c r="CA23" i="99"/>
  <c r="BY28" i="99"/>
  <c r="CA16" i="99"/>
  <c r="BY43" i="99"/>
  <c r="CA31" i="99"/>
  <c r="BL171" i="39"/>
  <c r="BJ172" i="39"/>
  <c r="BK171" i="39"/>
  <c r="G14" i="70"/>
  <c r="V20" i="103" l="1"/>
  <c r="W19" i="103"/>
  <c r="I4" i="26"/>
  <c r="K18" i="85"/>
  <c r="I18" i="28"/>
  <c r="P18" i="28" s="1"/>
  <c r="I18" i="47"/>
  <c r="Q18" i="47" s="1"/>
  <c r="S18" i="47" s="1"/>
  <c r="J18" i="84"/>
  <c r="J18" i="27"/>
  <c r="T18" i="27" s="1"/>
  <c r="J18" i="41"/>
  <c r="S18" i="41" s="1"/>
  <c r="DF102" i="99"/>
  <c r="DK102" i="99"/>
  <c r="DC102" i="99"/>
  <c r="DJ102" i="99"/>
  <c r="DE102" i="99"/>
  <c r="DM102" i="99"/>
  <c r="DG102" i="99"/>
  <c r="DN102" i="99"/>
  <c r="DO102" i="99"/>
  <c r="DI102" i="99"/>
  <c r="DB102" i="99"/>
  <c r="DD102" i="99"/>
  <c r="DL102" i="99"/>
  <c r="DH102" i="99"/>
  <c r="BU113" i="99"/>
  <c r="K101" i="86"/>
  <c r="I101" i="29"/>
  <c r="Q101" i="29" s="1"/>
  <c r="I101" i="58"/>
  <c r="Q101" i="58" s="1"/>
  <c r="BU117" i="99"/>
  <c r="K105" i="86"/>
  <c r="I105" i="58"/>
  <c r="Q105" i="58" s="1"/>
  <c r="I105" i="29"/>
  <c r="Q105" i="29" s="1"/>
  <c r="BU118" i="99"/>
  <c r="K106" i="86"/>
  <c r="I106" i="58"/>
  <c r="Q106" i="58" s="1"/>
  <c r="I106" i="29"/>
  <c r="Q106" i="29" s="1"/>
  <c r="BU120" i="99"/>
  <c r="K108" i="86"/>
  <c r="I108" i="29"/>
  <c r="Q108" i="29" s="1"/>
  <c r="I108" i="58"/>
  <c r="Q108" i="58" s="1"/>
  <c r="BU112" i="99"/>
  <c r="K100" i="86"/>
  <c r="I100" i="29"/>
  <c r="Q100" i="29" s="1"/>
  <c r="I100" i="58"/>
  <c r="Q100" i="58" s="1"/>
  <c r="G100" i="41"/>
  <c r="I27" i="47"/>
  <c r="Q27" i="47" s="1"/>
  <c r="S27" i="47" s="1"/>
  <c r="K27" i="85"/>
  <c r="I27" i="28"/>
  <c r="P27" i="28" s="1"/>
  <c r="J27" i="27"/>
  <c r="T27" i="27" s="1"/>
  <c r="J27" i="84"/>
  <c r="J27" i="41"/>
  <c r="S27" i="41" s="1"/>
  <c r="H1" i="87"/>
  <c r="N1" i="87" s="1"/>
  <c r="DD101" i="99"/>
  <c r="DI101" i="99"/>
  <c r="DN101" i="99"/>
  <c r="DB101" i="99"/>
  <c r="DJ101" i="99"/>
  <c r="DE101" i="99"/>
  <c r="DL101" i="99"/>
  <c r="DF101" i="99"/>
  <c r="DH101" i="99"/>
  <c r="DM101" i="99"/>
  <c r="DO101" i="99"/>
  <c r="DG101" i="99"/>
  <c r="DK101" i="99"/>
  <c r="DC101" i="99"/>
  <c r="I31" i="47"/>
  <c r="Q31" i="47" s="1"/>
  <c r="S31" i="47" s="1"/>
  <c r="K31" i="85"/>
  <c r="I31" i="28"/>
  <c r="P31" i="28" s="1"/>
  <c r="J31" i="27"/>
  <c r="T31" i="27" s="1"/>
  <c r="J31" i="84"/>
  <c r="J31" i="41"/>
  <c r="S31" i="41" s="1"/>
  <c r="I23" i="47"/>
  <c r="Q23" i="47" s="1"/>
  <c r="S23" i="47" s="1"/>
  <c r="K23" i="85"/>
  <c r="I23" i="28"/>
  <c r="P23" i="28" s="1"/>
  <c r="J23" i="27"/>
  <c r="T23" i="27" s="1"/>
  <c r="J23" i="84"/>
  <c r="J23" i="41"/>
  <c r="S23" i="41" s="1"/>
  <c r="K14" i="85"/>
  <c r="I14" i="28"/>
  <c r="P14" i="28" s="1"/>
  <c r="I14" i="47"/>
  <c r="Q14" i="47" s="1"/>
  <c r="S14" i="47" s="1"/>
  <c r="J14" i="27"/>
  <c r="T14" i="27" s="1"/>
  <c r="J14" i="84"/>
  <c r="J14" i="41"/>
  <c r="S14" i="41" s="1"/>
  <c r="I37" i="28"/>
  <c r="P37" i="28" s="1"/>
  <c r="I37" i="47"/>
  <c r="Q37" i="47" s="1"/>
  <c r="S37" i="47" s="1"/>
  <c r="K37" i="85"/>
  <c r="J37" i="27"/>
  <c r="T37" i="27" s="1"/>
  <c r="J37" i="84"/>
  <c r="J37" i="41"/>
  <c r="S37" i="41" s="1"/>
  <c r="DC90" i="99"/>
  <c r="DI90" i="99"/>
  <c r="DN90" i="99"/>
  <c r="DB90" i="99"/>
  <c r="DJ90" i="99"/>
  <c r="DE90" i="99"/>
  <c r="DK90" i="99"/>
  <c r="DG90" i="99"/>
  <c r="DO90" i="99"/>
  <c r="DF90" i="99"/>
  <c r="DM90" i="99"/>
  <c r="DL90" i="99"/>
  <c r="DD90" i="99"/>
  <c r="DH90" i="99"/>
  <c r="I17" i="28"/>
  <c r="P17" i="28" s="1"/>
  <c r="K17" i="85"/>
  <c r="I17" i="47"/>
  <c r="Q17" i="47" s="1"/>
  <c r="S17" i="47" s="1"/>
  <c r="J17" i="27"/>
  <c r="T17" i="27" s="1"/>
  <c r="J17" i="84"/>
  <c r="J17" i="41"/>
  <c r="S17" i="41" s="1"/>
  <c r="I21" i="28"/>
  <c r="P21" i="28" s="1"/>
  <c r="I21" i="47"/>
  <c r="Q21" i="47" s="1"/>
  <c r="S21" i="47" s="1"/>
  <c r="K21" i="85"/>
  <c r="J21" i="27"/>
  <c r="T21" i="27" s="1"/>
  <c r="J21" i="84"/>
  <c r="J21" i="41"/>
  <c r="S21" i="41" s="1"/>
  <c r="BZ42" i="99"/>
  <c r="J30" i="58"/>
  <c r="R30" i="58" s="1"/>
  <c r="S30" i="58" s="1"/>
  <c r="J30" i="29"/>
  <c r="R30" i="29" s="1"/>
  <c r="L30" i="86"/>
  <c r="BZ43" i="99"/>
  <c r="CA43" i="99" s="1"/>
  <c r="L31" i="86"/>
  <c r="J31" i="29"/>
  <c r="R31" i="29" s="1"/>
  <c r="J31" i="58"/>
  <c r="R31" i="58" s="1"/>
  <c r="S31" i="58" s="1"/>
  <c r="BZ44" i="99"/>
  <c r="L32" i="86"/>
  <c r="J32" i="29"/>
  <c r="R32" i="29" s="1"/>
  <c r="J32" i="58"/>
  <c r="R32" i="58" s="1"/>
  <c r="S32" i="58" s="1"/>
  <c r="BZ40" i="99"/>
  <c r="L28" i="86"/>
  <c r="J28" i="29"/>
  <c r="R28" i="29" s="1"/>
  <c r="J28" i="58"/>
  <c r="R28" i="58" s="1"/>
  <c r="S28" i="58" s="1"/>
  <c r="BZ45" i="99"/>
  <c r="L33" i="86"/>
  <c r="J33" i="58"/>
  <c r="R33" i="58" s="1"/>
  <c r="S33" i="58" s="1"/>
  <c r="J33" i="29"/>
  <c r="R33" i="29" s="1"/>
  <c r="BZ46" i="99"/>
  <c r="L34" i="86"/>
  <c r="J34" i="58"/>
  <c r="R34" i="58" s="1"/>
  <c r="S34" i="58" s="1"/>
  <c r="J34" i="29"/>
  <c r="R34" i="29" s="1"/>
  <c r="BU114" i="99"/>
  <c r="K102" i="86"/>
  <c r="I102" i="58"/>
  <c r="Q102" i="58" s="1"/>
  <c r="I102" i="29"/>
  <c r="Q102" i="29" s="1"/>
  <c r="BZ41" i="99"/>
  <c r="L29" i="86"/>
  <c r="J29" i="58"/>
  <c r="R29" i="58" s="1"/>
  <c r="S29" i="58" s="1"/>
  <c r="J29" i="29"/>
  <c r="R29" i="29" s="1"/>
  <c r="Q88" i="41"/>
  <c r="Q112" i="41"/>
  <c r="BU116" i="99"/>
  <c r="I104" i="29"/>
  <c r="Q104" i="29" s="1"/>
  <c r="I104" i="58"/>
  <c r="Q104" i="58" s="1"/>
  <c r="K104" i="86"/>
  <c r="BU121" i="99"/>
  <c r="K109" i="86"/>
  <c r="I109" i="29"/>
  <c r="Q109" i="29" s="1"/>
  <c r="I109" i="58"/>
  <c r="Q109" i="58" s="1"/>
  <c r="P100" i="41"/>
  <c r="Q89" i="41"/>
  <c r="I16" i="47"/>
  <c r="Q16" i="47" s="1"/>
  <c r="S16" i="47" s="1"/>
  <c r="I16" i="28"/>
  <c r="P16" i="28" s="1"/>
  <c r="K16" i="85"/>
  <c r="J16" i="84"/>
  <c r="J16" i="27"/>
  <c r="T16" i="27" s="1"/>
  <c r="J16" i="41"/>
  <c r="S16" i="41" s="1"/>
  <c r="I32" i="47"/>
  <c r="Q32" i="47" s="1"/>
  <c r="S32" i="47" s="1"/>
  <c r="I32" i="28"/>
  <c r="P32" i="28" s="1"/>
  <c r="K32" i="85"/>
  <c r="J32" i="84"/>
  <c r="J32" i="27"/>
  <c r="T32" i="27" s="1"/>
  <c r="J32" i="41"/>
  <c r="S32" i="41" s="1"/>
  <c r="BJ5" i="99"/>
  <c r="K4" i="27"/>
  <c r="U4" i="27" s="1"/>
  <c r="K4" i="84"/>
  <c r="K4" i="41"/>
  <c r="T4" i="41" s="1"/>
  <c r="BU119" i="99"/>
  <c r="I107" i="29"/>
  <c r="Q107" i="29" s="1"/>
  <c r="I107" i="58"/>
  <c r="Q107" i="58" s="1"/>
  <c r="K107" i="86"/>
  <c r="G79" i="41"/>
  <c r="P79" i="41" s="1"/>
  <c r="DD113" i="99"/>
  <c r="DI113" i="99"/>
  <c r="DN113" i="99"/>
  <c r="DE113" i="99"/>
  <c r="DJ113" i="99"/>
  <c r="DL113" i="99"/>
  <c r="DF113" i="99"/>
  <c r="DB113" i="99"/>
  <c r="DM113" i="99"/>
  <c r="DH113" i="99"/>
  <c r="DC113" i="99"/>
  <c r="DG113" i="99"/>
  <c r="DO113" i="99"/>
  <c r="DK113" i="99"/>
  <c r="CR101" i="99"/>
  <c r="CP101" i="99"/>
  <c r="CI101" i="99"/>
  <c r="CL101" i="99"/>
  <c r="CO101" i="99"/>
  <c r="CJ101" i="99"/>
  <c r="CK101" i="99"/>
  <c r="CM101" i="99"/>
  <c r="CT101" i="99"/>
  <c r="CQ101" i="99"/>
  <c r="CN101" i="99"/>
  <c r="CS101" i="99"/>
  <c r="CU101" i="99"/>
  <c r="CH101" i="99"/>
  <c r="CD102" i="99"/>
  <c r="Q100" i="41"/>
  <c r="G89" i="41"/>
  <c r="P89" i="41" s="1"/>
  <c r="I36" i="47"/>
  <c r="Q36" i="47" s="1"/>
  <c r="S36" i="47" s="1"/>
  <c r="K36" i="85"/>
  <c r="I36" i="28"/>
  <c r="P36" i="28" s="1"/>
  <c r="J36" i="84"/>
  <c r="J36" i="27"/>
  <c r="T36" i="27" s="1"/>
  <c r="J36" i="41"/>
  <c r="S36" i="41" s="1"/>
  <c r="K22" i="85"/>
  <c r="I22" i="28"/>
  <c r="P22" i="28" s="1"/>
  <c r="I22" i="47"/>
  <c r="Q22" i="47" s="1"/>
  <c r="S22" i="47" s="1"/>
  <c r="J22" i="27"/>
  <c r="T22" i="27" s="1"/>
  <c r="J22" i="84"/>
  <c r="J22" i="41"/>
  <c r="S22" i="41" s="1"/>
  <c r="DD80" i="99"/>
  <c r="DI80" i="99"/>
  <c r="DO80" i="99"/>
  <c r="DG80" i="99"/>
  <c r="DM80" i="99"/>
  <c r="DH80" i="99"/>
  <c r="DL80" i="99"/>
  <c r="DC80" i="99"/>
  <c r="DE80" i="99"/>
  <c r="DK80" i="99"/>
  <c r="DJ80" i="99"/>
  <c r="DB80" i="99"/>
  <c r="DF80" i="99"/>
  <c r="DN80" i="99"/>
  <c r="BZ38" i="99"/>
  <c r="L26" i="86"/>
  <c r="J26" i="58"/>
  <c r="R26" i="58" s="1"/>
  <c r="S26" i="58" s="1"/>
  <c r="J26" i="29"/>
  <c r="R26" i="29" s="1"/>
  <c r="BZ39" i="99"/>
  <c r="CA39" i="99" s="1"/>
  <c r="L27" i="86"/>
  <c r="J27" i="58"/>
  <c r="R27" i="58" s="1"/>
  <c r="S27" i="58" s="1"/>
  <c r="J27" i="29"/>
  <c r="R27" i="29" s="1"/>
  <c r="BU110" i="99"/>
  <c r="K98" i="86"/>
  <c r="I98" i="58"/>
  <c r="Q98" i="58" s="1"/>
  <c r="I98" i="29"/>
  <c r="Q98" i="29" s="1"/>
  <c r="BZ47" i="99"/>
  <c r="L35" i="86"/>
  <c r="J35" i="29"/>
  <c r="R35" i="29" s="1"/>
  <c r="J35" i="58"/>
  <c r="R35" i="58" s="1"/>
  <c r="S35" i="58" s="1"/>
  <c r="BU115" i="99"/>
  <c r="I103" i="29"/>
  <c r="Q103" i="29" s="1"/>
  <c r="K103" i="86"/>
  <c r="I103" i="58"/>
  <c r="Q103" i="58" s="1"/>
  <c r="G88" i="41"/>
  <c r="P88" i="41" s="1"/>
  <c r="BZ48" i="99"/>
  <c r="L36" i="86"/>
  <c r="J36" i="29"/>
  <c r="R36" i="29" s="1"/>
  <c r="J36" i="58"/>
  <c r="R36" i="58" s="1"/>
  <c r="S36" i="58" s="1"/>
  <c r="BZ49" i="99"/>
  <c r="L37" i="86"/>
  <c r="J37" i="58"/>
  <c r="R37" i="58" s="1"/>
  <c r="S37" i="58" s="1"/>
  <c r="J37" i="29"/>
  <c r="R37" i="29" s="1"/>
  <c r="G112" i="41"/>
  <c r="P112" i="41" s="1"/>
  <c r="BU111" i="99"/>
  <c r="I99" i="29"/>
  <c r="Q99" i="29" s="1"/>
  <c r="K99" i="86"/>
  <c r="I99" i="58"/>
  <c r="Q99" i="58" s="1"/>
  <c r="CF114" i="99"/>
  <c r="BY38" i="99"/>
  <c r="CA26" i="99"/>
  <c r="CF103" i="99"/>
  <c r="BY45" i="99"/>
  <c r="CA33" i="99"/>
  <c r="BY55" i="99"/>
  <c r="BY47" i="99"/>
  <c r="CA35" i="99"/>
  <c r="BY56" i="99"/>
  <c r="BY42" i="99"/>
  <c r="CA30" i="99"/>
  <c r="BY60" i="99"/>
  <c r="CA34" i="99"/>
  <c r="BY46" i="99"/>
  <c r="CF91" i="99"/>
  <c r="BY41" i="99"/>
  <c r="CA29" i="99"/>
  <c r="CF81" i="99"/>
  <c r="BY40" i="99"/>
  <c r="CA28" i="99"/>
  <c r="BY61" i="99"/>
  <c r="BY51" i="99"/>
  <c r="BK172" i="39"/>
  <c r="BL172" i="39"/>
  <c r="BJ173" i="39"/>
  <c r="W20" i="103" l="1"/>
  <c r="X19" i="103"/>
  <c r="I5" i="26"/>
  <c r="I43" i="47"/>
  <c r="Q43" i="47" s="1"/>
  <c r="S43" i="47" s="1"/>
  <c r="K43" i="85"/>
  <c r="I43" i="28"/>
  <c r="P43" i="28" s="1"/>
  <c r="J43" i="27"/>
  <c r="T43" i="27" s="1"/>
  <c r="J43" i="84"/>
  <c r="J43" i="41"/>
  <c r="S43" i="41" s="1"/>
  <c r="K110" i="86"/>
  <c r="K122" i="86" s="1"/>
  <c r="I110" i="58"/>
  <c r="Q110" i="58" s="1"/>
  <c r="I110" i="29"/>
  <c r="BZ50" i="99"/>
  <c r="J38" i="58"/>
  <c r="R38" i="58" s="1"/>
  <c r="S38" i="58" s="1"/>
  <c r="J38" i="29"/>
  <c r="R38" i="29" s="1"/>
  <c r="L38" i="86"/>
  <c r="CL102" i="99"/>
  <c r="CH102" i="99"/>
  <c r="CK102" i="99"/>
  <c r="CP102" i="99"/>
  <c r="CM102" i="99"/>
  <c r="CO102" i="99"/>
  <c r="CU102" i="99"/>
  <c r="CR102" i="99"/>
  <c r="CI102" i="99"/>
  <c r="CQ102" i="99"/>
  <c r="CN102" i="99"/>
  <c r="CT102" i="99"/>
  <c r="CS102" i="99"/>
  <c r="CD103" i="99"/>
  <c r="CJ102" i="99"/>
  <c r="G113" i="41"/>
  <c r="P113" i="41" s="1"/>
  <c r="K121" i="86"/>
  <c r="K133" i="86" s="1"/>
  <c r="I121" i="29"/>
  <c r="I121" i="58"/>
  <c r="Q121" i="58" s="1"/>
  <c r="I116" i="29"/>
  <c r="K116" i="86"/>
  <c r="K128" i="86" s="1"/>
  <c r="I116" i="58"/>
  <c r="Q116" i="58" s="1"/>
  <c r="I114" i="29"/>
  <c r="K114" i="86"/>
  <c r="K126" i="86" s="1"/>
  <c r="I114" i="58"/>
  <c r="Q114" i="58" s="1"/>
  <c r="BZ57" i="99"/>
  <c r="L45" i="86"/>
  <c r="J45" i="58"/>
  <c r="R45" i="58" s="1"/>
  <c r="S45" i="58" s="1"/>
  <c r="J45" i="29"/>
  <c r="R45" i="29" s="1"/>
  <c r="BZ52" i="99"/>
  <c r="L40" i="86"/>
  <c r="J40" i="29"/>
  <c r="R40" i="29" s="1"/>
  <c r="J40" i="58"/>
  <c r="R40" i="58" s="1"/>
  <c r="S40" i="58" s="1"/>
  <c r="BZ56" i="99"/>
  <c r="CA56" i="99" s="1"/>
  <c r="L44" i="86"/>
  <c r="J44" i="29"/>
  <c r="R44" i="29" s="1"/>
  <c r="J44" i="58"/>
  <c r="R44" i="58" s="1"/>
  <c r="S44" i="58" s="1"/>
  <c r="BZ54" i="99"/>
  <c r="L42" i="86"/>
  <c r="J42" i="58"/>
  <c r="R42" i="58" s="1"/>
  <c r="S42" i="58" s="1"/>
  <c r="J42" i="29"/>
  <c r="R42" i="29" s="1"/>
  <c r="I112" i="29"/>
  <c r="I112" i="58"/>
  <c r="Q112" i="58" s="1"/>
  <c r="K112" i="86"/>
  <c r="K124" i="86" s="1"/>
  <c r="I118" i="29"/>
  <c r="K118" i="86"/>
  <c r="K130" i="86" s="1"/>
  <c r="I118" i="58"/>
  <c r="Q118" i="58" s="1"/>
  <c r="K113" i="86"/>
  <c r="K125" i="86" s="1"/>
  <c r="I113" i="29"/>
  <c r="I113" i="58"/>
  <c r="Q113" i="58" s="1"/>
  <c r="DF81" i="99"/>
  <c r="DL81" i="99"/>
  <c r="DH81" i="99"/>
  <c r="DN81" i="99"/>
  <c r="DB81" i="99"/>
  <c r="DI81" i="99"/>
  <c r="DM81" i="99"/>
  <c r="DJ81" i="99"/>
  <c r="DD81" i="99"/>
  <c r="DE81" i="99"/>
  <c r="DC81" i="99"/>
  <c r="DO81" i="99"/>
  <c r="DG81" i="99"/>
  <c r="DK81" i="99"/>
  <c r="K30" i="85"/>
  <c r="I30" i="28"/>
  <c r="P30" i="28" s="1"/>
  <c r="I30" i="47"/>
  <c r="Q30" i="47" s="1"/>
  <c r="S30" i="47" s="1"/>
  <c r="J30" i="27"/>
  <c r="T30" i="27" s="1"/>
  <c r="J30" i="84"/>
  <c r="J30" i="41"/>
  <c r="S30" i="41" s="1"/>
  <c r="I33" i="28"/>
  <c r="P33" i="28" s="1"/>
  <c r="K33" i="85"/>
  <c r="I33" i="47"/>
  <c r="Q33" i="47" s="1"/>
  <c r="S33" i="47" s="1"/>
  <c r="J33" i="84"/>
  <c r="J33" i="27"/>
  <c r="T33" i="27" s="1"/>
  <c r="J33" i="41"/>
  <c r="S33" i="41" s="1"/>
  <c r="BZ60" i="99"/>
  <c r="L48" i="86"/>
  <c r="J48" i="29"/>
  <c r="R48" i="29" s="1"/>
  <c r="J48" i="58"/>
  <c r="R48" i="58" s="1"/>
  <c r="S48" i="58" s="1"/>
  <c r="I29" i="28"/>
  <c r="P29" i="28" s="1"/>
  <c r="I29" i="47"/>
  <c r="Q29" i="47" s="1"/>
  <c r="S29" i="47" s="1"/>
  <c r="K29" i="85"/>
  <c r="J29" i="27"/>
  <c r="T29" i="27" s="1"/>
  <c r="J29" i="84"/>
  <c r="J29" i="41"/>
  <c r="S29" i="41" s="1"/>
  <c r="Q80" i="41"/>
  <c r="I119" i="29"/>
  <c r="K119" i="86"/>
  <c r="K131" i="86" s="1"/>
  <c r="I119" i="58"/>
  <c r="Q119" i="58" s="1"/>
  <c r="BJ6" i="99"/>
  <c r="K5" i="84"/>
  <c r="K5" i="41"/>
  <c r="T5" i="41" s="1"/>
  <c r="K5" i="27"/>
  <c r="U5" i="27" s="1"/>
  <c r="G90" i="41"/>
  <c r="P90" i="41" s="1"/>
  <c r="I39" i="47"/>
  <c r="Q39" i="47" s="1"/>
  <c r="S39" i="47" s="1"/>
  <c r="K39" i="85"/>
  <c r="I39" i="28"/>
  <c r="P39" i="28" s="1"/>
  <c r="J39" i="27"/>
  <c r="T39" i="27" s="1"/>
  <c r="J39" i="84"/>
  <c r="J39" i="41"/>
  <c r="S39" i="41" s="1"/>
  <c r="DD91" i="99"/>
  <c r="DJ91" i="99"/>
  <c r="DO91" i="99"/>
  <c r="DB91" i="99"/>
  <c r="DH91" i="99"/>
  <c r="DC91" i="99"/>
  <c r="DK91" i="99"/>
  <c r="DG91" i="99"/>
  <c r="DL91" i="99"/>
  <c r="DN91" i="99"/>
  <c r="DF91" i="99"/>
  <c r="DI91" i="99"/>
  <c r="DM91" i="99"/>
  <c r="DE91" i="99"/>
  <c r="K26" i="85"/>
  <c r="I26" i="28"/>
  <c r="P26" i="28" s="1"/>
  <c r="I26" i="47"/>
  <c r="Q26" i="47" s="1"/>
  <c r="S26" i="47" s="1"/>
  <c r="J26" i="84"/>
  <c r="J26" i="27"/>
  <c r="T26" i="27" s="1"/>
  <c r="J26" i="41"/>
  <c r="S26" i="41" s="1"/>
  <c r="I115" i="29"/>
  <c r="K115" i="86"/>
  <c r="K127" i="86" s="1"/>
  <c r="I115" i="58"/>
  <c r="Q115" i="58" s="1"/>
  <c r="BZ59" i="99"/>
  <c r="L47" i="86"/>
  <c r="J47" i="29"/>
  <c r="R47" i="29" s="1"/>
  <c r="J47" i="58"/>
  <c r="R47" i="58" s="1"/>
  <c r="S47" i="58" s="1"/>
  <c r="BZ51" i="99"/>
  <c r="J39" i="58"/>
  <c r="R39" i="58" s="1"/>
  <c r="S39" i="58" s="1"/>
  <c r="J39" i="29"/>
  <c r="R39" i="29" s="1"/>
  <c r="L39" i="86"/>
  <c r="BZ53" i="99"/>
  <c r="L41" i="86"/>
  <c r="J41" i="58"/>
  <c r="R41" i="58" s="1"/>
  <c r="S41" i="58" s="1"/>
  <c r="J41" i="29"/>
  <c r="R41" i="29" s="1"/>
  <c r="BZ58" i="99"/>
  <c r="J46" i="58"/>
  <c r="R46" i="58" s="1"/>
  <c r="S46" i="58" s="1"/>
  <c r="J46" i="29"/>
  <c r="R46" i="29" s="1"/>
  <c r="L46" i="86"/>
  <c r="BZ55" i="99"/>
  <c r="CA55" i="99" s="1"/>
  <c r="L43" i="86"/>
  <c r="J43" i="58"/>
  <c r="R43" i="58" s="1"/>
  <c r="S43" i="58" s="1"/>
  <c r="J43" i="29"/>
  <c r="R43" i="29" s="1"/>
  <c r="G101" i="41"/>
  <c r="P101" i="41" s="1"/>
  <c r="K120" i="86"/>
  <c r="K132" i="86" s="1"/>
  <c r="I120" i="29"/>
  <c r="I120" i="58"/>
  <c r="Q120" i="58" s="1"/>
  <c r="K117" i="86"/>
  <c r="K129" i="86" s="1"/>
  <c r="I117" i="29"/>
  <c r="I117" i="58"/>
  <c r="Q117" i="58" s="1"/>
  <c r="I35" i="47"/>
  <c r="Q35" i="47" s="1"/>
  <c r="S35" i="47" s="1"/>
  <c r="K35" i="85"/>
  <c r="I35" i="28"/>
  <c r="P35" i="28" s="1"/>
  <c r="J35" i="27"/>
  <c r="T35" i="27" s="1"/>
  <c r="J35" i="84"/>
  <c r="J35" i="41"/>
  <c r="S35" i="41" s="1"/>
  <c r="BZ61" i="99"/>
  <c r="L49" i="86"/>
  <c r="J49" i="29"/>
  <c r="R49" i="29" s="1"/>
  <c r="J49" i="58"/>
  <c r="R49" i="58" s="1"/>
  <c r="S49" i="58" s="1"/>
  <c r="Q90" i="41"/>
  <c r="G102" i="41"/>
  <c r="P102" i="41" s="1"/>
  <c r="CA49" i="99"/>
  <c r="K34" i="85"/>
  <c r="I34" i="28"/>
  <c r="P34" i="28" s="1"/>
  <c r="I34" i="47"/>
  <c r="Q34" i="47" s="1"/>
  <c r="S34" i="47" s="1"/>
  <c r="J34" i="84"/>
  <c r="J34" i="27"/>
  <c r="T34" i="27" s="1"/>
  <c r="J34" i="41"/>
  <c r="S34" i="41" s="1"/>
  <c r="DF114" i="99"/>
  <c r="DK114" i="99"/>
  <c r="DB114" i="99"/>
  <c r="DG114" i="99"/>
  <c r="DM114" i="99"/>
  <c r="DI114" i="99"/>
  <c r="DN114" i="99"/>
  <c r="DE114" i="99"/>
  <c r="DJ114" i="99"/>
  <c r="DC114" i="99"/>
  <c r="DO114" i="99"/>
  <c r="DD114" i="99"/>
  <c r="DH114" i="99"/>
  <c r="DL114" i="99"/>
  <c r="I28" i="47"/>
  <c r="Q28" i="47" s="1"/>
  <c r="S28" i="47" s="1"/>
  <c r="K28" i="85"/>
  <c r="I28" i="28"/>
  <c r="P28" i="28" s="1"/>
  <c r="J28" i="84"/>
  <c r="J28" i="27"/>
  <c r="T28" i="27" s="1"/>
  <c r="J28" i="41"/>
  <c r="S28" i="41" s="1"/>
  <c r="CA48" i="99"/>
  <c r="CA44" i="99"/>
  <c r="DB103" i="99"/>
  <c r="DG103" i="99"/>
  <c r="DL103" i="99"/>
  <c r="DC103" i="99"/>
  <c r="DJ103" i="99"/>
  <c r="DD103" i="99"/>
  <c r="DK103" i="99"/>
  <c r="DF103" i="99"/>
  <c r="DN103" i="99"/>
  <c r="DO103" i="99"/>
  <c r="DH103" i="99"/>
  <c r="DE103" i="99"/>
  <c r="DM103" i="99"/>
  <c r="DI103" i="99"/>
  <c r="I111" i="29"/>
  <c r="K111" i="86"/>
  <c r="K123" i="86" s="1"/>
  <c r="I111" i="58"/>
  <c r="Q111" i="58" s="1"/>
  <c r="G80" i="41"/>
  <c r="P80" i="41" s="1"/>
  <c r="Q113" i="41"/>
  <c r="Q101" i="41"/>
  <c r="Q102" i="41"/>
  <c r="BY57" i="99"/>
  <c r="CA45" i="99"/>
  <c r="CA41" i="99"/>
  <c r="BY53" i="99"/>
  <c r="BY50" i="99"/>
  <c r="CA38" i="99"/>
  <c r="BY52" i="99"/>
  <c r="CA40" i="99"/>
  <c r="BY58" i="99"/>
  <c r="CA46" i="99"/>
  <c r="CA47" i="99"/>
  <c r="BY59" i="99"/>
  <c r="CF115" i="99"/>
  <c r="BY73" i="99"/>
  <c r="CA61" i="99"/>
  <c r="BY54" i="99"/>
  <c r="CA42" i="99"/>
  <c r="BY67" i="99"/>
  <c r="CF104" i="99"/>
  <c r="CA51" i="99"/>
  <c r="BY63" i="99"/>
  <c r="CF82" i="99"/>
  <c r="CF92" i="99"/>
  <c r="BY72" i="99"/>
  <c r="CA60" i="99"/>
  <c r="BY68" i="99"/>
  <c r="BK173" i="39"/>
  <c r="BL173" i="39"/>
  <c r="BJ174" i="39"/>
  <c r="X20" i="103" l="1"/>
  <c r="I6" i="26"/>
  <c r="I55" i="47"/>
  <c r="Q55" i="47" s="1"/>
  <c r="S55" i="47" s="1"/>
  <c r="K55" i="85"/>
  <c r="I55" i="28"/>
  <c r="P55" i="28" s="1"/>
  <c r="J55" i="84"/>
  <c r="J55" i="27"/>
  <c r="T55" i="27" s="1"/>
  <c r="J55" i="41"/>
  <c r="S55" i="41" s="1"/>
  <c r="I47" i="47"/>
  <c r="Q47" i="47" s="1"/>
  <c r="S47" i="47" s="1"/>
  <c r="K47" i="85"/>
  <c r="I47" i="28"/>
  <c r="P47" i="28" s="1"/>
  <c r="J47" i="27"/>
  <c r="T47" i="27" s="1"/>
  <c r="J47" i="84"/>
  <c r="J47" i="41"/>
  <c r="S47" i="41" s="1"/>
  <c r="I45" i="28"/>
  <c r="P45" i="28" s="1"/>
  <c r="I45" i="47"/>
  <c r="Q45" i="47" s="1"/>
  <c r="S45" i="47" s="1"/>
  <c r="K45" i="85"/>
  <c r="J45" i="27"/>
  <c r="T45" i="27" s="1"/>
  <c r="J45" i="84"/>
  <c r="J45" i="41"/>
  <c r="S45" i="41" s="1"/>
  <c r="Q119" i="29"/>
  <c r="I131" i="29"/>
  <c r="K136" i="86"/>
  <c r="BZ62" i="99"/>
  <c r="L50" i="86"/>
  <c r="J50" i="29"/>
  <c r="R50" i="29" s="1"/>
  <c r="J50" i="58"/>
  <c r="R50" i="58" s="1"/>
  <c r="S50" i="58" s="1"/>
  <c r="I60" i="47"/>
  <c r="Q60" i="47" s="1"/>
  <c r="S60" i="47" s="1"/>
  <c r="K60" i="85"/>
  <c r="I60" i="28"/>
  <c r="P60" i="28" s="1"/>
  <c r="J60" i="84"/>
  <c r="J60" i="41"/>
  <c r="S60" i="41" s="1"/>
  <c r="J60" i="27"/>
  <c r="T60" i="27" s="1"/>
  <c r="K135" i="86"/>
  <c r="I44" i="47"/>
  <c r="Q44" i="47" s="1"/>
  <c r="S44" i="47" s="1"/>
  <c r="K44" i="85"/>
  <c r="I44" i="28"/>
  <c r="P44" i="28" s="1"/>
  <c r="J44" i="84"/>
  <c r="J44" i="41"/>
  <c r="S44" i="41" s="1"/>
  <c r="J44" i="27"/>
  <c r="T44" i="27" s="1"/>
  <c r="I49" i="28"/>
  <c r="P49" i="28" s="1"/>
  <c r="K49" i="85"/>
  <c r="I49" i="47"/>
  <c r="Q49" i="47" s="1"/>
  <c r="S49" i="47" s="1"/>
  <c r="J49" i="84"/>
  <c r="J49" i="27"/>
  <c r="T49" i="27" s="1"/>
  <c r="J49" i="41"/>
  <c r="S49" i="41" s="1"/>
  <c r="BZ73" i="99"/>
  <c r="L61" i="86"/>
  <c r="J61" i="29"/>
  <c r="R61" i="29" s="1"/>
  <c r="J61" i="58"/>
  <c r="R61" i="58" s="1"/>
  <c r="S61" i="58" s="1"/>
  <c r="I129" i="29"/>
  <c r="Q117" i="29"/>
  <c r="I126" i="29"/>
  <c r="Q114" i="29"/>
  <c r="I51" i="47"/>
  <c r="Q51" i="47" s="1"/>
  <c r="S51" i="47" s="1"/>
  <c r="K51" i="85"/>
  <c r="I51" i="28"/>
  <c r="P51" i="28" s="1"/>
  <c r="J51" i="27"/>
  <c r="T51" i="27" s="1"/>
  <c r="J51" i="84"/>
  <c r="J51" i="41"/>
  <c r="S51" i="41" s="1"/>
  <c r="K42" i="85"/>
  <c r="I42" i="28"/>
  <c r="P42" i="28" s="1"/>
  <c r="I42" i="47"/>
  <c r="Q42" i="47" s="1"/>
  <c r="S42" i="47" s="1"/>
  <c r="J42" i="84"/>
  <c r="J42" i="27"/>
  <c r="T42" i="27" s="1"/>
  <c r="J42" i="41"/>
  <c r="S42" i="41" s="1"/>
  <c r="CF116" i="99"/>
  <c r="DB115" i="99"/>
  <c r="DG115" i="99"/>
  <c r="DL115" i="99"/>
  <c r="DC115" i="99"/>
  <c r="DH115" i="99"/>
  <c r="DN115" i="99"/>
  <c r="DD115" i="99"/>
  <c r="DO115" i="99"/>
  <c r="DK115" i="99"/>
  <c r="DF115" i="99"/>
  <c r="DJ115" i="99"/>
  <c r="DI115" i="99"/>
  <c r="DM115" i="99"/>
  <c r="DE115" i="99"/>
  <c r="I123" i="29"/>
  <c r="Q111" i="29"/>
  <c r="I48" i="47"/>
  <c r="Q48" i="47" s="1"/>
  <c r="S48" i="47" s="1"/>
  <c r="I48" i="28"/>
  <c r="P48" i="28" s="1"/>
  <c r="K48" i="85"/>
  <c r="J48" i="84"/>
  <c r="J48" i="27"/>
  <c r="T48" i="27" s="1"/>
  <c r="J48" i="41"/>
  <c r="S48" i="41" s="1"/>
  <c r="K141" i="86"/>
  <c r="BZ63" i="99"/>
  <c r="CA63" i="99" s="1"/>
  <c r="L51" i="86"/>
  <c r="J51" i="29"/>
  <c r="R51" i="29" s="1"/>
  <c r="J51" i="58"/>
  <c r="R51" i="58" s="1"/>
  <c r="S51" i="58" s="1"/>
  <c r="BZ71" i="99"/>
  <c r="L59" i="86"/>
  <c r="J59" i="29"/>
  <c r="R59" i="29" s="1"/>
  <c r="J59" i="58"/>
  <c r="R59" i="58" s="1"/>
  <c r="S59" i="58" s="1"/>
  <c r="G91" i="41"/>
  <c r="P91" i="41" s="1"/>
  <c r="K142" i="86"/>
  <c r="I124" i="29"/>
  <c r="Q112" i="29"/>
  <c r="BZ66" i="99"/>
  <c r="J54" i="29"/>
  <c r="R54" i="29" s="1"/>
  <c r="J54" i="58"/>
  <c r="R54" i="58" s="1"/>
  <c r="S54" i="58" s="1"/>
  <c r="L54" i="86"/>
  <c r="BZ68" i="99"/>
  <c r="L56" i="86"/>
  <c r="J56" i="29"/>
  <c r="R56" i="29" s="1"/>
  <c r="J56" i="58"/>
  <c r="R56" i="58" s="1"/>
  <c r="S56" i="58" s="1"/>
  <c r="BZ64" i="99"/>
  <c r="L52" i="86"/>
  <c r="J52" i="29"/>
  <c r="R52" i="29" s="1"/>
  <c r="J52" i="58"/>
  <c r="R52" i="58" s="1"/>
  <c r="S52" i="58" s="1"/>
  <c r="BZ69" i="99"/>
  <c r="L57" i="86"/>
  <c r="J57" i="29"/>
  <c r="R57" i="29" s="1"/>
  <c r="J57" i="58"/>
  <c r="R57" i="58" s="1"/>
  <c r="S57" i="58" s="1"/>
  <c r="Q121" i="29"/>
  <c r="I133" i="29"/>
  <c r="DC82" i="99"/>
  <c r="DI82" i="99"/>
  <c r="DN82" i="99"/>
  <c r="DG82" i="99"/>
  <c r="DO82" i="99"/>
  <c r="DB82" i="99"/>
  <c r="DJ82" i="99"/>
  <c r="DM82" i="99"/>
  <c r="DF82" i="99"/>
  <c r="DK82" i="99"/>
  <c r="DE82" i="99"/>
  <c r="DL82" i="99"/>
  <c r="DH82" i="99"/>
  <c r="DD82" i="99"/>
  <c r="I61" i="28"/>
  <c r="P61" i="28" s="1"/>
  <c r="I61" i="47"/>
  <c r="Q61" i="47" s="1"/>
  <c r="S61" i="47" s="1"/>
  <c r="K61" i="85"/>
  <c r="J61" i="84"/>
  <c r="J61" i="27"/>
  <c r="T61" i="27" s="1"/>
  <c r="J61" i="41"/>
  <c r="S61" i="41" s="1"/>
  <c r="K38" i="85"/>
  <c r="I38" i="28"/>
  <c r="P38" i="28" s="1"/>
  <c r="I38" i="47"/>
  <c r="Q38" i="47" s="1"/>
  <c r="S38" i="47" s="1"/>
  <c r="I7" i="26" s="1"/>
  <c r="J38" i="27"/>
  <c r="T38" i="27" s="1"/>
  <c r="J38" i="84"/>
  <c r="J38" i="41"/>
  <c r="S38" i="41" s="1"/>
  <c r="I132" i="29"/>
  <c r="Q120" i="29"/>
  <c r="K139" i="86"/>
  <c r="Q81" i="41"/>
  <c r="K137" i="86"/>
  <c r="K138" i="86"/>
  <c r="I128" i="29"/>
  <c r="Q116" i="29"/>
  <c r="K46" i="85"/>
  <c r="I46" i="28"/>
  <c r="P46" i="28" s="1"/>
  <c r="I46" i="47"/>
  <c r="Q46" i="47" s="1"/>
  <c r="S46" i="47" s="1"/>
  <c r="J46" i="27"/>
  <c r="T46" i="27" s="1"/>
  <c r="J46" i="84"/>
  <c r="J46" i="41"/>
  <c r="S46" i="41" s="1"/>
  <c r="Q114" i="41"/>
  <c r="K144" i="86"/>
  <c r="I127" i="29"/>
  <c r="Q115" i="29"/>
  <c r="BJ7" i="99"/>
  <c r="K6" i="27"/>
  <c r="U6" i="27" s="1"/>
  <c r="K6" i="84"/>
  <c r="K6" i="41"/>
  <c r="T6" i="41" s="1"/>
  <c r="G81" i="41"/>
  <c r="P81" i="41" s="1"/>
  <c r="I122" i="29"/>
  <c r="Q110" i="29"/>
  <c r="I56" i="47"/>
  <c r="Q56" i="47" s="1"/>
  <c r="S56" i="47" s="1"/>
  <c r="I56" i="28"/>
  <c r="P56" i="28" s="1"/>
  <c r="K56" i="85"/>
  <c r="J56" i="84"/>
  <c r="J56" i="41"/>
  <c r="S56" i="41" s="1"/>
  <c r="J56" i="27"/>
  <c r="T56" i="27" s="1"/>
  <c r="DG92" i="99"/>
  <c r="DL92" i="99"/>
  <c r="DC92" i="99"/>
  <c r="DI92" i="99"/>
  <c r="DD92" i="99"/>
  <c r="DK92" i="99"/>
  <c r="DH92" i="99"/>
  <c r="DO92" i="99"/>
  <c r="DE92" i="99"/>
  <c r="DM92" i="99"/>
  <c r="DJ92" i="99"/>
  <c r="DB92" i="99"/>
  <c r="DN92" i="99"/>
  <c r="DF92" i="99"/>
  <c r="DD104" i="99"/>
  <c r="DI104" i="99"/>
  <c r="DO104" i="99"/>
  <c r="DC104" i="99"/>
  <c r="DK104" i="99"/>
  <c r="DE104" i="99"/>
  <c r="DL104" i="99"/>
  <c r="DG104" i="99"/>
  <c r="DH104" i="99"/>
  <c r="DM104" i="99"/>
  <c r="DN104" i="99"/>
  <c r="DF104" i="99"/>
  <c r="DB104" i="99"/>
  <c r="DJ104" i="99"/>
  <c r="I40" i="47"/>
  <c r="Q40" i="47" s="1"/>
  <c r="S40" i="47" s="1"/>
  <c r="I40" i="28"/>
  <c r="P40" i="28" s="1"/>
  <c r="K40" i="85"/>
  <c r="J40" i="84"/>
  <c r="J40" i="27"/>
  <c r="T40" i="27" s="1"/>
  <c r="J40" i="41"/>
  <c r="S40" i="41" s="1"/>
  <c r="I41" i="28"/>
  <c r="P41" i="28" s="1"/>
  <c r="K41" i="85"/>
  <c r="I41" i="47"/>
  <c r="Q41" i="47" s="1"/>
  <c r="S41" i="47" s="1"/>
  <c r="J41" i="84"/>
  <c r="J41" i="27"/>
  <c r="T41" i="27" s="1"/>
  <c r="J41" i="41"/>
  <c r="S41" i="41" s="1"/>
  <c r="Q103" i="41"/>
  <c r="G103" i="41"/>
  <c r="P103" i="41" s="1"/>
  <c r="G114" i="41"/>
  <c r="P114" i="41" s="1"/>
  <c r="BZ67" i="99"/>
  <c r="J55" i="29"/>
  <c r="R55" i="29" s="1"/>
  <c r="L55" i="86"/>
  <c r="J55" i="58"/>
  <c r="R55" i="58" s="1"/>
  <c r="S55" i="58" s="1"/>
  <c r="BZ70" i="99"/>
  <c r="L58" i="86"/>
  <c r="J58" i="29"/>
  <c r="R58" i="29" s="1"/>
  <c r="J58" i="58"/>
  <c r="R58" i="58" s="1"/>
  <c r="S58" i="58" s="1"/>
  <c r="BZ65" i="99"/>
  <c r="L53" i="86"/>
  <c r="J53" i="29"/>
  <c r="R53" i="29" s="1"/>
  <c r="J53" i="58"/>
  <c r="R53" i="58" s="1"/>
  <c r="S53" i="58" s="1"/>
  <c r="Q91" i="41"/>
  <c r="K143" i="86"/>
  <c r="BZ72" i="99"/>
  <c r="L60" i="86"/>
  <c r="J60" i="29"/>
  <c r="R60" i="29" s="1"/>
  <c r="J60" i="58"/>
  <c r="R60" i="58" s="1"/>
  <c r="S60" i="58" s="1"/>
  <c r="Q113" i="29"/>
  <c r="I125" i="29"/>
  <c r="Q118" i="29"/>
  <c r="I130" i="29"/>
  <c r="K140" i="86"/>
  <c r="K145" i="86"/>
  <c r="CN103" i="99"/>
  <c r="CU103" i="99"/>
  <c r="CQ103" i="99"/>
  <c r="CS103" i="99"/>
  <c r="CK103" i="99"/>
  <c r="CO103" i="99"/>
  <c r="CP103" i="99"/>
  <c r="CH103" i="99"/>
  <c r="CD104" i="99"/>
  <c r="CI103" i="99"/>
  <c r="CR103" i="99"/>
  <c r="CJ103" i="99"/>
  <c r="CT103" i="99"/>
  <c r="CL103" i="99"/>
  <c r="CM103" i="99"/>
  <c r="K134" i="86"/>
  <c r="BY80" i="99"/>
  <c r="BY92" i="99" s="1"/>
  <c r="BY104" i="99" s="1"/>
  <c r="BY116" i="99" s="1"/>
  <c r="CA68" i="99"/>
  <c r="BY75" i="99"/>
  <c r="BY87" i="99" s="1"/>
  <c r="BY99" i="99" s="1"/>
  <c r="BY111" i="99" s="1"/>
  <c r="CF105" i="99"/>
  <c r="BY65" i="99"/>
  <c r="CA53" i="99"/>
  <c r="CF93" i="99"/>
  <c r="BY84" i="99"/>
  <c r="BY96" i="99" s="1"/>
  <c r="BY108" i="99" s="1"/>
  <c r="BY120" i="99" s="1"/>
  <c r="CA72" i="99"/>
  <c r="CA67" i="99"/>
  <c r="BY79" i="99"/>
  <c r="BY91" i="99" s="1"/>
  <c r="BY103" i="99" s="1"/>
  <c r="BY115" i="99" s="1"/>
  <c r="BY85" i="99"/>
  <c r="BY97" i="99" s="1"/>
  <c r="BY109" i="99" s="1"/>
  <c r="BY121" i="99" s="1"/>
  <c r="CA73" i="99"/>
  <c r="BY71" i="99"/>
  <c r="CA59" i="99"/>
  <c r="BY66" i="99"/>
  <c r="CA54" i="99"/>
  <c r="CF83" i="99"/>
  <c r="BY70" i="99"/>
  <c r="CA58" i="99"/>
  <c r="BY64" i="99"/>
  <c r="CA52" i="99"/>
  <c r="BY62" i="99"/>
  <c r="CA50" i="99"/>
  <c r="BY69" i="99"/>
  <c r="CA57" i="99"/>
  <c r="BK174" i="39"/>
  <c r="BL174" i="39"/>
  <c r="BJ175" i="39"/>
  <c r="DD83" i="99" l="1"/>
  <c r="DJ83" i="99"/>
  <c r="DO83" i="99"/>
  <c r="DG83" i="99"/>
  <c r="DN83" i="99"/>
  <c r="DB83" i="99"/>
  <c r="DH83" i="99"/>
  <c r="DL83" i="99"/>
  <c r="DF83" i="99"/>
  <c r="DC83" i="99"/>
  <c r="DK83" i="99"/>
  <c r="DI83" i="99"/>
  <c r="DM83" i="99"/>
  <c r="DE83" i="99"/>
  <c r="CA85" i="99"/>
  <c r="I73" i="28"/>
  <c r="P73" i="28" s="1"/>
  <c r="K73" i="85"/>
  <c r="I73" i="47"/>
  <c r="Q73" i="47" s="1"/>
  <c r="S73" i="47" s="1"/>
  <c r="J73" i="84"/>
  <c r="J73" i="27"/>
  <c r="T73" i="27" s="1"/>
  <c r="J73" i="41"/>
  <c r="S73" i="41" s="1"/>
  <c r="G92" i="41"/>
  <c r="I134" i="29"/>
  <c r="Q134" i="29" s="1"/>
  <c r="Q122" i="29"/>
  <c r="I145" i="29"/>
  <c r="Q145" i="29" s="1"/>
  <c r="Q133" i="29"/>
  <c r="Q126" i="29"/>
  <c r="I138" i="29"/>
  <c r="Q138" i="29" s="1"/>
  <c r="K54" i="85"/>
  <c r="I54" i="28"/>
  <c r="P54" i="28" s="1"/>
  <c r="I54" i="47"/>
  <c r="Q54" i="47" s="1"/>
  <c r="S54" i="47" s="1"/>
  <c r="J54" i="84"/>
  <c r="J54" i="27"/>
  <c r="T54" i="27" s="1"/>
  <c r="J54" i="41"/>
  <c r="S54" i="41" s="1"/>
  <c r="DF105" i="99"/>
  <c r="DL105" i="99"/>
  <c r="DD105" i="99"/>
  <c r="DJ105" i="99"/>
  <c r="DE105" i="99"/>
  <c r="DM105" i="99"/>
  <c r="DH105" i="99"/>
  <c r="DN105" i="99"/>
  <c r="DI105" i="99"/>
  <c r="DB105" i="99"/>
  <c r="DO105" i="99"/>
  <c r="DK105" i="99"/>
  <c r="DG105" i="99"/>
  <c r="DC105" i="99"/>
  <c r="BZ77" i="99"/>
  <c r="L65" i="86"/>
  <c r="J65" i="29"/>
  <c r="R65" i="29" s="1"/>
  <c r="J65" i="58"/>
  <c r="R65" i="58" s="1"/>
  <c r="S65" i="58" s="1"/>
  <c r="BZ82" i="99"/>
  <c r="J70" i="29"/>
  <c r="R70" i="29" s="1"/>
  <c r="L70" i="86"/>
  <c r="J70" i="58"/>
  <c r="R70" i="58" s="1"/>
  <c r="S70" i="58" s="1"/>
  <c r="BZ79" i="99"/>
  <c r="L67" i="86"/>
  <c r="J67" i="58"/>
  <c r="R67" i="58" s="1"/>
  <c r="S67" i="58" s="1"/>
  <c r="J67" i="29"/>
  <c r="R67" i="29" s="1"/>
  <c r="Q104" i="41"/>
  <c r="Q92" i="41"/>
  <c r="I139" i="29"/>
  <c r="Q139" i="29" s="1"/>
  <c r="Q127" i="29"/>
  <c r="Q128" i="29"/>
  <c r="I140" i="29"/>
  <c r="Q140" i="29" s="1"/>
  <c r="G82" i="41"/>
  <c r="P82" i="41" s="1"/>
  <c r="Q82" i="41"/>
  <c r="I52" i="47"/>
  <c r="Q52" i="47" s="1"/>
  <c r="S52" i="47" s="1"/>
  <c r="I52" i="28"/>
  <c r="P52" i="28" s="1"/>
  <c r="K52" i="85"/>
  <c r="J52" i="84"/>
  <c r="J52" i="27"/>
  <c r="T52" i="27" s="1"/>
  <c r="J52" i="41"/>
  <c r="S52" i="41" s="1"/>
  <c r="CA84" i="99"/>
  <c r="I72" i="47"/>
  <c r="Q72" i="47" s="1"/>
  <c r="S72" i="47" s="1"/>
  <c r="I72" i="28"/>
  <c r="P72" i="28" s="1"/>
  <c r="K72" i="85"/>
  <c r="J72" i="84"/>
  <c r="J72" i="27"/>
  <c r="T72" i="27" s="1"/>
  <c r="J72" i="41"/>
  <c r="S72" i="41" s="1"/>
  <c r="CA80" i="99"/>
  <c r="I68" i="47"/>
  <c r="Q68" i="47" s="1"/>
  <c r="S68" i="47" s="1"/>
  <c r="K68" i="85"/>
  <c r="I68" i="28"/>
  <c r="P68" i="28" s="1"/>
  <c r="J68" i="84"/>
  <c r="J68" i="27"/>
  <c r="T68" i="27" s="1"/>
  <c r="J68" i="41"/>
  <c r="S68" i="41" s="1"/>
  <c r="Q130" i="29"/>
  <c r="I142" i="29"/>
  <c r="Q142" i="29" s="1"/>
  <c r="Q124" i="29"/>
  <c r="I136" i="29"/>
  <c r="Q136" i="29" s="1"/>
  <c r="K50" i="85"/>
  <c r="I50" i="28"/>
  <c r="P50" i="28" s="1"/>
  <c r="I50" i="47"/>
  <c r="Q50" i="47" s="1"/>
  <c r="S50" i="47" s="1"/>
  <c r="J50" i="84"/>
  <c r="J50" i="41"/>
  <c r="S50" i="41" s="1"/>
  <c r="J50" i="27"/>
  <c r="T50" i="27" s="1"/>
  <c r="K58" i="85"/>
  <c r="I58" i="28"/>
  <c r="P58" i="28" s="1"/>
  <c r="I58" i="47"/>
  <c r="Q58" i="47" s="1"/>
  <c r="S58" i="47" s="1"/>
  <c r="J58" i="84"/>
  <c r="J58" i="27"/>
  <c r="T58" i="27" s="1"/>
  <c r="J58" i="41"/>
  <c r="S58" i="41" s="1"/>
  <c r="I59" i="47"/>
  <c r="Q59" i="47" s="1"/>
  <c r="S59" i="47" s="1"/>
  <c r="K59" i="85"/>
  <c r="I59" i="28"/>
  <c r="P59" i="28" s="1"/>
  <c r="J59" i="84"/>
  <c r="J59" i="27"/>
  <c r="T59" i="27" s="1"/>
  <c r="J59" i="41"/>
  <c r="S59" i="41" s="1"/>
  <c r="DD93" i="99"/>
  <c r="DI93" i="99"/>
  <c r="DN93" i="99"/>
  <c r="DB93" i="99"/>
  <c r="DJ93" i="99"/>
  <c r="DE93" i="99"/>
  <c r="DL93" i="99"/>
  <c r="DH93" i="99"/>
  <c r="DM93" i="99"/>
  <c r="DF93" i="99"/>
  <c r="DG93" i="99"/>
  <c r="DC93" i="99"/>
  <c r="DO93" i="99"/>
  <c r="DK93" i="99"/>
  <c r="CA75" i="99"/>
  <c r="I63" i="47"/>
  <c r="Q63" i="47" s="1"/>
  <c r="S63" i="47" s="1"/>
  <c r="K63" i="85"/>
  <c r="I63" i="28"/>
  <c r="P63" i="28" s="1"/>
  <c r="J63" i="84"/>
  <c r="J63" i="27"/>
  <c r="T63" i="27" s="1"/>
  <c r="J63" i="41"/>
  <c r="S63" i="41" s="1"/>
  <c r="CK104" i="99"/>
  <c r="CD105" i="99"/>
  <c r="CL104" i="99"/>
  <c r="CP104" i="99"/>
  <c r="CQ104" i="99"/>
  <c r="CT104" i="99"/>
  <c r="CO104" i="99"/>
  <c r="CS104" i="99"/>
  <c r="CU104" i="99"/>
  <c r="CJ104" i="99"/>
  <c r="CM104" i="99"/>
  <c r="CH104" i="99"/>
  <c r="CN104" i="99"/>
  <c r="CI104" i="99"/>
  <c r="CR104" i="99"/>
  <c r="I137" i="29"/>
  <c r="Q137" i="29" s="1"/>
  <c r="Q125" i="29"/>
  <c r="G104" i="41"/>
  <c r="P104" i="41" s="1"/>
  <c r="BZ81" i="99"/>
  <c r="L69" i="86"/>
  <c r="J69" i="29"/>
  <c r="R69" i="29" s="1"/>
  <c r="J69" i="58"/>
  <c r="R69" i="58" s="1"/>
  <c r="S69" i="58" s="1"/>
  <c r="BZ76" i="99"/>
  <c r="L64" i="86"/>
  <c r="J64" i="29"/>
  <c r="R64" i="29" s="1"/>
  <c r="J64" i="58"/>
  <c r="R64" i="58" s="1"/>
  <c r="S64" i="58" s="1"/>
  <c r="BZ80" i="99"/>
  <c r="L68" i="86"/>
  <c r="J68" i="29"/>
  <c r="R68" i="29" s="1"/>
  <c r="J68" i="58"/>
  <c r="R68" i="58" s="1"/>
  <c r="S68" i="58" s="1"/>
  <c r="BZ78" i="99"/>
  <c r="L66" i="86"/>
  <c r="J66" i="29"/>
  <c r="R66" i="29" s="1"/>
  <c r="J66" i="58"/>
  <c r="R66" i="58" s="1"/>
  <c r="S66" i="58" s="1"/>
  <c r="BZ83" i="99"/>
  <c r="J71" i="29"/>
  <c r="R71" i="29" s="1"/>
  <c r="L71" i="86"/>
  <c r="J71" i="58"/>
  <c r="R71" i="58" s="1"/>
  <c r="S71" i="58" s="1"/>
  <c r="BZ75" i="99"/>
  <c r="L63" i="86"/>
  <c r="J63" i="29"/>
  <c r="R63" i="29" s="1"/>
  <c r="J63" i="58"/>
  <c r="R63" i="58" s="1"/>
  <c r="S63" i="58" s="1"/>
  <c r="Q123" i="29"/>
  <c r="I135" i="29"/>
  <c r="Q135" i="29" s="1"/>
  <c r="Q115" i="41"/>
  <c r="DE116" i="99"/>
  <c r="DI116" i="99"/>
  <c r="DM116" i="99"/>
  <c r="DB116" i="99"/>
  <c r="DF116" i="99"/>
  <c r="DJ116" i="99"/>
  <c r="DN116" i="99"/>
  <c r="CF117" i="99"/>
  <c r="DG116" i="99"/>
  <c r="DO116" i="99"/>
  <c r="DC116" i="99"/>
  <c r="DK116" i="99"/>
  <c r="DH116" i="99"/>
  <c r="DD116" i="99"/>
  <c r="DL116" i="99"/>
  <c r="I57" i="28"/>
  <c r="P57" i="28" s="1"/>
  <c r="K57" i="85"/>
  <c r="I57" i="47"/>
  <c r="Q57" i="47" s="1"/>
  <c r="S57" i="47" s="1"/>
  <c r="J57" i="41"/>
  <c r="S57" i="41" s="1"/>
  <c r="J57" i="27"/>
  <c r="T57" i="27" s="1"/>
  <c r="J57" i="84"/>
  <c r="CA79" i="99"/>
  <c r="I67" i="47"/>
  <c r="Q67" i="47" s="1"/>
  <c r="S67" i="47" s="1"/>
  <c r="K67" i="85"/>
  <c r="I67" i="28"/>
  <c r="P67" i="28" s="1"/>
  <c r="J67" i="84"/>
  <c r="J67" i="27"/>
  <c r="T67" i="27" s="1"/>
  <c r="J67" i="41"/>
  <c r="S67" i="41" s="1"/>
  <c r="I53" i="28"/>
  <c r="P53" i="28" s="1"/>
  <c r="I53" i="47"/>
  <c r="Q53" i="47" s="1"/>
  <c r="S53" i="47" s="1"/>
  <c r="K53" i="85"/>
  <c r="J53" i="84"/>
  <c r="J53" i="27"/>
  <c r="T53" i="27" s="1"/>
  <c r="J53" i="41"/>
  <c r="S53" i="41" s="1"/>
  <c r="BZ84" i="99"/>
  <c r="L72" i="86"/>
  <c r="J72" i="29"/>
  <c r="R72" i="29" s="1"/>
  <c r="J72" i="58"/>
  <c r="R72" i="58" s="1"/>
  <c r="S72" i="58" s="1"/>
  <c r="P92" i="41"/>
  <c r="BJ8" i="99"/>
  <c r="K7" i="84"/>
  <c r="K7" i="41"/>
  <c r="T7" i="41" s="1"/>
  <c r="K7" i="27"/>
  <c r="U7" i="27" s="1"/>
  <c r="I144" i="29"/>
  <c r="Q144" i="29" s="1"/>
  <c r="Q132" i="29"/>
  <c r="G115" i="41"/>
  <c r="P115" i="41" s="1"/>
  <c r="Q129" i="29"/>
  <c r="I141" i="29"/>
  <c r="Q141" i="29" s="1"/>
  <c r="BZ85" i="99"/>
  <c r="L73" i="86"/>
  <c r="J73" i="29"/>
  <c r="R73" i="29" s="1"/>
  <c r="J73" i="58"/>
  <c r="R73" i="58" s="1"/>
  <c r="S73" i="58" s="1"/>
  <c r="BZ74" i="99"/>
  <c r="J62" i="29"/>
  <c r="R62" i="29" s="1"/>
  <c r="J62" i="58"/>
  <c r="R62" i="58" s="1"/>
  <c r="S62" i="58" s="1"/>
  <c r="L62" i="86"/>
  <c r="Q131" i="29"/>
  <c r="I143" i="29"/>
  <c r="Q143" i="29" s="1"/>
  <c r="CA65" i="99"/>
  <c r="BY77" i="99"/>
  <c r="BY89" i="99" s="1"/>
  <c r="BY101" i="99" s="1"/>
  <c r="BY113" i="99" s="1"/>
  <c r="BY81" i="99"/>
  <c r="BY93" i="99" s="1"/>
  <c r="BY105" i="99" s="1"/>
  <c r="BY117" i="99" s="1"/>
  <c r="CA69" i="99"/>
  <c r="BY76" i="99"/>
  <c r="BY88" i="99" s="1"/>
  <c r="BY100" i="99" s="1"/>
  <c r="BY112" i="99" s="1"/>
  <c r="CA64" i="99"/>
  <c r="BY82" i="99"/>
  <c r="BY94" i="99" s="1"/>
  <c r="BY106" i="99" s="1"/>
  <c r="BY118" i="99" s="1"/>
  <c r="CA70" i="99"/>
  <c r="BY78" i="99"/>
  <c r="BY90" i="99" s="1"/>
  <c r="BY102" i="99" s="1"/>
  <c r="BY114" i="99" s="1"/>
  <c r="CA66" i="99"/>
  <c r="CA71" i="99"/>
  <c r="BY83" i="99"/>
  <c r="BY95" i="99" s="1"/>
  <c r="BY107" i="99" s="1"/>
  <c r="BY119" i="99" s="1"/>
  <c r="CF94" i="99"/>
  <c r="BY74" i="99"/>
  <c r="BY86" i="99" s="1"/>
  <c r="BY98" i="99" s="1"/>
  <c r="BY110" i="99" s="1"/>
  <c r="CA62" i="99"/>
  <c r="CF84" i="99"/>
  <c r="CF106" i="99"/>
  <c r="BL175" i="39"/>
  <c r="BK175" i="39"/>
  <c r="I8" i="26" l="1"/>
  <c r="DG84" i="99"/>
  <c r="DL84" i="99"/>
  <c r="DH84" i="99"/>
  <c r="DO84" i="99"/>
  <c r="DC84" i="99"/>
  <c r="DI84" i="99"/>
  <c r="DM84" i="99"/>
  <c r="DK84" i="99"/>
  <c r="DD84" i="99"/>
  <c r="DE84" i="99"/>
  <c r="DJ84" i="99"/>
  <c r="DF84" i="99"/>
  <c r="DN84" i="99"/>
  <c r="DB84" i="99"/>
  <c r="CA83" i="99"/>
  <c r="I71" i="47"/>
  <c r="Q71" i="47" s="1"/>
  <c r="S71" i="47" s="1"/>
  <c r="K71" i="85"/>
  <c r="I71" i="28"/>
  <c r="P71" i="28" s="1"/>
  <c r="J71" i="84"/>
  <c r="J71" i="27"/>
  <c r="T71" i="27" s="1"/>
  <c r="J71" i="41"/>
  <c r="S71" i="41" s="1"/>
  <c r="CA74" i="99"/>
  <c r="K62" i="85"/>
  <c r="I62" i="28"/>
  <c r="P62" i="28" s="1"/>
  <c r="I62" i="47"/>
  <c r="Q62" i="47" s="1"/>
  <c r="S62" i="47" s="1"/>
  <c r="I9" i="26" s="1"/>
  <c r="J62" i="84"/>
  <c r="J62" i="27"/>
  <c r="T62" i="27" s="1"/>
  <c r="J62" i="41"/>
  <c r="S62" i="41" s="1"/>
  <c r="CA78" i="99"/>
  <c r="K66" i="85"/>
  <c r="I66" i="28"/>
  <c r="P66" i="28" s="1"/>
  <c r="I66" i="47"/>
  <c r="Q66" i="47" s="1"/>
  <c r="S66" i="47" s="1"/>
  <c r="J66" i="27"/>
  <c r="T66" i="27" s="1"/>
  <c r="J66" i="84"/>
  <c r="J66" i="41"/>
  <c r="S66" i="41" s="1"/>
  <c r="CA76" i="99"/>
  <c r="I64" i="47"/>
  <c r="Q64" i="47" s="1"/>
  <c r="S64" i="47" s="1"/>
  <c r="I64" i="28"/>
  <c r="P64" i="28" s="1"/>
  <c r="K64" i="85"/>
  <c r="J64" i="84"/>
  <c r="J64" i="41"/>
  <c r="S64" i="41" s="1"/>
  <c r="J64" i="27"/>
  <c r="T64" i="27" s="1"/>
  <c r="BZ97" i="99"/>
  <c r="L85" i="86"/>
  <c r="J85" i="29"/>
  <c r="R85" i="29" s="1"/>
  <c r="J85" i="58"/>
  <c r="R85" i="58" s="1"/>
  <c r="S85" i="58" s="1"/>
  <c r="Q105" i="41"/>
  <c r="Q83" i="41"/>
  <c r="DF94" i="99"/>
  <c r="DK94" i="99"/>
  <c r="DC94" i="99"/>
  <c r="DJ94" i="99"/>
  <c r="DE94" i="99"/>
  <c r="DM94" i="99"/>
  <c r="DI94" i="99"/>
  <c r="DO94" i="99"/>
  <c r="DG94" i="99"/>
  <c r="DN94" i="99"/>
  <c r="DB94" i="99"/>
  <c r="DL94" i="99"/>
  <c r="DH94" i="99"/>
  <c r="DD94" i="99"/>
  <c r="CA77" i="99"/>
  <c r="I65" i="28"/>
  <c r="P65" i="28" s="1"/>
  <c r="K65" i="85"/>
  <c r="I65" i="47"/>
  <c r="Q65" i="47" s="1"/>
  <c r="S65" i="47" s="1"/>
  <c r="J65" i="84"/>
  <c r="J65" i="27"/>
  <c r="T65" i="27" s="1"/>
  <c r="J65" i="41"/>
  <c r="S65" i="41" s="1"/>
  <c r="BJ9" i="99"/>
  <c r="K8" i="27"/>
  <c r="U8" i="27" s="1"/>
  <c r="K8" i="84"/>
  <c r="K8" i="41"/>
  <c r="T8" i="41" s="1"/>
  <c r="BZ96" i="99"/>
  <c r="L84" i="86"/>
  <c r="J84" i="29"/>
  <c r="R84" i="29" s="1"/>
  <c r="J84" i="58"/>
  <c r="R84" i="58" s="1"/>
  <c r="S84" i="58" s="1"/>
  <c r="CL105" i="99"/>
  <c r="CP105" i="99"/>
  <c r="CK105" i="99"/>
  <c r="CO105" i="99"/>
  <c r="CQ105" i="99"/>
  <c r="CU105" i="99"/>
  <c r="CR105" i="99"/>
  <c r="CM105" i="99"/>
  <c r="CH105" i="99"/>
  <c r="CI105" i="99"/>
  <c r="CT105" i="99"/>
  <c r="CD106" i="99"/>
  <c r="CS105" i="99"/>
  <c r="CN105" i="99"/>
  <c r="CJ105" i="99"/>
  <c r="CA87" i="99"/>
  <c r="K75" i="85"/>
  <c r="K123" i="85" s="1"/>
  <c r="R123" i="85" s="1"/>
  <c r="I75" i="28"/>
  <c r="I75" i="47"/>
  <c r="Q75" i="47" s="1"/>
  <c r="S75" i="47" s="1"/>
  <c r="J75" i="84"/>
  <c r="J75" i="27"/>
  <c r="T75" i="27" s="1"/>
  <c r="J75" i="41"/>
  <c r="S75" i="41" s="1"/>
  <c r="CA97" i="99"/>
  <c r="I85" i="28"/>
  <c r="I85" i="47"/>
  <c r="Q85" i="47" s="1"/>
  <c r="S85" i="47" s="1"/>
  <c r="K85" i="85"/>
  <c r="K133" i="85" s="1"/>
  <c r="R133" i="85" s="1"/>
  <c r="J85" i="84"/>
  <c r="J85" i="27"/>
  <c r="T85" i="27" s="1"/>
  <c r="J85" i="41"/>
  <c r="S85" i="41" s="1"/>
  <c r="BZ86" i="99"/>
  <c r="L74" i="86"/>
  <c r="J74" i="58"/>
  <c r="R74" i="58" s="1"/>
  <c r="S74" i="58" s="1"/>
  <c r="J74" i="29"/>
  <c r="R74" i="29" s="1"/>
  <c r="DC117" i="99"/>
  <c r="DF117" i="99"/>
  <c r="DN117" i="99"/>
  <c r="DI117" i="99"/>
  <c r="DJ117" i="99"/>
  <c r="CF118" i="99"/>
  <c r="DM117" i="99"/>
  <c r="DB117" i="99"/>
  <c r="DE117" i="99"/>
  <c r="DH117" i="99"/>
  <c r="DG117" i="99"/>
  <c r="DD117" i="99"/>
  <c r="DO117" i="99"/>
  <c r="DL117" i="99"/>
  <c r="DK117" i="99"/>
  <c r="CA92" i="99"/>
  <c r="I80" i="47"/>
  <c r="Q80" i="47" s="1"/>
  <c r="S80" i="47" s="1"/>
  <c r="I80" i="28"/>
  <c r="K80" i="85"/>
  <c r="K128" i="85" s="1"/>
  <c r="R128" i="85" s="1"/>
  <c r="J80" i="84"/>
  <c r="J80" i="27"/>
  <c r="T80" i="27" s="1"/>
  <c r="J80" i="41"/>
  <c r="S80" i="41" s="1"/>
  <c r="DC106" i="99"/>
  <c r="DI106" i="99"/>
  <c r="DN106" i="99"/>
  <c r="DE106" i="99"/>
  <c r="DK106" i="99"/>
  <c r="DF106" i="99"/>
  <c r="DM106" i="99"/>
  <c r="DG106" i="99"/>
  <c r="DB106" i="99"/>
  <c r="DJ106" i="99"/>
  <c r="DO106" i="99"/>
  <c r="DD106" i="99"/>
  <c r="DL106" i="99"/>
  <c r="DH106" i="99"/>
  <c r="CA82" i="99"/>
  <c r="K70" i="85"/>
  <c r="I70" i="28"/>
  <c r="P70" i="28" s="1"/>
  <c r="I70" i="47"/>
  <c r="Q70" i="47" s="1"/>
  <c r="S70" i="47" s="1"/>
  <c r="J70" i="84"/>
  <c r="J70" i="27"/>
  <c r="T70" i="27" s="1"/>
  <c r="J70" i="41"/>
  <c r="S70" i="41" s="1"/>
  <c r="CA81" i="99"/>
  <c r="I69" i="28"/>
  <c r="P69" i="28" s="1"/>
  <c r="I69" i="47"/>
  <c r="Q69" i="47" s="1"/>
  <c r="S69" i="47" s="1"/>
  <c r="K69" i="85"/>
  <c r="J69" i="41"/>
  <c r="S69" i="41" s="1"/>
  <c r="J69" i="27"/>
  <c r="T69" i="27" s="1"/>
  <c r="J69" i="84"/>
  <c r="CA91" i="99"/>
  <c r="K79" i="85"/>
  <c r="K127" i="85" s="1"/>
  <c r="R127" i="85" s="1"/>
  <c r="I79" i="47"/>
  <c r="Q79" i="47" s="1"/>
  <c r="S79" i="47" s="1"/>
  <c r="I79" i="28"/>
  <c r="J79" i="84"/>
  <c r="J79" i="27"/>
  <c r="T79" i="27" s="1"/>
  <c r="J79" i="41"/>
  <c r="S79" i="41" s="1"/>
  <c r="G116" i="41"/>
  <c r="P116" i="41" s="1"/>
  <c r="Q116" i="41"/>
  <c r="Q93" i="41"/>
  <c r="BZ91" i="99"/>
  <c r="L79" i="86"/>
  <c r="J79" i="29"/>
  <c r="R79" i="29" s="1"/>
  <c r="J79" i="58"/>
  <c r="R79" i="58" s="1"/>
  <c r="S79" i="58" s="1"/>
  <c r="BZ94" i="99"/>
  <c r="L82" i="86"/>
  <c r="J82" i="29"/>
  <c r="R82" i="29" s="1"/>
  <c r="J82" i="58"/>
  <c r="R82" i="58" s="1"/>
  <c r="S82" i="58" s="1"/>
  <c r="BZ89" i="99"/>
  <c r="L77" i="86"/>
  <c r="J77" i="29"/>
  <c r="R77" i="29" s="1"/>
  <c r="J77" i="58"/>
  <c r="R77" i="58" s="1"/>
  <c r="S77" i="58" s="1"/>
  <c r="G105" i="41"/>
  <c r="P105" i="41" s="1"/>
  <c r="BZ87" i="99"/>
  <c r="L75" i="86"/>
  <c r="J75" i="29"/>
  <c r="R75" i="29" s="1"/>
  <c r="J75" i="58"/>
  <c r="R75" i="58" s="1"/>
  <c r="S75" i="58" s="1"/>
  <c r="BZ95" i="99"/>
  <c r="L83" i="86"/>
  <c r="J83" i="58"/>
  <c r="R83" i="58" s="1"/>
  <c r="S83" i="58" s="1"/>
  <c r="J83" i="29"/>
  <c r="R83" i="29" s="1"/>
  <c r="BZ90" i="99"/>
  <c r="J78" i="29"/>
  <c r="R78" i="29" s="1"/>
  <c r="J78" i="58"/>
  <c r="R78" i="58" s="1"/>
  <c r="S78" i="58" s="1"/>
  <c r="L78" i="86"/>
  <c r="BZ92" i="99"/>
  <c r="L80" i="86"/>
  <c r="J80" i="29"/>
  <c r="R80" i="29" s="1"/>
  <c r="J80" i="58"/>
  <c r="R80" i="58" s="1"/>
  <c r="S80" i="58" s="1"/>
  <c r="BZ88" i="99"/>
  <c r="L76" i="86"/>
  <c r="J76" i="29"/>
  <c r="R76" i="29" s="1"/>
  <c r="J76" i="58"/>
  <c r="R76" i="58" s="1"/>
  <c r="S76" i="58" s="1"/>
  <c r="BZ93" i="99"/>
  <c r="L81" i="86"/>
  <c r="J81" i="29"/>
  <c r="R81" i="29" s="1"/>
  <c r="J81" i="58"/>
  <c r="R81" i="58" s="1"/>
  <c r="S81" i="58" s="1"/>
  <c r="G93" i="41"/>
  <c r="P93" i="41" s="1"/>
  <c r="CA96" i="99"/>
  <c r="I84" i="47"/>
  <c r="Q84" i="47" s="1"/>
  <c r="S84" i="47" s="1"/>
  <c r="K84" i="85"/>
  <c r="K132" i="85" s="1"/>
  <c r="R132" i="85" s="1"/>
  <c r="I84" i="28"/>
  <c r="J84" i="84"/>
  <c r="J84" i="27"/>
  <c r="T84" i="27" s="1"/>
  <c r="J84" i="41"/>
  <c r="S84" i="41" s="1"/>
  <c r="G83" i="41"/>
  <c r="P83" i="41" s="1"/>
  <c r="CF85" i="99"/>
  <c r="CF95" i="99"/>
  <c r="CF107" i="99"/>
  <c r="P80" i="28" l="1"/>
  <c r="I128" i="28"/>
  <c r="P128" i="28" s="1"/>
  <c r="BZ108" i="99"/>
  <c r="L96" i="86"/>
  <c r="J96" i="29"/>
  <c r="R96" i="29" s="1"/>
  <c r="J96" i="58"/>
  <c r="R96" i="58" s="1"/>
  <c r="S96" i="58" s="1"/>
  <c r="CA88" i="99"/>
  <c r="I76" i="47"/>
  <c r="Q76" i="47" s="1"/>
  <c r="S76" i="47" s="1"/>
  <c r="K76" i="85"/>
  <c r="K124" i="85" s="1"/>
  <c r="R124" i="85" s="1"/>
  <c r="I76" i="28"/>
  <c r="J76" i="84"/>
  <c r="J76" i="27"/>
  <c r="T76" i="27" s="1"/>
  <c r="J76" i="41"/>
  <c r="S76" i="41" s="1"/>
  <c r="I127" i="28"/>
  <c r="P127" i="28" s="1"/>
  <c r="P79" i="28"/>
  <c r="G106" i="41"/>
  <c r="P106" i="41" s="1"/>
  <c r="I133" i="28"/>
  <c r="P133" i="28" s="1"/>
  <c r="P85" i="28"/>
  <c r="DD107" i="99"/>
  <c r="DJ107" i="99"/>
  <c r="DO107" i="99"/>
  <c r="DC107" i="99"/>
  <c r="DK107" i="99"/>
  <c r="DF107" i="99"/>
  <c r="DL107" i="99"/>
  <c r="DG107" i="99"/>
  <c r="DN107" i="99"/>
  <c r="DH107" i="99"/>
  <c r="DB107" i="99"/>
  <c r="DE107" i="99"/>
  <c r="DM107" i="99"/>
  <c r="DI107" i="99"/>
  <c r="CA108" i="99"/>
  <c r="I96" i="28"/>
  <c r="I96" i="47"/>
  <c r="Q96" i="47" s="1"/>
  <c r="S96" i="47" s="1"/>
  <c r="K96" i="85"/>
  <c r="K144" i="85" s="1"/>
  <c r="R144" i="85" s="1"/>
  <c r="J96" i="84"/>
  <c r="J96" i="41"/>
  <c r="S96" i="41" s="1"/>
  <c r="J96" i="27"/>
  <c r="T96" i="27" s="1"/>
  <c r="CA94" i="99"/>
  <c r="K82" i="85"/>
  <c r="K130" i="85" s="1"/>
  <c r="R130" i="85" s="1"/>
  <c r="I82" i="28"/>
  <c r="I82" i="47"/>
  <c r="Q82" i="47" s="1"/>
  <c r="S82" i="47" s="1"/>
  <c r="J82" i="27"/>
  <c r="T82" i="27" s="1"/>
  <c r="J82" i="41"/>
  <c r="S82" i="41" s="1"/>
  <c r="J82" i="84"/>
  <c r="DB118" i="99"/>
  <c r="DI118" i="99"/>
  <c r="DM118" i="99"/>
  <c r="DE118" i="99"/>
  <c r="DL118" i="99"/>
  <c r="DK118" i="99"/>
  <c r="DJ118" i="99"/>
  <c r="DH118" i="99"/>
  <c r="DF118" i="99"/>
  <c r="DD118" i="99"/>
  <c r="CF119" i="99"/>
  <c r="DG118" i="99"/>
  <c r="DC118" i="99"/>
  <c r="DO118" i="99"/>
  <c r="DN118" i="99"/>
  <c r="CA109" i="99"/>
  <c r="I97" i="28"/>
  <c r="K97" i="85"/>
  <c r="K145" i="85" s="1"/>
  <c r="R145" i="85" s="1"/>
  <c r="I97" i="47"/>
  <c r="Q97" i="47" s="1"/>
  <c r="S97" i="47" s="1"/>
  <c r="J97" i="84"/>
  <c r="J97" i="27"/>
  <c r="T97" i="27" s="1"/>
  <c r="J97" i="41"/>
  <c r="S97" i="41" s="1"/>
  <c r="CA99" i="99"/>
  <c r="K87" i="85"/>
  <c r="K135" i="85" s="1"/>
  <c r="R135" i="85" s="1"/>
  <c r="I87" i="28"/>
  <c r="I87" i="47"/>
  <c r="Q87" i="47" s="1"/>
  <c r="S87" i="47" s="1"/>
  <c r="J87" i="84"/>
  <c r="J87" i="27"/>
  <c r="T87" i="27" s="1"/>
  <c r="J87" i="41"/>
  <c r="S87" i="41" s="1"/>
  <c r="CU106" i="99"/>
  <c r="CR106" i="99"/>
  <c r="CL106" i="99"/>
  <c r="CP106" i="99"/>
  <c r="CH106" i="99"/>
  <c r="CM106" i="99"/>
  <c r="CS106" i="99"/>
  <c r="CO106" i="99"/>
  <c r="CD107" i="99"/>
  <c r="CQ106" i="99"/>
  <c r="CT106" i="99"/>
  <c r="CI106" i="99"/>
  <c r="CK106" i="99"/>
  <c r="CN106" i="99"/>
  <c r="CJ106" i="99"/>
  <c r="BZ109" i="99"/>
  <c r="L97" i="86"/>
  <c r="J97" i="29"/>
  <c r="R97" i="29" s="1"/>
  <c r="J97" i="58"/>
  <c r="R97" i="58" s="1"/>
  <c r="S97" i="58" s="1"/>
  <c r="CA95" i="99"/>
  <c r="K83" i="85"/>
  <c r="K131" i="85" s="1"/>
  <c r="R131" i="85" s="1"/>
  <c r="I83" i="47"/>
  <c r="Q83" i="47" s="1"/>
  <c r="S83" i="47" s="1"/>
  <c r="I83" i="28"/>
  <c r="J83" i="84"/>
  <c r="J83" i="27"/>
  <c r="T83" i="27" s="1"/>
  <c r="J83" i="41"/>
  <c r="S83" i="41" s="1"/>
  <c r="DB95" i="99"/>
  <c r="DG95" i="99"/>
  <c r="DL95" i="99"/>
  <c r="DC95" i="99"/>
  <c r="DJ95" i="99"/>
  <c r="DD95" i="99"/>
  <c r="DK95" i="99"/>
  <c r="DH95" i="99"/>
  <c r="DO95" i="99"/>
  <c r="DN95" i="99"/>
  <c r="DF95" i="99"/>
  <c r="DM95" i="99"/>
  <c r="DI95" i="99"/>
  <c r="DE95" i="99"/>
  <c r="I132" i="28"/>
  <c r="P132" i="28" s="1"/>
  <c r="P84" i="28"/>
  <c r="BZ101" i="99"/>
  <c r="L89" i="86"/>
  <c r="J89" i="29"/>
  <c r="R89" i="29" s="1"/>
  <c r="J89" i="58"/>
  <c r="R89" i="58" s="1"/>
  <c r="S89" i="58" s="1"/>
  <c r="BZ106" i="99"/>
  <c r="J94" i="29"/>
  <c r="R94" i="29" s="1"/>
  <c r="J94" i="58"/>
  <c r="R94" i="58" s="1"/>
  <c r="S94" i="58" s="1"/>
  <c r="L94" i="86"/>
  <c r="BZ103" i="99"/>
  <c r="L91" i="86"/>
  <c r="J91" i="29"/>
  <c r="R91" i="29" s="1"/>
  <c r="J91" i="58"/>
  <c r="R91" i="58" s="1"/>
  <c r="S91" i="58" s="1"/>
  <c r="CA93" i="99"/>
  <c r="I81" i="28"/>
  <c r="K81" i="85"/>
  <c r="K129" i="85" s="1"/>
  <c r="R129" i="85" s="1"/>
  <c r="I81" i="47"/>
  <c r="Q81" i="47" s="1"/>
  <c r="S81" i="47" s="1"/>
  <c r="J81" i="84"/>
  <c r="J81" i="41"/>
  <c r="S81" i="41" s="1"/>
  <c r="J81" i="27"/>
  <c r="T81" i="27" s="1"/>
  <c r="Q106" i="41"/>
  <c r="CA104" i="99"/>
  <c r="I92" i="47"/>
  <c r="Q92" i="47" s="1"/>
  <c r="S92" i="47" s="1"/>
  <c r="K92" i="85"/>
  <c r="K140" i="85" s="1"/>
  <c r="R140" i="85" s="1"/>
  <c r="I92" i="28"/>
  <c r="J92" i="84"/>
  <c r="J92" i="27"/>
  <c r="T92" i="27" s="1"/>
  <c r="J92" i="41"/>
  <c r="S92" i="41" s="1"/>
  <c r="BZ98" i="99"/>
  <c r="J86" i="29"/>
  <c r="R86" i="29" s="1"/>
  <c r="J86" i="58"/>
  <c r="R86" i="58" s="1"/>
  <c r="S86" i="58" s="1"/>
  <c r="L86" i="86"/>
  <c r="CA89" i="99"/>
  <c r="I77" i="28"/>
  <c r="I77" i="47"/>
  <c r="Q77" i="47" s="1"/>
  <c r="S77" i="47" s="1"/>
  <c r="K77" i="85"/>
  <c r="K125" i="85" s="1"/>
  <c r="R125" i="85" s="1"/>
  <c r="J77" i="84"/>
  <c r="J77" i="27"/>
  <c r="T77" i="27" s="1"/>
  <c r="J77" i="41"/>
  <c r="S77" i="41" s="1"/>
  <c r="Q94" i="41"/>
  <c r="CA86" i="99"/>
  <c r="K74" i="85"/>
  <c r="K122" i="85" s="1"/>
  <c r="I74" i="28"/>
  <c r="I74" i="47"/>
  <c r="Q74" i="47" s="1"/>
  <c r="S74" i="47" s="1"/>
  <c r="J74" i="27"/>
  <c r="T74" i="27" s="1"/>
  <c r="J74" i="84"/>
  <c r="J74" i="41"/>
  <c r="S74" i="41" s="1"/>
  <c r="Q84" i="41"/>
  <c r="DD85" i="99"/>
  <c r="DI85" i="99"/>
  <c r="DN85" i="99"/>
  <c r="DH85" i="99"/>
  <c r="DB85" i="99"/>
  <c r="DJ85" i="99"/>
  <c r="DM85" i="99"/>
  <c r="DF85" i="99"/>
  <c r="DE85" i="99"/>
  <c r="DL85" i="99"/>
  <c r="DO85" i="99"/>
  <c r="DK85" i="99"/>
  <c r="DC85" i="99"/>
  <c r="DG85" i="99"/>
  <c r="BZ105" i="99"/>
  <c r="L93" i="86"/>
  <c r="J93" i="29"/>
  <c r="R93" i="29" s="1"/>
  <c r="J93" i="58"/>
  <c r="R93" i="58" s="1"/>
  <c r="S93" i="58" s="1"/>
  <c r="BZ100" i="99"/>
  <c r="L88" i="86"/>
  <c r="J88" i="29"/>
  <c r="R88" i="29" s="1"/>
  <c r="J88" i="58"/>
  <c r="R88" i="58" s="1"/>
  <c r="S88" i="58" s="1"/>
  <c r="BZ104" i="99"/>
  <c r="L92" i="86"/>
  <c r="J92" i="29"/>
  <c r="R92" i="29" s="1"/>
  <c r="J92" i="58"/>
  <c r="R92" i="58" s="1"/>
  <c r="S92" i="58" s="1"/>
  <c r="BZ102" i="99"/>
  <c r="L90" i="86"/>
  <c r="J90" i="29"/>
  <c r="R90" i="29" s="1"/>
  <c r="J90" i="58"/>
  <c r="R90" i="58" s="1"/>
  <c r="S90" i="58" s="1"/>
  <c r="BZ107" i="99"/>
  <c r="L95" i="86"/>
  <c r="J95" i="29"/>
  <c r="R95" i="29" s="1"/>
  <c r="J95" i="58"/>
  <c r="R95" i="58" s="1"/>
  <c r="S95" i="58" s="1"/>
  <c r="BZ99" i="99"/>
  <c r="J87" i="29"/>
  <c r="R87" i="29" s="1"/>
  <c r="L87" i="86"/>
  <c r="J87" i="58"/>
  <c r="R87" i="58" s="1"/>
  <c r="S87" i="58" s="1"/>
  <c r="CA103" i="99"/>
  <c r="K91" i="85"/>
  <c r="K139" i="85" s="1"/>
  <c r="R139" i="85" s="1"/>
  <c r="I91" i="47"/>
  <c r="Q91" i="47" s="1"/>
  <c r="S91" i="47" s="1"/>
  <c r="I91" i="28"/>
  <c r="J91" i="84"/>
  <c r="J91" i="27"/>
  <c r="T91" i="27" s="1"/>
  <c r="J91" i="41"/>
  <c r="S91" i="41" s="1"/>
  <c r="G117" i="41"/>
  <c r="P117" i="41" s="1"/>
  <c r="Q117" i="41"/>
  <c r="P75" i="28"/>
  <c r="I123" i="28"/>
  <c r="P123" i="28" s="1"/>
  <c r="BJ10" i="99"/>
  <c r="K9" i="84"/>
  <c r="K9" i="27"/>
  <c r="U9" i="27" s="1"/>
  <c r="K9" i="41"/>
  <c r="T9" i="41" s="1"/>
  <c r="G94" i="41"/>
  <c r="P94" i="41" s="1"/>
  <c r="CA90" i="99"/>
  <c r="K78" i="85"/>
  <c r="K126" i="85" s="1"/>
  <c r="R126" i="85" s="1"/>
  <c r="I78" i="28"/>
  <c r="I78" i="47"/>
  <c r="Q78" i="47" s="1"/>
  <c r="S78" i="47" s="1"/>
  <c r="J78" i="84"/>
  <c r="J78" i="27"/>
  <c r="T78" i="27" s="1"/>
  <c r="J78" i="41"/>
  <c r="S78" i="41" s="1"/>
  <c r="G84" i="41"/>
  <c r="P84" i="41" s="1"/>
  <c r="CF108" i="99"/>
  <c r="CF96" i="99"/>
  <c r="I10" i="26" l="1"/>
  <c r="CA115" i="99"/>
  <c r="K103" i="85"/>
  <c r="I103" i="28"/>
  <c r="P103" i="28" s="1"/>
  <c r="I103" i="47"/>
  <c r="Q103" i="47" s="1"/>
  <c r="S103" i="47" s="1"/>
  <c r="J103" i="84"/>
  <c r="J103" i="27"/>
  <c r="T103" i="27" s="1"/>
  <c r="J103" i="41"/>
  <c r="S103" i="41" s="1"/>
  <c r="CA98" i="99"/>
  <c r="K86" i="85"/>
  <c r="K134" i="85" s="1"/>
  <c r="R134" i="85" s="1"/>
  <c r="I86" i="28"/>
  <c r="I86" i="47"/>
  <c r="Q86" i="47" s="1"/>
  <c r="S86" i="47" s="1"/>
  <c r="J86" i="84"/>
  <c r="J86" i="27"/>
  <c r="T86" i="27" s="1"/>
  <c r="J86" i="41"/>
  <c r="S86" i="41" s="1"/>
  <c r="I125" i="28"/>
  <c r="P125" i="28" s="1"/>
  <c r="P77" i="28"/>
  <c r="P91" i="28"/>
  <c r="I139" i="28"/>
  <c r="P139" i="28" s="1"/>
  <c r="BZ111" i="99"/>
  <c r="L99" i="86"/>
  <c r="J99" i="58"/>
  <c r="R99" i="58" s="1"/>
  <c r="S99" i="58" s="1"/>
  <c r="J99" i="29"/>
  <c r="R99" i="29" s="1"/>
  <c r="BZ119" i="99"/>
  <c r="L107" i="86"/>
  <c r="J107" i="29"/>
  <c r="R107" i="29" s="1"/>
  <c r="J107" i="58"/>
  <c r="R107" i="58" s="1"/>
  <c r="S107" i="58" s="1"/>
  <c r="BZ116" i="99"/>
  <c r="L104" i="86"/>
  <c r="J104" i="29"/>
  <c r="R104" i="29" s="1"/>
  <c r="J104" i="58"/>
  <c r="R104" i="58" s="1"/>
  <c r="S104" i="58" s="1"/>
  <c r="BZ110" i="99"/>
  <c r="L98" i="86"/>
  <c r="J98" i="29"/>
  <c r="R98" i="29" s="1"/>
  <c r="J98" i="58"/>
  <c r="R98" i="58" s="1"/>
  <c r="S98" i="58" s="1"/>
  <c r="P92" i="28"/>
  <c r="I140" i="28"/>
  <c r="P140" i="28" s="1"/>
  <c r="CA105" i="99"/>
  <c r="I93" i="28"/>
  <c r="I93" i="47"/>
  <c r="Q93" i="47" s="1"/>
  <c r="S93" i="47" s="1"/>
  <c r="K93" i="85"/>
  <c r="K141" i="85" s="1"/>
  <c r="R141" i="85" s="1"/>
  <c r="J93" i="84"/>
  <c r="J93" i="27"/>
  <c r="T93" i="27" s="1"/>
  <c r="J93" i="41"/>
  <c r="S93" i="41" s="1"/>
  <c r="BZ118" i="99"/>
  <c r="L106" i="86"/>
  <c r="J106" i="29"/>
  <c r="R106" i="29" s="1"/>
  <c r="J106" i="58"/>
  <c r="R106" i="58" s="1"/>
  <c r="S106" i="58" s="1"/>
  <c r="BZ113" i="99"/>
  <c r="L101" i="86"/>
  <c r="J101" i="29"/>
  <c r="R101" i="29" s="1"/>
  <c r="J101" i="58"/>
  <c r="R101" i="58" s="1"/>
  <c r="S101" i="58" s="1"/>
  <c r="G95" i="41"/>
  <c r="P95" i="41" s="1"/>
  <c r="CA107" i="99"/>
  <c r="K95" i="85"/>
  <c r="K143" i="85" s="1"/>
  <c r="R143" i="85" s="1"/>
  <c r="I95" i="28"/>
  <c r="I95" i="47"/>
  <c r="Q95" i="47" s="1"/>
  <c r="S95" i="47" s="1"/>
  <c r="J95" i="84"/>
  <c r="J95" i="27"/>
  <c r="T95" i="27" s="1"/>
  <c r="J95" i="41"/>
  <c r="S95" i="41" s="1"/>
  <c r="BZ121" i="99"/>
  <c r="L109" i="86"/>
  <c r="J109" i="29"/>
  <c r="R109" i="29" s="1"/>
  <c r="J109" i="58"/>
  <c r="R109" i="58" s="1"/>
  <c r="S109" i="58" s="1"/>
  <c r="CA120" i="99"/>
  <c r="I108" i="47"/>
  <c r="Q108" i="47" s="1"/>
  <c r="S108" i="47" s="1"/>
  <c r="K108" i="85"/>
  <c r="I108" i="28"/>
  <c r="P108" i="28" s="1"/>
  <c r="J108" i="84"/>
  <c r="J108" i="27"/>
  <c r="T108" i="27" s="1"/>
  <c r="J108" i="41"/>
  <c r="S108" i="41" s="1"/>
  <c r="BZ120" i="99"/>
  <c r="L108" i="86"/>
  <c r="J108" i="29"/>
  <c r="R108" i="29" s="1"/>
  <c r="J108" i="58"/>
  <c r="R108" i="58" s="1"/>
  <c r="S108" i="58" s="1"/>
  <c r="CA102" i="99"/>
  <c r="K90" i="85"/>
  <c r="K138" i="85" s="1"/>
  <c r="R138" i="85" s="1"/>
  <c r="I90" i="28"/>
  <c r="I90" i="47"/>
  <c r="Q90" i="47" s="1"/>
  <c r="S90" i="47" s="1"/>
  <c r="J90" i="27"/>
  <c r="T90" i="27" s="1"/>
  <c r="J90" i="41"/>
  <c r="S90" i="41" s="1"/>
  <c r="J90" i="84"/>
  <c r="Q85" i="41"/>
  <c r="P74" i="28"/>
  <c r="I122" i="28"/>
  <c r="P122" i="28" s="1"/>
  <c r="Q95" i="41"/>
  <c r="P83" i="28"/>
  <c r="I131" i="28"/>
  <c r="P131" i="28" s="1"/>
  <c r="P87" i="28"/>
  <c r="I135" i="28"/>
  <c r="P135" i="28" s="1"/>
  <c r="I145" i="28"/>
  <c r="P145" i="28" s="1"/>
  <c r="P97" i="28"/>
  <c r="Q107" i="41"/>
  <c r="P76" i="28"/>
  <c r="I124" i="28"/>
  <c r="P124" i="28" s="1"/>
  <c r="DG108" i="99"/>
  <c r="DL108" i="99"/>
  <c r="DD108" i="99"/>
  <c r="DK108" i="99"/>
  <c r="DE108" i="99"/>
  <c r="DM108" i="99"/>
  <c r="DH108" i="99"/>
  <c r="DC108" i="99"/>
  <c r="DI108" i="99"/>
  <c r="DO108" i="99"/>
  <c r="DN108" i="99"/>
  <c r="DF108" i="99"/>
  <c r="DJ108" i="99"/>
  <c r="DB108" i="99"/>
  <c r="P78" i="28"/>
  <c r="I126" i="28"/>
  <c r="P126" i="28" s="1"/>
  <c r="CA116" i="99"/>
  <c r="I104" i="28"/>
  <c r="P104" i="28" s="1"/>
  <c r="I104" i="47"/>
  <c r="Q104" i="47" s="1"/>
  <c r="S104" i="47" s="1"/>
  <c r="K104" i="85"/>
  <c r="J104" i="84"/>
  <c r="J104" i="27"/>
  <c r="T104" i="27" s="1"/>
  <c r="J104" i="41"/>
  <c r="S104" i="41" s="1"/>
  <c r="I129" i="28"/>
  <c r="P129" i="28" s="1"/>
  <c r="P81" i="28"/>
  <c r="CA111" i="99"/>
  <c r="K99" i="85"/>
  <c r="I99" i="47"/>
  <c r="Q99" i="47" s="1"/>
  <c r="S99" i="47" s="1"/>
  <c r="I99" i="28"/>
  <c r="P99" i="28" s="1"/>
  <c r="J99" i="84"/>
  <c r="J99" i="27"/>
  <c r="T99" i="27" s="1"/>
  <c r="J99" i="41"/>
  <c r="S99" i="41" s="1"/>
  <c r="DE119" i="99"/>
  <c r="DF119" i="99"/>
  <c r="DC119" i="99"/>
  <c r="DD119" i="99"/>
  <c r="DJ119" i="99"/>
  <c r="DG119" i="99"/>
  <c r="DH119" i="99"/>
  <c r="DN119" i="99"/>
  <c r="DL119" i="99"/>
  <c r="DB119" i="99"/>
  <c r="DO119" i="99"/>
  <c r="DI119" i="99"/>
  <c r="DM119" i="99"/>
  <c r="DK119" i="99"/>
  <c r="CF120" i="99"/>
  <c r="P96" i="28"/>
  <c r="I144" i="28"/>
  <c r="P144" i="28" s="1"/>
  <c r="BZ114" i="99"/>
  <c r="J102" i="29"/>
  <c r="R102" i="29" s="1"/>
  <c r="J102" i="58"/>
  <c r="R102" i="58" s="1"/>
  <c r="S102" i="58" s="1"/>
  <c r="L102" i="86"/>
  <c r="BZ112" i="99"/>
  <c r="L100" i="86"/>
  <c r="J100" i="29"/>
  <c r="R100" i="29" s="1"/>
  <c r="J100" i="58"/>
  <c r="R100" i="58" s="1"/>
  <c r="S100" i="58" s="1"/>
  <c r="BZ117" i="99"/>
  <c r="L105" i="86"/>
  <c r="J105" i="29"/>
  <c r="R105" i="29" s="1"/>
  <c r="J105" i="58"/>
  <c r="R105" i="58" s="1"/>
  <c r="S105" i="58" s="1"/>
  <c r="CA101" i="99"/>
  <c r="I89" i="28"/>
  <c r="K89" i="85"/>
  <c r="K137" i="85" s="1"/>
  <c r="R137" i="85" s="1"/>
  <c r="I89" i="47"/>
  <c r="Q89" i="47" s="1"/>
  <c r="S89" i="47" s="1"/>
  <c r="J89" i="84"/>
  <c r="J89" i="41"/>
  <c r="S89" i="41" s="1"/>
  <c r="J89" i="27"/>
  <c r="T89" i="27" s="1"/>
  <c r="BZ115" i="99"/>
  <c r="J103" i="29"/>
  <c r="R103" i="29" s="1"/>
  <c r="L103" i="86"/>
  <c r="J103" i="58"/>
  <c r="R103" i="58" s="1"/>
  <c r="S103" i="58" s="1"/>
  <c r="CN107" i="99"/>
  <c r="CS107" i="99"/>
  <c r="CU107" i="99"/>
  <c r="CQ107" i="99"/>
  <c r="CR107" i="99"/>
  <c r="CT107" i="99"/>
  <c r="CH107" i="99"/>
  <c r="CP107" i="99"/>
  <c r="CI107" i="99"/>
  <c r="CM107" i="99"/>
  <c r="CO107" i="99"/>
  <c r="CJ107" i="99"/>
  <c r="CD108" i="99"/>
  <c r="CK107" i="99"/>
  <c r="CL107" i="99"/>
  <c r="G118" i="41"/>
  <c r="P118" i="41" s="1"/>
  <c r="Q118" i="41"/>
  <c r="CA106" i="99"/>
  <c r="K94" i="85"/>
  <c r="K142" i="85" s="1"/>
  <c r="R142" i="85" s="1"/>
  <c r="I94" i="28"/>
  <c r="I94" i="47"/>
  <c r="Q94" i="47" s="1"/>
  <c r="S94" i="47" s="1"/>
  <c r="J94" i="84"/>
  <c r="J94" i="27"/>
  <c r="T94" i="27" s="1"/>
  <c r="J94" i="41"/>
  <c r="S94" i="41" s="1"/>
  <c r="CA100" i="99"/>
  <c r="I88" i="28"/>
  <c r="I88" i="47"/>
  <c r="Q88" i="47" s="1"/>
  <c r="S88" i="47" s="1"/>
  <c r="K88" i="85"/>
  <c r="K136" i="85" s="1"/>
  <c r="R136" i="85" s="1"/>
  <c r="J88" i="84"/>
  <c r="J88" i="41"/>
  <c r="S88" i="41" s="1"/>
  <c r="J88" i="27"/>
  <c r="T88" i="27" s="1"/>
  <c r="DD96" i="99"/>
  <c r="DI96" i="99"/>
  <c r="DO96" i="99"/>
  <c r="DC96" i="99"/>
  <c r="DK96" i="99"/>
  <c r="DE96" i="99"/>
  <c r="DL96" i="99"/>
  <c r="DH96" i="99"/>
  <c r="DG96" i="99"/>
  <c r="DM96" i="99"/>
  <c r="DJ96" i="99"/>
  <c r="DB96" i="99"/>
  <c r="DN96" i="99"/>
  <c r="DF96" i="99"/>
  <c r="BJ11" i="99"/>
  <c r="K10" i="84"/>
  <c r="K10" i="27"/>
  <c r="U10" i="27" s="1"/>
  <c r="K10" i="41"/>
  <c r="T10" i="41" s="1"/>
  <c r="G85" i="41"/>
  <c r="P85" i="41" s="1"/>
  <c r="CA121" i="99"/>
  <c r="I109" i="28"/>
  <c r="P109" i="28" s="1"/>
  <c r="I109" i="47"/>
  <c r="Q109" i="47" s="1"/>
  <c r="S109" i="47" s="1"/>
  <c r="K109" i="85"/>
  <c r="J109" i="84"/>
  <c r="J109" i="27"/>
  <c r="T109" i="27" s="1"/>
  <c r="J109" i="41"/>
  <c r="S109" i="41" s="1"/>
  <c r="P82" i="28"/>
  <c r="I130" i="28"/>
  <c r="P130" i="28" s="1"/>
  <c r="G107" i="41"/>
  <c r="P107" i="41" s="1"/>
  <c r="CF97" i="99"/>
  <c r="CF109" i="99"/>
  <c r="I11" i="26" l="1"/>
  <c r="P88" i="28"/>
  <c r="I136" i="28"/>
  <c r="P136" i="28" s="1"/>
  <c r="Q119" i="41"/>
  <c r="G119" i="41"/>
  <c r="P119" i="41" s="1"/>
  <c r="CA114" i="99"/>
  <c r="K102" i="85"/>
  <c r="I102" i="28"/>
  <c r="P102" i="28" s="1"/>
  <c r="I102" i="47"/>
  <c r="Q102" i="47" s="1"/>
  <c r="S102" i="47" s="1"/>
  <c r="J102" i="84"/>
  <c r="J102" i="27"/>
  <c r="T102" i="27" s="1"/>
  <c r="J102" i="41"/>
  <c r="S102" i="41" s="1"/>
  <c r="J118" i="29"/>
  <c r="L118" i="86"/>
  <c r="L130" i="86" s="1"/>
  <c r="J118" i="58"/>
  <c r="R118" i="58" s="1"/>
  <c r="Q96" i="41"/>
  <c r="I137" i="28"/>
  <c r="P137" i="28" s="1"/>
  <c r="P89" i="28"/>
  <c r="DL120" i="99"/>
  <c r="DB120" i="99"/>
  <c r="CF121" i="99"/>
  <c r="DO120" i="99"/>
  <c r="DF120" i="99"/>
  <c r="DD120" i="99"/>
  <c r="DJ120" i="99"/>
  <c r="DH120" i="99"/>
  <c r="DN120" i="99"/>
  <c r="DE120" i="99"/>
  <c r="DC120" i="99"/>
  <c r="DI120" i="99"/>
  <c r="DG120" i="99"/>
  <c r="DM120" i="99"/>
  <c r="DK120" i="99"/>
  <c r="L116" i="86"/>
  <c r="L128" i="86" s="1"/>
  <c r="J116" i="29"/>
  <c r="J116" i="58"/>
  <c r="R116" i="58" s="1"/>
  <c r="K121" i="85"/>
  <c r="J121" i="84"/>
  <c r="J133" i="84" s="1"/>
  <c r="I121" i="28"/>
  <c r="P121" i="28" s="1"/>
  <c r="J121" i="27"/>
  <c r="I121" i="47"/>
  <c r="Q121" i="47" s="1"/>
  <c r="J121" i="41"/>
  <c r="S121" i="41" s="1"/>
  <c r="G96" i="41"/>
  <c r="P96" i="41" s="1"/>
  <c r="P94" i="28"/>
  <c r="I142" i="28"/>
  <c r="P142" i="28" s="1"/>
  <c r="CA113" i="99"/>
  <c r="I101" i="28"/>
  <c r="P101" i="28" s="1"/>
  <c r="I101" i="47"/>
  <c r="Q101" i="47" s="1"/>
  <c r="S101" i="47" s="1"/>
  <c r="K101" i="85"/>
  <c r="J101" i="41"/>
  <c r="S101" i="41" s="1"/>
  <c r="J101" i="84"/>
  <c r="J101" i="27"/>
  <c r="T101" i="27" s="1"/>
  <c r="J117" i="29"/>
  <c r="L117" i="86"/>
  <c r="L129" i="86" s="1"/>
  <c r="J117" i="58"/>
  <c r="R117" i="58" s="1"/>
  <c r="L112" i="86"/>
  <c r="L124" i="86" s="1"/>
  <c r="J112" i="29"/>
  <c r="J112" i="58"/>
  <c r="R112" i="58" s="1"/>
  <c r="S112" i="58" s="1"/>
  <c r="J114" i="29"/>
  <c r="L114" i="86"/>
  <c r="L126" i="86" s="1"/>
  <c r="J114" i="58"/>
  <c r="R114" i="58" s="1"/>
  <c r="S114" i="58" s="1"/>
  <c r="J111" i="27"/>
  <c r="K111" i="85"/>
  <c r="I111" i="28"/>
  <c r="P111" i="28" s="1"/>
  <c r="I111" i="47"/>
  <c r="Q111" i="47" s="1"/>
  <c r="S111" i="47" s="1"/>
  <c r="J111" i="84"/>
  <c r="J123" i="84" s="1"/>
  <c r="J111" i="41"/>
  <c r="S111" i="41" s="1"/>
  <c r="G108" i="41"/>
  <c r="P108" i="41" s="1"/>
  <c r="P90" i="28"/>
  <c r="I138" i="28"/>
  <c r="P138" i="28" s="1"/>
  <c r="CA119" i="99"/>
  <c r="K107" i="85"/>
  <c r="I107" i="47"/>
  <c r="Q107" i="47" s="1"/>
  <c r="S107" i="47" s="1"/>
  <c r="I107" i="28"/>
  <c r="P107" i="28" s="1"/>
  <c r="J107" i="84"/>
  <c r="J107" i="27"/>
  <c r="T107" i="27" s="1"/>
  <c r="J107" i="41"/>
  <c r="S107" i="41" s="1"/>
  <c r="I141" i="28"/>
  <c r="P141" i="28" s="1"/>
  <c r="P93" i="28"/>
  <c r="P86" i="28"/>
  <c r="I134" i="28"/>
  <c r="P134" i="28" s="1"/>
  <c r="CA118" i="99"/>
  <c r="K106" i="85"/>
  <c r="I106" i="28"/>
  <c r="P106" i="28" s="1"/>
  <c r="I106" i="47"/>
  <c r="Q106" i="47" s="1"/>
  <c r="S106" i="47" s="1"/>
  <c r="J106" i="27"/>
  <c r="T106" i="27" s="1"/>
  <c r="J106" i="84"/>
  <c r="J106" i="41"/>
  <c r="S106" i="41" s="1"/>
  <c r="Q108" i="41"/>
  <c r="L120" i="86"/>
  <c r="L132" i="86" s="1"/>
  <c r="J120" i="29"/>
  <c r="J120" i="58"/>
  <c r="R120" i="58" s="1"/>
  <c r="I143" i="28"/>
  <c r="P143" i="28" s="1"/>
  <c r="P95" i="28"/>
  <c r="L113" i="86"/>
  <c r="L125" i="86" s="1"/>
  <c r="J113" i="29"/>
  <c r="J113" i="58"/>
  <c r="R113" i="58" s="1"/>
  <c r="S113" i="58" s="1"/>
  <c r="CA110" i="99"/>
  <c r="K98" i="85"/>
  <c r="I98" i="28"/>
  <c r="P98" i="28" s="1"/>
  <c r="I98" i="47"/>
  <c r="Q98" i="47" s="1"/>
  <c r="S98" i="47" s="1"/>
  <c r="I12" i="26" s="1"/>
  <c r="J98" i="27"/>
  <c r="T98" i="27" s="1"/>
  <c r="J98" i="41"/>
  <c r="S98" i="41" s="1"/>
  <c r="J98" i="84"/>
  <c r="DF97" i="99"/>
  <c r="DL97" i="99"/>
  <c r="DD97" i="99"/>
  <c r="DJ97" i="99"/>
  <c r="DE97" i="99"/>
  <c r="DM97" i="99"/>
  <c r="DI97" i="99"/>
  <c r="DN97" i="99"/>
  <c r="DB97" i="99"/>
  <c r="DH97" i="99"/>
  <c r="DG97" i="99"/>
  <c r="DO97" i="99"/>
  <c r="DK97" i="99"/>
  <c r="DC97" i="99"/>
  <c r="CA112" i="99"/>
  <c r="I100" i="47"/>
  <c r="Q100" i="47" s="1"/>
  <c r="S100" i="47" s="1"/>
  <c r="I100" i="28"/>
  <c r="P100" i="28" s="1"/>
  <c r="K100" i="85"/>
  <c r="J100" i="84"/>
  <c r="J100" i="27"/>
  <c r="T100" i="27" s="1"/>
  <c r="J100" i="41"/>
  <c r="S100" i="41" s="1"/>
  <c r="J110" i="29"/>
  <c r="J110" i="58"/>
  <c r="R110" i="58" s="1"/>
  <c r="S110" i="58" s="1"/>
  <c r="L110" i="86"/>
  <c r="L122" i="86" s="1"/>
  <c r="J119" i="29"/>
  <c r="L119" i="86"/>
  <c r="L131" i="86" s="1"/>
  <c r="J119" i="58"/>
  <c r="R119" i="58" s="1"/>
  <c r="L111" i="86"/>
  <c r="L123" i="86" s="1"/>
  <c r="J111" i="29"/>
  <c r="J111" i="58"/>
  <c r="R111" i="58" s="1"/>
  <c r="S111" i="58" s="1"/>
  <c r="DD109" i="99"/>
  <c r="DI109" i="99"/>
  <c r="DN109" i="99"/>
  <c r="DE109" i="99"/>
  <c r="DL109" i="99"/>
  <c r="DF109" i="99"/>
  <c r="DM109" i="99"/>
  <c r="DH109" i="99"/>
  <c r="DJ109" i="99"/>
  <c r="DB109" i="99"/>
  <c r="DO109" i="99"/>
  <c r="DG109" i="99"/>
  <c r="DC109" i="99"/>
  <c r="DK109" i="99"/>
  <c r="BJ12" i="99"/>
  <c r="K11" i="84"/>
  <c r="K11" i="41"/>
  <c r="T11" i="41" s="1"/>
  <c r="K11" i="27"/>
  <c r="U11" i="27" s="1"/>
  <c r="CO108" i="99"/>
  <c r="CH108" i="99"/>
  <c r="CL108" i="99"/>
  <c r="CU108" i="99"/>
  <c r="CJ108" i="99"/>
  <c r="CQ108" i="99"/>
  <c r="CR108" i="99"/>
  <c r="CS108" i="99"/>
  <c r="CT108" i="99"/>
  <c r="CI108" i="99"/>
  <c r="CP108" i="99"/>
  <c r="CK108" i="99"/>
  <c r="CN108" i="99"/>
  <c r="CM108" i="99"/>
  <c r="CD109" i="99"/>
  <c r="J115" i="29"/>
  <c r="L115" i="86"/>
  <c r="L127" i="86" s="1"/>
  <c r="J115" i="58"/>
  <c r="R115" i="58" s="1"/>
  <c r="S115" i="58" s="1"/>
  <c r="K116" i="85"/>
  <c r="I116" i="28"/>
  <c r="P116" i="28" s="1"/>
  <c r="J116" i="84"/>
  <c r="J128" i="84" s="1"/>
  <c r="J116" i="27"/>
  <c r="J116" i="41"/>
  <c r="S116" i="41" s="1"/>
  <c r="I116" i="47"/>
  <c r="Q116" i="47" s="1"/>
  <c r="K120" i="85"/>
  <c r="I120" i="28"/>
  <c r="P120" i="28" s="1"/>
  <c r="J120" i="84"/>
  <c r="J132" i="84" s="1"/>
  <c r="J120" i="27"/>
  <c r="J120" i="41"/>
  <c r="S120" i="41" s="1"/>
  <c r="I120" i="47"/>
  <c r="Q120" i="47" s="1"/>
  <c r="L121" i="86"/>
  <c r="L133" i="86" s="1"/>
  <c r="J121" i="29"/>
  <c r="J121" i="58"/>
  <c r="R121" i="58" s="1"/>
  <c r="CA117" i="99"/>
  <c r="I105" i="28"/>
  <c r="P105" i="28" s="1"/>
  <c r="K105" i="85"/>
  <c r="I105" i="47"/>
  <c r="Q105" i="47" s="1"/>
  <c r="S105" i="47" s="1"/>
  <c r="J105" i="84"/>
  <c r="J105" i="27"/>
  <c r="T105" i="27" s="1"/>
  <c r="J105" i="41"/>
  <c r="S105" i="41" s="1"/>
  <c r="K115" i="85"/>
  <c r="I115" i="28"/>
  <c r="P115" i="28" s="1"/>
  <c r="J115" i="27"/>
  <c r="J115" i="84"/>
  <c r="J127" i="84" s="1"/>
  <c r="I115" i="47"/>
  <c r="Q115" i="47" s="1"/>
  <c r="S115" i="47" s="1"/>
  <c r="J115" i="41"/>
  <c r="S115" i="41" s="1"/>
  <c r="W127" i="84" l="1"/>
  <c r="J139" i="84"/>
  <c r="W139" i="84" s="1"/>
  <c r="J127" i="29"/>
  <c r="R115" i="29"/>
  <c r="J118" i="84"/>
  <c r="J130" i="84" s="1"/>
  <c r="K118" i="85"/>
  <c r="J118" i="27"/>
  <c r="I118" i="28"/>
  <c r="P118" i="28" s="1"/>
  <c r="J118" i="41"/>
  <c r="S118" i="41" s="1"/>
  <c r="I118" i="47"/>
  <c r="Q118" i="47" s="1"/>
  <c r="J126" i="29"/>
  <c r="R114" i="29"/>
  <c r="DO121" i="99"/>
  <c r="DE121" i="99"/>
  <c r="DF121" i="99"/>
  <c r="DC121" i="99"/>
  <c r="DD121" i="99"/>
  <c r="DI121" i="99"/>
  <c r="DJ121" i="99"/>
  <c r="DG121" i="99"/>
  <c r="DH121" i="99"/>
  <c r="DM121" i="99"/>
  <c r="DN121" i="99"/>
  <c r="DL121" i="99"/>
  <c r="DB121" i="99"/>
  <c r="DK121" i="99"/>
  <c r="T130" i="86"/>
  <c r="L142" i="86"/>
  <c r="T142" i="86" s="1"/>
  <c r="J114" i="84"/>
  <c r="J126" i="84" s="1"/>
  <c r="I114" i="28"/>
  <c r="P114" i="28" s="1"/>
  <c r="J114" i="27"/>
  <c r="K114" i="85"/>
  <c r="I114" i="47"/>
  <c r="Q114" i="47" s="1"/>
  <c r="S114" i="47" s="1"/>
  <c r="J114" i="41"/>
  <c r="S114" i="41" s="1"/>
  <c r="T115" i="27"/>
  <c r="J127" i="27"/>
  <c r="T123" i="86"/>
  <c r="L135" i="86"/>
  <c r="T135" i="86" s="1"/>
  <c r="W123" i="84"/>
  <c r="J135" i="84"/>
  <c r="W135" i="84" s="1"/>
  <c r="T111" i="27"/>
  <c r="J123" i="27"/>
  <c r="R116" i="29"/>
  <c r="J128" i="29"/>
  <c r="G120" i="41"/>
  <c r="P120" i="41" s="1"/>
  <c r="K117" i="85"/>
  <c r="J117" i="84"/>
  <c r="J129" i="84" s="1"/>
  <c r="I117" i="28"/>
  <c r="P117" i="28" s="1"/>
  <c r="J117" i="27"/>
  <c r="J117" i="41"/>
  <c r="S117" i="41" s="1"/>
  <c r="I117" i="47"/>
  <c r="Q117" i="47" s="1"/>
  <c r="T116" i="27"/>
  <c r="J128" i="27"/>
  <c r="T125" i="86"/>
  <c r="L137" i="86"/>
  <c r="T137" i="86" s="1"/>
  <c r="R120" i="29"/>
  <c r="J132" i="29"/>
  <c r="R112" i="29"/>
  <c r="J124" i="29"/>
  <c r="J129" i="29"/>
  <c r="R117" i="29"/>
  <c r="W133" i="84"/>
  <c r="J145" i="84"/>
  <c r="W145" i="84" s="1"/>
  <c r="T128" i="86"/>
  <c r="L140" i="86"/>
  <c r="T140" i="86" s="1"/>
  <c r="R121" i="29"/>
  <c r="J133" i="29"/>
  <c r="T120" i="27"/>
  <c r="J132" i="27"/>
  <c r="J123" i="29"/>
  <c r="R111" i="29"/>
  <c r="J131" i="29"/>
  <c r="R119" i="29"/>
  <c r="T121" i="27"/>
  <c r="J133" i="27"/>
  <c r="T133" i="86"/>
  <c r="L145" i="86"/>
  <c r="T145" i="86" s="1"/>
  <c r="W132" i="84"/>
  <c r="J144" i="84"/>
  <c r="W144" i="84" s="1"/>
  <c r="CS109" i="99"/>
  <c r="CM109" i="99"/>
  <c r="CJ109" i="99"/>
  <c r="CU109" i="99"/>
  <c r="CH109" i="99"/>
  <c r="CQ109" i="99"/>
  <c r="CK109" i="99"/>
  <c r="CL109" i="99"/>
  <c r="CT109" i="99"/>
  <c r="CI109" i="99"/>
  <c r="CO109" i="99"/>
  <c r="CP109" i="99"/>
  <c r="CR109" i="99"/>
  <c r="CN109" i="99"/>
  <c r="Q109" i="41"/>
  <c r="L134" i="86"/>
  <c r="T134" i="86" s="1"/>
  <c r="J125" i="29"/>
  <c r="R113" i="29"/>
  <c r="T129" i="86"/>
  <c r="L141" i="86"/>
  <c r="T141" i="86" s="1"/>
  <c r="J113" i="27"/>
  <c r="I113" i="28"/>
  <c r="P113" i="28" s="1"/>
  <c r="K113" i="85"/>
  <c r="I113" i="47"/>
  <c r="Q113" i="47" s="1"/>
  <c r="S113" i="47" s="1"/>
  <c r="J113" i="84"/>
  <c r="J125" i="84" s="1"/>
  <c r="J113" i="41"/>
  <c r="S113" i="41" s="1"/>
  <c r="J130" i="29"/>
  <c r="R118" i="29"/>
  <c r="G109" i="41"/>
  <c r="P109" i="41" s="1"/>
  <c r="J112" i="27"/>
  <c r="I112" i="28"/>
  <c r="P112" i="28" s="1"/>
  <c r="I112" i="47"/>
  <c r="Q112" i="47" s="1"/>
  <c r="S112" i="47" s="1"/>
  <c r="K112" i="85"/>
  <c r="J112" i="84"/>
  <c r="J124" i="84" s="1"/>
  <c r="J112" i="41"/>
  <c r="S112" i="41" s="1"/>
  <c r="Q97" i="41"/>
  <c r="G97" i="41"/>
  <c r="P97" i="41" s="1"/>
  <c r="W128" i="84"/>
  <c r="J140" i="84"/>
  <c r="W140" i="84" s="1"/>
  <c r="T127" i="86"/>
  <c r="L139" i="86"/>
  <c r="T139" i="86" s="1"/>
  <c r="BJ13" i="99"/>
  <c r="K12" i="27"/>
  <c r="U12" i="27" s="1"/>
  <c r="K12" i="84"/>
  <c r="K12" i="41"/>
  <c r="T12" i="41" s="1"/>
  <c r="T131" i="86"/>
  <c r="L143" i="86"/>
  <c r="T143" i="86" s="1"/>
  <c r="J122" i="29"/>
  <c r="R110" i="29"/>
  <c r="J110" i="27"/>
  <c r="K110" i="85"/>
  <c r="I110" i="28"/>
  <c r="P110" i="28" s="1"/>
  <c r="I110" i="47"/>
  <c r="Q110" i="47" s="1"/>
  <c r="S110" i="47" s="1"/>
  <c r="J110" i="84"/>
  <c r="J122" i="84" s="1"/>
  <c r="J110" i="41"/>
  <c r="S110" i="41" s="1"/>
  <c r="T132" i="86"/>
  <c r="L144" i="86"/>
  <c r="T144" i="86" s="1"/>
  <c r="K119" i="85"/>
  <c r="J119" i="84"/>
  <c r="J131" i="84" s="1"/>
  <c r="I119" i="28"/>
  <c r="P119" i="28" s="1"/>
  <c r="J119" i="27"/>
  <c r="J119" i="41"/>
  <c r="S119" i="41" s="1"/>
  <c r="I119" i="47"/>
  <c r="Q119" i="47" s="1"/>
  <c r="L138" i="86"/>
  <c r="T138" i="86" s="1"/>
  <c r="T126" i="86"/>
  <c r="T124" i="86"/>
  <c r="L136" i="86"/>
  <c r="T136" i="86" s="1"/>
  <c r="Q120" i="41"/>
  <c r="BL2" i="99"/>
  <c r="BK2" i="99"/>
  <c r="W124" i="84" l="1"/>
  <c r="J136" i="84"/>
  <c r="W136" i="84" s="1"/>
  <c r="T113" i="27"/>
  <c r="J125" i="27"/>
  <c r="T127" i="27"/>
  <c r="J139" i="27"/>
  <c r="T139" i="27" s="1"/>
  <c r="DC2" i="99"/>
  <c r="DI2" i="99"/>
  <c r="DN2" i="99"/>
  <c r="DG2" i="99"/>
  <c r="DO2" i="99"/>
  <c r="DE2" i="99"/>
  <c r="DB2" i="99"/>
  <c r="DJ2" i="99"/>
  <c r="DK2" i="99"/>
  <c r="DM2" i="99"/>
  <c r="DF2" i="99"/>
  <c r="DL2" i="99"/>
  <c r="DH2" i="99"/>
  <c r="DD2" i="99"/>
  <c r="T110" i="27"/>
  <c r="J122" i="27"/>
  <c r="J140" i="27"/>
  <c r="T140" i="27" s="1"/>
  <c r="T128" i="27"/>
  <c r="T117" i="27"/>
  <c r="J129" i="27"/>
  <c r="T119" i="27"/>
  <c r="J131" i="27"/>
  <c r="R130" i="29"/>
  <c r="J142" i="29"/>
  <c r="R142" i="29" s="1"/>
  <c r="J135" i="29"/>
  <c r="R135" i="29" s="1"/>
  <c r="R123" i="29"/>
  <c r="T123" i="27"/>
  <c r="J135" i="27"/>
  <c r="T135" i="27" s="1"/>
  <c r="Q121" i="41"/>
  <c r="J143" i="84"/>
  <c r="W143" i="84" s="1"/>
  <c r="W131" i="84"/>
  <c r="BJ14" i="99"/>
  <c r="K13" i="84"/>
  <c r="K13" i="41"/>
  <c r="T13" i="41" s="1"/>
  <c r="K13" i="27"/>
  <c r="U13" i="27" s="1"/>
  <c r="T112" i="27"/>
  <c r="J124" i="27"/>
  <c r="J137" i="84"/>
  <c r="W137" i="84" s="1"/>
  <c r="W125" i="84"/>
  <c r="R125" i="29"/>
  <c r="J137" i="29"/>
  <c r="R137" i="29" s="1"/>
  <c r="J143" i="29"/>
  <c r="R143" i="29" s="1"/>
  <c r="R131" i="29"/>
  <c r="R129" i="29"/>
  <c r="J141" i="29"/>
  <c r="R141" i="29" s="1"/>
  <c r="R128" i="29"/>
  <c r="J140" i="29"/>
  <c r="R140" i="29" s="1"/>
  <c r="J134" i="84"/>
  <c r="W134" i="84" s="1"/>
  <c r="W122" i="84"/>
  <c r="R133" i="29"/>
  <c r="J145" i="29"/>
  <c r="R145" i="29" s="1"/>
  <c r="R124" i="29"/>
  <c r="J136" i="29"/>
  <c r="R136" i="29" s="1"/>
  <c r="T114" i="27"/>
  <c r="J126" i="27"/>
  <c r="J142" i="84"/>
  <c r="W142" i="84" s="1"/>
  <c r="W130" i="84"/>
  <c r="R122" i="29"/>
  <c r="J134" i="29"/>
  <c r="R134" i="29" s="1"/>
  <c r="T133" i="27"/>
  <c r="J145" i="27"/>
  <c r="T145" i="27" s="1"/>
  <c r="T132" i="27"/>
  <c r="J144" i="27"/>
  <c r="T144" i="27" s="1"/>
  <c r="J144" i="29"/>
  <c r="R144" i="29" s="1"/>
  <c r="R132" i="29"/>
  <c r="W129" i="84"/>
  <c r="J141" i="84"/>
  <c r="W141" i="84" s="1"/>
  <c r="J138" i="84"/>
  <c r="W138" i="84" s="1"/>
  <c r="W126" i="84"/>
  <c r="G121" i="41"/>
  <c r="P121" i="41" s="1"/>
  <c r="R126" i="29"/>
  <c r="J138" i="29"/>
  <c r="R138" i="29" s="1"/>
  <c r="T118" i="27"/>
  <c r="J130" i="27"/>
  <c r="J139" i="29"/>
  <c r="R139" i="29" s="1"/>
  <c r="R127" i="29"/>
  <c r="CF3" i="99"/>
  <c r="BL3" i="99"/>
  <c r="BK3" i="99"/>
  <c r="T126" i="27" l="1"/>
  <c r="J138" i="27"/>
  <c r="T138" i="27" s="1"/>
  <c r="T129" i="27"/>
  <c r="J141" i="27"/>
  <c r="T141" i="27" s="1"/>
  <c r="T122" i="27"/>
  <c r="J134" i="27"/>
  <c r="T134" i="27" s="1"/>
  <c r="T125" i="27"/>
  <c r="J137" i="27"/>
  <c r="T137" i="27" s="1"/>
  <c r="T130" i="27"/>
  <c r="J142" i="27"/>
  <c r="T142" i="27" s="1"/>
  <c r="T131" i="27"/>
  <c r="J143" i="27"/>
  <c r="T143" i="27" s="1"/>
  <c r="G2" i="27"/>
  <c r="Q2" i="27" s="1"/>
  <c r="N2" i="84"/>
  <c r="G2" i="41"/>
  <c r="P2" i="41" s="1"/>
  <c r="U2" i="41" s="1"/>
  <c r="Q2" i="41"/>
  <c r="U2" i="84"/>
  <c r="R2" i="27"/>
  <c r="T124" i="27"/>
  <c r="J136" i="27"/>
  <c r="T136" i="27" s="1"/>
  <c r="BJ15" i="99"/>
  <c r="K14" i="27"/>
  <c r="U14" i="27" s="1"/>
  <c r="K14" i="84"/>
  <c r="K14" i="41"/>
  <c r="T14" i="41" s="1"/>
  <c r="DD3" i="99"/>
  <c r="DJ3" i="99"/>
  <c r="DO3" i="99"/>
  <c r="DG3" i="99"/>
  <c r="DN3" i="99"/>
  <c r="DC3" i="99"/>
  <c r="DB3" i="99"/>
  <c r="DH3" i="99"/>
  <c r="DK3" i="99"/>
  <c r="DL3" i="99"/>
  <c r="DF3" i="99"/>
  <c r="DM3" i="99"/>
  <c r="DE3" i="99"/>
  <c r="DI3" i="99"/>
  <c r="BL4" i="99"/>
  <c r="BK4" i="99"/>
  <c r="CF4" i="99"/>
  <c r="R3" i="27" l="1"/>
  <c r="Q3" i="41"/>
  <c r="G3" i="41"/>
  <c r="P3" i="41" s="1"/>
  <c r="N3" i="84"/>
  <c r="T3" i="84" s="1"/>
  <c r="G3" i="27"/>
  <c r="Q3" i="27" s="1"/>
  <c r="T2" i="84"/>
  <c r="DG4" i="99"/>
  <c r="DL4" i="99"/>
  <c r="DH4" i="99"/>
  <c r="DO4" i="99"/>
  <c r="DD4" i="99"/>
  <c r="DC4" i="99"/>
  <c r="DI4" i="99"/>
  <c r="DK4" i="99"/>
  <c r="DE4" i="99"/>
  <c r="DM4" i="99"/>
  <c r="DB4" i="99"/>
  <c r="DF4" i="99"/>
  <c r="DN4" i="99"/>
  <c r="DJ4" i="99"/>
  <c r="BJ16" i="99"/>
  <c r="K15" i="84"/>
  <c r="K15" i="41"/>
  <c r="T15" i="41" s="1"/>
  <c r="K15" i="27"/>
  <c r="U15" i="27" s="1"/>
  <c r="CF5" i="99"/>
  <c r="BL5" i="99"/>
  <c r="BK5" i="99"/>
  <c r="U3" i="41" l="1"/>
  <c r="BJ17" i="99"/>
  <c r="K16" i="27"/>
  <c r="U16" i="27" s="1"/>
  <c r="K16" i="84"/>
  <c r="K16" i="41"/>
  <c r="T16" i="41" s="1"/>
  <c r="Q4" i="41"/>
  <c r="R4" i="27"/>
  <c r="N4" i="84"/>
  <c r="T4" i="84" s="1"/>
  <c r="G4" i="27"/>
  <c r="Q4" i="27" s="1"/>
  <c r="G4" i="41"/>
  <c r="P4" i="41" s="1"/>
  <c r="DD5" i="99"/>
  <c r="DI5" i="99"/>
  <c r="DN5" i="99"/>
  <c r="DH5" i="99"/>
  <c r="DE5" i="99"/>
  <c r="DB5" i="99"/>
  <c r="DJ5" i="99"/>
  <c r="DL5" i="99"/>
  <c r="DM5" i="99"/>
  <c r="DF5" i="99"/>
  <c r="DO5" i="99"/>
  <c r="DC5" i="99"/>
  <c r="DK5" i="99"/>
  <c r="DG5" i="99"/>
  <c r="U3" i="84"/>
  <c r="BL6" i="99"/>
  <c r="BK6" i="99"/>
  <c r="CF6" i="99"/>
  <c r="U4" i="41" l="1"/>
  <c r="DF6" i="99"/>
  <c r="DK6" i="99"/>
  <c r="DB6" i="99"/>
  <c r="DI6" i="99"/>
  <c r="DO6" i="99"/>
  <c r="DE6" i="99"/>
  <c r="DC6" i="99"/>
  <c r="DJ6" i="99"/>
  <c r="DM6" i="99"/>
  <c r="DN6" i="99"/>
  <c r="DG6" i="99"/>
  <c r="DL6" i="99"/>
  <c r="DH6" i="99"/>
  <c r="DD6" i="99"/>
  <c r="G5" i="41"/>
  <c r="P5" i="41" s="1"/>
  <c r="U5" i="41" s="1"/>
  <c r="N5" i="84"/>
  <c r="G5" i="27"/>
  <c r="Q5" i="27" s="1"/>
  <c r="R5" i="27"/>
  <c r="Q5" i="41"/>
  <c r="U4" i="84"/>
  <c r="BJ18" i="99"/>
  <c r="K17" i="84"/>
  <c r="K17" i="27"/>
  <c r="U17" i="27" s="1"/>
  <c r="K17" i="41"/>
  <c r="T17" i="41" s="1"/>
  <c r="CF7" i="99"/>
  <c r="BL7" i="99"/>
  <c r="BK7" i="99"/>
  <c r="BJ19" i="99" l="1"/>
  <c r="K18" i="84"/>
  <c r="K18" i="27"/>
  <c r="U18" i="27" s="1"/>
  <c r="K18" i="41"/>
  <c r="T18" i="41" s="1"/>
  <c r="G6" i="27"/>
  <c r="Q6" i="27" s="1"/>
  <c r="G6" i="41"/>
  <c r="P6" i="41" s="1"/>
  <c r="N6" i="84"/>
  <c r="Q6" i="41"/>
  <c r="R6" i="27"/>
  <c r="U6" i="84"/>
  <c r="DB7" i="99"/>
  <c r="DG7" i="99"/>
  <c r="DL7" i="99"/>
  <c r="DH7" i="99"/>
  <c r="DO7" i="99"/>
  <c r="DD7" i="99"/>
  <c r="DC7" i="99"/>
  <c r="DJ7" i="99"/>
  <c r="DK7" i="99"/>
  <c r="DN7" i="99"/>
  <c r="DF7" i="99"/>
  <c r="DM7" i="99"/>
  <c r="DE7" i="99"/>
  <c r="DI7" i="99"/>
  <c r="U5" i="84"/>
  <c r="T5" i="84"/>
  <c r="BL8" i="99"/>
  <c r="BK8" i="99"/>
  <c r="CF8" i="99"/>
  <c r="U6" i="41" l="1"/>
  <c r="T6" i="84"/>
  <c r="DD8" i="99"/>
  <c r="DI8" i="99"/>
  <c r="DO8" i="99"/>
  <c r="DH8" i="99"/>
  <c r="DE8" i="99"/>
  <c r="DC8" i="99"/>
  <c r="DK8" i="99"/>
  <c r="DL8" i="99"/>
  <c r="DG8" i="99"/>
  <c r="DM8" i="99"/>
  <c r="DB8" i="99"/>
  <c r="DN8" i="99"/>
  <c r="DJ8" i="99"/>
  <c r="DF8" i="99"/>
  <c r="R7" i="27"/>
  <c r="Q7" i="41"/>
  <c r="G7" i="27"/>
  <c r="Q7" i="27" s="1"/>
  <c r="G7" i="41"/>
  <c r="P7" i="41" s="1"/>
  <c r="N7" i="84"/>
  <c r="T7" i="84" s="1"/>
  <c r="BJ20" i="99"/>
  <c r="K19" i="84"/>
  <c r="K19" i="41"/>
  <c r="T19" i="41" s="1"/>
  <c r="K19" i="27"/>
  <c r="U19" i="27" s="1"/>
  <c r="CF9" i="99"/>
  <c r="BL9" i="99"/>
  <c r="BK9" i="99"/>
  <c r="U7" i="41" l="1"/>
  <c r="G8" i="41"/>
  <c r="P8" i="41" s="1"/>
  <c r="N8" i="84"/>
  <c r="G8" i="27"/>
  <c r="Q8" i="27" s="1"/>
  <c r="BJ21" i="99"/>
  <c r="K20" i="27"/>
  <c r="U20" i="27" s="1"/>
  <c r="K20" i="84"/>
  <c r="K20" i="41"/>
  <c r="T20" i="41" s="1"/>
  <c r="Q8" i="41"/>
  <c r="R8" i="27"/>
  <c r="DF9" i="99"/>
  <c r="DL9" i="99"/>
  <c r="DB9" i="99"/>
  <c r="DI9" i="99"/>
  <c r="DE9" i="99"/>
  <c r="DD9" i="99"/>
  <c r="DJ9" i="99"/>
  <c r="DM9" i="99"/>
  <c r="DN9" i="99"/>
  <c r="DH9" i="99"/>
  <c r="DO9" i="99"/>
  <c r="DC9" i="99"/>
  <c r="DG9" i="99"/>
  <c r="DK9" i="99"/>
  <c r="U7" i="84"/>
  <c r="BL10" i="99"/>
  <c r="BK10" i="99"/>
  <c r="CF10" i="99"/>
  <c r="U8" i="84" l="1"/>
  <c r="U8" i="41"/>
  <c r="G9" i="27"/>
  <c r="Q9" i="27" s="1"/>
  <c r="G9" i="41"/>
  <c r="P9" i="41" s="1"/>
  <c r="N9" i="84"/>
  <c r="BJ22" i="99"/>
  <c r="K21" i="84"/>
  <c r="K21" i="41"/>
  <c r="T21" i="41" s="1"/>
  <c r="K21" i="27"/>
  <c r="U21" i="27" s="1"/>
  <c r="DC10" i="99"/>
  <c r="DI10" i="99"/>
  <c r="DN10" i="99"/>
  <c r="DB10" i="99"/>
  <c r="DJ10" i="99"/>
  <c r="DF10" i="99"/>
  <c r="DE10" i="99"/>
  <c r="DK10" i="99"/>
  <c r="DM10" i="99"/>
  <c r="DO10" i="99"/>
  <c r="DG10" i="99"/>
  <c r="DL10" i="99"/>
  <c r="DD10" i="99"/>
  <c r="DH10" i="99"/>
  <c r="R9" i="27"/>
  <c r="Q9" i="41"/>
  <c r="T8" i="84"/>
  <c r="BL11" i="99"/>
  <c r="BK11" i="99"/>
  <c r="CF11" i="99"/>
  <c r="U9" i="84" l="1"/>
  <c r="T9" i="84"/>
  <c r="U9" i="41"/>
  <c r="DD11" i="99"/>
  <c r="DJ11" i="99"/>
  <c r="DO11" i="99"/>
  <c r="DB11" i="99"/>
  <c r="DH11" i="99"/>
  <c r="DF11" i="99"/>
  <c r="DC11" i="99"/>
  <c r="DK11" i="99"/>
  <c r="DL11" i="99"/>
  <c r="DN11" i="99"/>
  <c r="DG11" i="99"/>
  <c r="DM11" i="99"/>
  <c r="DI11" i="99"/>
  <c r="DE11" i="99"/>
  <c r="G10" i="27"/>
  <c r="Q10" i="27" s="1"/>
  <c r="N10" i="84"/>
  <c r="G10" i="41"/>
  <c r="P10" i="41" s="1"/>
  <c r="Q10" i="41"/>
  <c r="U10" i="84"/>
  <c r="R10" i="27"/>
  <c r="BJ23" i="99"/>
  <c r="K22" i="27"/>
  <c r="U22" i="27" s="1"/>
  <c r="K22" i="84"/>
  <c r="K22" i="41"/>
  <c r="T22" i="41" s="1"/>
  <c r="BL12" i="99"/>
  <c r="BK12" i="99"/>
  <c r="CF12" i="99"/>
  <c r="T10" i="84" l="1"/>
  <c r="U10" i="41"/>
  <c r="BJ24" i="99"/>
  <c r="K23" i="84"/>
  <c r="K23" i="41"/>
  <c r="T23" i="41" s="1"/>
  <c r="K23" i="27"/>
  <c r="U23" i="27" s="1"/>
  <c r="DG12" i="99"/>
  <c r="DL12" i="99"/>
  <c r="DC12" i="99"/>
  <c r="DI12" i="99"/>
  <c r="DE12" i="99"/>
  <c r="DD12" i="99"/>
  <c r="DK12" i="99"/>
  <c r="DM12" i="99"/>
  <c r="DH12" i="99"/>
  <c r="DO12" i="99"/>
  <c r="DB12" i="99"/>
  <c r="DN12" i="99"/>
  <c r="DJ12" i="99"/>
  <c r="DF12" i="99"/>
  <c r="Q11" i="41"/>
  <c r="U11" i="84"/>
  <c r="R11" i="27"/>
  <c r="N11" i="84"/>
  <c r="G11" i="27"/>
  <c r="Q11" i="27" s="1"/>
  <c r="G11" i="41"/>
  <c r="P11" i="41" s="1"/>
  <c r="CF13" i="99"/>
  <c r="BL13" i="99"/>
  <c r="BK13" i="99"/>
  <c r="U11" i="41" l="1"/>
  <c r="DD13" i="99"/>
  <c r="DI13" i="99"/>
  <c r="DN13" i="99"/>
  <c r="DB13" i="99"/>
  <c r="DJ13" i="99"/>
  <c r="DM13" i="99"/>
  <c r="DE13" i="99"/>
  <c r="DL13" i="99"/>
  <c r="DF13" i="99"/>
  <c r="DH13" i="99"/>
  <c r="DO13" i="99"/>
  <c r="DC13" i="99"/>
  <c r="DG13" i="99"/>
  <c r="DK13" i="99"/>
  <c r="T11" i="84"/>
  <c r="Q12" i="41"/>
  <c r="R12" i="27"/>
  <c r="P12" i="41"/>
  <c r="G12" i="27"/>
  <c r="Q12" i="27" s="1"/>
  <c r="N12" i="84"/>
  <c r="G12" i="41"/>
  <c r="BJ25" i="99"/>
  <c r="K24" i="27"/>
  <c r="U24" i="27" s="1"/>
  <c r="K24" i="84"/>
  <c r="K24" i="41"/>
  <c r="T24" i="41" s="1"/>
  <c r="M24" i="30"/>
  <c r="BL14" i="99"/>
  <c r="BK14" i="99"/>
  <c r="CF14" i="99"/>
  <c r="U12" i="41" l="1"/>
  <c r="DF14" i="99"/>
  <c r="DK14" i="99"/>
  <c r="DC14" i="99"/>
  <c r="DJ14" i="99"/>
  <c r="DG14" i="99"/>
  <c r="DE14" i="99"/>
  <c r="DM14" i="99"/>
  <c r="DN14" i="99"/>
  <c r="DB14" i="99"/>
  <c r="DO14" i="99"/>
  <c r="DI14" i="99"/>
  <c r="DH14" i="99"/>
  <c r="DL14" i="99"/>
  <c r="DD14" i="99"/>
  <c r="T12" i="84"/>
  <c r="U13" i="84"/>
  <c r="Q13" i="41"/>
  <c r="R13" i="27"/>
  <c r="BJ26" i="99"/>
  <c r="K25" i="84"/>
  <c r="K25" i="27"/>
  <c r="U25" i="27" s="1"/>
  <c r="K25" i="41"/>
  <c r="T25" i="41" s="1"/>
  <c r="M25" i="30"/>
  <c r="U12" i="84"/>
  <c r="N13" i="84"/>
  <c r="T13" i="84" s="1"/>
  <c r="G13" i="27"/>
  <c r="Q13" i="27" s="1"/>
  <c r="G13" i="41"/>
  <c r="P13" i="41" s="1"/>
  <c r="U13" i="41" s="1"/>
  <c r="CF15" i="99"/>
  <c r="BL15" i="99"/>
  <c r="BK15" i="99"/>
  <c r="G14" i="27" l="1"/>
  <c r="Q14" i="27" s="1"/>
  <c r="G14" i="41"/>
  <c r="P14" i="41" s="1"/>
  <c r="N14" i="84"/>
  <c r="BJ27" i="99"/>
  <c r="M26" i="30"/>
  <c r="K26" i="84"/>
  <c r="K26" i="27"/>
  <c r="U26" i="27" s="1"/>
  <c r="K26" i="41"/>
  <c r="T26" i="41" s="1"/>
  <c r="Q14" i="41"/>
  <c r="R14" i="27"/>
  <c r="U14" i="84"/>
  <c r="DB15" i="99"/>
  <c r="DG15" i="99"/>
  <c r="DL15" i="99"/>
  <c r="DC15" i="99"/>
  <c r="DJ15" i="99"/>
  <c r="DF15" i="99"/>
  <c r="DD15" i="99"/>
  <c r="DK15" i="99"/>
  <c r="DN15" i="99"/>
  <c r="DO15" i="99"/>
  <c r="DH15" i="99"/>
  <c r="DI15" i="99"/>
  <c r="DM15" i="99"/>
  <c r="DE15" i="99"/>
  <c r="BL16" i="99"/>
  <c r="BK16" i="99"/>
  <c r="CF16" i="99"/>
  <c r="U14" i="41" l="1"/>
  <c r="DD16" i="99"/>
  <c r="DI16" i="99"/>
  <c r="DO16" i="99"/>
  <c r="DC16" i="99"/>
  <c r="DK16" i="99"/>
  <c r="DG16" i="99"/>
  <c r="DE16" i="99"/>
  <c r="DL16" i="99"/>
  <c r="DM16" i="99"/>
  <c r="DH16" i="99"/>
  <c r="DB16" i="99"/>
  <c r="DN16" i="99"/>
  <c r="DJ16" i="99"/>
  <c r="DF16" i="99"/>
  <c r="N15" i="84"/>
  <c r="G15" i="27"/>
  <c r="Q15" i="27" s="1"/>
  <c r="G15" i="41"/>
  <c r="P15" i="41" s="1"/>
  <c r="Q15" i="41"/>
  <c r="U15" i="41" s="1"/>
  <c r="R15" i="27"/>
  <c r="T14" i="84"/>
  <c r="BJ28" i="99"/>
  <c r="M27" i="30"/>
  <c r="K27" i="84"/>
  <c r="K27" i="41"/>
  <c r="T27" i="41" s="1"/>
  <c r="K27" i="27"/>
  <c r="U27" i="27" s="1"/>
  <c r="CF17" i="99"/>
  <c r="BL17" i="99"/>
  <c r="BK17" i="99"/>
  <c r="T15" i="84" l="1"/>
  <c r="Q16" i="41"/>
  <c r="U16" i="84"/>
  <c r="R16" i="27"/>
  <c r="BJ29" i="99"/>
  <c r="K28" i="27"/>
  <c r="U28" i="27" s="1"/>
  <c r="K28" i="84"/>
  <c r="M28" i="30"/>
  <c r="K28" i="41"/>
  <c r="T28" i="41" s="1"/>
  <c r="DF17" i="99"/>
  <c r="DL17" i="99"/>
  <c r="DD17" i="99"/>
  <c r="DJ17" i="99"/>
  <c r="DN17" i="99"/>
  <c r="DE17" i="99"/>
  <c r="DM17" i="99"/>
  <c r="DH17" i="99"/>
  <c r="DI17" i="99"/>
  <c r="DB17" i="99"/>
  <c r="DO17" i="99"/>
  <c r="DG17" i="99"/>
  <c r="DC17" i="99"/>
  <c r="DK17" i="99"/>
  <c r="U15" i="84"/>
  <c r="G16" i="27"/>
  <c r="Q16" i="27" s="1"/>
  <c r="G16" i="41"/>
  <c r="P16" i="41" s="1"/>
  <c r="U16" i="41" s="1"/>
  <c r="N16" i="84"/>
  <c r="BL18" i="99"/>
  <c r="BK18" i="99"/>
  <c r="CF18" i="99"/>
  <c r="DC18" i="99" l="1"/>
  <c r="DI18" i="99"/>
  <c r="DN18" i="99"/>
  <c r="DE18" i="99"/>
  <c r="DK18" i="99"/>
  <c r="DO18" i="99"/>
  <c r="DF18" i="99"/>
  <c r="DM18" i="99"/>
  <c r="DG18" i="99"/>
  <c r="DB18" i="99"/>
  <c r="DJ18" i="99"/>
  <c r="DD18" i="99"/>
  <c r="DL18" i="99"/>
  <c r="DH18" i="99"/>
  <c r="BJ30" i="99"/>
  <c r="K29" i="84"/>
  <c r="M29" i="30"/>
  <c r="K29" i="41"/>
  <c r="T29" i="41" s="1"/>
  <c r="K29" i="27"/>
  <c r="U29" i="27" s="1"/>
  <c r="T16" i="84"/>
  <c r="G17" i="27"/>
  <c r="Q17" i="27" s="1"/>
  <c r="N17" i="84"/>
  <c r="G17" i="41"/>
  <c r="P17" i="41" s="1"/>
  <c r="Q17" i="41"/>
  <c r="U17" i="84"/>
  <c r="R17" i="27"/>
  <c r="CF19" i="99"/>
  <c r="BL19" i="99"/>
  <c r="BK19" i="99"/>
  <c r="U17" i="41" l="1"/>
  <c r="G18" i="27"/>
  <c r="Q18" i="27" s="1"/>
  <c r="G18" i="41"/>
  <c r="P18" i="41" s="1"/>
  <c r="N18" i="84"/>
  <c r="Q18" i="41"/>
  <c r="U18" i="84"/>
  <c r="R18" i="27"/>
  <c r="BJ31" i="99"/>
  <c r="M30" i="30"/>
  <c r="K30" i="27"/>
  <c r="U30" i="27" s="1"/>
  <c r="K30" i="84"/>
  <c r="K30" i="41"/>
  <c r="T30" i="41" s="1"/>
  <c r="DD19" i="99"/>
  <c r="DJ19" i="99"/>
  <c r="DO19" i="99"/>
  <c r="DC19" i="99"/>
  <c r="DK19" i="99"/>
  <c r="DN19" i="99"/>
  <c r="DF19" i="99"/>
  <c r="DL19" i="99"/>
  <c r="DG19" i="99"/>
  <c r="DB19" i="99"/>
  <c r="DH19" i="99"/>
  <c r="DI19" i="99"/>
  <c r="DM19" i="99"/>
  <c r="DE19" i="99"/>
  <c r="T17" i="84"/>
  <c r="BL20" i="99"/>
  <c r="BK20" i="99"/>
  <c r="CF20" i="99"/>
  <c r="U18" i="41" l="1"/>
  <c r="G19" i="41"/>
  <c r="P19" i="41" s="1"/>
  <c r="G19" i="27"/>
  <c r="Q19" i="27" s="1"/>
  <c r="N19" i="84"/>
  <c r="T19" i="84" s="1"/>
  <c r="DG20" i="99"/>
  <c r="DL20" i="99"/>
  <c r="DD20" i="99"/>
  <c r="DK20" i="99"/>
  <c r="DO20" i="99"/>
  <c r="DE20" i="99"/>
  <c r="DM20" i="99"/>
  <c r="DH20" i="99"/>
  <c r="DC20" i="99"/>
  <c r="DI20" i="99"/>
  <c r="DB20" i="99"/>
  <c r="DN20" i="99"/>
  <c r="DF20" i="99"/>
  <c r="DJ20" i="99"/>
  <c r="Q19" i="41"/>
  <c r="U19" i="41" s="1"/>
  <c r="R19" i="27"/>
  <c r="T18" i="84"/>
  <c r="BJ32" i="99"/>
  <c r="M31" i="30"/>
  <c r="K31" i="84"/>
  <c r="K31" i="41"/>
  <c r="T31" i="41" s="1"/>
  <c r="K31" i="27"/>
  <c r="U31" i="27" s="1"/>
  <c r="CF21" i="99"/>
  <c r="BL21" i="99"/>
  <c r="BK21" i="99"/>
  <c r="DD21" i="99" l="1"/>
  <c r="DI21" i="99"/>
  <c r="DN21" i="99"/>
  <c r="DE21" i="99"/>
  <c r="DL21" i="99"/>
  <c r="DF21" i="99"/>
  <c r="DM21" i="99"/>
  <c r="DH21" i="99"/>
  <c r="DB21" i="99"/>
  <c r="DJ21" i="99"/>
  <c r="DO21" i="99"/>
  <c r="DC21" i="99"/>
  <c r="DG21" i="99"/>
  <c r="DK21" i="99"/>
  <c r="N20" i="84"/>
  <c r="T20" i="84" s="1"/>
  <c r="G20" i="27"/>
  <c r="Q20" i="27" s="1"/>
  <c r="G20" i="41"/>
  <c r="Q20" i="41"/>
  <c r="R20" i="27"/>
  <c r="BJ33" i="99"/>
  <c r="K32" i="27"/>
  <c r="U32" i="27" s="1"/>
  <c r="K32" i="84"/>
  <c r="K32" i="41"/>
  <c r="T32" i="41" s="1"/>
  <c r="M32" i="30"/>
  <c r="U19" i="84"/>
  <c r="P20" i="41"/>
  <c r="U20" i="41" s="1"/>
  <c r="BL22" i="99"/>
  <c r="BK22" i="99"/>
  <c r="CF22" i="99"/>
  <c r="O103" i="9"/>
  <c r="O94" i="9"/>
  <c r="O84" i="9"/>
  <c r="O73" i="9"/>
  <c r="O48" i="9"/>
  <c r="O34" i="9"/>
  <c r="O19" i="9"/>
  <c r="O3" i="9"/>
  <c r="BJ34" i="99" l="1"/>
  <c r="K33" i="84"/>
  <c r="K33" i="27"/>
  <c r="U33" i="27" s="1"/>
  <c r="K33" i="41"/>
  <c r="T33" i="41" s="1"/>
  <c r="M33" i="30"/>
  <c r="DF22" i="99"/>
  <c r="DK22" i="99"/>
  <c r="DE22" i="99"/>
  <c r="DM22" i="99"/>
  <c r="DB22" i="99"/>
  <c r="DO22" i="99"/>
  <c r="DG22" i="99"/>
  <c r="DN22" i="99"/>
  <c r="DI22" i="99"/>
  <c r="DC22" i="99"/>
  <c r="DJ22" i="99"/>
  <c r="DL22" i="99"/>
  <c r="DH22" i="99"/>
  <c r="DD22" i="99"/>
  <c r="R21" i="27"/>
  <c r="Q21" i="41"/>
  <c r="U21" i="84"/>
  <c r="U20" i="84"/>
  <c r="G21" i="41"/>
  <c r="P21" i="41" s="1"/>
  <c r="U21" i="41" s="1"/>
  <c r="N21" i="84"/>
  <c r="G21" i="27"/>
  <c r="Q21" i="27" s="1"/>
  <c r="CF23" i="99"/>
  <c r="BL23" i="99"/>
  <c r="BK23" i="99"/>
  <c r="O61" i="9"/>
  <c r="DB23" i="99" l="1"/>
  <c r="DG23" i="99"/>
  <c r="DL23" i="99"/>
  <c r="DD23" i="99"/>
  <c r="DK23" i="99"/>
  <c r="DH23" i="99"/>
  <c r="DF23" i="99"/>
  <c r="DN23" i="99"/>
  <c r="DO23" i="99"/>
  <c r="DC23" i="99"/>
  <c r="DJ23" i="99"/>
  <c r="DI23" i="99"/>
  <c r="DM23" i="99"/>
  <c r="DE23" i="99"/>
  <c r="Q22" i="41"/>
  <c r="R22" i="27"/>
  <c r="U22" i="84"/>
  <c r="T21" i="84"/>
  <c r="G22" i="27"/>
  <c r="Q22" i="27" s="1"/>
  <c r="G22" i="41"/>
  <c r="P22" i="41" s="1"/>
  <c r="N22" i="84"/>
  <c r="BJ35" i="99"/>
  <c r="M34" i="30"/>
  <c r="K34" i="84"/>
  <c r="K34" i="27"/>
  <c r="U34" i="27" s="1"/>
  <c r="K34" i="41"/>
  <c r="T34" i="41" s="1"/>
  <c r="BL24" i="99"/>
  <c r="BK24" i="99"/>
  <c r="CF24" i="99"/>
  <c r="U22" i="41" l="1"/>
  <c r="BJ36" i="99"/>
  <c r="M35" i="30"/>
  <c r="K35" i="84"/>
  <c r="K35" i="41"/>
  <c r="T35" i="41" s="1"/>
  <c r="K35" i="27"/>
  <c r="U35" i="27" s="1"/>
  <c r="G23" i="27"/>
  <c r="Q23" i="27" s="1"/>
  <c r="G23" i="41"/>
  <c r="P23" i="41" s="1"/>
  <c r="N23" i="84"/>
  <c r="T23" i="84" s="1"/>
  <c r="T22" i="84"/>
  <c r="R23" i="27"/>
  <c r="Q23" i="41"/>
  <c r="DD24" i="99"/>
  <c r="DI24" i="99"/>
  <c r="DO24" i="99"/>
  <c r="DE24" i="99"/>
  <c r="DL24" i="99"/>
  <c r="DH24" i="99"/>
  <c r="DG24" i="99"/>
  <c r="DM24" i="99"/>
  <c r="DC24" i="99"/>
  <c r="DK24" i="99"/>
  <c r="DB24" i="99"/>
  <c r="DN24" i="99"/>
  <c r="DJ24" i="99"/>
  <c r="DF24" i="99"/>
  <c r="CF25" i="99"/>
  <c r="BL25" i="99"/>
  <c r="BK25" i="99"/>
  <c r="U23" i="41" l="1"/>
  <c r="Q24" i="41"/>
  <c r="R24" i="27"/>
  <c r="DF25" i="99"/>
  <c r="DL25" i="99"/>
  <c r="DE25" i="99"/>
  <c r="DM25" i="99"/>
  <c r="DI25" i="99"/>
  <c r="DH25" i="99"/>
  <c r="DN25" i="99"/>
  <c r="DB25" i="99"/>
  <c r="DD25" i="99"/>
  <c r="DJ25" i="99"/>
  <c r="DO25" i="99"/>
  <c r="DC25" i="99"/>
  <c r="DG25" i="99"/>
  <c r="DK25" i="99"/>
  <c r="G24" i="41"/>
  <c r="P24" i="41" s="1"/>
  <c r="U24" i="41" s="1"/>
  <c r="N24" i="84"/>
  <c r="G24" i="27"/>
  <c r="Q24" i="27" s="1"/>
  <c r="U23" i="84"/>
  <c r="BJ37" i="99"/>
  <c r="K36" i="27"/>
  <c r="U36" i="27" s="1"/>
  <c r="K36" i="84"/>
  <c r="M36" i="30"/>
  <c r="K36" i="41"/>
  <c r="T36" i="41" s="1"/>
  <c r="BL26" i="99"/>
  <c r="BK26" i="99"/>
  <c r="CF26" i="99"/>
  <c r="DC26" i="99" l="1"/>
  <c r="DI26" i="99"/>
  <c r="DN26" i="99"/>
  <c r="DF26" i="99"/>
  <c r="DM26" i="99"/>
  <c r="DJ26" i="99"/>
  <c r="DG26" i="99"/>
  <c r="DO26" i="99"/>
  <c r="DB26" i="99"/>
  <c r="DE26" i="99"/>
  <c r="DK26" i="99"/>
  <c r="DH26" i="99"/>
  <c r="DL26" i="99"/>
  <c r="DD26" i="99"/>
  <c r="G25" i="27"/>
  <c r="Q25" i="27" s="1"/>
  <c r="G25" i="41"/>
  <c r="P25" i="41" s="1"/>
  <c r="N25" i="84"/>
  <c r="Q25" i="41"/>
  <c r="R25" i="27"/>
  <c r="BJ38" i="99"/>
  <c r="K37" i="84"/>
  <c r="M37" i="30"/>
  <c r="K37" i="41"/>
  <c r="T37" i="41" s="1"/>
  <c r="K37" i="27"/>
  <c r="U37" i="27" s="1"/>
  <c r="T24" i="84"/>
  <c r="U24" i="84"/>
  <c r="CF27" i="99"/>
  <c r="BL27" i="99"/>
  <c r="BK27" i="99"/>
  <c r="U25" i="41" l="1"/>
  <c r="U25" i="84"/>
  <c r="T25" i="84"/>
  <c r="G26" i="27"/>
  <c r="Q26" i="27" s="1"/>
  <c r="N26" i="84"/>
  <c r="G26" i="41"/>
  <c r="P26" i="41" s="1"/>
  <c r="Q26" i="41"/>
  <c r="R26" i="27"/>
  <c r="DD27" i="99"/>
  <c r="DJ27" i="99"/>
  <c r="DO27" i="99"/>
  <c r="DF27" i="99"/>
  <c r="DL27" i="99"/>
  <c r="DH27" i="99"/>
  <c r="DG27" i="99"/>
  <c r="DN27" i="99"/>
  <c r="DB27" i="99"/>
  <c r="DC27" i="99"/>
  <c r="DK27" i="99"/>
  <c r="DI27" i="99"/>
  <c r="DM27" i="99"/>
  <c r="DE27" i="99"/>
  <c r="BJ39" i="99"/>
  <c r="M38" i="30"/>
  <c r="K38" i="27"/>
  <c r="U38" i="27" s="1"/>
  <c r="K38" i="84"/>
  <c r="K38" i="41"/>
  <c r="T38" i="41" s="1"/>
  <c r="BK28" i="99"/>
  <c r="BL28" i="99"/>
  <c r="CF28" i="99"/>
  <c r="U26" i="41" l="1"/>
  <c r="U26" i="84"/>
  <c r="T26" i="84"/>
  <c r="N27" i="84"/>
  <c r="G27" i="27"/>
  <c r="Q27" i="27" s="1"/>
  <c r="G27" i="41"/>
  <c r="P27" i="41" s="1"/>
  <c r="DG28" i="99"/>
  <c r="DL28" i="99"/>
  <c r="DE28" i="99"/>
  <c r="DM28" i="99"/>
  <c r="DI28" i="99"/>
  <c r="DH28" i="99"/>
  <c r="DO28" i="99"/>
  <c r="DC28" i="99"/>
  <c r="DD28" i="99"/>
  <c r="DK28" i="99"/>
  <c r="DB28" i="99"/>
  <c r="DN28" i="99"/>
  <c r="DF28" i="99"/>
  <c r="DJ28" i="99"/>
  <c r="R27" i="27"/>
  <c r="Q27" i="41"/>
  <c r="BJ40" i="99"/>
  <c r="M39" i="30"/>
  <c r="K39" i="84"/>
  <c r="K39" i="41"/>
  <c r="T39" i="41" s="1"/>
  <c r="K39" i="27"/>
  <c r="U39" i="27" s="1"/>
  <c r="CF29" i="99"/>
  <c r="BL29" i="99"/>
  <c r="BK29" i="99"/>
  <c r="U27" i="84" l="1"/>
  <c r="DD29" i="99"/>
  <c r="DI29" i="99"/>
  <c r="DN29" i="99"/>
  <c r="DF29" i="99"/>
  <c r="DM29" i="99"/>
  <c r="DH29" i="99"/>
  <c r="DB29" i="99"/>
  <c r="DJ29" i="99"/>
  <c r="DE29" i="99"/>
  <c r="DL29" i="99"/>
  <c r="DO29" i="99"/>
  <c r="DC29" i="99"/>
  <c r="DK29" i="99"/>
  <c r="DG29" i="99"/>
  <c r="BJ41" i="99"/>
  <c r="K40" i="27"/>
  <c r="U40" i="27" s="1"/>
  <c r="K40" i="84"/>
  <c r="K40" i="41"/>
  <c r="T40" i="41" s="1"/>
  <c r="M40" i="30"/>
  <c r="U27" i="41"/>
  <c r="G28" i="27"/>
  <c r="Q28" i="27" s="1"/>
  <c r="G28" i="41"/>
  <c r="P28" i="41" s="1"/>
  <c r="N28" i="84"/>
  <c r="Q28" i="41"/>
  <c r="R28" i="27"/>
  <c r="T27" i="84"/>
  <c r="BK30" i="99"/>
  <c r="BL30" i="99"/>
  <c r="CF30" i="99"/>
  <c r="U28" i="84" l="1"/>
  <c r="U28" i="41"/>
  <c r="DF30" i="99"/>
  <c r="DK30" i="99"/>
  <c r="DG30" i="99"/>
  <c r="DN30" i="99"/>
  <c r="DC30" i="99"/>
  <c r="DB30" i="99"/>
  <c r="DI30" i="99"/>
  <c r="DO30" i="99"/>
  <c r="DJ30" i="99"/>
  <c r="DE30" i="99"/>
  <c r="DM30" i="99"/>
  <c r="DH30" i="99"/>
  <c r="DL30" i="99"/>
  <c r="DD30" i="99"/>
  <c r="R29" i="27"/>
  <c r="Q29" i="41"/>
  <c r="BJ42" i="99"/>
  <c r="K41" i="84"/>
  <c r="K41" i="27"/>
  <c r="U41" i="27" s="1"/>
  <c r="K41" i="41"/>
  <c r="T41" i="41" s="1"/>
  <c r="M41" i="30"/>
  <c r="T28" i="84"/>
  <c r="N29" i="84"/>
  <c r="G29" i="27"/>
  <c r="Q29" i="27" s="1"/>
  <c r="G29" i="41"/>
  <c r="P29" i="41" s="1"/>
  <c r="CF31" i="99"/>
  <c r="BL31" i="99"/>
  <c r="BK31" i="99"/>
  <c r="U29" i="41" l="1"/>
  <c r="T29" i="84"/>
  <c r="DB31" i="99"/>
  <c r="DG31" i="99"/>
  <c r="DL31" i="99"/>
  <c r="DF31" i="99"/>
  <c r="DN31" i="99"/>
  <c r="DC31" i="99"/>
  <c r="DH31" i="99"/>
  <c r="DO31" i="99"/>
  <c r="DJ31" i="99"/>
  <c r="DD31" i="99"/>
  <c r="DK31" i="99"/>
  <c r="DM31" i="99"/>
  <c r="DE31" i="99"/>
  <c r="DI31" i="99"/>
  <c r="U29" i="84"/>
  <c r="Q30" i="41"/>
  <c r="R30" i="27"/>
  <c r="G30" i="27"/>
  <c r="Q30" i="27" s="1"/>
  <c r="N30" i="84"/>
  <c r="G30" i="41"/>
  <c r="P30" i="41" s="1"/>
  <c r="U30" i="41" s="1"/>
  <c r="BJ43" i="99"/>
  <c r="M42" i="30"/>
  <c r="K42" i="84"/>
  <c r="K42" i="27"/>
  <c r="U42" i="27" s="1"/>
  <c r="K42" i="41"/>
  <c r="T42" i="41" s="1"/>
  <c r="CF32" i="99"/>
  <c r="BK32" i="99"/>
  <c r="BL32" i="99"/>
  <c r="U30" i="84" l="1"/>
  <c r="BJ44" i="99"/>
  <c r="M43" i="30"/>
  <c r="K43" i="84"/>
  <c r="K43" i="41"/>
  <c r="T43" i="41" s="1"/>
  <c r="K43" i="27"/>
  <c r="U43" i="27" s="1"/>
  <c r="DD32" i="99"/>
  <c r="DI32" i="99"/>
  <c r="DO32" i="99"/>
  <c r="DG32" i="99"/>
  <c r="DM32" i="99"/>
  <c r="DC32" i="99"/>
  <c r="DH32" i="99"/>
  <c r="DK32" i="99"/>
  <c r="DE32" i="99"/>
  <c r="DL32" i="99"/>
  <c r="DB32" i="99"/>
  <c r="DN32" i="99"/>
  <c r="DF32" i="99"/>
  <c r="DJ32" i="99"/>
  <c r="R31" i="27"/>
  <c r="Q31" i="41"/>
  <c r="G31" i="27"/>
  <c r="Q31" i="27" s="1"/>
  <c r="N31" i="84"/>
  <c r="G31" i="41"/>
  <c r="P31" i="41" s="1"/>
  <c r="T30" i="84"/>
  <c r="BL33" i="99"/>
  <c r="BK33" i="99"/>
  <c r="CF33" i="99"/>
  <c r="U31" i="41" l="1"/>
  <c r="T31" i="84"/>
  <c r="U31" i="84"/>
  <c r="G32" i="27"/>
  <c r="Q32" i="27" s="1"/>
  <c r="N32" i="84"/>
  <c r="G32" i="41"/>
  <c r="P32" i="41" s="1"/>
  <c r="DF33" i="99"/>
  <c r="DL33" i="99"/>
  <c r="DH33" i="99"/>
  <c r="DN33" i="99"/>
  <c r="DD33" i="99"/>
  <c r="DB33" i="99"/>
  <c r="DI33" i="99"/>
  <c r="DJ33" i="99"/>
  <c r="DE33" i="99"/>
  <c r="DM33" i="99"/>
  <c r="DO33" i="99"/>
  <c r="DG33" i="99"/>
  <c r="DC33" i="99"/>
  <c r="DK33" i="99"/>
  <c r="Q32" i="41"/>
  <c r="U32" i="84"/>
  <c r="R32" i="27"/>
  <c r="BJ45" i="99"/>
  <c r="K44" i="27"/>
  <c r="U44" i="27" s="1"/>
  <c r="K44" i="84"/>
  <c r="M44" i="30"/>
  <c r="K44" i="41"/>
  <c r="T44" i="41" s="1"/>
  <c r="CF34" i="99"/>
  <c r="BK34" i="99"/>
  <c r="BL34" i="99"/>
  <c r="U32" i="41" l="1"/>
  <c r="T32" i="84"/>
  <c r="BJ46" i="99"/>
  <c r="K45" i="84"/>
  <c r="M45" i="30"/>
  <c r="K45" i="41"/>
  <c r="T45" i="41" s="1"/>
  <c r="K45" i="27"/>
  <c r="U45" i="27" s="1"/>
  <c r="N33" i="84"/>
  <c r="G33" i="27"/>
  <c r="Q33" i="27" s="1"/>
  <c r="G33" i="41"/>
  <c r="P33" i="41" s="1"/>
  <c r="Q33" i="41"/>
  <c r="R33" i="27"/>
  <c r="DC34" i="99"/>
  <c r="DI34" i="99"/>
  <c r="DN34" i="99"/>
  <c r="DG34" i="99"/>
  <c r="DO34" i="99"/>
  <c r="DE34" i="99"/>
  <c r="DB34" i="99"/>
  <c r="DJ34" i="99"/>
  <c r="DK34" i="99"/>
  <c r="DF34" i="99"/>
  <c r="DM34" i="99"/>
  <c r="DD34" i="99"/>
  <c r="DL34" i="99"/>
  <c r="DH34" i="99"/>
  <c r="BL35" i="99"/>
  <c r="BK35" i="99"/>
  <c r="CF35" i="99"/>
  <c r="U33" i="41" l="1"/>
  <c r="DD35" i="99"/>
  <c r="DJ35" i="99"/>
  <c r="DO35" i="99"/>
  <c r="DG35" i="99"/>
  <c r="DN35" i="99"/>
  <c r="DC35" i="99"/>
  <c r="DB35" i="99"/>
  <c r="DH35" i="99"/>
  <c r="DK35" i="99"/>
  <c r="DL35" i="99"/>
  <c r="DF35" i="99"/>
  <c r="DM35" i="99"/>
  <c r="DE35" i="99"/>
  <c r="DI35" i="99"/>
  <c r="G34" i="27"/>
  <c r="Q34" i="27" s="1"/>
  <c r="N34" i="84"/>
  <c r="T34" i="84" s="1"/>
  <c r="G34" i="41"/>
  <c r="P34" i="41" s="1"/>
  <c r="Q34" i="41"/>
  <c r="R34" i="27"/>
  <c r="U33" i="84"/>
  <c r="T33" i="84"/>
  <c r="BJ47" i="99"/>
  <c r="M46" i="30"/>
  <c r="K46" i="27"/>
  <c r="U46" i="27" s="1"/>
  <c r="K46" i="84"/>
  <c r="K46" i="41"/>
  <c r="T46" i="41" s="1"/>
  <c r="CF36" i="99"/>
  <c r="BL36" i="99"/>
  <c r="BK36" i="99"/>
  <c r="U34" i="41" l="1"/>
  <c r="Q35" i="41"/>
  <c r="U35" i="84"/>
  <c r="R35" i="27"/>
  <c r="DG36" i="99"/>
  <c r="DL36" i="99"/>
  <c r="DH36" i="99"/>
  <c r="DO36" i="99"/>
  <c r="DD36" i="99"/>
  <c r="DC36" i="99"/>
  <c r="DI36" i="99"/>
  <c r="DK36" i="99"/>
  <c r="DE36" i="99"/>
  <c r="DM36" i="99"/>
  <c r="DB36" i="99"/>
  <c r="DN36" i="99"/>
  <c r="DJ36" i="99"/>
  <c r="DF36" i="99"/>
  <c r="BJ48" i="99"/>
  <c r="M47" i="30"/>
  <c r="K47" i="84"/>
  <c r="K47" i="41"/>
  <c r="T47" i="41" s="1"/>
  <c r="K47" i="27"/>
  <c r="U47" i="27" s="1"/>
  <c r="U34" i="84"/>
  <c r="G35" i="41"/>
  <c r="P35" i="41" s="1"/>
  <c r="N35" i="84"/>
  <c r="G35" i="27"/>
  <c r="Q35" i="27" s="1"/>
  <c r="BL37" i="99"/>
  <c r="BK37" i="99"/>
  <c r="CF37" i="99"/>
  <c r="BJ49" i="99" l="1"/>
  <c r="K48" i="27"/>
  <c r="U48" i="27" s="1"/>
  <c r="K48" i="84"/>
  <c r="K48" i="41"/>
  <c r="T48" i="41" s="1"/>
  <c r="M48" i="30"/>
  <c r="Q36" i="41"/>
  <c r="U36" i="84"/>
  <c r="R36" i="27"/>
  <c r="U35" i="41"/>
  <c r="DD37" i="99"/>
  <c r="DI37" i="99"/>
  <c r="DN37" i="99"/>
  <c r="DH37" i="99"/>
  <c r="DB37" i="99"/>
  <c r="DJ37" i="99"/>
  <c r="DL37" i="99"/>
  <c r="DM37" i="99"/>
  <c r="DE37" i="99"/>
  <c r="DF37" i="99"/>
  <c r="DO37" i="99"/>
  <c r="DG37" i="99"/>
  <c r="DC37" i="99"/>
  <c r="DK37" i="99"/>
  <c r="T35" i="84"/>
  <c r="N36" i="84"/>
  <c r="T36" i="84" s="1"/>
  <c r="G36" i="27"/>
  <c r="Q36" i="27" s="1"/>
  <c r="G36" i="41"/>
  <c r="P36" i="41" s="1"/>
  <c r="CF38" i="99"/>
  <c r="BL38" i="99"/>
  <c r="BK38" i="99"/>
  <c r="U36" i="41" l="1"/>
  <c r="DF38" i="99"/>
  <c r="DK38" i="99"/>
  <c r="DB38" i="99"/>
  <c r="DI38" i="99"/>
  <c r="DO38" i="99"/>
  <c r="DC38" i="99"/>
  <c r="DJ38" i="99"/>
  <c r="DE38" i="99"/>
  <c r="DM38" i="99"/>
  <c r="DG38" i="99"/>
  <c r="DN38" i="99"/>
  <c r="DD38" i="99"/>
  <c r="DL38" i="99"/>
  <c r="DH38" i="99"/>
  <c r="R37" i="27"/>
  <c r="Q37" i="41"/>
  <c r="G37" i="41"/>
  <c r="P37" i="41" s="1"/>
  <c r="U37" i="41" s="1"/>
  <c r="N37" i="84"/>
  <c r="G37" i="27"/>
  <c r="Q37" i="27" s="1"/>
  <c r="BJ50" i="99"/>
  <c r="K49" i="84"/>
  <c r="K49" i="27"/>
  <c r="U49" i="27" s="1"/>
  <c r="K49" i="41"/>
  <c r="T49" i="41" s="1"/>
  <c r="M49" i="30"/>
  <c r="BL39" i="99"/>
  <c r="BK39" i="99"/>
  <c r="CF39" i="99"/>
  <c r="U37" i="84" l="1"/>
  <c r="DB39" i="99"/>
  <c r="DG39" i="99"/>
  <c r="DL39" i="99"/>
  <c r="DH39" i="99"/>
  <c r="DO39" i="99"/>
  <c r="DC39" i="99"/>
  <c r="DJ39" i="99"/>
  <c r="DF39" i="99"/>
  <c r="DN39" i="99"/>
  <c r="DD39" i="99"/>
  <c r="DK39" i="99"/>
  <c r="DE39" i="99"/>
  <c r="DM39" i="99"/>
  <c r="DI39" i="99"/>
  <c r="G38" i="27"/>
  <c r="Q38" i="27" s="1"/>
  <c r="G38" i="41"/>
  <c r="P38" i="41" s="1"/>
  <c r="N38" i="84"/>
  <c r="Q38" i="41"/>
  <c r="R38" i="27"/>
  <c r="BJ51" i="99"/>
  <c r="M50" i="30"/>
  <c r="K50" i="84"/>
  <c r="K50" i="27"/>
  <c r="U50" i="27" s="1"/>
  <c r="K50" i="41"/>
  <c r="T50" i="41" s="1"/>
  <c r="T37" i="84"/>
  <c r="CF40" i="99"/>
  <c r="BK40" i="99"/>
  <c r="BL40" i="99"/>
  <c r="T38" i="84" l="1"/>
  <c r="U38" i="41"/>
  <c r="U38" i="84"/>
  <c r="R39" i="27"/>
  <c r="Q39" i="41"/>
  <c r="G39" i="27"/>
  <c r="Q39" i="27" s="1"/>
  <c r="G39" i="41"/>
  <c r="P39" i="41" s="1"/>
  <c r="N39" i="84"/>
  <c r="DD40" i="99"/>
  <c r="DI40" i="99"/>
  <c r="DO40" i="99"/>
  <c r="DH40" i="99"/>
  <c r="DC40" i="99"/>
  <c r="DK40" i="99"/>
  <c r="DG40" i="99"/>
  <c r="DL40" i="99"/>
  <c r="DM40" i="99"/>
  <c r="DE40" i="99"/>
  <c r="DB40" i="99"/>
  <c r="DF40" i="99"/>
  <c r="DN40" i="99"/>
  <c r="DJ40" i="99"/>
  <c r="BJ52" i="99"/>
  <c r="M51" i="30"/>
  <c r="K51" i="84"/>
  <c r="K51" i="41"/>
  <c r="T51" i="41" s="1"/>
  <c r="K51" i="27"/>
  <c r="U51" i="27" s="1"/>
  <c r="BL41" i="99"/>
  <c r="BK41" i="99"/>
  <c r="CF41" i="99"/>
  <c r="U39" i="41" l="1"/>
  <c r="BJ53" i="99"/>
  <c r="K52" i="84"/>
  <c r="M52" i="30"/>
  <c r="K52" i="27"/>
  <c r="U52" i="27" s="1"/>
  <c r="K52" i="41"/>
  <c r="T52" i="41" s="1"/>
  <c r="G40" i="41"/>
  <c r="P40" i="41" s="1"/>
  <c r="N40" i="84"/>
  <c r="G40" i="27"/>
  <c r="Q40" i="27" s="1"/>
  <c r="U39" i="84"/>
  <c r="Q40" i="41"/>
  <c r="R40" i="27"/>
  <c r="DF41" i="99"/>
  <c r="DL41" i="99"/>
  <c r="DB41" i="99"/>
  <c r="DI41" i="99"/>
  <c r="DD41" i="99"/>
  <c r="DJ41" i="99"/>
  <c r="DH41" i="99"/>
  <c r="DN41" i="99"/>
  <c r="DE41" i="99"/>
  <c r="DM41" i="99"/>
  <c r="DO41" i="99"/>
  <c r="DC41" i="99"/>
  <c r="DG41" i="99"/>
  <c r="DK41" i="99"/>
  <c r="T39" i="84"/>
  <c r="BL42" i="99"/>
  <c r="BK42" i="99"/>
  <c r="CF42" i="99"/>
  <c r="U40" i="84" l="1"/>
  <c r="U40" i="41"/>
  <c r="DC42" i="99"/>
  <c r="DI42" i="99"/>
  <c r="DN42" i="99"/>
  <c r="DB42" i="99"/>
  <c r="DJ42" i="99"/>
  <c r="DE42" i="99"/>
  <c r="DK42" i="99"/>
  <c r="DG42" i="99"/>
  <c r="DF42" i="99"/>
  <c r="DM42" i="99"/>
  <c r="DO42" i="99"/>
  <c r="DD42" i="99"/>
  <c r="DL42" i="99"/>
  <c r="DH42" i="99"/>
  <c r="R41" i="27"/>
  <c r="Q41" i="41"/>
  <c r="G41" i="27"/>
  <c r="Q41" i="27" s="1"/>
  <c r="G41" i="41"/>
  <c r="P41" i="41" s="1"/>
  <c r="U41" i="41" s="1"/>
  <c r="N41" i="84"/>
  <c r="T40" i="84"/>
  <c r="BJ54" i="99"/>
  <c r="K53" i="84"/>
  <c r="M53" i="30"/>
  <c r="K53" i="27"/>
  <c r="U53" i="27" s="1"/>
  <c r="K53" i="41"/>
  <c r="T53" i="41" s="1"/>
  <c r="CF43" i="99"/>
  <c r="BL43" i="99"/>
  <c r="BK43" i="99"/>
  <c r="BJ55" i="99" l="1"/>
  <c r="M54" i="30"/>
  <c r="K54" i="27"/>
  <c r="U54" i="27" s="1"/>
  <c r="K54" i="84"/>
  <c r="K54" i="41"/>
  <c r="T54" i="41" s="1"/>
  <c r="T41" i="84"/>
  <c r="U41" i="84"/>
  <c r="Q42" i="41"/>
  <c r="U42" i="84"/>
  <c r="R42" i="27"/>
  <c r="G42" i="27"/>
  <c r="Q42" i="27" s="1"/>
  <c r="G42" i="41"/>
  <c r="P42" i="41" s="1"/>
  <c r="U42" i="41" s="1"/>
  <c r="N42" i="84"/>
  <c r="T42" i="84" s="1"/>
  <c r="DD43" i="99"/>
  <c r="DJ43" i="99"/>
  <c r="DO43" i="99"/>
  <c r="DB43" i="99"/>
  <c r="DH43" i="99"/>
  <c r="DC43" i="99"/>
  <c r="DK43" i="99"/>
  <c r="DG43" i="99"/>
  <c r="DN43" i="99"/>
  <c r="DL43" i="99"/>
  <c r="DF43" i="99"/>
  <c r="DE43" i="99"/>
  <c r="DM43" i="99"/>
  <c r="DI43" i="99"/>
  <c r="BK44" i="99"/>
  <c r="BL44" i="99"/>
  <c r="CF44" i="99"/>
  <c r="DG44" i="99" l="1"/>
  <c r="DL44" i="99"/>
  <c r="DC44" i="99"/>
  <c r="DI44" i="99"/>
  <c r="DD44" i="99"/>
  <c r="DK44" i="99"/>
  <c r="DH44" i="99"/>
  <c r="DE44" i="99"/>
  <c r="DM44" i="99"/>
  <c r="DO44" i="99"/>
  <c r="DB44" i="99"/>
  <c r="DF44" i="99"/>
  <c r="DN44" i="99"/>
  <c r="DJ44" i="99"/>
  <c r="N43" i="84"/>
  <c r="T43" i="84" s="1"/>
  <c r="G43" i="27"/>
  <c r="Q43" i="27" s="1"/>
  <c r="G43" i="41"/>
  <c r="P43" i="41" s="1"/>
  <c r="U43" i="84"/>
  <c r="R43" i="27"/>
  <c r="Q43" i="41"/>
  <c r="BJ56" i="99"/>
  <c r="M55" i="30"/>
  <c r="K55" i="84"/>
  <c r="K55" i="41"/>
  <c r="T55" i="41" s="1"/>
  <c r="K55" i="27"/>
  <c r="U55" i="27" s="1"/>
  <c r="CF45" i="99"/>
  <c r="BL45" i="99"/>
  <c r="BK45" i="99"/>
  <c r="U43" i="41" l="1"/>
  <c r="DD45" i="99"/>
  <c r="DI45" i="99"/>
  <c r="DN45" i="99"/>
  <c r="DB45" i="99"/>
  <c r="DJ45" i="99"/>
  <c r="DE45" i="99"/>
  <c r="DL45" i="99"/>
  <c r="DH45" i="99"/>
  <c r="DM45" i="99"/>
  <c r="DF45" i="99"/>
  <c r="DO45" i="99"/>
  <c r="DC45" i="99"/>
  <c r="DG45" i="99"/>
  <c r="DK45" i="99"/>
  <c r="Q44" i="41"/>
  <c r="R44" i="27"/>
  <c r="BJ57" i="99"/>
  <c r="K56" i="84"/>
  <c r="K56" i="27"/>
  <c r="U56" i="27" s="1"/>
  <c r="K56" i="41"/>
  <c r="T56" i="41" s="1"/>
  <c r="M56" i="30"/>
  <c r="G44" i="27"/>
  <c r="Q44" i="27" s="1"/>
  <c r="N44" i="84"/>
  <c r="T44" i="84" s="1"/>
  <c r="G44" i="41"/>
  <c r="P44" i="41" s="1"/>
  <c r="CF46" i="99"/>
  <c r="BL46" i="99"/>
  <c r="BK46" i="99"/>
  <c r="U44" i="41" l="1"/>
  <c r="U44" i="84"/>
  <c r="DF46" i="99"/>
  <c r="DK46" i="99"/>
  <c r="DC46" i="99"/>
  <c r="DJ46" i="99"/>
  <c r="DE46" i="99"/>
  <c r="DM46" i="99"/>
  <c r="DI46" i="99"/>
  <c r="DB46" i="99"/>
  <c r="DG46" i="99"/>
  <c r="DN46" i="99"/>
  <c r="DO46" i="99"/>
  <c r="DD46" i="99"/>
  <c r="DL46" i="99"/>
  <c r="DH46" i="99"/>
  <c r="R45" i="27"/>
  <c r="Q45" i="41"/>
  <c r="BJ58" i="99"/>
  <c r="K57" i="84"/>
  <c r="K57" i="41"/>
  <c r="T57" i="41" s="1"/>
  <c r="K57" i="27"/>
  <c r="U57" i="27" s="1"/>
  <c r="M57" i="30"/>
  <c r="N45" i="84"/>
  <c r="T45" i="84" s="1"/>
  <c r="G45" i="27"/>
  <c r="Q45" i="27" s="1"/>
  <c r="G45" i="41"/>
  <c r="P45" i="41" s="1"/>
  <c r="BK47" i="99"/>
  <c r="BL47" i="99"/>
  <c r="CF47" i="99"/>
  <c r="U45" i="41" l="1"/>
  <c r="G46" i="27"/>
  <c r="Q46" i="27" s="1"/>
  <c r="G46" i="41"/>
  <c r="P46" i="41" s="1"/>
  <c r="N46" i="84"/>
  <c r="BJ59" i="99"/>
  <c r="M58" i="30"/>
  <c r="K58" i="84"/>
  <c r="K58" i="27"/>
  <c r="U58" i="27" s="1"/>
  <c r="K58" i="41"/>
  <c r="T58" i="41" s="1"/>
  <c r="DB47" i="99"/>
  <c r="DG47" i="99"/>
  <c r="DL47" i="99"/>
  <c r="DC47" i="99"/>
  <c r="DJ47" i="99"/>
  <c r="DD47" i="99"/>
  <c r="DK47" i="99"/>
  <c r="DH47" i="99"/>
  <c r="DO47" i="99"/>
  <c r="DN47" i="99"/>
  <c r="DF47" i="99"/>
  <c r="DE47" i="99"/>
  <c r="DM47" i="99"/>
  <c r="DI47" i="99"/>
  <c r="U45" i="84"/>
  <c r="Q46" i="41"/>
  <c r="R46" i="27"/>
  <c r="CF48" i="99"/>
  <c r="BL48" i="99"/>
  <c r="BK48" i="99"/>
  <c r="U46" i="41" l="1"/>
  <c r="DD48" i="99"/>
  <c r="DI48" i="99"/>
  <c r="DO48" i="99"/>
  <c r="DC48" i="99"/>
  <c r="DK48" i="99"/>
  <c r="DE48" i="99"/>
  <c r="DL48" i="99"/>
  <c r="DH48" i="99"/>
  <c r="DG48" i="99"/>
  <c r="DM48" i="99"/>
  <c r="DB48" i="99"/>
  <c r="DF48" i="99"/>
  <c r="DN48" i="99"/>
  <c r="DJ48" i="99"/>
  <c r="T46" i="84"/>
  <c r="U46" i="84"/>
  <c r="Q47" i="41"/>
  <c r="R47" i="27"/>
  <c r="N47" i="84"/>
  <c r="T47" i="84" s="1"/>
  <c r="G47" i="27"/>
  <c r="Q47" i="27" s="1"/>
  <c r="G47" i="41"/>
  <c r="P47" i="41" s="1"/>
  <c r="BJ60" i="99"/>
  <c r="M59" i="30"/>
  <c r="K59" i="84"/>
  <c r="K59" i="41"/>
  <c r="T59" i="41" s="1"/>
  <c r="K59" i="27"/>
  <c r="U59" i="27" s="1"/>
  <c r="BL49" i="99"/>
  <c r="BK49" i="99"/>
  <c r="CF49" i="99"/>
  <c r="U47" i="84" l="1"/>
  <c r="U47" i="41"/>
  <c r="Q48" i="41"/>
  <c r="R48" i="27"/>
  <c r="DF49" i="99"/>
  <c r="DL49" i="99"/>
  <c r="DD49" i="99"/>
  <c r="DJ49" i="99"/>
  <c r="DE49" i="99"/>
  <c r="DM49" i="99"/>
  <c r="DI49" i="99"/>
  <c r="DB49" i="99"/>
  <c r="DH49" i="99"/>
  <c r="DN49" i="99"/>
  <c r="DO49" i="99"/>
  <c r="DK49" i="99"/>
  <c r="DC49" i="99"/>
  <c r="DG49" i="99"/>
  <c r="BJ61" i="99"/>
  <c r="K60" i="84"/>
  <c r="M60" i="30"/>
  <c r="K60" i="27"/>
  <c r="U60" i="27" s="1"/>
  <c r="K60" i="41"/>
  <c r="T60" i="41" s="1"/>
  <c r="G48" i="27"/>
  <c r="Q48" i="27" s="1"/>
  <c r="G48" i="41"/>
  <c r="P48" i="41" s="1"/>
  <c r="N48" i="84"/>
  <c r="BL50" i="99"/>
  <c r="BK50" i="99"/>
  <c r="CF50" i="99"/>
  <c r="U48" i="41" l="1"/>
  <c r="U48" i="84"/>
  <c r="DC50" i="99"/>
  <c r="DI50" i="99"/>
  <c r="DN50" i="99"/>
  <c r="DE50" i="99"/>
  <c r="DK50" i="99"/>
  <c r="DF50" i="99"/>
  <c r="DM50" i="99"/>
  <c r="DJ50" i="99"/>
  <c r="DO50" i="99"/>
  <c r="DB50" i="99"/>
  <c r="DG50" i="99"/>
  <c r="DD50" i="99"/>
  <c r="DL50" i="99"/>
  <c r="DH50" i="99"/>
  <c r="BJ62" i="99"/>
  <c r="K61" i="84"/>
  <c r="M61" i="30"/>
  <c r="K61" i="41"/>
  <c r="T61" i="41" s="1"/>
  <c r="K61" i="27"/>
  <c r="U61" i="27" s="1"/>
  <c r="Q49" i="41"/>
  <c r="R49" i="27"/>
  <c r="G49" i="27"/>
  <c r="Q49" i="27" s="1"/>
  <c r="N49" i="84"/>
  <c r="G49" i="41"/>
  <c r="P49" i="41" s="1"/>
  <c r="T48" i="84"/>
  <c r="CF51" i="99"/>
  <c r="BK51" i="99"/>
  <c r="BL51" i="99"/>
  <c r="U49" i="41" l="1"/>
  <c r="T49" i="84"/>
  <c r="G50" i="27"/>
  <c r="Q50" i="27" s="1"/>
  <c r="N50" i="84"/>
  <c r="G50" i="41"/>
  <c r="P50" i="41" s="1"/>
  <c r="DD51" i="99"/>
  <c r="DJ51" i="99"/>
  <c r="DO51" i="99"/>
  <c r="DC51" i="99"/>
  <c r="DK51" i="99"/>
  <c r="DF51" i="99"/>
  <c r="DL51" i="99"/>
  <c r="DH51" i="99"/>
  <c r="DB51" i="99"/>
  <c r="DG51" i="99"/>
  <c r="DN51" i="99"/>
  <c r="DM51" i="99"/>
  <c r="DE51" i="99"/>
  <c r="DI51" i="99"/>
  <c r="U49" i="84"/>
  <c r="BJ63" i="99"/>
  <c r="M62" i="30"/>
  <c r="K62" i="84"/>
  <c r="K62" i="27"/>
  <c r="U62" i="27" s="1"/>
  <c r="K62" i="41"/>
  <c r="T62" i="41" s="1"/>
  <c r="Q50" i="41"/>
  <c r="R50" i="27"/>
  <c r="CF52" i="99"/>
  <c r="BL52" i="99"/>
  <c r="BK52" i="99"/>
  <c r="U50" i="41" l="1"/>
  <c r="BJ64" i="99"/>
  <c r="M63" i="30"/>
  <c r="K63" i="41"/>
  <c r="T63" i="41" s="1"/>
  <c r="K63" i="27"/>
  <c r="U63" i="27" s="1"/>
  <c r="K63" i="84"/>
  <c r="DG52" i="99"/>
  <c r="DL52" i="99"/>
  <c r="DD52" i="99"/>
  <c r="DK52" i="99"/>
  <c r="DE52" i="99"/>
  <c r="DM52" i="99"/>
  <c r="DI52" i="99"/>
  <c r="DO52" i="99"/>
  <c r="DC52" i="99"/>
  <c r="DH52" i="99"/>
  <c r="DB52" i="99"/>
  <c r="DF52" i="99"/>
  <c r="DN52" i="99"/>
  <c r="DJ52" i="99"/>
  <c r="U51" i="84"/>
  <c r="R51" i="27"/>
  <c r="Q51" i="41"/>
  <c r="T50" i="84"/>
  <c r="U50" i="84"/>
  <c r="G51" i="41"/>
  <c r="P51" i="41" s="1"/>
  <c r="N51" i="84"/>
  <c r="G51" i="27"/>
  <c r="Q51" i="27" s="1"/>
  <c r="BK53" i="99"/>
  <c r="BL53" i="99"/>
  <c r="CF53" i="99"/>
  <c r="DD53" i="99" l="1"/>
  <c r="DI53" i="99"/>
  <c r="DN53" i="99"/>
  <c r="DE53" i="99"/>
  <c r="DL53" i="99"/>
  <c r="DF53" i="99"/>
  <c r="DM53" i="99"/>
  <c r="DJ53" i="99"/>
  <c r="DB53" i="99"/>
  <c r="DH53" i="99"/>
  <c r="DO53" i="99"/>
  <c r="DK53" i="99"/>
  <c r="DC53" i="99"/>
  <c r="DG53" i="99"/>
  <c r="T51" i="84"/>
  <c r="Q52" i="41"/>
  <c r="R52" i="27"/>
  <c r="N52" i="84"/>
  <c r="T52" i="84" s="1"/>
  <c r="G52" i="27"/>
  <c r="Q52" i="27" s="1"/>
  <c r="G52" i="41"/>
  <c r="P52" i="41" s="1"/>
  <c r="U51" i="41"/>
  <c r="BJ65" i="99"/>
  <c r="K64" i="84"/>
  <c r="K64" i="27"/>
  <c r="U64" i="27" s="1"/>
  <c r="K64" i="41"/>
  <c r="T64" i="41" s="1"/>
  <c r="M64" i="30"/>
  <c r="BL54" i="99"/>
  <c r="BK54" i="99"/>
  <c r="CF54" i="99"/>
  <c r="U52" i="41" l="1"/>
  <c r="U52" i="84"/>
  <c r="DF54" i="99"/>
  <c r="DK54" i="99"/>
  <c r="DE54" i="99"/>
  <c r="DM54" i="99"/>
  <c r="DG54" i="99"/>
  <c r="DN54" i="99"/>
  <c r="DJ54" i="99"/>
  <c r="DB54" i="99"/>
  <c r="DO54" i="99"/>
  <c r="DC54" i="99"/>
  <c r="DI54" i="99"/>
  <c r="DD54" i="99"/>
  <c r="DL54" i="99"/>
  <c r="DH54" i="99"/>
  <c r="R53" i="27"/>
  <c r="Q53" i="41"/>
  <c r="BJ66" i="99"/>
  <c r="K65" i="84"/>
  <c r="K65" i="27"/>
  <c r="U65" i="27" s="1"/>
  <c r="K65" i="41"/>
  <c r="T65" i="41" s="1"/>
  <c r="M65" i="30"/>
  <c r="G53" i="41"/>
  <c r="P53" i="41" s="1"/>
  <c r="U53" i="41" s="1"/>
  <c r="N53" i="84"/>
  <c r="T53" i="84" s="1"/>
  <c r="G53" i="27"/>
  <c r="Q53" i="27" s="1"/>
  <c r="CF55" i="99"/>
  <c r="BK55" i="99"/>
  <c r="BL55" i="99"/>
  <c r="U53" i="84" l="1"/>
  <c r="BJ67" i="99"/>
  <c r="M66" i="30"/>
  <c r="K66" i="84"/>
  <c r="K66" i="27"/>
  <c r="U66" i="27" s="1"/>
  <c r="K66" i="41"/>
  <c r="T66" i="41" s="1"/>
  <c r="Q54" i="41"/>
  <c r="R54" i="27"/>
  <c r="U54" i="84"/>
  <c r="DB55" i="99"/>
  <c r="DG55" i="99"/>
  <c r="DL55" i="99"/>
  <c r="DD55" i="99"/>
  <c r="DK55" i="99"/>
  <c r="DF55" i="99"/>
  <c r="DN55" i="99"/>
  <c r="DJ55" i="99"/>
  <c r="DH55" i="99"/>
  <c r="DO55" i="99"/>
  <c r="DC55" i="99"/>
  <c r="DM55" i="99"/>
  <c r="DE55" i="99"/>
  <c r="DI55" i="99"/>
  <c r="G54" i="27"/>
  <c r="Q54" i="27" s="1"/>
  <c r="G54" i="41"/>
  <c r="P54" i="41" s="1"/>
  <c r="U54" i="41" s="1"/>
  <c r="N54" i="84"/>
  <c r="T54" i="84" s="1"/>
  <c r="CF56" i="99"/>
  <c r="BL56" i="99"/>
  <c r="BK56" i="99"/>
  <c r="G55" i="27" l="1"/>
  <c r="Q55" i="27" s="1"/>
  <c r="G55" i="41"/>
  <c r="P55" i="41" s="1"/>
  <c r="N55" i="84"/>
  <c r="T55" i="84" s="1"/>
  <c r="DD56" i="99"/>
  <c r="DI56" i="99"/>
  <c r="DO56" i="99"/>
  <c r="DE56" i="99"/>
  <c r="DL56" i="99"/>
  <c r="DG56" i="99"/>
  <c r="DM56" i="99"/>
  <c r="DK56" i="99"/>
  <c r="DC56" i="99"/>
  <c r="DH56" i="99"/>
  <c r="DB56" i="99"/>
  <c r="DF56" i="99"/>
  <c r="DN56" i="99"/>
  <c r="DJ56" i="99"/>
  <c r="Q55" i="41"/>
  <c r="R55" i="27"/>
  <c r="BJ68" i="99"/>
  <c r="M67" i="30"/>
  <c r="K67" i="84"/>
  <c r="K67" i="41"/>
  <c r="T67" i="41" s="1"/>
  <c r="K67" i="27"/>
  <c r="U67" i="27" s="1"/>
  <c r="BK57" i="99"/>
  <c r="BL57" i="99"/>
  <c r="CF57" i="99"/>
  <c r="U55" i="41" l="1"/>
  <c r="U55" i="84"/>
  <c r="Q56" i="41"/>
  <c r="R56" i="27"/>
  <c r="DF57" i="99"/>
  <c r="DL57" i="99"/>
  <c r="DE57" i="99"/>
  <c r="DM57" i="99"/>
  <c r="DH57" i="99"/>
  <c r="DN57" i="99"/>
  <c r="DJ57" i="99"/>
  <c r="DI57" i="99"/>
  <c r="DB57" i="99"/>
  <c r="DD57" i="99"/>
  <c r="DO57" i="99"/>
  <c r="DC57" i="99"/>
  <c r="DG57" i="99"/>
  <c r="DK57" i="99"/>
  <c r="BJ69" i="99"/>
  <c r="K68" i="84"/>
  <c r="M68" i="30"/>
  <c r="K68" i="27"/>
  <c r="U68" i="27" s="1"/>
  <c r="K68" i="41"/>
  <c r="T68" i="41" s="1"/>
  <c r="G56" i="41"/>
  <c r="P56" i="41" s="1"/>
  <c r="U56" i="41" s="1"/>
  <c r="N56" i="84"/>
  <c r="G56" i="27"/>
  <c r="Q56" i="27" s="1"/>
  <c r="CF58" i="99"/>
  <c r="BL58" i="99"/>
  <c r="BK58" i="99"/>
  <c r="T56" i="84" l="1"/>
  <c r="DC58" i="99"/>
  <c r="DI58" i="99"/>
  <c r="DN58" i="99"/>
  <c r="DF58" i="99"/>
  <c r="DM58" i="99"/>
  <c r="DG58" i="99"/>
  <c r="DO58" i="99"/>
  <c r="DK58" i="99"/>
  <c r="DE58" i="99"/>
  <c r="DB58" i="99"/>
  <c r="DJ58" i="99"/>
  <c r="DD58" i="99"/>
  <c r="DL58" i="99"/>
  <c r="DH58" i="99"/>
  <c r="G57" i="27"/>
  <c r="Q57" i="27" s="1"/>
  <c r="G57" i="41"/>
  <c r="P57" i="41" s="1"/>
  <c r="N57" i="84"/>
  <c r="BJ70" i="99"/>
  <c r="K69" i="84"/>
  <c r="M69" i="30"/>
  <c r="K69" i="27"/>
  <c r="U69" i="27" s="1"/>
  <c r="K69" i="41"/>
  <c r="T69" i="41" s="1"/>
  <c r="R57" i="27"/>
  <c r="Q57" i="41"/>
  <c r="U56" i="84"/>
  <c r="BK59" i="99"/>
  <c r="BL59" i="99"/>
  <c r="CF59" i="99"/>
  <c r="U57" i="84" l="1"/>
  <c r="U57" i="41"/>
  <c r="G58" i="27"/>
  <c r="Q58" i="27" s="1"/>
  <c r="G58" i="41"/>
  <c r="P58" i="41" s="1"/>
  <c r="N58" i="84"/>
  <c r="BJ71" i="99"/>
  <c r="M70" i="30"/>
  <c r="K70" i="84"/>
  <c r="K70" i="41"/>
  <c r="T70" i="41" s="1"/>
  <c r="K70" i="27"/>
  <c r="U70" i="27" s="1"/>
  <c r="T57" i="84"/>
  <c r="Q58" i="41"/>
  <c r="R58" i="27"/>
  <c r="DD59" i="99"/>
  <c r="DJ59" i="99"/>
  <c r="DO59" i="99"/>
  <c r="DF59" i="99"/>
  <c r="DL59" i="99"/>
  <c r="DG59" i="99"/>
  <c r="DN59" i="99"/>
  <c r="DK59" i="99"/>
  <c r="DH59" i="99"/>
  <c r="DB59" i="99"/>
  <c r="DC59" i="99"/>
  <c r="DM59" i="99"/>
  <c r="DE59" i="99"/>
  <c r="DI59" i="99"/>
  <c r="CF60" i="99"/>
  <c r="BL60" i="99"/>
  <c r="BK60" i="99"/>
  <c r="U58" i="41" l="1"/>
  <c r="T58" i="84"/>
  <c r="DG60" i="99"/>
  <c r="DL60" i="99"/>
  <c r="DE60" i="99"/>
  <c r="DM60" i="99"/>
  <c r="DH60" i="99"/>
  <c r="DO60" i="99"/>
  <c r="DK60" i="99"/>
  <c r="DD60" i="99"/>
  <c r="DC60" i="99"/>
  <c r="DI60" i="99"/>
  <c r="DB60" i="99"/>
  <c r="DF60" i="99"/>
  <c r="DN60" i="99"/>
  <c r="DJ60" i="99"/>
  <c r="R59" i="27"/>
  <c r="Q59" i="41"/>
  <c r="U58" i="84"/>
  <c r="N59" i="84"/>
  <c r="G59" i="27"/>
  <c r="Q59" i="27" s="1"/>
  <c r="G59" i="41"/>
  <c r="P59" i="41" s="1"/>
  <c r="BJ72" i="99"/>
  <c r="M71" i="30"/>
  <c r="K71" i="41"/>
  <c r="T71" i="41" s="1"/>
  <c r="K71" i="27"/>
  <c r="U71" i="27" s="1"/>
  <c r="K71" i="84"/>
  <c r="BK61" i="99"/>
  <c r="BL61" i="99"/>
  <c r="CF61" i="99"/>
  <c r="T59" i="84" l="1"/>
  <c r="U59" i="84"/>
  <c r="Q60" i="41"/>
  <c r="U60" i="84"/>
  <c r="R60" i="27"/>
  <c r="BJ73" i="99"/>
  <c r="K72" i="84"/>
  <c r="K72" i="27"/>
  <c r="U72" i="27" s="1"/>
  <c r="K72" i="41"/>
  <c r="T72" i="41" s="1"/>
  <c r="M72" i="30"/>
  <c r="G60" i="27"/>
  <c r="Q60" i="27" s="1"/>
  <c r="N60" i="84"/>
  <c r="G60" i="41"/>
  <c r="P60" i="41" s="1"/>
  <c r="U60" i="41" s="1"/>
  <c r="DD61" i="99"/>
  <c r="DI61" i="99"/>
  <c r="DN61" i="99"/>
  <c r="DF61" i="99"/>
  <c r="DM61" i="99"/>
  <c r="DH61" i="99"/>
  <c r="DL61" i="99"/>
  <c r="DJ61" i="99"/>
  <c r="DB61" i="99"/>
  <c r="DE61" i="99"/>
  <c r="DO61" i="99"/>
  <c r="DK61" i="99"/>
  <c r="DC61" i="99"/>
  <c r="DG61" i="99"/>
  <c r="U59" i="41"/>
  <c r="CF62" i="99"/>
  <c r="BL62" i="99"/>
  <c r="BK62" i="99"/>
  <c r="R61" i="27" l="1"/>
  <c r="Q61" i="41"/>
  <c r="T60" i="84"/>
  <c r="BJ74" i="99"/>
  <c r="K73" i="84"/>
  <c r="K73" i="27"/>
  <c r="U73" i="27" s="1"/>
  <c r="K73" i="41"/>
  <c r="T73" i="41" s="1"/>
  <c r="M73" i="30"/>
  <c r="DF62" i="99"/>
  <c r="DK62" i="99"/>
  <c r="DG62" i="99"/>
  <c r="DN62" i="99"/>
  <c r="DB62" i="99"/>
  <c r="DI62" i="99"/>
  <c r="DO62" i="99"/>
  <c r="DM62" i="99"/>
  <c r="DE62" i="99"/>
  <c r="DJ62" i="99"/>
  <c r="DC62" i="99"/>
  <c r="DD62" i="99"/>
  <c r="DL62" i="99"/>
  <c r="DH62" i="99"/>
  <c r="N61" i="84"/>
  <c r="G61" i="27"/>
  <c r="Q61" i="27" s="1"/>
  <c r="G61" i="41"/>
  <c r="P61" i="41" s="1"/>
  <c r="BL63" i="99"/>
  <c r="BK63" i="99"/>
  <c r="CF63" i="99"/>
  <c r="T61" i="84" l="1"/>
  <c r="U61" i="84"/>
  <c r="U61" i="41"/>
  <c r="Q62" i="41"/>
  <c r="R62" i="27"/>
  <c r="BJ75" i="99"/>
  <c r="M74" i="30"/>
  <c r="K74" i="84"/>
  <c r="K74" i="27"/>
  <c r="U74" i="27" s="1"/>
  <c r="K74" i="41"/>
  <c r="T74" i="41" s="1"/>
  <c r="G62" i="27"/>
  <c r="Q62" i="27" s="1"/>
  <c r="N62" i="84"/>
  <c r="G62" i="41"/>
  <c r="P62" i="41" s="1"/>
  <c r="DB63" i="99"/>
  <c r="DG63" i="99"/>
  <c r="DL63" i="99"/>
  <c r="DF63" i="99"/>
  <c r="DN63" i="99"/>
  <c r="DH63" i="99"/>
  <c r="DO63" i="99"/>
  <c r="DK63" i="99"/>
  <c r="DC63" i="99"/>
  <c r="DD63" i="99"/>
  <c r="DJ63" i="99"/>
  <c r="DM63" i="99"/>
  <c r="DE63" i="99"/>
  <c r="DI63" i="99"/>
  <c r="CF64" i="99"/>
  <c r="BL64" i="99"/>
  <c r="BK64" i="99"/>
  <c r="U62" i="41" l="1"/>
  <c r="U62" i="84"/>
  <c r="DD64" i="99"/>
  <c r="DI64" i="99"/>
  <c r="DO64" i="99"/>
  <c r="DG64" i="99"/>
  <c r="DM64" i="99"/>
  <c r="DH64" i="99"/>
  <c r="DL64" i="99"/>
  <c r="DE64" i="99"/>
  <c r="DK64" i="99"/>
  <c r="DC64" i="99"/>
  <c r="DB64" i="99"/>
  <c r="DF64" i="99"/>
  <c r="DN64" i="99"/>
  <c r="DJ64" i="99"/>
  <c r="Q63" i="41"/>
  <c r="R63" i="27"/>
  <c r="G63" i="27"/>
  <c r="Q63" i="27" s="1"/>
  <c r="N63" i="84"/>
  <c r="G63" i="41"/>
  <c r="P63" i="41" s="1"/>
  <c r="T62" i="84"/>
  <c r="BJ76" i="99"/>
  <c r="M75" i="30"/>
  <c r="K75" i="84"/>
  <c r="K75" i="41"/>
  <c r="T75" i="41" s="1"/>
  <c r="K75" i="27"/>
  <c r="U75" i="27" s="1"/>
  <c r="BK65" i="99"/>
  <c r="BL65" i="99"/>
  <c r="CF65" i="99"/>
  <c r="U63" i="41" l="1"/>
  <c r="Q64" i="41"/>
  <c r="U64" i="84"/>
  <c r="R64" i="27"/>
  <c r="BJ77" i="99"/>
  <c r="K76" i="84"/>
  <c r="M76" i="30"/>
  <c r="K76" i="27"/>
  <c r="U76" i="27" s="1"/>
  <c r="K76" i="41"/>
  <c r="T76" i="41" s="1"/>
  <c r="U76" i="41" s="1"/>
  <c r="DF65" i="99"/>
  <c r="DL65" i="99"/>
  <c r="DH65" i="99"/>
  <c r="DN65" i="99"/>
  <c r="DB65" i="99"/>
  <c r="DI65" i="99"/>
  <c r="DM65" i="99"/>
  <c r="DD65" i="99"/>
  <c r="DE65" i="99"/>
  <c r="DJ65" i="99"/>
  <c r="DO65" i="99"/>
  <c r="DK65" i="99"/>
  <c r="DC65" i="99"/>
  <c r="DG65" i="99"/>
  <c r="T63" i="84"/>
  <c r="U63" i="84"/>
  <c r="G64" i="27"/>
  <c r="Q64" i="27" s="1"/>
  <c r="G64" i="41"/>
  <c r="P64" i="41" s="1"/>
  <c r="U64" i="41" s="1"/>
  <c r="N64" i="84"/>
  <c r="CF66" i="99"/>
  <c r="BL66" i="99"/>
  <c r="BK66" i="99"/>
  <c r="T64" i="84" l="1"/>
  <c r="DC66" i="99"/>
  <c r="DI66" i="99"/>
  <c r="DN66" i="99"/>
  <c r="DG66" i="99"/>
  <c r="DO66" i="99"/>
  <c r="DB66" i="99"/>
  <c r="DJ66" i="99"/>
  <c r="DM66" i="99"/>
  <c r="DF66" i="99"/>
  <c r="DK66" i="99"/>
  <c r="DE66" i="99"/>
  <c r="DD66" i="99"/>
  <c r="DL66" i="99"/>
  <c r="DH66" i="99"/>
  <c r="N65" i="84"/>
  <c r="G65" i="27"/>
  <c r="Q65" i="27" s="1"/>
  <c r="G65" i="41"/>
  <c r="P65" i="41" s="1"/>
  <c r="Q65" i="41"/>
  <c r="R65" i="27"/>
  <c r="BJ78" i="99"/>
  <c r="K77" i="84"/>
  <c r="M77" i="30"/>
  <c r="K77" i="27"/>
  <c r="U77" i="27" s="1"/>
  <c r="K77" i="41"/>
  <c r="T77" i="41" s="1"/>
  <c r="U77" i="41" s="1"/>
  <c r="BL67" i="99"/>
  <c r="BK67" i="99"/>
  <c r="CF67" i="99"/>
  <c r="U65" i="41" l="1"/>
  <c r="U65" i="84"/>
  <c r="Q66" i="41"/>
  <c r="R66" i="27"/>
  <c r="BJ79" i="99"/>
  <c r="M78" i="30"/>
  <c r="K78" i="84"/>
  <c r="K78" i="41"/>
  <c r="T78" i="41" s="1"/>
  <c r="U78" i="41" s="1"/>
  <c r="K78" i="27"/>
  <c r="U78" i="27" s="1"/>
  <c r="DD67" i="99"/>
  <c r="DJ67" i="99"/>
  <c r="DO67" i="99"/>
  <c r="DG67" i="99"/>
  <c r="DN67" i="99"/>
  <c r="DB67" i="99"/>
  <c r="DH67" i="99"/>
  <c r="DL67" i="99"/>
  <c r="DF67" i="99"/>
  <c r="DC67" i="99"/>
  <c r="DK67" i="99"/>
  <c r="DM67" i="99"/>
  <c r="DE67" i="99"/>
  <c r="DI67" i="99"/>
  <c r="T65" i="84"/>
  <c r="G66" i="27"/>
  <c r="Q66" i="27" s="1"/>
  <c r="G66" i="41"/>
  <c r="P66" i="41" s="1"/>
  <c r="U66" i="41" s="1"/>
  <c r="N66" i="84"/>
  <c r="CF68" i="99"/>
  <c r="BL68" i="99"/>
  <c r="BK68" i="99"/>
  <c r="U66" i="84" l="1"/>
  <c r="DG68" i="99"/>
  <c r="DL68" i="99"/>
  <c r="DH68" i="99"/>
  <c r="DO68" i="99"/>
  <c r="DC68" i="99"/>
  <c r="DI68" i="99"/>
  <c r="DM68" i="99"/>
  <c r="DK68" i="99"/>
  <c r="DD68" i="99"/>
  <c r="DE68" i="99"/>
  <c r="DB68" i="99"/>
  <c r="DF68" i="99"/>
  <c r="DN68" i="99"/>
  <c r="DJ68" i="99"/>
  <c r="T66" i="84"/>
  <c r="G67" i="41"/>
  <c r="P67" i="41" s="1"/>
  <c r="N67" i="84"/>
  <c r="T67" i="84" s="1"/>
  <c r="G67" i="27"/>
  <c r="Q67" i="27" s="1"/>
  <c r="R67" i="27"/>
  <c r="Q67" i="41"/>
  <c r="BJ80" i="99"/>
  <c r="M79" i="30"/>
  <c r="K79" i="41"/>
  <c r="T79" i="41" s="1"/>
  <c r="U79" i="41" s="1"/>
  <c r="K79" i="27"/>
  <c r="U79" i="27" s="1"/>
  <c r="K79" i="84"/>
  <c r="BL69" i="99"/>
  <c r="BK69" i="99"/>
  <c r="CF69" i="99"/>
  <c r="BJ81" i="99" l="1"/>
  <c r="K80" i="84"/>
  <c r="K80" i="27"/>
  <c r="U80" i="27" s="1"/>
  <c r="K80" i="41"/>
  <c r="T80" i="41" s="1"/>
  <c r="U80" i="41" s="1"/>
  <c r="M80" i="30"/>
  <c r="U67" i="41"/>
  <c r="Q68" i="41"/>
  <c r="U68" i="84"/>
  <c r="R68" i="27"/>
  <c r="U67" i="84"/>
  <c r="DD69" i="99"/>
  <c r="DI69" i="99"/>
  <c r="DN69" i="99"/>
  <c r="DH69" i="99"/>
  <c r="DB69" i="99"/>
  <c r="DJ69" i="99"/>
  <c r="DM69" i="99"/>
  <c r="DF69" i="99"/>
  <c r="DE69" i="99"/>
  <c r="DL69" i="99"/>
  <c r="DO69" i="99"/>
  <c r="DC69" i="99"/>
  <c r="DG69" i="99"/>
  <c r="DK69" i="99"/>
  <c r="N68" i="84"/>
  <c r="T68" i="84" s="1"/>
  <c r="G68" i="27"/>
  <c r="Q68" i="27" s="1"/>
  <c r="G68" i="41"/>
  <c r="P68" i="41" s="1"/>
  <c r="U68" i="41" s="1"/>
  <c r="CF70" i="99"/>
  <c r="BL70" i="99"/>
  <c r="BK70" i="99"/>
  <c r="R69" i="27" l="1"/>
  <c r="Q69" i="41"/>
  <c r="G69" i="41"/>
  <c r="P69" i="41" s="1"/>
  <c r="N69" i="84"/>
  <c r="T69" i="84" s="1"/>
  <c r="G69" i="27"/>
  <c r="Q69" i="27" s="1"/>
  <c r="DF70" i="99"/>
  <c r="DK70" i="99"/>
  <c r="DB70" i="99"/>
  <c r="DI70" i="99"/>
  <c r="DO70" i="99"/>
  <c r="DC70" i="99"/>
  <c r="DJ70" i="99"/>
  <c r="DN70" i="99"/>
  <c r="DM70" i="99"/>
  <c r="DE70" i="99"/>
  <c r="DG70" i="99"/>
  <c r="DD70" i="99"/>
  <c r="DL70" i="99"/>
  <c r="DH70" i="99"/>
  <c r="BJ82" i="99"/>
  <c r="K81" i="84"/>
  <c r="K81" i="27"/>
  <c r="U81" i="27" s="1"/>
  <c r="K81" i="41"/>
  <c r="T81" i="41" s="1"/>
  <c r="U81" i="41" s="1"/>
  <c r="M81" i="30"/>
  <c r="BL71" i="99"/>
  <c r="BK71" i="99"/>
  <c r="CF71" i="99"/>
  <c r="U69" i="41" l="1"/>
  <c r="DB71" i="99"/>
  <c r="DG71" i="99"/>
  <c r="DL71" i="99"/>
  <c r="DH71" i="99"/>
  <c r="DO71" i="99"/>
  <c r="DC71" i="99"/>
  <c r="DJ71" i="99"/>
  <c r="DN71" i="99"/>
  <c r="DF71" i="99"/>
  <c r="DD71" i="99"/>
  <c r="DK71" i="99"/>
  <c r="DM71" i="99"/>
  <c r="DE71" i="99"/>
  <c r="DI71" i="99"/>
  <c r="U69" i="84"/>
  <c r="G70" i="27"/>
  <c r="Q70" i="27" s="1"/>
  <c r="N70" i="84"/>
  <c r="G70" i="41"/>
  <c r="P70" i="41" s="1"/>
  <c r="Q70" i="41"/>
  <c r="R70" i="27"/>
  <c r="BJ83" i="99"/>
  <c r="M82" i="30"/>
  <c r="K82" i="84"/>
  <c r="K82" i="27"/>
  <c r="U82" i="27" s="1"/>
  <c r="K82" i="41"/>
  <c r="T82" i="41" s="1"/>
  <c r="U82" i="41" s="1"/>
  <c r="CF72" i="99"/>
  <c r="BL72" i="99"/>
  <c r="BK72" i="99"/>
  <c r="U70" i="84" l="1"/>
  <c r="U70" i="41"/>
  <c r="BJ84" i="99"/>
  <c r="M83" i="30"/>
  <c r="K83" i="84"/>
  <c r="K83" i="41"/>
  <c r="T83" i="41" s="1"/>
  <c r="U83" i="41" s="1"/>
  <c r="K83" i="27"/>
  <c r="U83" i="27" s="1"/>
  <c r="DD72" i="99"/>
  <c r="DI72" i="99"/>
  <c r="DO72" i="99"/>
  <c r="DH72" i="99"/>
  <c r="DC72" i="99"/>
  <c r="DK72" i="99"/>
  <c r="DM72" i="99"/>
  <c r="DG72" i="99"/>
  <c r="DL72" i="99"/>
  <c r="DE72" i="99"/>
  <c r="DB72" i="99"/>
  <c r="DF72" i="99"/>
  <c r="DN72" i="99"/>
  <c r="DJ72" i="99"/>
  <c r="Q71" i="41"/>
  <c r="U71" i="84"/>
  <c r="R71" i="27"/>
  <c r="G71" i="27"/>
  <c r="Q71" i="27" s="1"/>
  <c r="G71" i="41"/>
  <c r="P71" i="41" s="1"/>
  <c r="N71" i="84"/>
  <c r="T70" i="84"/>
  <c r="BL73" i="99"/>
  <c r="BK73" i="99"/>
  <c r="CF73" i="99"/>
  <c r="U71" i="41" l="1"/>
  <c r="G72" i="41"/>
  <c r="P72" i="41" s="1"/>
  <c r="N72" i="84"/>
  <c r="G72" i="27"/>
  <c r="Q72" i="27" s="1"/>
  <c r="DF73" i="99"/>
  <c r="DL73" i="99"/>
  <c r="DB73" i="99"/>
  <c r="DI73" i="99"/>
  <c r="DD73" i="99"/>
  <c r="DJ73" i="99"/>
  <c r="DN73" i="99"/>
  <c r="DE73" i="99"/>
  <c r="DH73" i="99"/>
  <c r="DM73" i="99"/>
  <c r="DO73" i="99"/>
  <c r="DK73" i="99"/>
  <c r="DC73" i="99"/>
  <c r="DG73" i="99"/>
  <c r="T71" i="84"/>
  <c r="Q72" i="41"/>
  <c r="R72" i="27"/>
  <c r="U72" i="84"/>
  <c r="BJ85" i="99"/>
  <c r="K84" i="84"/>
  <c r="M84" i="30"/>
  <c r="K84" i="27"/>
  <c r="U84" i="27" s="1"/>
  <c r="K84" i="41"/>
  <c r="T84" i="41" s="1"/>
  <c r="U84" i="41" s="1"/>
  <c r="CF74" i="99"/>
  <c r="BL74" i="99"/>
  <c r="BK74" i="99"/>
  <c r="U72" i="41" l="1"/>
  <c r="Q73" i="41"/>
  <c r="R73" i="27"/>
  <c r="U73" i="84"/>
  <c r="DC74" i="99"/>
  <c r="DI74" i="99"/>
  <c r="DN74" i="99"/>
  <c r="DB74" i="99"/>
  <c r="DJ74" i="99"/>
  <c r="DE74" i="99"/>
  <c r="DK74" i="99"/>
  <c r="DO74" i="99"/>
  <c r="DG74" i="99"/>
  <c r="DM74" i="99"/>
  <c r="DF74" i="99"/>
  <c r="DD74" i="99"/>
  <c r="DL74" i="99"/>
  <c r="DH74" i="99"/>
  <c r="T72" i="84"/>
  <c r="BJ86" i="99"/>
  <c r="K85" i="84"/>
  <c r="M85" i="30"/>
  <c r="K85" i="27"/>
  <c r="U85" i="27" s="1"/>
  <c r="K85" i="41"/>
  <c r="T85" i="41" s="1"/>
  <c r="U85" i="41" s="1"/>
  <c r="G73" i="27"/>
  <c r="Q73" i="27" s="1"/>
  <c r="G73" i="41"/>
  <c r="P73" i="41" s="1"/>
  <c r="U73" i="41" s="1"/>
  <c r="N73" i="84"/>
  <c r="BL75" i="99"/>
  <c r="BK75" i="99"/>
  <c r="CF75" i="99"/>
  <c r="T73" i="84" l="1"/>
  <c r="Q74" i="41"/>
  <c r="U74" i="84"/>
  <c r="R74" i="27"/>
  <c r="BJ87" i="99"/>
  <c r="M86" i="30"/>
  <c r="K86" i="84"/>
  <c r="K86" i="27"/>
  <c r="U86" i="27" s="1"/>
  <c r="K86" i="41"/>
  <c r="T86" i="41" s="1"/>
  <c r="U86" i="41" s="1"/>
  <c r="G74" i="27"/>
  <c r="Q74" i="27" s="1"/>
  <c r="G74" i="41"/>
  <c r="P74" i="41" s="1"/>
  <c r="U74" i="41" s="1"/>
  <c r="N74" i="84"/>
  <c r="T74" i="84" s="1"/>
  <c r="DD75" i="99"/>
  <c r="DJ75" i="99"/>
  <c r="DO75" i="99"/>
  <c r="DB75" i="99"/>
  <c r="DH75" i="99"/>
  <c r="DC75" i="99"/>
  <c r="DK75" i="99"/>
  <c r="DN75" i="99"/>
  <c r="DF75" i="99"/>
  <c r="DG75" i="99"/>
  <c r="DL75" i="99"/>
  <c r="DE75" i="99"/>
  <c r="DM75" i="99"/>
  <c r="DI75" i="99"/>
  <c r="BL76" i="99"/>
  <c r="BK76" i="99"/>
  <c r="Q75" i="41" l="1"/>
  <c r="O75" i="84"/>
  <c r="U75" i="84" s="1"/>
  <c r="BJ88" i="99"/>
  <c r="M87" i="30"/>
  <c r="K87" i="41"/>
  <c r="T87" i="41" s="1"/>
  <c r="U87" i="41" s="1"/>
  <c r="K87" i="27"/>
  <c r="U87" i="27" s="1"/>
  <c r="K87" i="84"/>
  <c r="N75" i="84"/>
  <c r="T75" i="84" s="1"/>
  <c r="G75" i="41"/>
  <c r="P75" i="41" s="1"/>
  <c r="BL77" i="99"/>
  <c r="BK77" i="99"/>
  <c r="U75" i="41" l="1"/>
  <c r="BJ89" i="99"/>
  <c r="K88" i="84"/>
  <c r="K88" i="27"/>
  <c r="U88" i="27" s="1"/>
  <c r="K88" i="41"/>
  <c r="T88" i="41" s="1"/>
  <c r="U88" i="41" s="1"/>
  <c r="M88" i="30"/>
  <c r="BL78" i="99"/>
  <c r="BK78" i="99"/>
  <c r="BJ90" i="99" l="1"/>
  <c r="K89" i="84"/>
  <c r="K89" i="27"/>
  <c r="U89" i="27" s="1"/>
  <c r="K89" i="41"/>
  <c r="T89" i="41" s="1"/>
  <c r="U89" i="41" s="1"/>
  <c r="M89" i="30"/>
  <c r="BK79" i="99"/>
  <c r="BL79" i="99"/>
  <c r="BJ91" i="99" l="1"/>
  <c r="M90" i="30"/>
  <c r="K90" i="84"/>
  <c r="K90" i="27"/>
  <c r="U90" i="27" s="1"/>
  <c r="K90" i="41"/>
  <c r="T90" i="41" s="1"/>
  <c r="U90" i="41" s="1"/>
  <c r="BL80" i="99"/>
  <c r="BK80" i="99"/>
  <c r="BJ92" i="99" l="1"/>
  <c r="M91" i="30"/>
  <c r="K91" i="84"/>
  <c r="K91" i="41"/>
  <c r="T91" i="41" s="1"/>
  <c r="U91" i="41" s="1"/>
  <c r="K91" i="27"/>
  <c r="U91" i="27" s="1"/>
  <c r="BL81" i="99"/>
  <c r="BK81" i="99"/>
  <c r="BJ93" i="99" l="1"/>
  <c r="K92" i="84"/>
  <c r="M92" i="30"/>
  <c r="K92" i="27"/>
  <c r="U92" i="27" s="1"/>
  <c r="K92" i="41"/>
  <c r="T92" i="41" s="1"/>
  <c r="U92" i="41" s="1"/>
  <c r="BL82" i="99"/>
  <c r="BK82" i="99"/>
  <c r="BJ94" i="99" l="1"/>
  <c r="K93" i="84"/>
  <c r="M93" i="30"/>
  <c r="K93" i="27"/>
  <c r="U93" i="27" s="1"/>
  <c r="K93" i="41"/>
  <c r="T93" i="41" s="1"/>
  <c r="U93" i="41" s="1"/>
  <c r="BK83" i="99"/>
  <c r="BL83" i="99"/>
  <c r="BJ95" i="99" l="1"/>
  <c r="M94" i="30"/>
  <c r="K94" i="84"/>
  <c r="K94" i="41"/>
  <c r="T94" i="41" s="1"/>
  <c r="U94" i="41" s="1"/>
  <c r="K94" i="27"/>
  <c r="U94" i="27" s="1"/>
  <c r="BK84" i="99"/>
  <c r="BL84" i="99"/>
  <c r="BJ96" i="99" l="1"/>
  <c r="M95" i="30"/>
  <c r="K95" i="41"/>
  <c r="T95" i="41" s="1"/>
  <c r="U95" i="41" s="1"/>
  <c r="K95" i="27"/>
  <c r="U95" i="27" s="1"/>
  <c r="K95" i="84"/>
  <c r="BL85" i="99"/>
  <c r="BK85" i="99"/>
  <c r="BJ97" i="99" l="1"/>
  <c r="K96" i="84"/>
  <c r="K96" i="27"/>
  <c r="U96" i="27" s="1"/>
  <c r="K96" i="41"/>
  <c r="T96" i="41" s="1"/>
  <c r="U96" i="41" s="1"/>
  <c r="M96" i="30"/>
  <c r="BL86" i="99"/>
  <c r="BK86" i="99"/>
  <c r="BJ98" i="99" l="1"/>
  <c r="K97" i="84"/>
  <c r="K97" i="27"/>
  <c r="U97" i="27" s="1"/>
  <c r="K97" i="41"/>
  <c r="T97" i="41" s="1"/>
  <c r="U97" i="41" s="1"/>
  <c r="M97" i="30"/>
  <c r="BL87" i="99"/>
  <c r="BK87" i="99"/>
  <c r="BJ99" i="99" l="1"/>
  <c r="M98" i="30"/>
  <c r="K98" i="84"/>
  <c r="K98" i="27"/>
  <c r="U98" i="27" s="1"/>
  <c r="K98" i="41"/>
  <c r="T98" i="41" s="1"/>
  <c r="U98" i="41" s="1"/>
  <c r="BL88" i="99"/>
  <c r="BK88" i="99"/>
  <c r="BJ100" i="99" l="1"/>
  <c r="M99" i="30"/>
  <c r="K99" i="84"/>
  <c r="K99" i="41"/>
  <c r="T99" i="41" s="1"/>
  <c r="U99" i="41" s="1"/>
  <c r="K99" i="27"/>
  <c r="U99" i="27" s="1"/>
  <c r="BL89" i="99"/>
  <c r="BK89" i="99"/>
  <c r="BJ101" i="99" l="1"/>
  <c r="K100" i="84"/>
  <c r="M100" i="30"/>
  <c r="K100" i="27"/>
  <c r="U100" i="27" s="1"/>
  <c r="K100" i="41"/>
  <c r="T100" i="41" s="1"/>
  <c r="U100" i="41" s="1"/>
  <c r="BL90" i="99"/>
  <c r="BK90" i="99"/>
  <c r="BJ102" i="99" l="1"/>
  <c r="K101" i="84"/>
  <c r="M101" i="30"/>
  <c r="K101" i="27"/>
  <c r="U101" i="27" s="1"/>
  <c r="K101" i="41"/>
  <c r="T101" i="41" s="1"/>
  <c r="U101" i="41" s="1"/>
  <c r="BL91" i="99"/>
  <c r="BK91" i="99"/>
  <c r="BJ103" i="99" l="1"/>
  <c r="M102" i="30"/>
  <c r="K102" i="84"/>
  <c r="K102" i="41"/>
  <c r="T102" i="41" s="1"/>
  <c r="U102" i="41" s="1"/>
  <c r="K102" i="27"/>
  <c r="U102" i="27" s="1"/>
  <c r="BK92" i="99"/>
  <c r="BL92" i="99"/>
  <c r="BJ104" i="99" l="1"/>
  <c r="M103" i="30"/>
  <c r="K103" i="41"/>
  <c r="T103" i="41" s="1"/>
  <c r="U103" i="41" s="1"/>
  <c r="K103" i="27"/>
  <c r="U103" i="27" s="1"/>
  <c r="K103" i="84"/>
  <c r="BL93" i="99"/>
  <c r="BK93" i="99"/>
  <c r="BJ105" i="99" l="1"/>
  <c r="K104" i="84"/>
  <c r="K104" i="27"/>
  <c r="U104" i="27" s="1"/>
  <c r="K104" i="41"/>
  <c r="T104" i="41" s="1"/>
  <c r="U104" i="41" s="1"/>
  <c r="M104" i="30"/>
  <c r="BL94" i="99"/>
  <c r="BK94" i="99"/>
  <c r="BJ106" i="99" l="1"/>
  <c r="K105" i="84"/>
  <c r="K105" i="27"/>
  <c r="U105" i="27" s="1"/>
  <c r="K105" i="41"/>
  <c r="T105" i="41" s="1"/>
  <c r="U105" i="41" s="1"/>
  <c r="M105" i="30"/>
  <c r="BL95" i="99"/>
  <c r="BK95" i="99"/>
  <c r="BJ107" i="99" l="1"/>
  <c r="M106" i="30"/>
  <c r="K106" i="27"/>
  <c r="U106" i="27" s="1"/>
  <c r="K106" i="41"/>
  <c r="T106" i="41" s="1"/>
  <c r="U106" i="41" s="1"/>
  <c r="K106" i="84"/>
  <c r="BK96" i="99"/>
  <c r="BL96" i="99"/>
  <c r="BJ108" i="99" l="1"/>
  <c r="M107" i="30"/>
  <c r="K107" i="84"/>
  <c r="K107" i="41"/>
  <c r="T107" i="41" s="1"/>
  <c r="U107" i="41" s="1"/>
  <c r="K107" i="27"/>
  <c r="U107" i="27" s="1"/>
  <c r="BL97" i="99"/>
  <c r="BK97" i="99"/>
  <c r="BJ109" i="99" l="1"/>
  <c r="K108" i="84"/>
  <c r="M108" i="30"/>
  <c r="K108" i="27"/>
  <c r="U108" i="27" s="1"/>
  <c r="K108" i="41"/>
  <c r="T108" i="41" s="1"/>
  <c r="U108" i="41" s="1"/>
  <c r="BL98" i="99"/>
  <c r="BK98" i="99"/>
  <c r="BJ110" i="99" l="1"/>
  <c r="K109" i="84"/>
  <c r="M109" i="30"/>
  <c r="K109" i="27"/>
  <c r="U109" i="27" s="1"/>
  <c r="K109" i="41"/>
  <c r="T109" i="41" s="1"/>
  <c r="U109" i="41" s="1"/>
  <c r="BK99" i="99"/>
  <c r="BL99" i="99"/>
  <c r="BJ111" i="99" l="1"/>
  <c r="K110" i="27"/>
  <c r="U110" i="27" s="1"/>
  <c r="M110" i="30"/>
  <c r="K110" i="84"/>
  <c r="K110" i="41"/>
  <c r="T110" i="41" s="1"/>
  <c r="U110" i="41" s="1"/>
  <c r="BL100" i="99"/>
  <c r="BK100" i="99"/>
  <c r="BJ112" i="99" l="1"/>
  <c r="K111" i="27"/>
  <c r="U111" i="27" s="1"/>
  <c r="M111" i="30"/>
  <c r="K111" i="41"/>
  <c r="T111" i="41" s="1"/>
  <c r="U111" i="41" s="1"/>
  <c r="K111" i="84"/>
  <c r="BL101" i="99"/>
  <c r="BK101" i="99"/>
  <c r="BJ113" i="99" l="1"/>
  <c r="K112" i="27"/>
  <c r="U112" i="27" s="1"/>
  <c r="K112" i="84"/>
  <c r="K112" i="41"/>
  <c r="T112" i="41" s="1"/>
  <c r="U112" i="41" s="1"/>
  <c r="M112" i="30"/>
  <c r="BL102" i="99"/>
  <c r="BK102" i="99"/>
  <c r="BJ114" i="99" l="1"/>
  <c r="K113" i="27"/>
  <c r="U113" i="27" s="1"/>
  <c r="K113" i="84"/>
  <c r="K113" i="41"/>
  <c r="T113" i="41" s="1"/>
  <c r="U113" i="41" s="1"/>
  <c r="M113" i="30"/>
  <c r="BL103" i="99"/>
  <c r="BK103" i="99"/>
  <c r="BJ115" i="99" l="1"/>
  <c r="K114" i="27"/>
  <c r="U114" i="27" s="1"/>
  <c r="K114" i="84"/>
  <c r="M114" i="30"/>
  <c r="K114" i="41"/>
  <c r="T114" i="41" s="1"/>
  <c r="U114" i="41" s="1"/>
  <c r="BL104" i="99"/>
  <c r="BK104" i="99"/>
  <c r="K115" i="84" l="1"/>
  <c r="M115" i="30"/>
  <c r="K115" i="27"/>
  <c r="U115" i="27" s="1"/>
  <c r="BJ116" i="99"/>
  <c r="K115" i="41"/>
  <c r="T115" i="41" s="1"/>
  <c r="U115" i="41" s="1"/>
  <c r="BK105" i="99"/>
  <c r="BL105" i="99"/>
  <c r="BK116" i="99" l="1"/>
  <c r="M116" i="30"/>
  <c r="K116" i="27"/>
  <c r="U116" i="27" s="1"/>
  <c r="K116" i="84"/>
  <c r="BJ117" i="99"/>
  <c r="BL116" i="99"/>
  <c r="K116" i="41"/>
  <c r="T116" i="41" s="1"/>
  <c r="U116" i="41" s="1"/>
  <c r="BL106" i="99"/>
  <c r="BK106" i="99"/>
  <c r="M117" i="30" l="1"/>
  <c r="K117" i="27"/>
  <c r="U117" i="27" s="1"/>
  <c r="K117" i="84"/>
  <c r="BL117" i="99"/>
  <c r="BK117" i="99"/>
  <c r="BJ118" i="99"/>
  <c r="K117" i="41"/>
  <c r="T117" i="41" s="1"/>
  <c r="U117" i="41" s="1"/>
  <c r="BL107" i="99"/>
  <c r="BK107" i="99"/>
  <c r="K118" i="84" l="1"/>
  <c r="M118" i="30"/>
  <c r="K118" i="27"/>
  <c r="U118" i="27" s="1"/>
  <c r="BK118" i="99"/>
  <c r="BJ119" i="99"/>
  <c r="BL118" i="99"/>
  <c r="K118" i="41"/>
  <c r="T118" i="41" s="1"/>
  <c r="U118" i="41" s="1"/>
  <c r="BK108" i="99"/>
  <c r="BL108" i="99"/>
  <c r="K119" i="84" l="1"/>
  <c r="K119" i="27"/>
  <c r="U119" i="27" s="1"/>
  <c r="M119" i="30"/>
  <c r="BL119" i="99"/>
  <c r="BJ120" i="99"/>
  <c r="BK119" i="99"/>
  <c r="K119" i="41"/>
  <c r="T119" i="41" s="1"/>
  <c r="U119" i="41" s="1"/>
  <c r="BK109" i="99"/>
  <c r="BL109" i="99"/>
  <c r="K120" i="84" l="1"/>
  <c r="K120" i="27"/>
  <c r="U120" i="27" s="1"/>
  <c r="M120" i="30"/>
  <c r="BL120" i="99"/>
  <c r="BJ121" i="99"/>
  <c r="BK120" i="99"/>
  <c r="K120" i="41"/>
  <c r="T120" i="41" s="1"/>
  <c r="U120" i="41" s="1"/>
  <c r="BK110" i="99"/>
  <c r="BL110" i="99"/>
  <c r="K121" i="27" l="1"/>
  <c r="K121" i="84"/>
  <c r="K122" i="84" s="1"/>
  <c r="BL121" i="99"/>
  <c r="BK121" i="99"/>
  <c r="K121" i="41"/>
  <c r="T121" i="41" s="1"/>
  <c r="U121" i="41" s="1"/>
  <c r="BL111" i="99"/>
  <c r="BK111" i="99"/>
  <c r="O122" i="87" l="1"/>
  <c r="U121" i="27"/>
  <c r="K122" i="27"/>
  <c r="K123" i="84"/>
  <c r="X122" i="84"/>
  <c r="M121" i="30"/>
  <c r="BK112" i="99"/>
  <c r="BL112" i="99"/>
  <c r="M122" i="30" l="1"/>
  <c r="K123" i="27"/>
  <c r="U122" i="27"/>
  <c r="X123" i="84"/>
  <c r="K124" i="84"/>
  <c r="O123" i="87"/>
  <c r="BL113" i="99"/>
  <c r="BK113" i="99"/>
  <c r="O124" i="87" l="1"/>
  <c r="K124" i="27"/>
  <c r="U123" i="27"/>
  <c r="K125" i="84"/>
  <c r="X124" i="84"/>
  <c r="M123" i="30"/>
  <c r="BK114" i="99"/>
  <c r="BL114" i="99"/>
  <c r="M124" i="30" l="1"/>
  <c r="K125" i="27"/>
  <c r="U124" i="27"/>
  <c r="O125" i="87"/>
  <c r="K126" i="84"/>
  <c r="X125" i="84"/>
  <c r="BL115" i="99"/>
  <c r="BK115" i="99"/>
  <c r="X126" i="84" l="1"/>
  <c r="K127" i="84"/>
  <c r="K126" i="27"/>
  <c r="U125" i="27"/>
  <c r="O126" i="87"/>
  <c r="M125" i="30"/>
  <c r="DT266" i="6"/>
  <c r="DX266" i="6" s="1"/>
  <c r="DT267" i="6"/>
  <c r="DX267" i="6" s="1"/>
  <c r="DT268" i="6"/>
  <c r="DX268" i="6" s="1"/>
  <c r="DT269" i="6"/>
  <c r="DX269" i="6" s="1"/>
  <c r="DT270" i="6"/>
  <c r="DX270" i="6" s="1"/>
  <c r="DT271" i="6"/>
  <c r="DX271" i="6" s="1"/>
  <c r="DT272" i="6"/>
  <c r="DX272" i="6"/>
  <c r="DT273" i="6"/>
  <c r="DX273" i="6" s="1"/>
  <c r="DT274" i="6"/>
  <c r="DX274" i="6" s="1"/>
  <c r="DT275" i="6"/>
  <c r="DX275" i="6" s="1"/>
  <c r="DT276" i="6"/>
  <c r="DX276" i="6" s="1"/>
  <c r="DT277" i="6"/>
  <c r="DX277" i="6" s="1"/>
  <c r="B274" i="6"/>
  <c r="A274" i="6" s="1"/>
  <c r="C274" i="6"/>
  <c r="A275" i="6"/>
  <c r="B275" i="6"/>
  <c r="C275" i="6"/>
  <c r="B276" i="6"/>
  <c r="A276" i="6" s="1"/>
  <c r="C276" i="6"/>
  <c r="B277" i="6"/>
  <c r="A277" i="6" s="1"/>
  <c r="C277" i="6"/>
  <c r="B243" i="6"/>
  <c r="A243" i="6" s="1"/>
  <c r="C243" i="6"/>
  <c r="A244" i="6"/>
  <c r="B244" i="6"/>
  <c r="C244" i="6"/>
  <c r="B245" i="6"/>
  <c r="A245" i="6" s="1"/>
  <c r="C245" i="6"/>
  <c r="B246" i="6"/>
  <c r="A246" i="6" s="1"/>
  <c r="C246" i="6"/>
  <c r="B247" i="6"/>
  <c r="A247" i="6" s="1"/>
  <c r="C247" i="6"/>
  <c r="A248" i="6"/>
  <c r="B248" i="6"/>
  <c r="C248" i="6"/>
  <c r="B249" i="6"/>
  <c r="A249" i="6" s="1"/>
  <c r="C249" i="6"/>
  <c r="B250" i="6"/>
  <c r="A250" i="6" s="1"/>
  <c r="C250" i="6"/>
  <c r="B251" i="6"/>
  <c r="A251" i="6" s="1"/>
  <c r="C251" i="6"/>
  <c r="A252" i="6"/>
  <c r="B252" i="6"/>
  <c r="C252" i="6"/>
  <c r="B253" i="6"/>
  <c r="A253" i="6" s="1"/>
  <c r="C253" i="6"/>
  <c r="B254" i="6"/>
  <c r="A254" i="6" s="1"/>
  <c r="C254" i="6"/>
  <c r="B255" i="6"/>
  <c r="A255" i="6" s="1"/>
  <c r="C255" i="6"/>
  <c r="A256" i="6"/>
  <c r="B256" i="6"/>
  <c r="C256" i="6"/>
  <c r="B257" i="6"/>
  <c r="A257" i="6" s="1"/>
  <c r="C257" i="6"/>
  <c r="B258" i="6"/>
  <c r="A258" i="6" s="1"/>
  <c r="C258" i="6"/>
  <c r="B259" i="6"/>
  <c r="A259" i="6" s="1"/>
  <c r="C259" i="6"/>
  <c r="A260" i="6"/>
  <c r="B260" i="6"/>
  <c r="C260" i="6"/>
  <c r="B261" i="6"/>
  <c r="A261" i="6" s="1"/>
  <c r="C261" i="6"/>
  <c r="B262" i="6"/>
  <c r="A262" i="6" s="1"/>
  <c r="C262" i="6"/>
  <c r="B263" i="6"/>
  <c r="A263" i="6" s="1"/>
  <c r="C263" i="6"/>
  <c r="A264" i="6"/>
  <c r="B264" i="6"/>
  <c r="C264" i="6"/>
  <c r="B265" i="6"/>
  <c r="A265" i="6" s="1"/>
  <c r="C265" i="6"/>
  <c r="B266" i="6"/>
  <c r="A266" i="6" s="1"/>
  <c r="C266" i="6"/>
  <c r="B267" i="6"/>
  <c r="A267" i="6" s="1"/>
  <c r="C267" i="6"/>
  <c r="A268" i="6"/>
  <c r="B268" i="6"/>
  <c r="C268" i="6"/>
  <c r="B269" i="6"/>
  <c r="A269" i="6" s="1"/>
  <c r="C269" i="6"/>
  <c r="B270" i="6"/>
  <c r="A270" i="6" s="1"/>
  <c r="C270" i="6"/>
  <c r="B271" i="6"/>
  <c r="A271" i="6" s="1"/>
  <c r="C271" i="6"/>
  <c r="A272" i="6"/>
  <c r="B272" i="6"/>
  <c r="C272" i="6"/>
  <c r="B273" i="6"/>
  <c r="A273" i="6" s="1"/>
  <c r="C273" i="6"/>
  <c r="C242" i="6"/>
  <c r="B242" i="6"/>
  <c r="A233" i="6"/>
  <c r="A234" i="6"/>
  <c r="A235" i="6"/>
  <c r="A236" i="6"/>
  <c r="A237" i="6"/>
  <c r="A238" i="6"/>
  <c r="A239" i="6"/>
  <c r="A240" i="6"/>
  <c r="A241" i="6"/>
  <c r="B134" i="30"/>
  <c r="C134" i="30"/>
  <c r="J134" i="30"/>
  <c r="B135" i="30"/>
  <c r="C135" i="30"/>
  <c r="J135" i="30"/>
  <c r="B136" i="30"/>
  <c r="C136" i="30"/>
  <c r="J136" i="30"/>
  <c r="B137" i="30"/>
  <c r="C137" i="30"/>
  <c r="J137" i="30"/>
  <c r="B138" i="30"/>
  <c r="C138" i="30"/>
  <c r="J138" i="30"/>
  <c r="B139" i="30"/>
  <c r="C139" i="30"/>
  <c r="J139" i="30"/>
  <c r="B140" i="30"/>
  <c r="C140" i="30"/>
  <c r="J140" i="30"/>
  <c r="B141" i="30"/>
  <c r="C141" i="30"/>
  <c r="J141" i="30"/>
  <c r="B142" i="30"/>
  <c r="C142" i="30"/>
  <c r="J142" i="30"/>
  <c r="B143" i="30"/>
  <c r="C143" i="30"/>
  <c r="J143" i="30"/>
  <c r="B144" i="30"/>
  <c r="C144" i="30"/>
  <c r="J144" i="30"/>
  <c r="B145" i="30"/>
  <c r="C145" i="30"/>
  <c r="J145" i="30"/>
  <c r="B145" i="29"/>
  <c r="C145" i="29"/>
  <c r="B134" i="29"/>
  <c r="C134" i="29"/>
  <c r="B135" i="29"/>
  <c r="C135" i="29"/>
  <c r="B136" i="29"/>
  <c r="C136" i="29"/>
  <c r="B137" i="29"/>
  <c r="C137" i="29"/>
  <c r="B138" i="29"/>
  <c r="C138" i="29"/>
  <c r="B139" i="29"/>
  <c r="C139" i="29"/>
  <c r="B140" i="29"/>
  <c r="C140" i="29"/>
  <c r="B141" i="29"/>
  <c r="C141" i="29"/>
  <c r="B142" i="29"/>
  <c r="C142" i="29"/>
  <c r="B143" i="29"/>
  <c r="C143" i="29"/>
  <c r="B144" i="29"/>
  <c r="C144" i="29"/>
  <c r="B145" i="28"/>
  <c r="C145" i="28"/>
  <c r="K145" i="28"/>
  <c r="B134" i="28"/>
  <c r="C134" i="28"/>
  <c r="K134" i="28"/>
  <c r="B135" i="28"/>
  <c r="C135" i="28"/>
  <c r="K135" i="28"/>
  <c r="B136" i="28"/>
  <c r="C136" i="28"/>
  <c r="K136" i="28"/>
  <c r="B137" i="28"/>
  <c r="C137" i="28"/>
  <c r="K137" i="28"/>
  <c r="B138" i="28"/>
  <c r="C138" i="28"/>
  <c r="K138" i="28"/>
  <c r="B139" i="28"/>
  <c r="C139" i="28"/>
  <c r="K139" i="28"/>
  <c r="B140" i="28"/>
  <c r="C140" i="28"/>
  <c r="K140" i="28"/>
  <c r="B141" i="28"/>
  <c r="C141" i="28"/>
  <c r="K141" i="28"/>
  <c r="B142" i="28"/>
  <c r="C142" i="28"/>
  <c r="K142" i="28"/>
  <c r="B143" i="28"/>
  <c r="C143" i="28"/>
  <c r="K143" i="28"/>
  <c r="B144" i="28"/>
  <c r="C144" i="28"/>
  <c r="K144" i="28"/>
  <c r="B134" i="27"/>
  <c r="C134" i="27"/>
  <c r="B135" i="27"/>
  <c r="C135" i="27"/>
  <c r="B136" i="27"/>
  <c r="C136" i="27"/>
  <c r="B137" i="27"/>
  <c r="C137" i="27"/>
  <c r="B138" i="27"/>
  <c r="C138" i="27"/>
  <c r="B139" i="27"/>
  <c r="C139" i="27"/>
  <c r="B140" i="27"/>
  <c r="C140" i="27"/>
  <c r="B141" i="27"/>
  <c r="C141" i="27"/>
  <c r="B142" i="27"/>
  <c r="C142" i="27"/>
  <c r="B143" i="27"/>
  <c r="C143" i="27"/>
  <c r="B144" i="27"/>
  <c r="C144" i="27"/>
  <c r="B145" i="27"/>
  <c r="C145" i="27"/>
  <c r="B116" i="47"/>
  <c r="C116" i="47"/>
  <c r="B117" i="47"/>
  <c r="C117" i="47"/>
  <c r="B118" i="47"/>
  <c r="C118" i="47"/>
  <c r="B119" i="47"/>
  <c r="C119" i="47"/>
  <c r="B120" i="47"/>
  <c r="C120" i="47"/>
  <c r="B121" i="47"/>
  <c r="C121" i="47"/>
  <c r="B110" i="47"/>
  <c r="C110" i="47"/>
  <c r="B111" i="47"/>
  <c r="C111" i="47"/>
  <c r="B112" i="47"/>
  <c r="C112" i="47"/>
  <c r="B113" i="47"/>
  <c r="C113" i="47"/>
  <c r="B114" i="47"/>
  <c r="C114" i="47"/>
  <c r="B115" i="47"/>
  <c r="C115" i="47"/>
  <c r="B110" i="41"/>
  <c r="C110" i="41"/>
  <c r="B111" i="41"/>
  <c r="C111" i="41"/>
  <c r="B112" i="41"/>
  <c r="C112" i="41"/>
  <c r="B113" i="41"/>
  <c r="C113" i="41"/>
  <c r="B114" i="41"/>
  <c r="C114" i="41"/>
  <c r="B115" i="41"/>
  <c r="C115" i="41"/>
  <c r="B110" i="58"/>
  <c r="C110" i="58"/>
  <c r="B111" i="58"/>
  <c r="C111" i="58"/>
  <c r="B112" i="58"/>
  <c r="C112" i="58"/>
  <c r="B113" i="58"/>
  <c r="C113" i="58"/>
  <c r="B114" i="58"/>
  <c r="C114" i="58"/>
  <c r="B115" i="58"/>
  <c r="C115" i="58"/>
  <c r="B116" i="58"/>
  <c r="C116" i="58"/>
  <c r="B117" i="58"/>
  <c r="C117" i="58"/>
  <c r="B118" i="58"/>
  <c r="C118" i="58"/>
  <c r="B119" i="58"/>
  <c r="C119" i="58"/>
  <c r="B120" i="58"/>
  <c r="C120" i="58"/>
  <c r="B121" i="58"/>
  <c r="C121" i="58"/>
  <c r="M126" i="30" l="1"/>
  <c r="K127" i="27"/>
  <c r="U126" i="27"/>
  <c r="O127" i="87"/>
  <c r="K128" i="84"/>
  <c r="X127" i="84"/>
  <c r="A242" i="6"/>
  <c r="M127" i="30" l="1"/>
  <c r="X128" i="84"/>
  <c r="K129" i="84"/>
  <c r="O128" i="87"/>
  <c r="K128" i="27"/>
  <c r="U127" i="27"/>
  <c r="X129" i="84" l="1"/>
  <c r="K130" i="84"/>
  <c r="K129" i="27"/>
  <c r="U128" i="27"/>
  <c r="O129" i="87"/>
  <c r="M128" i="30"/>
  <c r="F149" i="9"/>
  <c r="G149" i="9"/>
  <c r="H149" i="9"/>
  <c r="I149" i="9"/>
  <c r="G150" i="9"/>
  <c r="H150" i="9"/>
  <c r="I150" i="9"/>
  <c r="F151" i="9"/>
  <c r="G151" i="9"/>
  <c r="H151" i="9"/>
  <c r="I151" i="9"/>
  <c r="I147" i="9"/>
  <c r="H147" i="9"/>
  <c r="G147" i="9"/>
  <c r="F147" i="9"/>
  <c r="I146" i="9"/>
  <c r="H146" i="9"/>
  <c r="G146" i="9"/>
  <c r="F146" i="9"/>
  <c r="I145" i="9"/>
  <c r="H145" i="9"/>
  <c r="G145" i="9"/>
  <c r="F145" i="9"/>
  <c r="I144" i="9"/>
  <c r="H144" i="9"/>
  <c r="G144" i="9"/>
  <c r="F144" i="9"/>
  <c r="E144" i="9"/>
  <c r="D144" i="9"/>
  <c r="I143" i="9"/>
  <c r="H143" i="9"/>
  <c r="G143" i="9"/>
  <c r="F143" i="9"/>
  <c r="E143" i="9"/>
  <c r="D143" i="9"/>
  <c r="I142" i="9"/>
  <c r="H142" i="9"/>
  <c r="G142" i="9"/>
  <c r="F142" i="9"/>
  <c r="E142" i="9"/>
  <c r="D142" i="9"/>
  <c r="C142" i="9"/>
  <c r="I141" i="9"/>
  <c r="H141" i="9"/>
  <c r="G141" i="9"/>
  <c r="F141" i="9"/>
  <c r="E141" i="9"/>
  <c r="D141" i="9"/>
  <c r="C141" i="9"/>
  <c r="I140" i="9"/>
  <c r="H140" i="9"/>
  <c r="G140" i="9"/>
  <c r="F140" i="9"/>
  <c r="E140" i="9"/>
  <c r="D140" i="9"/>
  <c r="C140" i="9"/>
  <c r="I139" i="9"/>
  <c r="H139" i="9"/>
  <c r="G139" i="9"/>
  <c r="F139" i="9"/>
  <c r="E139" i="9"/>
  <c r="D139" i="9"/>
  <c r="C139" i="9"/>
  <c r="I138" i="9"/>
  <c r="H138" i="9"/>
  <c r="G138" i="9"/>
  <c r="F138" i="9"/>
  <c r="E138" i="9"/>
  <c r="D138" i="9"/>
  <c r="C138" i="9"/>
  <c r="I137" i="9"/>
  <c r="H137" i="9"/>
  <c r="G137" i="9"/>
  <c r="F137" i="9"/>
  <c r="E137" i="9"/>
  <c r="D137" i="9"/>
  <c r="C137" i="9"/>
  <c r="I136" i="9"/>
  <c r="H136" i="9"/>
  <c r="G136" i="9"/>
  <c r="F136" i="9"/>
  <c r="E136" i="9"/>
  <c r="D136" i="9"/>
  <c r="C136" i="9"/>
  <c r="I135" i="9"/>
  <c r="H135" i="9"/>
  <c r="G135" i="9"/>
  <c r="F135" i="9"/>
  <c r="E135" i="9"/>
  <c r="D135" i="9"/>
  <c r="C135" i="9"/>
  <c r="K134" i="9"/>
  <c r="K116" i="9"/>
  <c r="K17" i="9"/>
  <c r="K46" i="9"/>
  <c r="K32" i="9"/>
  <c r="K59" i="9"/>
  <c r="K71" i="9"/>
  <c r="K92" i="9"/>
  <c r="K109" i="9"/>
  <c r="K101" i="9"/>
  <c r="K82" i="9"/>
  <c r="M129" i="30" l="1"/>
  <c r="K130" i="27"/>
  <c r="U129" i="27"/>
  <c r="O130" i="87"/>
  <c r="X130" i="84"/>
  <c r="K131" i="84"/>
  <c r="H5" i="99"/>
  <c r="I5" i="99" s="1"/>
  <c r="D5" i="47" s="1"/>
  <c r="H9" i="99"/>
  <c r="I9" i="99" s="1"/>
  <c r="D9" i="47" s="1"/>
  <c r="H13" i="99"/>
  <c r="I13" i="99" s="1"/>
  <c r="D13" i="47" s="1"/>
  <c r="H3" i="99"/>
  <c r="I3" i="99" s="1"/>
  <c r="D3" i="47" s="1"/>
  <c r="H7" i="99"/>
  <c r="I7" i="99" s="1"/>
  <c r="D7" i="47" s="1"/>
  <c r="H11" i="99"/>
  <c r="I11" i="99" s="1"/>
  <c r="D11" i="47" s="1"/>
  <c r="H4" i="99"/>
  <c r="I4" i="99" s="1"/>
  <c r="D4" i="47" s="1"/>
  <c r="H12" i="99"/>
  <c r="I12" i="99" s="1"/>
  <c r="D12" i="47" s="1"/>
  <c r="H6" i="99"/>
  <c r="I6" i="99" s="1"/>
  <c r="D6" i="47" s="1"/>
  <c r="H8" i="99"/>
  <c r="I8" i="99" s="1"/>
  <c r="D8" i="47" s="1"/>
  <c r="H10" i="99"/>
  <c r="I10" i="99" s="1"/>
  <c r="D10" i="47" s="1"/>
  <c r="H2" i="99"/>
  <c r="I2" i="99" s="1"/>
  <c r="D2" i="47" s="1"/>
  <c r="L19" i="99"/>
  <c r="M19" i="99" s="1"/>
  <c r="L17" i="99"/>
  <c r="M17" i="99" s="1"/>
  <c r="L23" i="99"/>
  <c r="M23" i="99" s="1"/>
  <c r="L15" i="99"/>
  <c r="M15" i="99" s="1"/>
  <c r="L20" i="99"/>
  <c r="M20" i="99" s="1"/>
  <c r="L21" i="99"/>
  <c r="M21" i="99" s="1"/>
  <c r="L18" i="99"/>
  <c r="M18" i="99" s="1"/>
  <c r="L22" i="99"/>
  <c r="M22" i="99" s="1"/>
  <c r="L14" i="99"/>
  <c r="M14" i="99" s="1"/>
  <c r="L16" i="99"/>
  <c r="M16" i="99" s="1"/>
  <c r="L24" i="99"/>
  <c r="M24" i="99" s="1"/>
  <c r="L25" i="99"/>
  <c r="M25" i="99" s="1"/>
  <c r="D41" i="99"/>
  <c r="E41" i="99" s="1"/>
  <c r="CV41" i="99" s="1"/>
  <c r="D43" i="99"/>
  <c r="E43" i="99" s="1"/>
  <c r="CV43" i="99" s="1"/>
  <c r="D40" i="99"/>
  <c r="E40" i="99" s="1"/>
  <c r="CV40" i="99" s="1"/>
  <c r="D45" i="99"/>
  <c r="E45" i="99" s="1"/>
  <c r="CV45" i="99" s="1"/>
  <c r="D38" i="99"/>
  <c r="E38" i="99" s="1"/>
  <c r="D44" i="99"/>
  <c r="E44" i="99" s="1"/>
  <c r="CV44" i="99" s="1"/>
  <c r="D42" i="99"/>
  <c r="E42" i="99" s="1"/>
  <c r="CV42" i="99" s="1"/>
  <c r="D48" i="99"/>
  <c r="E48" i="99" s="1"/>
  <c r="CV48" i="99" s="1"/>
  <c r="D46" i="99"/>
  <c r="E46" i="99" s="1"/>
  <c r="CV46" i="99" s="1"/>
  <c r="D39" i="99"/>
  <c r="E39" i="99" s="1"/>
  <c r="CV39" i="99" s="1"/>
  <c r="D47" i="99"/>
  <c r="E47" i="99" s="1"/>
  <c r="CV47" i="99" s="1"/>
  <c r="D49" i="99"/>
  <c r="E49" i="99" s="1"/>
  <c r="CV49" i="99" s="1"/>
  <c r="H56" i="99"/>
  <c r="I56" i="99" s="1"/>
  <c r="D56" i="47" s="1"/>
  <c r="H52" i="99"/>
  <c r="I52" i="99" s="1"/>
  <c r="D52" i="47" s="1"/>
  <c r="H51" i="99"/>
  <c r="I51" i="99" s="1"/>
  <c r="D51" i="47" s="1"/>
  <c r="H50" i="99"/>
  <c r="I50" i="99" s="1"/>
  <c r="D50" i="47" s="1"/>
  <c r="H60" i="99"/>
  <c r="I60" i="99" s="1"/>
  <c r="D60" i="47" s="1"/>
  <c r="H54" i="99"/>
  <c r="I54" i="99" s="1"/>
  <c r="D54" i="47" s="1"/>
  <c r="H53" i="99"/>
  <c r="I53" i="99" s="1"/>
  <c r="D53" i="47" s="1"/>
  <c r="H57" i="99"/>
  <c r="I57" i="99" s="1"/>
  <c r="D57" i="47" s="1"/>
  <c r="H61" i="99"/>
  <c r="I61" i="99" s="1"/>
  <c r="D61" i="47" s="1"/>
  <c r="H58" i="99"/>
  <c r="I58" i="99" s="1"/>
  <c r="D58" i="47" s="1"/>
  <c r="H59" i="99"/>
  <c r="I59" i="99" s="1"/>
  <c r="D59" i="47" s="1"/>
  <c r="H55" i="99"/>
  <c r="I55" i="99" s="1"/>
  <c r="D55" i="47" s="1"/>
  <c r="L72" i="99"/>
  <c r="M72" i="99" s="1"/>
  <c r="L69" i="99"/>
  <c r="M69" i="99" s="1"/>
  <c r="L70" i="99"/>
  <c r="M70" i="99" s="1"/>
  <c r="L68" i="99"/>
  <c r="M68" i="99" s="1"/>
  <c r="L73" i="99"/>
  <c r="M73" i="99" s="1"/>
  <c r="L63" i="99"/>
  <c r="M63" i="99" s="1"/>
  <c r="L71" i="99"/>
  <c r="M71" i="99" s="1"/>
  <c r="L64" i="99"/>
  <c r="M64" i="99" s="1"/>
  <c r="L66" i="99"/>
  <c r="M66" i="99" s="1"/>
  <c r="L65" i="99"/>
  <c r="M65" i="99" s="1"/>
  <c r="L62" i="99"/>
  <c r="M62" i="99" s="1"/>
  <c r="L67" i="99"/>
  <c r="M67" i="99" s="1"/>
  <c r="L6" i="99"/>
  <c r="M6" i="99" s="1"/>
  <c r="L9" i="99"/>
  <c r="M9" i="99" s="1"/>
  <c r="L11" i="99"/>
  <c r="M11" i="99" s="1"/>
  <c r="L3" i="99"/>
  <c r="M3" i="99" s="1"/>
  <c r="L10" i="99"/>
  <c r="M10" i="99" s="1"/>
  <c r="L12" i="99"/>
  <c r="M12" i="99" s="1"/>
  <c r="L2" i="99"/>
  <c r="M2" i="99" s="1"/>
  <c r="L4" i="99"/>
  <c r="M4" i="99" s="1"/>
  <c r="L7" i="99"/>
  <c r="M7" i="99" s="1"/>
  <c r="L13" i="99"/>
  <c r="M13" i="99" s="1"/>
  <c r="L5" i="99"/>
  <c r="M5" i="99" s="1"/>
  <c r="L8" i="99"/>
  <c r="M8" i="99" s="1"/>
  <c r="D28" i="99"/>
  <c r="E28" i="99" s="1"/>
  <c r="CV28" i="99" s="1"/>
  <c r="D32" i="99"/>
  <c r="E32" i="99" s="1"/>
  <c r="CV32" i="99" s="1"/>
  <c r="D29" i="99"/>
  <c r="E29" i="99" s="1"/>
  <c r="CV29" i="99" s="1"/>
  <c r="D30" i="99"/>
  <c r="E30" i="99" s="1"/>
  <c r="CV30" i="99" s="1"/>
  <c r="D34" i="99"/>
  <c r="E34" i="99" s="1"/>
  <c r="CV34" i="99" s="1"/>
  <c r="D35" i="99"/>
  <c r="E35" i="99" s="1"/>
  <c r="CV35" i="99" s="1"/>
  <c r="D27" i="99"/>
  <c r="E27" i="99" s="1"/>
  <c r="CV27" i="99" s="1"/>
  <c r="D33" i="99"/>
  <c r="E33" i="99" s="1"/>
  <c r="CV33" i="99" s="1"/>
  <c r="D31" i="99"/>
  <c r="E31" i="99" s="1"/>
  <c r="CV31" i="99" s="1"/>
  <c r="D36" i="99"/>
  <c r="E36" i="99" s="1"/>
  <c r="CV36" i="99" s="1"/>
  <c r="D37" i="99"/>
  <c r="E37" i="99" s="1"/>
  <c r="CV37" i="99" s="1"/>
  <c r="D26" i="99"/>
  <c r="E26" i="99" s="1"/>
  <c r="CV26" i="99" s="1"/>
  <c r="H45" i="99"/>
  <c r="I45" i="99" s="1"/>
  <c r="D45" i="47" s="1"/>
  <c r="H48" i="99"/>
  <c r="I48" i="99" s="1"/>
  <c r="D48" i="47" s="1"/>
  <c r="H49" i="99"/>
  <c r="I49" i="99" s="1"/>
  <c r="D49" i="47" s="1"/>
  <c r="H41" i="99"/>
  <c r="I41" i="99" s="1"/>
  <c r="D41" i="47" s="1"/>
  <c r="H38" i="99"/>
  <c r="I38" i="99" s="1"/>
  <c r="D38" i="47" s="1"/>
  <c r="H43" i="99"/>
  <c r="I43" i="99" s="1"/>
  <c r="D43" i="47" s="1"/>
  <c r="H40" i="99"/>
  <c r="I40" i="99" s="1"/>
  <c r="D40" i="47" s="1"/>
  <c r="H47" i="99"/>
  <c r="I47" i="99" s="1"/>
  <c r="D47" i="47" s="1"/>
  <c r="H39" i="99"/>
  <c r="I39" i="99" s="1"/>
  <c r="D39" i="47" s="1"/>
  <c r="H44" i="99"/>
  <c r="I44" i="99" s="1"/>
  <c r="D44" i="47" s="1"/>
  <c r="H42" i="99"/>
  <c r="I42" i="99" s="1"/>
  <c r="D42" i="47" s="1"/>
  <c r="H46" i="99"/>
  <c r="I46" i="99" s="1"/>
  <c r="D46" i="47" s="1"/>
  <c r="L50" i="99"/>
  <c r="M50" i="99" s="1"/>
  <c r="L58" i="99"/>
  <c r="M58" i="99" s="1"/>
  <c r="L54" i="99"/>
  <c r="M54" i="99" s="1"/>
  <c r="L57" i="99"/>
  <c r="M57" i="99" s="1"/>
  <c r="L56" i="99"/>
  <c r="M56" i="99" s="1"/>
  <c r="L52" i="99"/>
  <c r="M52" i="99" s="1"/>
  <c r="L60" i="99"/>
  <c r="M60" i="99" s="1"/>
  <c r="L55" i="99"/>
  <c r="M55" i="99" s="1"/>
  <c r="L51" i="99"/>
  <c r="M51" i="99" s="1"/>
  <c r="L61" i="99"/>
  <c r="M61" i="99" s="1"/>
  <c r="L53" i="99"/>
  <c r="M53" i="99" s="1"/>
  <c r="L59" i="99"/>
  <c r="M59" i="99" s="1"/>
  <c r="D76" i="99"/>
  <c r="E76" i="99" s="1"/>
  <c r="CV76" i="99" s="1"/>
  <c r="D77" i="99"/>
  <c r="E77" i="99" s="1"/>
  <c r="CV77" i="99" s="1"/>
  <c r="D82" i="99"/>
  <c r="E82" i="99" s="1"/>
  <c r="CV82" i="99" s="1"/>
  <c r="D83" i="99"/>
  <c r="E83" i="99" s="1"/>
  <c r="CV83" i="99" s="1"/>
  <c r="D85" i="99"/>
  <c r="E85" i="99" s="1"/>
  <c r="CV85" i="99" s="1"/>
  <c r="D78" i="99"/>
  <c r="E78" i="99" s="1"/>
  <c r="CV78" i="99" s="1"/>
  <c r="D84" i="99"/>
  <c r="E84" i="99" s="1"/>
  <c r="CV84" i="99" s="1"/>
  <c r="D74" i="99"/>
  <c r="E74" i="99" s="1"/>
  <c r="CV74" i="99" s="1"/>
  <c r="D80" i="99"/>
  <c r="E80" i="99" s="1"/>
  <c r="CV80" i="99" s="1"/>
  <c r="D75" i="99"/>
  <c r="E75" i="99" s="1"/>
  <c r="CV75" i="99" s="1"/>
  <c r="D81" i="99"/>
  <c r="E81" i="99" s="1"/>
  <c r="CV81" i="99" s="1"/>
  <c r="D79" i="99"/>
  <c r="E79" i="99" s="1"/>
  <c r="CV79" i="99" s="1"/>
  <c r="D16" i="99"/>
  <c r="E16" i="99" s="1"/>
  <c r="CV16" i="99" s="1"/>
  <c r="D20" i="99"/>
  <c r="E20" i="99" s="1"/>
  <c r="CV20" i="99" s="1"/>
  <c r="D24" i="99"/>
  <c r="E24" i="99" s="1"/>
  <c r="CV24" i="99" s="1"/>
  <c r="D17" i="99"/>
  <c r="E17" i="99" s="1"/>
  <c r="CV17" i="99" s="1"/>
  <c r="D21" i="99"/>
  <c r="E21" i="99" s="1"/>
  <c r="CV21" i="99" s="1"/>
  <c r="D25" i="99"/>
  <c r="E25" i="99" s="1"/>
  <c r="CV25" i="99" s="1"/>
  <c r="D14" i="99"/>
  <c r="E14" i="99" s="1"/>
  <c r="CV14" i="99" s="1"/>
  <c r="D18" i="99"/>
  <c r="E18" i="99" s="1"/>
  <c r="CV18" i="99" s="1"/>
  <c r="D22" i="99"/>
  <c r="E22" i="99" s="1"/>
  <c r="CV22" i="99" s="1"/>
  <c r="D15" i="99"/>
  <c r="E15" i="99" s="1"/>
  <c r="CV15" i="99" s="1"/>
  <c r="D19" i="99"/>
  <c r="E19" i="99" s="1"/>
  <c r="CV19" i="99" s="1"/>
  <c r="D23" i="99"/>
  <c r="E23" i="99" s="1"/>
  <c r="CV23" i="99" s="1"/>
  <c r="H30" i="99"/>
  <c r="I30" i="99" s="1"/>
  <c r="D30" i="47" s="1"/>
  <c r="H34" i="99"/>
  <c r="I34" i="99" s="1"/>
  <c r="D34" i="47" s="1"/>
  <c r="H32" i="99"/>
  <c r="I32" i="99" s="1"/>
  <c r="D32" i="47" s="1"/>
  <c r="H33" i="99"/>
  <c r="I33" i="99" s="1"/>
  <c r="D33" i="47" s="1"/>
  <c r="H36" i="99"/>
  <c r="I36" i="99" s="1"/>
  <c r="D36" i="47" s="1"/>
  <c r="H31" i="99"/>
  <c r="I31" i="99" s="1"/>
  <c r="D31" i="47" s="1"/>
  <c r="H29" i="99"/>
  <c r="I29" i="99" s="1"/>
  <c r="D29" i="47" s="1"/>
  <c r="H37" i="99"/>
  <c r="I37" i="99" s="1"/>
  <c r="D37" i="47" s="1"/>
  <c r="H28" i="99"/>
  <c r="I28" i="99" s="1"/>
  <c r="D28" i="47" s="1"/>
  <c r="H26" i="99"/>
  <c r="I26" i="99" s="1"/>
  <c r="D26" i="47" s="1"/>
  <c r="H27" i="99"/>
  <c r="I27" i="99" s="1"/>
  <c r="D27" i="47" s="1"/>
  <c r="H35" i="99"/>
  <c r="I35" i="99" s="1"/>
  <c r="D35" i="47" s="1"/>
  <c r="L38" i="99"/>
  <c r="M38" i="99" s="1"/>
  <c r="L41" i="99"/>
  <c r="M41" i="99" s="1"/>
  <c r="L46" i="99"/>
  <c r="M46" i="99" s="1"/>
  <c r="L42" i="99"/>
  <c r="M42" i="99" s="1"/>
  <c r="L45" i="99"/>
  <c r="M45" i="99" s="1"/>
  <c r="L49" i="99"/>
  <c r="M49" i="99" s="1"/>
  <c r="L40" i="99"/>
  <c r="M40" i="99" s="1"/>
  <c r="L47" i="99"/>
  <c r="M47" i="99" s="1"/>
  <c r="L43" i="99"/>
  <c r="M43" i="99" s="1"/>
  <c r="L39" i="99"/>
  <c r="M39" i="99" s="1"/>
  <c r="L48" i="99"/>
  <c r="M48" i="99" s="1"/>
  <c r="L44" i="99"/>
  <c r="M44" i="99" s="1"/>
  <c r="D64" i="99"/>
  <c r="E64" i="99" s="1"/>
  <c r="CV64" i="99" s="1"/>
  <c r="D69" i="99"/>
  <c r="E69" i="99" s="1"/>
  <c r="CV69" i="99" s="1"/>
  <c r="D73" i="99"/>
  <c r="E73" i="99" s="1"/>
  <c r="CV73" i="99" s="1"/>
  <c r="D62" i="99"/>
  <c r="E62" i="99" s="1"/>
  <c r="CV62" i="99" s="1"/>
  <c r="D70" i="99"/>
  <c r="E70" i="99" s="1"/>
  <c r="CV70" i="99" s="1"/>
  <c r="D63" i="99"/>
  <c r="E63" i="99" s="1"/>
  <c r="CV63" i="99" s="1"/>
  <c r="D66" i="99"/>
  <c r="E66" i="99" s="1"/>
  <c r="CV66" i="99" s="1"/>
  <c r="D65" i="99"/>
  <c r="E65" i="99" s="1"/>
  <c r="CV65" i="99" s="1"/>
  <c r="D71" i="99"/>
  <c r="E71" i="99" s="1"/>
  <c r="CV71" i="99" s="1"/>
  <c r="D72" i="99"/>
  <c r="E72" i="99" s="1"/>
  <c r="CV72" i="99" s="1"/>
  <c r="D67" i="99"/>
  <c r="E67" i="99" s="1"/>
  <c r="CV67" i="99" s="1"/>
  <c r="D68" i="99"/>
  <c r="E68" i="99" s="1"/>
  <c r="CV68" i="99" s="1"/>
  <c r="H74" i="99"/>
  <c r="I74" i="99" s="1"/>
  <c r="D74" i="47" s="1"/>
  <c r="H75" i="99"/>
  <c r="I75" i="99" s="1"/>
  <c r="D75" i="47" s="1"/>
  <c r="H77" i="99"/>
  <c r="I77" i="99" s="1"/>
  <c r="D77" i="47" s="1"/>
  <c r="H83" i="99"/>
  <c r="I83" i="99" s="1"/>
  <c r="D83" i="47" s="1"/>
  <c r="H85" i="99"/>
  <c r="I85" i="99" s="1"/>
  <c r="D85" i="47" s="1"/>
  <c r="H79" i="99"/>
  <c r="I79" i="99" s="1"/>
  <c r="D79" i="47" s="1"/>
  <c r="H82" i="99"/>
  <c r="I82" i="99" s="1"/>
  <c r="D82" i="47" s="1"/>
  <c r="H78" i="99"/>
  <c r="I78" i="99" s="1"/>
  <c r="D78" i="47" s="1"/>
  <c r="H81" i="99"/>
  <c r="I81" i="99" s="1"/>
  <c r="D81" i="47" s="1"/>
  <c r="H84" i="99"/>
  <c r="I84" i="99" s="1"/>
  <c r="D84" i="47" s="1"/>
  <c r="H76" i="99"/>
  <c r="I76" i="99" s="1"/>
  <c r="D76" i="47" s="1"/>
  <c r="H80" i="99"/>
  <c r="I80" i="99" s="1"/>
  <c r="D80" i="47" s="1"/>
  <c r="D2" i="99"/>
  <c r="E2" i="99" s="1"/>
  <c r="CV2" i="99" s="1"/>
  <c r="D4" i="99"/>
  <c r="E4" i="99" s="1"/>
  <c r="CV4" i="99" s="1"/>
  <c r="D8" i="99"/>
  <c r="E8" i="99" s="1"/>
  <c r="CV8" i="99" s="1"/>
  <c r="D12" i="99"/>
  <c r="E12" i="99" s="1"/>
  <c r="CV12" i="99" s="1"/>
  <c r="D5" i="99"/>
  <c r="E5" i="99" s="1"/>
  <c r="CV5" i="99" s="1"/>
  <c r="D9" i="99"/>
  <c r="E9" i="99" s="1"/>
  <c r="CV9" i="99" s="1"/>
  <c r="D13" i="99"/>
  <c r="E13" i="99" s="1"/>
  <c r="CV13" i="99" s="1"/>
  <c r="D6" i="99"/>
  <c r="E6" i="99" s="1"/>
  <c r="CV6" i="99" s="1"/>
  <c r="D10" i="99"/>
  <c r="E10" i="99" s="1"/>
  <c r="CV10" i="99" s="1"/>
  <c r="D7" i="99"/>
  <c r="E7" i="99" s="1"/>
  <c r="CV7" i="99" s="1"/>
  <c r="D3" i="99"/>
  <c r="E3" i="99" s="1"/>
  <c r="CV3" i="99" s="1"/>
  <c r="D11" i="99"/>
  <c r="E11" i="99" s="1"/>
  <c r="CV11" i="99" s="1"/>
  <c r="H17" i="99"/>
  <c r="I17" i="99" s="1"/>
  <c r="D17" i="47" s="1"/>
  <c r="H21" i="99"/>
  <c r="I21" i="99" s="1"/>
  <c r="D21" i="47" s="1"/>
  <c r="H25" i="99"/>
  <c r="I25" i="99" s="1"/>
  <c r="D25" i="47" s="1"/>
  <c r="H15" i="99"/>
  <c r="I15" i="99" s="1"/>
  <c r="D15" i="47" s="1"/>
  <c r="H19" i="99"/>
  <c r="I19" i="99" s="1"/>
  <c r="D19" i="47" s="1"/>
  <c r="H23" i="99"/>
  <c r="I23" i="99" s="1"/>
  <c r="D23" i="47" s="1"/>
  <c r="H20" i="99"/>
  <c r="I20" i="99" s="1"/>
  <c r="D20" i="47" s="1"/>
  <c r="H14" i="99"/>
  <c r="I14" i="99" s="1"/>
  <c r="D14" i="47" s="1"/>
  <c r="H22" i="99"/>
  <c r="I22" i="99" s="1"/>
  <c r="D22" i="47" s="1"/>
  <c r="H16" i="99"/>
  <c r="I16" i="99" s="1"/>
  <c r="D16" i="47" s="1"/>
  <c r="H24" i="99"/>
  <c r="I24" i="99" s="1"/>
  <c r="D24" i="47" s="1"/>
  <c r="H18" i="99"/>
  <c r="I18" i="99" s="1"/>
  <c r="D18" i="47" s="1"/>
  <c r="L32" i="99"/>
  <c r="M32" i="99" s="1"/>
  <c r="L26" i="99"/>
  <c r="M26" i="99" s="1"/>
  <c r="L34" i="99"/>
  <c r="M34" i="99" s="1"/>
  <c r="L37" i="99"/>
  <c r="M37" i="99" s="1"/>
  <c r="L28" i="99"/>
  <c r="M28" i="99" s="1"/>
  <c r="L36" i="99"/>
  <c r="M36" i="99" s="1"/>
  <c r="L33" i="99"/>
  <c r="M33" i="99" s="1"/>
  <c r="L35" i="99"/>
  <c r="M35" i="99" s="1"/>
  <c r="L30" i="99"/>
  <c r="M30" i="99" s="1"/>
  <c r="L31" i="99"/>
  <c r="M31" i="99" s="1"/>
  <c r="L29" i="99"/>
  <c r="M29" i="99" s="1"/>
  <c r="L27" i="99"/>
  <c r="M27" i="99" s="1"/>
  <c r="D50" i="99"/>
  <c r="E50" i="99" s="1"/>
  <c r="CV50" i="99" s="1"/>
  <c r="D59" i="99"/>
  <c r="E59" i="99" s="1"/>
  <c r="CV59" i="99" s="1"/>
  <c r="D58" i="99"/>
  <c r="E58" i="99" s="1"/>
  <c r="CV58" i="99" s="1"/>
  <c r="D53" i="99"/>
  <c r="E53" i="99" s="1"/>
  <c r="CV53" i="99" s="1"/>
  <c r="D60" i="99"/>
  <c r="E60" i="99" s="1"/>
  <c r="CV60" i="99" s="1"/>
  <c r="D51" i="99"/>
  <c r="E51" i="99" s="1"/>
  <c r="CV51" i="99" s="1"/>
  <c r="D54" i="99"/>
  <c r="E54" i="99" s="1"/>
  <c r="CV54" i="99" s="1"/>
  <c r="D57" i="99"/>
  <c r="E57" i="99" s="1"/>
  <c r="CV57" i="99" s="1"/>
  <c r="D55" i="99"/>
  <c r="E55" i="99" s="1"/>
  <c r="CV55" i="99" s="1"/>
  <c r="D56" i="99"/>
  <c r="E56" i="99" s="1"/>
  <c r="CV56" i="99" s="1"/>
  <c r="D61" i="99"/>
  <c r="E61" i="99" s="1"/>
  <c r="CV61" i="99" s="1"/>
  <c r="D52" i="99"/>
  <c r="E52" i="99" s="1"/>
  <c r="CV52" i="99" s="1"/>
  <c r="H65" i="99"/>
  <c r="I65" i="99" s="1"/>
  <c r="D65" i="47" s="1"/>
  <c r="H73" i="99"/>
  <c r="I73" i="99" s="1"/>
  <c r="D73" i="47" s="1"/>
  <c r="H71" i="99"/>
  <c r="I71" i="99" s="1"/>
  <c r="D71" i="47" s="1"/>
  <c r="H63" i="99"/>
  <c r="I63" i="99" s="1"/>
  <c r="D63" i="47" s="1"/>
  <c r="H70" i="99"/>
  <c r="I70" i="99" s="1"/>
  <c r="D70" i="47" s="1"/>
  <c r="H68" i="99"/>
  <c r="I68" i="99" s="1"/>
  <c r="D68" i="47" s="1"/>
  <c r="H67" i="99"/>
  <c r="I67" i="99" s="1"/>
  <c r="D67" i="47" s="1"/>
  <c r="H66" i="99"/>
  <c r="I66" i="99" s="1"/>
  <c r="D66" i="47" s="1"/>
  <c r="H72" i="99"/>
  <c r="I72" i="99" s="1"/>
  <c r="D72" i="47" s="1"/>
  <c r="H69" i="99"/>
  <c r="I69" i="99" s="1"/>
  <c r="D69" i="47" s="1"/>
  <c r="H62" i="99"/>
  <c r="I62" i="99" s="1"/>
  <c r="D62" i="47" s="1"/>
  <c r="H64" i="99"/>
  <c r="I64" i="99" s="1"/>
  <c r="D64" i="47" s="1"/>
  <c r="L79" i="99"/>
  <c r="M79" i="99" s="1"/>
  <c r="L76" i="99"/>
  <c r="M76" i="99" s="1"/>
  <c r="L75" i="99"/>
  <c r="M75" i="99" s="1"/>
  <c r="L74" i="99"/>
  <c r="M74" i="99" s="1"/>
  <c r="L82" i="99"/>
  <c r="M82" i="99" s="1"/>
  <c r="L78" i="99"/>
  <c r="M78" i="99" s="1"/>
  <c r="L85" i="99"/>
  <c r="M85" i="99" s="1"/>
  <c r="L77" i="99"/>
  <c r="M77" i="99" s="1"/>
  <c r="L81" i="99"/>
  <c r="M81" i="99" s="1"/>
  <c r="L84" i="99"/>
  <c r="M84" i="99" s="1"/>
  <c r="L83" i="99"/>
  <c r="M83" i="99" s="1"/>
  <c r="L80" i="99"/>
  <c r="M80" i="99" s="1"/>
  <c r="K136" i="9"/>
  <c r="K140" i="9"/>
  <c r="K144" i="9"/>
  <c r="K141" i="9"/>
  <c r="K137" i="9"/>
  <c r="K142" i="9"/>
  <c r="K138" i="9"/>
  <c r="K143" i="9"/>
  <c r="K139" i="9"/>
  <c r="K135" i="9"/>
  <c r="H4" i="26" l="1"/>
  <c r="H9" i="26"/>
  <c r="H6" i="26"/>
  <c r="H10" i="26"/>
  <c r="H7" i="26"/>
  <c r="H5" i="26"/>
  <c r="H8" i="26"/>
  <c r="K132" i="84"/>
  <c r="X131" i="84"/>
  <c r="K131" i="27"/>
  <c r="U130" i="27"/>
  <c r="O131" i="87"/>
  <c r="M130" i="30"/>
  <c r="D85" i="86"/>
  <c r="D85" i="29"/>
  <c r="D85" i="58"/>
  <c r="D29" i="86"/>
  <c r="D29" i="29"/>
  <c r="D29" i="58"/>
  <c r="D76" i="29"/>
  <c r="D76" i="86"/>
  <c r="D76" i="58"/>
  <c r="D81" i="86"/>
  <c r="D81" i="29"/>
  <c r="D81" i="58"/>
  <c r="D80" i="29"/>
  <c r="D80" i="86"/>
  <c r="D80" i="58"/>
  <c r="D77" i="86"/>
  <c r="D77" i="29"/>
  <c r="D77" i="58"/>
  <c r="D74" i="86"/>
  <c r="D74" i="29"/>
  <c r="D74" i="58"/>
  <c r="D27" i="86"/>
  <c r="D27" i="29"/>
  <c r="D27" i="58"/>
  <c r="D35" i="86"/>
  <c r="D35" i="29"/>
  <c r="D35" i="58"/>
  <c r="D37" i="86"/>
  <c r="D37" i="29"/>
  <c r="D37" i="58"/>
  <c r="D44" i="29"/>
  <c r="D44" i="86"/>
  <c r="D44" i="58"/>
  <c r="D47" i="86"/>
  <c r="D47" i="29"/>
  <c r="D47" i="58"/>
  <c r="D42" i="86"/>
  <c r="D42" i="29"/>
  <c r="D42" i="58"/>
  <c r="D59" i="86"/>
  <c r="D59" i="29"/>
  <c r="D59" i="58"/>
  <c r="D55" i="86"/>
  <c r="D55" i="29"/>
  <c r="D55" i="58"/>
  <c r="D57" i="86"/>
  <c r="D57" i="29"/>
  <c r="D57" i="58"/>
  <c r="D8" i="29"/>
  <c r="D8" i="86"/>
  <c r="D8" i="58"/>
  <c r="D4" i="29"/>
  <c r="D4" i="86"/>
  <c r="D4" i="58"/>
  <c r="D3" i="86"/>
  <c r="D3" i="29"/>
  <c r="D3" i="58"/>
  <c r="D67" i="86"/>
  <c r="D67" i="29"/>
  <c r="D67" i="58"/>
  <c r="D64" i="29"/>
  <c r="D64" i="86"/>
  <c r="D64" i="58"/>
  <c r="D68" i="29"/>
  <c r="D68" i="86"/>
  <c r="D68" i="58"/>
  <c r="D25" i="86"/>
  <c r="D25" i="29"/>
  <c r="D25" i="58"/>
  <c r="D22" i="86"/>
  <c r="D22" i="29"/>
  <c r="D22" i="58"/>
  <c r="D15" i="86"/>
  <c r="D15" i="29"/>
  <c r="D15" i="58"/>
  <c r="D75" i="86"/>
  <c r="D75" i="58"/>
  <c r="D75" i="29"/>
  <c r="D33" i="86"/>
  <c r="D33" i="29"/>
  <c r="D33" i="58"/>
  <c r="D34" i="86"/>
  <c r="D34" i="29"/>
  <c r="D34" i="58"/>
  <c r="D48" i="29"/>
  <c r="D48" i="86"/>
  <c r="D48" i="58"/>
  <c r="D40" i="29"/>
  <c r="D40" i="86"/>
  <c r="D40" i="58"/>
  <c r="D46" i="86"/>
  <c r="D46" i="29"/>
  <c r="D46" i="58"/>
  <c r="D53" i="86"/>
  <c r="D53" i="29"/>
  <c r="D53" i="58"/>
  <c r="D60" i="29"/>
  <c r="D60" i="86"/>
  <c r="D60" i="58"/>
  <c r="D54" i="86"/>
  <c r="D54" i="29"/>
  <c r="D54" i="58"/>
  <c r="D5" i="86"/>
  <c r="D5" i="29"/>
  <c r="D5" i="58"/>
  <c r="D2" i="86"/>
  <c r="D2" i="29"/>
  <c r="D2" i="58"/>
  <c r="D11" i="86"/>
  <c r="D11" i="29"/>
  <c r="D11" i="58"/>
  <c r="D62" i="86"/>
  <c r="D62" i="29"/>
  <c r="D62" i="58"/>
  <c r="D71" i="86"/>
  <c r="D71" i="29"/>
  <c r="D71" i="58"/>
  <c r="D70" i="86"/>
  <c r="D70" i="29"/>
  <c r="D70" i="58"/>
  <c r="D24" i="29"/>
  <c r="D24" i="86"/>
  <c r="D24" i="58"/>
  <c r="D18" i="86"/>
  <c r="D18" i="29"/>
  <c r="D18" i="58"/>
  <c r="D23" i="86"/>
  <c r="D23" i="29"/>
  <c r="D23" i="58"/>
  <c r="D83" i="86"/>
  <c r="D83" i="29"/>
  <c r="D83" i="58"/>
  <c r="D78" i="86"/>
  <c r="D78" i="29"/>
  <c r="D78" i="58"/>
  <c r="D36" i="29"/>
  <c r="D36" i="86"/>
  <c r="D36" i="58"/>
  <c r="D39" i="86"/>
  <c r="D39" i="29"/>
  <c r="D39" i="58"/>
  <c r="D49" i="86"/>
  <c r="D49" i="29"/>
  <c r="D49" i="58"/>
  <c r="D41" i="86"/>
  <c r="D41" i="29"/>
  <c r="D41" i="58"/>
  <c r="D61" i="86"/>
  <c r="D61" i="29"/>
  <c r="D61" i="58"/>
  <c r="D52" i="29"/>
  <c r="D52" i="86"/>
  <c r="D52" i="58"/>
  <c r="D58" i="86"/>
  <c r="D58" i="29"/>
  <c r="D58" i="58"/>
  <c r="D13" i="86"/>
  <c r="D13" i="29"/>
  <c r="D13" i="58"/>
  <c r="D12" i="29"/>
  <c r="D12" i="86"/>
  <c r="D12" i="58"/>
  <c r="D9" i="86"/>
  <c r="D9" i="29"/>
  <c r="D9" i="58"/>
  <c r="D65" i="86"/>
  <c r="D65" i="29"/>
  <c r="D65" i="58"/>
  <c r="D63" i="86"/>
  <c r="D63" i="29"/>
  <c r="D63" i="58"/>
  <c r="D69" i="86"/>
  <c r="D69" i="29"/>
  <c r="D69" i="58"/>
  <c r="D16" i="29"/>
  <c r="D16" i="86"/>
  <c r="D16" i="58"/>
  <c r="D21" i="86"/>
  <c r="D21" i="29"/>
  <c r="D21" i="58"/>
  <c r="D17" i="86"/>
  <c r="D17" i="29"/>
  <c r="D17" i="58"/>
  <c r="D84" i="29"/>
  <c r="D84" i="86"/>
  <c r="D84" i="58"/>
  <c r="D31" i="86"/>
  <c r="D31" i="29"/>
  <c r="D31" i="58"/>
  <c r="D26" i="86"/>
  <c r="D26" i="29"/>
  <c r="D26" i="58"/>
  <c r="D82" i="86"/>
  <c r="D82" i="29"/>
  <c r="D82" i="58"/>
  <c r="D79" i="86"/>
  <c r="D79" i="29"/>
  <c r="D79" i="58"/>
  <c r="D30" i="86"/>
  <c r="D30" i="29"/>
  <c r="D30" i="58"/>
  <c r="D28" i="29"/>
  <c r="D28" i="86"/>
  <c r="D28" i="58"/>
  <c r="D32" i="29"/>
  <c r="D32" i="86"/>
  <c r="D32" i="58"/>
  <c r="D43" i="86"/>
  <c r="D43" i="29"/>
  <c r="D43" i="58"/>
  <c r="D45" i="86"/>
  <c r="D45" i="29"/>
  <c r="D45" i="58"/>
  <c r="D38" i="86"/>
  <c r="D38" i="29"/>
  <c r="D38" i="58"/>
  <c r="D51" i="86"/>
  <c r="D51" i="29"/>
  <c r="D51" i="58"/>
  <c r="D56" i="29"/>
  <c r="D56" i="86"/>
  <c r="D56" i="58"/>
  <c r="D50" i="86"/>
  <c r="D50" i="29"/>
  <c r="D50" i="58"/>
  <c r="D7" i="86"/>
  <c r="D7" i="29"/>
  <c r="D7" i="58"/>
  <c r="D10" i="86"/>
  <c r="D10" i="29"/>
  <c r="D10" i="58"/>
  <c r="D6" i="86"/>
  <c r="D6" i="29"/>
  <c r="D6" i="58"/>
  <c r="D66" i="86"/>
  <c r="D66" i="29"/>
  <c r="D66" i="58"/>
  <c r="D73" i="86"/>
  <c r="D73" i="29"/>
  <c r="D73" i="58"/>
  <c r="D72" i="29"/>
  <c r="D72" i="86"/>
  <c r="D72" i="58"/>
  <c r="D14" i="86"/>
  <c r="D14" i="29"/>
  <c r="D14" i="58"/>
  <c r="D20" i="29"/>
  <c r="D20" i="86"/>
  <c r="D20" i="58"/>
  <c r="D19" i="86"/>
  <c r="D19" i="29"/>
  <c r="D19" i="58"/>
  <c r="CW85" i="99"/>
  <c r="D85" i="85"/>
  <c r="D85" i="28"/>
  <c r="CW74" i="99"/>
  <c r="D74" i="85"/>
  <c r="D74" i="28"/>
  <c r="CW28" i="99"/>
  <c r="D28" i="85"/>
  <c r="D28" i="28"/>
  <c r="CW55" i="99"/>
  <c r="D55" i="85"/>
  <c r="D55" i="28"/>
  <c r="CW57" i="99"/>
  <c r="D57" i="85"/>
  <c r="D57" i="28"/>
  <c r="CW50" i="99"/>
  <c r="D50" i="85"/>
  <c r="D50" i="28"/>
  <c r="CW2" i="99"/>
  <c r="D2" i="85"/>
  <c r="D2" i="28"/>
  <c r="CW12" i="99"/>
  <c r="D12" i="85"/>
  <c r="D12" i="28"/>
  <c r="CW3" i="99"/>
  <c r="D3" i="28"/>
  <c r="D3" i="85"/>
  <c r="CW72" i="99"/>
  <c r="D72" i="85"/>
  <c r="D72" i="28"/>
  <c r="CW65" i="99"/>
  <c r="D65" i="85"/>
  <c r="D65" i="28"/>
  <c r="CW17" i="99"/>
  <c r="D17" i="85"/>
  <c r="D17" i="28"/>
  <c r="CW63" i="99"/>
  <c r="D63" i="85"/>
  <c r="D63" i="28"/>
  <c r="CW14" i="99"/>
  <c r="D14" i="85"/>
  <c r="D14" i="28"/>
  <c r="CW80" i="99"/>
  <c r="D80" i="85"/>
  <c r="D80" i="28"/>
  <c r="CW83" i="99"/>
  <c r="D83" i="85"/>
  <c r="D83" i="28"/>
  <c r="CW37" i="99"/>
  <c r="D37" i="85"/>
  <c r="D37" i="28"/>
  <c r="CW46" i="99"/>
  <c r="D46" i="85"/>
  <c r="D46" i="28"/>
  <c r="CW62" i="99"/>
  <c r="D62" i="85"/>
  <c r="D62" i="28"/>
  <c r="CW67" i="99"/>
  <c r="D67" i="85"/>
  <c r="D67" i="28"/>
  <c r="CW71" i="99"/>
  <c r="D71" i="85"/>
  <c r="D71" i="28"/>
  <c r="CW24" i="99"/>
  <c r="D24" i="85"/>
  <c r="D24" i="28"/>
  <c r="CW20" i="99"/>
  <c r="D20" i="85"/>
  <c r="D20" i="28"/>
  <c r="CW25" i="99"/>
  <c r="D25" i="85"/>
  <c r="D25" i="28"/>
  <c r="CW76" i="99"/>
  <c r="D76" i="85"/>
  <c r="D76" i="28"/>
  <c r="CW82" i="99"/>
  <c r="D82" i="85"/>
  <c r="D82" i="28"/>
  <c r="CW77" i="99"/>
  <c r="D77" i="85"/>
  <c r="D77" i="28"/>
  <c r="CW27" i="99"/>
  <c r="D27" i="28"/>
  <c r="D27" i="85"/>
  <c r="CW29" i="99"/>
  <c r="D29" i="85"/>
  <c r="D29" i="28"/>
  <c r="CW32" i="99"/>
  <c r="D32" i="85"/>
  <c r="D32" i="28"/>
  <c r="CW42" i="99"/>
  <c r="D42" i="85"/>
  <c r="D42" i="28"/>
  <c r="CW40" i="99"/>
  <c r="D40" i="85"/>
  <c r="D40" i="28"/>
  <c r="CW49" i="99"/>
  <c r="D49" i="85"/>
  <c r="D49" i="28"/>
  <c r="CW59" i="99"/>
  <c r="D59" i="85"/>
  <c r="D59" i="28"/>
  <c r="CW53" i="99"/>
  <c r="D53" i="85"/>
  <c r="D53" i="28"/>
  <c r="CW51" i="99"/>
  <c r="D51" i="85"/>
  <c r="D51" i="28"/>
  <c r="CW10" i="99"/>
  <c r="D10" i="85"/>
  <c r="D10" i="28"/>
  <c r="CW4" i="99"/>
  <c r="D4" i="85"/>
  <c r="D4" i="28"/>
  <c r="CW13" i="99"/>
  <c r="D13" i="85"/>
  <c r="D13" i="28"/>
  <c r="CW70" i="99"/>
  <c r="D70" i="85"/>
  <c r="D70" i="28"/>
  <c r="CW22" i="99"/>
  <c r="D22" i="85"/>
  <c r="D22" i="28"/>
  <c r="CW19" i="99"/>
  <c r="D19" i="28"/>
  <c r="D19" i="85"/>
  <c r="CW64" i="99"/>
  <c r="D64" i="85"/>
  <c r="D64" i="28"/>
  <c r="CW66" i="99"/>
  <c r="D66" i="85"/>
  <c r="D66" i="28"/>
  <c r="CW18" i="99"/>
  <c r="D18" i="85"/>
  <c r="D18" i="28"/>
  <c r="CW15" i="99"/>
  <c r="D15" i="28"/>
  <c r="D15" i="85"/>
  <c r="CW78" i="99"/>
  <c r="D78" i="85"/>
  <c r="D78" i="28"/>
  <c r="CW35" i="99"/>
  <c r="D35" i="28"/>
  <c r="D35" i="85"/>
  <c r="CW33" i="99"/>
  <c r="D33" i="85"/>
  <c r="D33" i="28"/>
  <c r="CW47" i="99"/>
  <c r="D47" i="85"/>
  <c r="D47" i="28"/>
  <c r="CW41" i="99"/>
  <c r="D41" i="85"/>
  <c r="D41" i="28"/>
  <c r="CW69" i="99"/>
  <c r="D69" i="85"/>
  <c r="D69" i="28"/>
  <c r="CW68" i="99"/>
  <c r="D68" i="85"/>
  <c r="D68" i="28"/>
  <c r="CW73" i="99"/>
  <c r="D73" i="85"/>
  <c r="D73" i="28"/>
  <c r="CW16" i="99"/>
  <c r="D16" i="85"/>
  <c r="D16" i="28"/>
  <c r="CW23" i="99"/>
  <c r="D23" i="28"/>
  <c r="D23" i="85"/>
  <c r="CW21" i="99"/>
  <c r="D21" i="85"/>
  <c r="D21" i="28"/>
  <c r="CW84" i="99"/>
  <c r="D84" i="85"/>
  <c r="D84" i="28"/>
  <c r="CW79" i="99"/>
  <c r="D79" i="85"/>
  <c r="D79" i="28"/>
  <c r="CW75" i="99"/>
  <c r="D75" i="85"/>
  <c r="D75" i="28"/>
  <c r="CW26" i="99"/>
  <c r="D26" i="85"/>
  <c r="D26" i="28"/>
  <c r="CW31" i="99"/>
  <c r="D31" i="28"/>
  <c r="D31" i="85"/>
  <c r="CW34" i="99"/>
  <c r="D34" i="85"/>
  <c r="D34" i="28"/>
  <c r="CW44" i="99"/>
  <c r="D44" i="85"/>
  <c r="D44" i="28"/>
  <c r="CW43" i="99"/>
  <c r="D43" i="85"/>
  <c r="D43" i="28"/>
  <c r="CW48" i="99"/>
  <c r="D48" i="85"/>
  <c r="D48" i="28"/>
  <c r="CW58" i="99"/>
  <c r="D58" i="85"/>
  <c r="D58" i="28"/>
  <c r="CW54" i="99"/>
  <c r="D54" i="85"/>
  <c r="D54" i="28"/>
  <c r="CW52" i="99"/>
  <c r="D52" i="85"/>
  <c r="D52" i="28"/>
  <c r="CW8" i="99"/>
  <c r="D8" i="85"/>
  <c r="D8" i="28"/>
  <c r="CW11" i="99"/>
  <c r="D11" i="28"/>
  <c r="D11" i="85"/>
  <c r="CW9" i="99"/>
  <c r="D9" i="85"/>
  <c r="D9" i="28"/>
  <c r="CW81" i="99"/>
  <c r="D81" i="85"/>
  <c r="D81" i="28"/>
  <c r="CW36" i="99"/>
  <c r="D36" i="85"/>
  <c r="D36" i="28"/>
  <c r="CW30" i="99"/>
  <c r="D30" i="85"/>
  <c r="D30" i="28"/>
  <c r="CW39" i="99"/>
  <c r="D39" i="28"/>
  <c r="D39" i="85"/>
  <c r="CW38" i="99"/>
  <c r="D38" i="85"/>
  <c r="D38" i="28"/>
  <c r="CW45" i="99"/>
  <c r="D45" i="85"/>
  <c r="D45" i="28"/>
  <c r="CW61" i="99"/>
  <c r="D61" i="85"/>
  <c r="D61" i="28"/>
  <c r="CW60" i="99"/>
  <c r="D60" i="85"/>
  <c r="D60" i="28"/>
  <c r="CW56" i="99"/>
  <c r="D56" i="85"/>
  <c r="D56" i="28"/>
  <c r="CW6" i="99"/>
  <c r="D6" i="85"/>
  <c r="D6" i="28"/>
  <c r="CW7" i="99"/>
  <c r="D7" i="28"/>
  <c r="D7" i="85"/>
  <c r="CW5" i="99"/>
  <c r="D5" i="85"/>
  <c r="D5" i="28"/>
  <c r="CX80" i="99"/>
  <c r="CZ80" i="99"/>
  <c r="CZ77" i="99"/>
  <c r="CX77" i="99"/>
  <c r="CZ74" i="99"/>
  <c r="CX74" i="99"/>
  <c r="CX27" i="99"/>
  <c r="CZ27" i="99"/>
  <c r="CX35" i="99"/>
  <c r="CZ35" i="99"/>
  <c r="CX37" i="99"/>
  <c r="CZ37" i="99"/>
  <c r="CZ44" i="99"/>
  <c r="CX44" i="99"/>
  <c r="CZ47" i="99"/>
  <c r="CX47" i="99"/>
  <c r="CZ42" i="99"/>
  <c r="CX42" i="99"/>
  <c r="CZ59" i="99"/>
  <c r="CX59" i="99"/>
  <c r="CZ55" i="99"/>
  <c r="CX55" i="99"/>
  <c r="CZ57" i="99"/>
  <c r="CX57" i="99"/>
  <c r="CX8" i="99"/>
  <c r="CZ8" i="99"/>
  <c r="CX4" i="99"/>
  <c r="CZ4" i="99"/>
  <c r="CX3" i="99"/>
  <c r="CZ3" i="99"/>
  <c r="CZ67" i="99"/>
  <c r="CX67" i="99"/>
  <c r="CZ64" i="99"/>
  <c r="CX64" i="99"/>
  <c r="CX68" i="99"/>
  <c r="CZ68" i="99"/>
  <c r="CX25" i="99"/>
  <c r="CZ25" i="99"/>
  <c r="CZ22" i="99"/>
  <c r="CX22" i="99"/>
  <c r="CZ15" i="99"/>
  <c r="CX15" i="99"/>
  <c r="CX83" i="99"/>
  <c r="CZ83" i="99"/>
  <c r="CZ85" i="99"/>
  <c r="CX85" i="99"/>
  <c r="CX75" i="99"/>
  <c r="CZ75" i="99"/>
  <c r="CX29" i="99"/>
  <c r="CZ29" i="99"/>
  <c r="CX33" i="99"/>
  <c r="CZ33" i="99"/>
  <c r="CX34" i="99"/>
  <c r="CZ34" i="99"/>
  <c r="CX48" i="99"/>
  <c r="CZ48" i="99"/>
  <c r="CZ40" i="99"/>
  <c r="CX40" i="99"/>
  <c r="CX46" i="99"/>
  <c r="CZ46" i="99"/>
  <c r="CZ53" i="99"/>
  <c r="CX53" i="99"/>
  <c r="CX60" i="99"/>
  <c r="CZ60" i="99"/>
  <c r="CZ54" i="99"/>
  <c r="CX54" i="99"/>
  <c r="CX5" i="99"/>
  <c r="CZ5" i="99"/>
  <c r="CZ2" i="99"/>
  <c r="CX2" i="99"/>
  <c r="CZ11" i="99"/>
  <c r="CX11" i="99"/>
  <c r="CX62" i="99"/>
  <c r="CZ62" i="99"/>
  <c r="CZ71" i="99"/>
  <c r="CX71" i="99"/>
  <c r="CZ70" i="99"/>
  <c r="CX70" i="99"/>
  <c r="CZ24" i="99"/>
  <c r="CX24" i="99"/>
  <c r="CX18" i="99"/>
  <c r="CZ18" i="99"/>
  <c r="CX23" i="99"/>
  <c r="CZ23" i="99"/>
  <c r="CX84" i="99"/>
  <c r="CZ84" i="99"/>
  <c r="CX78" i="99"/>
  <c r="CZ78" i="99"/>
  <c r="CZ76" i="99"/>
  <c r="CX76" i="99"/>
  <c r="CX31" i="99"/>
  <c r="CZ31" i="99"/>
  <c r="CX36" i="99"/>
  <c r="CZ36" i="99"/>
  <c r="CX26" i="99"/>
  <c r="CZ26" i="99"/>
  <c r="CZ39" i="99"/>
  <c r="CX39" i="99"/>
  <c r="CX49" i="99"/>
  <c r="CZ49" i="99"/>
  <c r="CZ41" i="99"/>
  <c r="CX41" i="99"/>
  <c r="CZ61" i="99"/>
  <c r="CX61" i="99"/>
  <c r="CX52" i="99"/>
  <c r="CZ52" i="99"/>
  <c r="CX58" i="99"/>
  <c r="CZ58" i="99"/>
  <c r="CX13" i="99"/>
  <c r="CZ13" i="99"/>
  <c r="CX12" i="99"/>
  <c r="CZ12" i="99"/>
  <c r="CZ9" i="99"/>
  <c r="CX9" i="99"/>
  <c r="CZ65" i="99"/>
  <c r="CX65" i="99"/>
  <c r="CX63" i="99"/>
  <c r="CZ63" i="99"/>
  <c r="CZ69" i="99"/>
  <c r="CX69" i="99"/>
  <c r="CX16" i="99"/>
  <c r="CZ16" i="99"/>
  <c r="CX21" i="99"/>
  <c r="CZ21" i="99"/>
  <c r="CZ17" i="99"/>
  <c r="CX17" i="99"/>
  <c r="CZ81" i="99"/>
  <c r="CX81" i="99"/>
  <c r="CX82" i="99"/>
  <c r="CZ82" i="99"/>
  <c r="CZ79" i="99"/>
  <c r="CX79" i="99"/>
  <c r="CZ30" i="99"/>
  <c r="CX30" i="99"/>
  <c r="CX28" i="99"/>
  <c r="CZ28" i="99"/>
  <c r="CZ32" i="99"/>
  <c r="CX32" i="99"/>
  <c r="CX43" i="99"/>
  <c r="CZ43" i="99"/>
  <c r="CZ45" i="99"/>
  <c r="CX45" i="99"/>
  <c r="CZ38" i="99"/>
  <c r="CX38" i="99"/>
  <c r="CZ51" i="99"/>
  <c r="CX51" i="99"/>
  <c r="CX56" i="99"/>
  <c r="CZ56" i="99"/>
  <c r="CZ50" i="99"/>
  <c r="CX50" i="99"/>
  <c r="CZ7" i="99"/>
  <c r="CX7" i="99"/>
  <c r="CX10" i="99"/>
  <c r="CZ10" i="99"/>
  <c r="CX6" i="99"/>
  <c r="CZ6" i="99"/>
  <c r="CX66" i="99"/>
  <c r="CZ66" i="99"/>
  <c r="CX73" i="99"/>
  <c r="CZ73" i="99"/>
  <c r="CZ72" i="99"/>
  <c r="CX72" i="99"/>
  <c r="CV38" i="99"/>
  <c r="CX14" i="99"/>
  <c r="CZ14" i="99"/>
  <c r="CX20" i="99"/>
  <c r="CZ20" i="99"/>
  <c r="CZ19" i="99"/>
  <c r="CX19" i="99"/>
  <c r="K34" i="9"/>
  <c r="K35" i="9"/>
  <c r="K36" i="9"/>
  <c r="K37" i="9"/>
  <c r="K38" i="9"/>
  <c r="K39" i="9"/>
  <c r="K40" i="9"/>
  <c r="K41" i="9"/>
  <c r="K42" i="9"/>
  <c r="K43" i="9"/>
  <c r="K44" i="9"/>
  <c r="K45" i="9"/>
  <c r="K48" i="9"/>
  <c r="K49" i="9"/>
  <c r="K50" i="9"/>
  <c r="K51" i="9"/>
  <c r="K52" i="9"/>
  <c r="K53" i="9"/>
  <c r="K54" i="9"/>
  <c r="K55" i="9"/>
  <c r="K56" i="9"/>
  <c r="K57" i="9"/>
  <c r="K58" i="9"/>
  <c r="K61" i="9"/>
  <c r="K65" i="9"/>
  <c r="K66" i="9"/>
  <c r="K67" i="9"/>
  <c r="K68" i="9"/>
  <c r="K69" i="9"/>
  <c r="K70" i="9"/>
  <c r="K73" i="9"/>
  <c r="K74" i="9"/>
  <c r="K75" i="9"/>
  <c r="K76" i="9"/>
  <c r="K77" i="9"/>
  <c r="K78" i="9"/>
  <c r="K79" i="9"/>
  <c r="K80" i="9"/>
  <c r="K81" i="9"/>
  <c r="K84" i="9"/>
  <c r="K85" i="9"/>
  <c r="K86" i="9"/>
  <c r="K87" i="9"/>
  <c r="K88" i="9"/>
  <c r="K89" i="9"/>
  <c r="K90" i="9"/>
  <c r="K91" i="9"/>
  <c r="K94" i="9"/>
  <c r="K95" i="9"/>
  <c r="K96" i="9"/>
  <c r="K97" i="9"/>
  <c r="K98" i="9"/>
  <c r="K99" i="9"/>
  <c r="K100" i="9"/>
  <c r="K103" i="9"/>
  <c r="K104" i="9"/>
  <c r="K105" i="9"/>
  <c r="K106" i="9"/>
  <c r="K107" i="9"/>
  <c r="K108" i="9"/>
  <c r="K111" i="9"/>
  <c r="K112" i="9"/>
  <c r="K113" i="9"/>
  <c r="K114" i="9"/>
  <c r="K115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3" i="9"/>
  <c r="W5" i="6"/>
  <c r="B170" i="39"/>
  <c r="B171" i="39"/>
  <c r="B172" i="39"/>
  <c r="B173" i="39"/>
  <c r="B2" i="39"/>
  <c r="B3" i="39"/>
  <c r="B4" i="39"/>
  <c r="B5" i="39"/>
  <c r="B6" i="39"/>
  <c r="B7" i="39"/>
  <c r="B8" i="39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2" i="6"/>
  <c r="A3" i="6"/>
  <c r="A4" i="6"/>
  <c r="A5" i="6"/>
  <c r="A6" i="6"/>
  <c r="A7" i="6"/>
  <c r="A8" i="6"/>
  <c r="AO1" i="39"/>
  <c r="AN1" i="39"/>
  <c r="DO1" i="39" s="1"/>
  <c r="AM1" i="39"/>
  <c r="DN1" i="39" s="1"/>
  <c r="AL1" i="39"/>
  <c r="DM1" i="39" s="1"/>
  <c r="AK1" i="39"/>
  <c r="DL1" i="39" s="1"/>
  <c r="AJ1" i="39"/>
  <c r="DK1" i="39" s="1"/>
  <c r="AI1" i="39"/>
  <c r="DJ1" i="39" s="1"/>
  <c r="AH1" i="39"/>
  <c r="DI1" i="39" s="1"/>
  <c r="AG1" i="39"/>
  <c r="DH1" i="39" s="1"/>
  <c r="AF1" i="39"/>
  <c r="DG1" i="39" s="1"/>
  <c r="AE1" i="39"/>
  <c r="DF1" i="39" s="1"/>
  <c r="AD1" i="39"/>
  <c r="DE1" i="39" s="1"/>
  <c r="AC1" i="39"/>
  <c r="DD1" i="39" s="1"/>
  <c r="AB1" i="39"/>
  <c r="DC1" i="39" s="1"/>
  <c r="AA1" i="39"/>
  <c r="DB1" i="39" s="1"/>
  <c r="K132" i="27" l="1"/>
  <c r="U131" i="27"/>
  <c r="O132" i="87"/>
  <c r="M131" i="30"/>
  <c r="X132" i="84"/>
  <c r="K133" i="84"/>
  <c r="AB37" i="32"/>
  <c r="AB38" i="32" s="1"/>
  <c r="AB39" i="32" s="1"/>
  <c r="L48" i="39"/>
  <c r="M48" i="39" s="1"/>
  <c r="H48" i="39"/>
  <c r="I48" i="39" s="1"/>
  <c r="D48" i="39"/>
  <c r="E48" i="39" s="1"/>
  <c r="L36" i="39"/>
  <c r="M36" i="39" s="1"/>
  <c r="H36" i="39"/>
  <c r="I36" i="39" s="1"/>
  <c r="D36" i="39"/>
  <c r="E36" i="39" s="1"/>
  <c r="M20" i="39"/>
  <c r="I20" i="39"/>
  <c r="E20" i="39"/>
  <c r="M8" i="39"/>
  <c r="I8" i="39"/>
  <c r="E8" i="39"/>
  <c r="L47" i="39"/>
  <c r="M47" i="39" s="1"/>
  <c r="H47" i="39"/>
  <c r="I47" i="39" s="1"/>
  <c r="D47" i="39"/>
  <c r="E47" i="39" s="1"/>
  <c r="L43" i="39"/>
  <c r="M43" i="39" s="1"/>
  <c r="H43" i="39"/>
  <c r="I43" i="39" s="1"/>
  <c r="D43" i="39"/>
  <c r="E43" i="39" s="1"/>
  <c r="L39" i="39"/>
  <c r="M39" i="39" s="1"/>
  <c r="H39" i="39"/>
  <c r="I39" i="39" s="1"/>
  <c r="D39" i="39"/>
  <c r="E39" i="39" s="1"/>
  <c r="L35" i="39"/>
  <c r="M35" i="39" s="1"/>
  <c r="H35" i="39"/>
  <c r="I35" i="39" s="1"/>
  <c r="D35" i="39"/>
  <c r="E35" i="39" s="1"/>
  <c r="L31" i="39"/>
  <c r="M31" i="39" s="1"/>
  <c r="H31" i="39"/>
  <c r="I31" i="39" s="1"/>
  <c r="D31" i="39"/>
  <c r="E31" i="39" s="1"/>
  <c r="L27" i="39"/>
  <c r="M27" i="39" s="1"/>
  <c r="H27" i="39"/>
  <c r="I27" i="39" s="1"/>
  <c r="D27" i="39"/>
  <c r="E27" i="39" s="1"/>
  <c r="M23" i="39"/>
  <c r="I23" i="39"/>
  <c r="E23" i="39"/>
  <c r="M19" i="39"/>
  <c r="I19" i="39"/>
  <c r="E19" i="39"/>
  <c r="M15" i="39"/>
  <c r="I15" i="39"/>
  <c r="E15" i="39"/>
  <c r="M11" i="39"/>
  <c r="I11" i="39"/>
  <c r="E11" i="39"/>
  <c r="M7" i="39"/>
  <c r="E7" i="39"/>
  <c r="I7" i="39"/>
  <c r="M3" i="39"/>
  <c r="I3" i="39"/>
  <c r="E3" i="39"/>
  <c r="L40" i="39"/>
  <c r="M40" i="39" s="1"/>
  <c r="H40" i="39"/>
  <c r="I40" i="39" s="1"/>
  <c r="D40" i="39"/>
  <c r="E40" i="39" s="1"/>
  <c r="L28" i="39"/>
  <c r="M28" i="39" s="1"/>
  <c r="H28" i="39"/>
  <c r="I28" i="39" s="1"/>
  <c r="D28" i="39"/>
  <c r="E28" i="39" s="1"/>
  <c r="M16" i="39"/>
  <c r="I16" i="39"/>
  <c r="E16" i="39"/>
  <c r="H46" i="39"/>
  <c r="I46" i="39" s="1"/>
  <c r="D46" i="39"/>
  <c r="E46" i="39" s="1"/>
  <c r="L46" i="39"/>
  <c r="M46" i="39" s="1"/>
  <c r="H42" i="39"/>
  <c r="I42" i="39" s="1"/>
  <c r="D42" i="39"/>
  <c r="E42" i="39" s="1"/>
  <c r="L42" i="39"/>
  <c r="M42" i="39" s="1"/>
  <c r="H38" i="39"/>
  <c r="I38" i="39" s="1"/>
  <c r="D38" i="39"/>
  <c r="E38" i="39" s="1"/>
  <c r="L38" i="39"/>
  <c r="M38" i="39" s="1"/>
  <c r="H34" i="39"/>
  <c r="I34" i="39" s="1"/>
  <c r="D34" i="39"/>
  <c r="E34" i="39" s="1"/>
  <c r="L34" i="39"/>
  <c r="M34" i="39" s="1"/>
  <c r="H30" i="39"/>
  <c r="I30" i="39" s="1"/>
  <c r="D30" i="39"/>
  <c r="E30" i="39" s="1"/>
  <c r="L30" i="39"/>
  <c r="M30" i="39" s="1"/>
  <c r="H26" i="39"/>
  <c r="I26" i="39" s="1"/>
  <c r="D26" i="39"/>
  <c r="E26" i="39" s="1"/>
  <c r="L26" i="39"/>
  <c r="M26" i="39" s="1"/>
  <c r="I22" i="39"/>
  <c r="E22" i="39"/>
  <c r="M22" i="39"/>
  <c r="I18" i="39"/>
  <c r="E18" i="39"/>
  <c r="M18" i="39"/>
  <c r="I14" i="39"/>
  <c r="E14" i="39"/>
  <c r="M14" i="39"/>
  <c r="I10" i="39"/>
  <c r="E10" i="39"/>
  <c r="M10" i="39"/>
  <c r="I6" i="39"/>
  <c r="E6" i="39"/>
  <c r="M6" i="39"/>
  <c r="I2" i="39"/>
  <c r="E2" i="39"/>
  <c r="M2" i="39"/>
  <c r="L44" i="39"/>
  <c r="M44" i="39" s="1"/>
  <c r="H44" i="39"/>
  <c r="I44" i="39" s="1"/>
  <c r="D44" i="39"/>
  <c r="E44" i="39" s="1"/>
  <c r="L32" i="39"/>
  <c r="M32" i="39" s="1"/>
  <c r="H32" i="39"/>
  <c r="I32" i="39" s="1"/>
  <c r="D32" i="39"/>
  <c r="E32" i="39" s="1"/>
  <c r="M24" i="39"/>
  <c r="I24" i="39"/>
  <c r="E24" i="39"/>
  <c r="M12" i="39"/>
  <c r="I12" i="39"/>
  <c r="E12" i="39"/>
  <c r="M4" i="39"/>
  <c r="I4" i="39"/>
  <c r="E4" i="39"/>
  <c r="H49" i="39"/>
  <c r="I49" i="39" s="1"/>
  <c r="D49" i="39"/>
  <c r="E49" i="39" s="1"/>
  <c r="L49" i="39"/>
  <c r="M49" i="39" s="1"/>
  <c r="H45" i="39"/>
  <c r="I45" i="39" s="1"/>
  <c r="D45" i="39"/>
  <c r="E45" i="39" s="1"/>
  <c r="L45" i="39"/>
  <c r="M45" i="39" s="1"/>
  <c r="H41" i="39"/>
  <c r="I41" i="39" s="1"/>
  <c r="D41" i="39"/>
  <c r="E41" i="39" s="1"/>
  <c r="L41" i="39"/>
  <c r="M41" i="39" s="1"/>
  <c r="H37" i="39"/>
  <c r="I37" i="39" s="1"/>
  <c r="D37" i="39"/>
  <c r="E37" i="39" s="1"/>
  <c r="L37" i="39"/>
  <c r="M37" i="39" s="1"/>
  <c r="H33" i="39"/>
  <c r="I33" i="39" s="1"/>
  <c r="D33" i="39"/>
  <c r="E33" i="39" s="1"/>
  <c r="L33" i="39"/>
  <c r="M33" i="39" s="1"/>
  <c r="H29" i="39"/>
  <c r="I29" i="39" s="1"/>
  <c r="D29" i="39"/>
  <c r="E29" i="39" s="1"/>
  <c r="L29" i="39"/>
  <c r="M29" i="39" s="1"/>
  <c r="I25" i="39"/>
  <c r="E25" i="39"/>
  <c r="M25" i="39"/>
  <c r="I21" i="39"/>
  <c r="E21" i="39"/>
  <c r="M21" i="39"/>
  <c r="I17" i="39"/>
  <c r="E17" i="39"/>
  <c r="M17" i="39"/>
  <c r="I13" i="39"/>
  <c r="E13" i="39"/>
  <c r="M13" i="39"/>
  <c r="I9" i="39"/>
  <c r="E9" i="39"/>
  <c r="M9" i="39"/>
  <c r="I5" i="39"/>
  <c r="E5" i="39"/>
  <c r="M5" i="39"/>
  <c r="O133" i="87" l="1"/>
  <c r="M132" i="30"/>
  <c r="X133" i="84"/>
  <c r="K134" i="84"/>
  <c r="K133" i="27"/>
  <c r="U132" i="27"/>
  <c r="T1" i="84"/>
  <c r="V1" i="84"/>
  <c r="U1" i="84"/>
  <c r="W1" i="84"/>
  <c r="X1" i="84"/>
  <c r="AY6" i="91"/>
  <c r="AY7" i="91" s="1"/>
  <c r="AS6" i="91"/>
  <c r="AS7" i="91" s="1"/>
  <c r="AM6" i="91"/>
  <c r="AI6" i="91"/>
  <c r="AJ6" i="91" s="1"/>
  <c r="X6" i="91"/>
  <c r="M6" i="91"/>
  <c r="M7" i="91" s="1"/>
  <c r="B6" i="91"/>
  <c r="L133" i="87"/>
  <c r="C133" i="87"/>
  <c r="B133" i="87"/>
  <c r="L132" i="87"/>
  <c r="C132" i="87"/>
  <c r="B132" i="87"/>
  <c r="L131" i="87"/>
  <c r="C131" i="87"/>
  <c r="B131" i="87"/>
  <c r="L130" i="87"/>
  <c r="C130" i="87"/>
  <c r="B130" i="87"/>
  <c r="L129" i="87"/>
  <c r="C129" i="87"/>
  <c r="B129" i="87"/>
  <c r="L128" i="87"/>
  <c r="C128" i="87"/>
  <c r="B128" i="87"/>
  <c r="L127" i="87"/>
  <c r="C127" i="87"/>
  <c r="B127" i="87"/>
  <c r="L126" i="87"/>
  <c r="C126" i="87"/>
  <c r="B126" i="87"/>
  <c r="L125" i="87"/>
  <c r="C125" i="87"/>
  <c r="B125" i="87"/>
  <c r="L124" i="87"/>
  <c r="C124" i="87"/>
  <c r="B124" i="87"/>
  <c r="L123" i="87"/>
  <c r="C123" i="87"/>
  <c r="B123" i="87"/>
  <c r="L122" i="87"/>
  <c r="C122" i="87"/>
  <c r="B122" i="87"/>
  <c r="C113" i="87"/>
  <c r="B113" i="87"/>
  <c r="C112" i="87"/>
  <c r="B112" i="87"/>
  <c r="C111" i="87"/>
  <c r="B111" i="87"/>
  <c r="C110" i="87"/>
  <c r="B110" i="87"/>
  <c r="C109" i="87"/>
  <c r="B109" i="87"/>
  <c r="C108" i="87"/>
  <c r="B108" i="87"/>
  <c r="C107" i="87"/>
  <c r="B107" i="87"/>
  <c r="C106" i="87"/>
  <c r="B106" i="87"/>
  <c r="C105" i="87"/>
  <c r="B105" i="87"/>
  <c r="C104" i="87"/>
  <c r="B104" i="87"/>
  <c r="C103" i="87"/>
  <c r="B103" i="87"/>
  <c r="C102" i="87"/>
  <c r="B102" i="87"/>
  <c r="C101" i="87"/>
  <c r="B101" i="87"/>
  <c r="C100" i="87"/>
  <c r="B100" i="87"/>
  <c r="C99" i="87"/>
  <c r="B99" i="87"/>
  <c r="C98" i="87"/>
  <c r="B98" i="87"/>
  <c r="C97" i="87"/>
  <c r="B97" i="87"/>
  <c r="C96" i="87"/>
  <c r="B96" i="87"/>
  <c r="C95" i="87"/>
  <c r="B95" i="87"/>
  <c r="C94" i="87"/>
  <c r="B94" i="87"/>
  <c r="C93" i="87"/>
  <c r="B93" i="87"/>
  <c r="C92" i="87"/>
  <c r="B92" i="87"/>
  <c r="C91" i="87"/>
  <c r="B91" i="87"/>
  <c r="C90" i="87"/>
  <c r="B90" i="87"/>
  <c r="C89" i="87"/>
  <c r="B89" i="87"/>
  <c r="C88" i="87"/>
  <c r="B88" i="87"/>
  <c r="C87" i="87"/>
  <c r="B87" i="87"/>
  <c r="C86" i="87"/>
  <c r="B86" i="87"/>
  <c r="C85" i="87"/>
  <c r="B85" i="87"/>
  <c r="C84" i="87"/>
  <c r="B84" i="87"/>
  <c r="C83" i="87"/>
  <c r="B83" i="87"/>
  <c r="C82" i="87"/>
  <c r="B82" i="87"/>
  <c r="C81" i="87"/>
  <c r="B81" i="87"/>
  <c r="C80" i="87"/>
  <c r="B80" i="87"/>
  <c r="C79" i="87"/>
  <c r="B79" i="87"/>
  <c r="C78" i="87"/>
  <c r="B78" i="87"/>
  <c r="C77" i="87"/>
  <c r="B77" i="87"/>
  <c r="C76" i="87"/>
  <c r="B76" i="87"/>
  <c r="C75" i="87"/>
  <c r="B75" i="87"/>
  <c r="C74" i="87"/>
  <c r="B74" i="87"/>
  <c r="C73" i="87"/>
  <c r="B73" i="87"/>
  <c r="C72" i="87"/>
  <c r="B72" i="87"/>
  <c r="C71" i="87"/>
  <c r="B71" i="87"/>
  <c r="C70" i="87"/>
  <c r="B70" i="87"/>
  <c r="C69" i="87"/>
  <c r="B69" i="87"/>
  <c r="C68" i="87"/>
  <c r="B68" i="87"/>
  <c r="C67" i="87"/>
  <c r="B67" i="87"/>
  <c r="C66" i="87"/>
  <c r="B66" i="87"/>
  <c r="C65" i="87"/>
  <c r="B65" i="87"/>
  <c r="C64" i="87"/>
  <c r="B64" i="87"/>
  <c r="C63" i="87"/>
  <c r="B63" i="87"/>
  <c r="C62" i="87"/>
  <c r="B62" i="87"/>
  <c r="C61" i="87"/>
  <c r="B61" i="87"/>
  <c r="C60" i="87"/>
  <c r="B60" i="87"/>
  <c r="C59" i="87"/>
  <c r="B59" i="87"/>
  <c r="C58" i="87"/>
  <c r="B58" i="87"/>
  <c r="C57" i="87"/>
  <c r="B57" i="87"/>
  <c r="C56" i="87"/>
  <c r="B56" i="87"/>
  <c r="C55" i="87"/>
  <c r="B55" i="87"/>
  <c r="C54" i="87"/>
  <c r="B54" i="87"/>
  <c r="C53" i="87"/>
  <c r="B53" i="87"/>
  <c r="C52" i="87"/>
  <c r="B52" i="87"/>
  <c r="C51" i="87"/>
  <c r="B51" i="87"/>
  <c r="C50" i="87"/>
  <c r="B50" i="87"/>
  <c r="C49" i="87"/>
  <c r="B49" i="87"/>
  <c r="C48" i="87"/>
  <c r="B48" i="87"/>
  <c r="C47" i="87"/>
  <c r="B47" i="87"/>
  <c r="C46" i="87"/>
  <c r="B46" i="87"/>
  <c r="C45" i="87"/>
  <c r="B45" i="87"/>
  <c r="C44" i="87"/>
  <c r="B44" i="87"/>
  <c r="C43" i="87"/>
  <c r="B43" i="87"/>
  <c r="C42" i="87"/>
  <c r="B42" i="87"/>
  <c r="C41" i="87"/>
  <c r="B41" i="87"/>
  <c r="C40" i="87"/>
  <c r="B40" i="87"/>
  <c r="C39" i="87"/>
  <c r="B39" i="87"/>
  <c r="C38" i="87"/>
  <c r="B38" i="87"/>
  <c r="C37" i="87"/>
  <c r="B37" i="87"/>
  <c r="C36" i="87"/>
  <c r="B36" i="87"/>
  <c r="C35" i="87"/>
  <c r="B35" i="87"/>
  <c r="C34" i="87"/>
  <c r="B34" i="87"/>
  <c r="C33" i="87"/>
  <c r="B33" i="87"/>
  <c r="C32" i="87"/>
  <c r="B32" i="87"/>
  <c r="C31" i="87"/>
  <c r="B31" i="87"/>
  <c r="C30" i="87"/>
  <c r="B30" i="87"/>
  <c r="C29" i="87"/>
  <c r="B29" i="87"/>
  <c r="C28" i="87"/>
  <c r="B28" i="87"/>
  <c r="C27" i="87"/>
  <c r="B27" i="87"/>
  <c r="C26" i="87"/>
  <c r="B26" i="87"/>
  <c r="C25" i="87"/>
  <c r="B25" i="87"/>
  <c r="C24" i="87"/>
  <c r="B24" i="87"/>
  <c r="C23" i="87"/>
  <c r="B23" i="87"/>
  <c r="C22" i="87"/>
  <c r="B22" i="87"/>
  <c r="C21" i="87"/>
  <c r="B21" i="87"/>
  <c r="C20" i="87"/>
  <c r="B20" i="87"/>
  <c r="C19" i="87"/>
  <c r="B19" i="87"/>
  <c r="C18" i="87"/>
  <c r="B18" i="87"/>
  <c r="C17" i="87"/>
  <c r="B17" i="87"/>
  <c r="C16" i="87"/>
  <c r="B16" i="87"/>
  <c r="C15" i="87"/>
  <c r="B15" i="87"/>
  <c r="C14" i="87"/>
  <c r="B14" i="87"/>
  <c r="C13" i="87"/>
  <c r="B13" i="87"/>
  <c r="C12" i="87"/>
  <c r="B12" i="87"/>
  <c r="C11" i="87"/>
  <c r="B11" i="87"/>
  <c r="C10" i="87"/>
  <c r="B10" i="87"/>
  <c r="C9" i="87"/>
  <c r="B9" i="87"/>
  <c r="C8" i="87"/>
  <c r="B8" i="87"/>
  <c r="C7" i="87"/>
  <c r="B7" i="87"/>
  <c r="C6" i="87"/>
  <c r="B6" i="87"/>
  <c r="C5" i="87"/>
  <c r="B5" i="87"/>
  <c r="C4" i="87"/>
  <c r="B4" i="87"/>
  <c r="C3" i="87"/>
  <c r="B3" i="87"/>
  <c r="C2" i="87"/>
  <c r="B2" i="87"/>
  <c r="P1" i="87"/>
  <c r="M1" i="87"/>
  <c r="N133" i="86"/>
  <c r="C133" i="86"/>
  <c r="B133" i="86"/>
  <c r="N132" i="86"/>
  <c r="C132" i="86"/>
  <c r="B132" i="86"/>
  <c r="N131" i="86"/>
  <c r="C131" i="86"/>
  <c r="B131" i="86"/>
  <c r="N130" i="86"/>
  <c r="C130" i="86"/>
  <c r="B130" i="86"/>
  <c r="N129" i="86"/>
  <c r="C129" i="86"/>
  <c r="B129" i="86"/>
  <c r="N128" i="86"/>
  <c r="C128" i="86"/>
  <c r="B128" i="86"/>
  <c r="N127" i="86"/>
  <c r="C127" i="86"/>
  <c r="B127" i="86"/>
  <c r="N126" i="86"/>
  <c r="C126" i="86"/>
  <c r="B126" i="86"/>
  <c r="N125" i="86"/>
  <c r="C125" i="86"/>
  <c r="B125" i="86"/>
  <c r="N124" i="86"/>
  <c r="C124" i="86"/>
  <c r="B124" i="86"/>
  <c r="N123" i="86"/>
  <c r="C123" i="86"/>
  <c r="B123" i="86"/>
  <c r="N122" i="86"/>
  <c r="C122" i="86"/>
  <c r="B122" i="86"/>
  <c r="C115" i="86"/>
  <c r="B115" i="86"/>
  <c r="C114" i="86"/>
  <c r="B114" i="86"/>
  <c r="C113" i="86"/>
  <c r="B113" i="86"/>
  <c r="C112" i="86"/>
  <c r="B112" i="86"/>
  <c r="C111" i="86"/>
  <c r="B111" i="86"/>
  <c r="C110" i="86"/>
  <c r="B110" i="86"/>
  <c r="C109" i="86"/>
  <c r="B109" i="86"/>
  <c r="C108" i="86"/>
  <c r="B108" i="86"/>
  <c r="C107" i="86"/>
  <c r="B107" i="86"/>
  <c r="C106" i="86"/>
  <c r="B106" i="86"/>
  <c r="C105" i="86"/>
  <c r="B105" i="86"/>
  <c r="C104" i="86"/>
  <c r="B104" i="86"/>
  <c r="C103" i="86"/>
  <c r="B103" i="86"/>
  <c r="C102" i="86"/>
  <c r="B102" i="86"/>
  <c r="C101" i="86"/>
  <c r="B101" i="86"/>
  <c r="C100" i="86"/>
  <c r="B100" i="86"/>
  <c r="C99" i="86"/>
  <c r="B99" i="86"/>
  <c r="C98" i="86"/>
  <c r="B98" i="86"/>
  <c r="C97" i="86"/>
  <c r="B97" i="86"/>
  <c r="C96" i="86"/>
  <c r="B96" i="86"/>
  <c r="C95" i="86"/>
  <c r="B95" i="86"/>
  <c r="C94" i="86"/>
  <c r="B94" i="86"/>
  <c r="C93" i="86"/>
  <c r="B93" i="86"/>
  <c r="C92" i="86"/>
  <c r="B92" i="86"/>
  <c r="C91" i="86"/>
  <c r="B91" i="86"/>
  <c r="C90" i="86"/>
  <c r="B90" i="86"/>
  <c r="C89" i="86"/>
  <c r="B89" i="86"/>
  <c r="C88" i="86"/>
  <c r="B88" i="86"/>
  <c r="C87" i="86"/>
  <c r="B87" i="86"/>
  <c r="C86" i="86"/>
  <c r="B86" i="86"/>
  <c r="C85" i="86"/>
  <c r="B85" i="86"/>
  <c r="C84" i="86"/>
  <c r="B84" i="86"/>
  <c r="C83" i="86"/>
  <c r="B83" i="86"/>
  <c r="C82" i="86"/>
  <c r="B82" i="86"/>
  <c r="C81" i="86"/>
  <c r="B81" i="86"/>
  <c r="C80" i="86"/>
  <c r="B80" i="86"/>
  <c r="C79" i="86"/>
  <c r="B79" i="86"/>
  <c r="C78" i="86"/>
  <c r="B78" i="86"/>
  <c r="C77" i="86"/>
  <c r="B77" i="86"/>
  <c r="C76" i="86"/>
  <c r="B76" i="86"/>
  <c r="C75" i="86"/>
  <c r="B75" i="86"/>
  <c r="C74" i="86"/>
  <c r="B74" i="86"/>
  <c r="C73" i="86"/>
  <c r="B73" i="86"/>
  <c r="C72" i="86"/>
  <c r="B72" i="86"/>
  <c r="C71" i="86"/>
  <c r="B71" i="86"/>
  <c r="C70" i="86"/>
  <c r="B70" i="86"/>
  <c r="C69" i="86"/>
  <c r="B69" i="86"/>
  <c r="C68" i="86"/>
  <c r="B68" i="86"/>
  <c r="C67" i="86"/>
  <c r="B67" i="86"/>
  <c r="C66" i="86"/>
  <c r="B66" i="86"/>
  <c r="C65" i="86"/>
  <c r="B65" i="86"/>
  <c r="C64" i="86"/>
  <c r="B64" i="86"/>
  <c r="C63" i="86"/>
  <c r="B63" i="86"/>
  <c r="C62" i="86"/>
  <c r="B62" i="86"/>
  <c r="C61" i="86"/>
  <c r="B61" i="86"/>
  <c r="C60" i="86"/>
  <c r="B60" i="86"/>
  <c r="C59" i="86"/>
  <c r="B59" i="86"/>
  <c r="C58" i="86"/>
  <c r="B58" i="86"/>
  <c r="C57" i="86"/>
  <c r="B57" i="86"/>
  <c r="C56" i="86"/>
  <c r="B56" i="86"/>
  <c r="C55" i="86"/>
  <c r="B55" i="86"/>
  <c r="C54" i="86"/>
  <c r="B54" i="86"/>
  <c r="C53" i="86"/>
  <c r="B53" i="86"/>
  <c r="C52" i="86"/>
  <c r="B52" i="86"/>
  <c r="C51" i="86"/>
  <c r="B51" i="86"/>
  <c r="C50" i="86"/>
  <c r="B50" i="86"/>
  <c r="C49" i="86"/>
  <c r="B49" i="86"/>
  <c r="C48" i="86"/>
  <c r="B48" i="86"/>
  <c r="C47" i="86"/>
  <c r="B47" i="86"/>
  <c r="C46" i="86"/>
  <c r="B46" i="86"/>
  <c r="C45" i="86"/>
  <c r="B45" i="86"/>
  <c r="C44" i="86"/>
  <c r="B44" i="86"/>
  <c r="C43" i="86"/>
  <c r="B43" i="86"/>
  <c r="C42" i="86"/>
  <c r="B42" i="86"/>
  <c r="C41" i="86"/>
  <c r="B41" i="86"/>
  <c r="C40" i="86"/>
  <c r="B40" i="86"/>
  <c r="C39" i="86"/>
  <c r="B39" i="86"/>
  <c r="C38" i="86"/>
  <c r="B38" i="86"/>
  <c r="C37" i="86"/>
  <c r="B37" i="86"/>
  <c r="C36" i="86"/>
  <c r="B36" i="86"/>
  <c r="C35" i="86"/>
  <c r="B35" i="86"/>
  <c r="C34" i="86"/>
  <c r="B34" i="86"/>
  <c r="C33" i="86"/>
  <c r="B33" i="86"/>
  <c r="C32" i="86"/>
  <c r="B32" i="86"/>
  <c r="C31" i="86"/>
  <c r="B31" i="86"/>
  <c r="C30" i="86"/>
  <c r="B30" i="86"/>
  <c r="C29" i="86"/>
  <c r="B29" i="86"/>
  <c r="C28" i="86"/>
  <c r="B28" i="86"/>
  <c r="C27" i="86"/>
  <c r="B27" i="86"/>
  <c r="C26" i="86"/>
  <c r="B26" i="86"/>
  <c r="C25" i="86"/>
  <c r="B25" i="86"/>
  <c r="C24" i="86"/>
  <c r="B24" i="86"/>
  <c r="C23" i="86"/>
  <c r="B23" i="86"/>
  <c r="C22" i="86"/>
  <c r="B22" i="86"/>
  <c r="C21" i="86"/>
  <c r="B21" i="86"/>
  <c r="C20" i="86"/>
  <c r="B20" i="86"/>
  <c r="C19" i="86"/>
  <c r="B19" i="86"/>
  <c r="C18" i="86"/>
  <c r="B18" i="86"/>
  <c r="C17" i="86"/>
  <c r="B17" i="86"/>
  <c r="C16" i="86"/>
  <c r="B16" i="86"/>
  <c r="C15" i="86"/>
  <c r="B15" i="86"/>
  <c r="C14" i="86"/>
  <c r="B14" i="86"/>
  <c r="C13" i="86"/>
  <c r="B13" i="86"/>
  <c r="C12" i="86"/>
  <c r="B12" i="86"/>
  <c r="C11" i="86"/>
  <c r="B11" i="86"/>
  <c r="C10" i="86"/>
  <c r="B10" i="86"/>
  <c r="C9" i="86"/>
  <c r="B9" i="86"/>
  <c r="C8" i="86"/>
  <c r="B8" i="86"/>
  <c r="C7" i="86"/>
  <c r="B7" i="86"/>
  <c r="C6" i="86"/>
  <c r="B6" i="86"/>
  <c r="C5" i="86"/>
  <c r="B5" i="86"/>
  <c r="C4" i="86"/>
  <c r="B4" i="86"/>
  <c r="C3" i="86"/>
  <c r="B3" i="86"/>
  <c r="C2" i="86"/>
  <c r="B2" i="86"/>
  <c r="Q1" i="86"/>
  <c r="S1" i="86"/>
  <c r="R1" i="86"/>
  <c r="M133" i="85"/>
  <c r="C133" i="85"/>
  <c r="B133" i="85"/>
  <c r="M132" i="85"/>
  <c r="C132" i="85"/>
  <c r="B132" i="85"/>
  <c r="M131" i="85"/>
  <c r="C131" i="85"/>
  <c r="B131" i="85"/>
  <c r="M130" i="85"/>
  <c r="C130" i="85"/>
  <c r="B130" i="85"/>
  <c r="M129" i="85"/>
  <c r="C129" i="85"/>
  <c r="B129" i="85"/>
  <c r="M128" i="85"/>
  <c r="C128" i="85"/>
  <c r="B128" i="85"/>
  <c r="M127" i="85"/>
  <c r="C127" i="85"/>
  <c r="B127" i="85"/>
  <c r="M126" i="85"/>
  <c r="C126" i="85"/>
  <c r="B126" i="85"/>
  <c r="M125" i="85"/>
  <c r="C125" i="85"/>
  <c r="B125" i="85"/>
  <c r="M124" i="85"/>
  <c r="C124" i="85"/>
  <c r="B124" i="85"/>
  <c r="M123" i="85"/>
  <c r="C123" i="85"/>
  <c r="B123" i="85"/>
  <c r="M122" i="85"/>
  <c r="C122" i="85"/>
  <c r="B122" i="85"/>
  <c r="C114" i="85"/>
  <c r="B114" i="85"/>
  <c r="C113" i="85"/>
  <c r="B113" i="85"/>
  <c r="C112" i="85"/>
  <c r="B112" i="85"/>
  <c r="C111" i="85"/>
  <c r="B111" i="85"/>
  <c r="C110" i="85"/>
  <c r="B110" i="85"/>
  <c r="C109" i="85"/>
  <c r="B109" i="85"/>
  <c r="C108" i="85"/>
  <c r="B108" i="85"/>
  <c r="C107" i="85"/>
  <c r="B107" i="85"/>
  <c r="C106" i="85"/>
  <c r="B106" i="85"/>
  <c r="C105" i="85"/>
  <c r="B105" i="85"/>
  <c r="C104" i="85"/>
  <c r="B104" i="85"/>
  <c r="C103" i="85"/>
  <c r="B103" i="85"/>
  <c r="C102" i="85"/>
  <c r="B102" i="85"/>
  <c r="C101" i="85"/>
  <c r="B101" i="85"/>
  <c r="C100" i="85"/>
  <c r="B100" i="85"/>
  <c r="C99" i="85"/>
  <c r="B99" i="85"/>
  <c r="C98" i="85"/>
  <c r="B98" i="85"/>
  <c r="C97" i="85"/>
  <c r="B97" i="85"/>
  <c r="C96" i="85"/>
  <c r="B96" i="85"/>
  <c r="C95" i="85"/>
  <c r="B95" i="85"/>
  <c r="C94" i="85"/>
  <c r="B94" i="85"/>
  <c r="C93" i="85"/>
  <c r="B93" i="85"/>
  <c r="C92" i="85"/>
  <c r="B92" i="85"/>
  <c r="C91" i="85"/>
  <c r="B91" i="85"/>
  <c r="C90" i="85"/>
  <c r="B90" i="85"/>
  <c r="C89" i="85"/>
  <c r="B89" i="85"/>
  <c r="C88" i="85"/>
  <c r="B88" i="85"/>
  <c r="C87" i="85"/>
  <c r="B87" i="85"/>
  <c r="C86" i="85"/>
  <c r="B86" i="85"/>
  <c r="C85" i="85"/>
  <c r="B85" i="85"/>
  <c r="C84" i="85"/>
  <c r="B84" i="85"/>
  <c r="C83" i="85"/>
  <c r="B83" i="85"/>
  <c r="C82" i="85"/>
  <c r="B82" i="85"/>
  <c r="C81" i="85"/>
  <c r="B81" i="85"/>
  <c r="C80" i="85"/>
  <c r="B80" i="85"/>
  <c r="C79" i="85"/>
  <c r="B79" i="85"/>
  <c r="C78" i="85"/>
  <c r="B78" i="85"/>
  <c r="C77" i="85"/>
  <c r="B77" i="85"/>
  <c r="C76" i="85"/>
  <c r="B76" i="85"/>
  <c r="C75" i="85"/>
  <c r="B75" i="85"/>
  <c r="C74" i="85"/>
  <c r="B74" i="85"/>
  <c r="C73" i="85"/>
  <c r="B73" i="85"/>
  <c r="C72" i="85"/>
  <c r="B72" i="85"/>
  <c r="C71" i="85"/>
  <c r="B71" i="85"/>
  <c r="C70" i="85"/>
  <c r="B70" i="85"/>
  <c r="C69" i="85"/>
  <c r="B69" i="85"/>
  <c r="C68" i="85"/>
  <c r="B68" i="85"/>
  <c r="C67" i="85"/>
  <c r="B67" i="85"/>
  <c r="C66" i="85"/>
  <c r="B66" i="85"/>
  <c r="C65" i="85"/>
  <c r="B65" i="85"/>
  <c r="C64" i="85"/>
  <c r="B64" i="85"/>
  <c r="C63" i="85"/>
  <c r="B63" i="85"/>
  <c r="C62" i="85"/>
  <c r="B62" i="85"/>
  <c r="C61" i="85"/>
  <c r="B61" i="85"/>
  <c r="C60" i="85"/>
  <c r="B60" i="85"/>
  <c r="C59" i="85"/>
  <c r="B59" i="85"/>
  <c r="C58" i="85"/>
  <c r="B58" i="85"/>
  <c r="C57" i="85"/>
  <c r="B57" i="85"/>
  <c r="C56" i="85"/>
  <c r="B56" i="85"/>
  <c r="C55" i="85"/>
  <c r="B55" i="85"/>
  <c r="C54" i="85"/>
  <c r="B54" i="85"/>
  <c r="C53" i="85"/>
  <c r="B53" i="85"/>
  <c r="C52" i="85"/>
  <c r="B52" i="85"/>
  <c r="C51" i="85"/>
  <c r="B51" i="85"/>
  <c r="C50" i="85"/>
  <c r="B50" i="85"/>
  <c r="C49" i="85"/>
  <c r="B49" i="85"/>
  <c r="C48" i="85"/>
  <c r="B48" i="85"/>
  <c r="C47" i="85"/>
  <c r="B47" i="85"/>
  <c r="C46" i="85"/>
  <c r="B46" i="85"/>
  <c r="C45" i="85"/>
  <c r="B45" i="85"/>
  <c r="C44" i="85"/>
  <c r="B44" i="85"/>
  <c r="C43" i="85"/>
  <c r="B43" i="85"/>
  <c r="C42" i="85"/>
  <c r="B42" i="85"/>
  <c r="C41" i="85"/>
  <c r="B41" i="85"/>
  <c r="C40" i="85"/>
  <c r="B40" i="85"/>
  <c r="C39" i="85"/>
  <c r="B39" i="85"/>
  <c r="C38" i="85"/>
  <c r="B38" i="85"/>
  <c r="C37" i="85"/>
  <c r="B37" i="85"/>
  <c r="C36" i="85"/>
  <c r="B36" i="85"/>
  <c r="C35" i="85"/>
  <c r="B35" i="85"/>
  <c r="C34" i="85"/>
  <c r="B34" i="85"/>
  <c r="C33" i="85"/>
  <c r="B33" i="85"/>
  <c r="C32" i="85"/>
  <c r="B32" i="85"/>
  <c r="C31" i="85"/>
  <c r="B31" i="85"/>
  <c r="C30" i="85"/>
  <c r="B30" i="85"/>
  <c r="C29" i="85"/>
  <c r="B29" i="85"/>
  <c r="C28" i="85"/>
  <c r="B28" i="85"/>
  <c r="C27" i="85"/>
  <c r="B27" i="85"/>
  <c r="C26" i="85"/>
  <c r="B26" i="85"/>
  <c r="C25" i="85"/>
  <c r="B25" i="85"/>
  <c r="C24" i="85"/>
  <c r="B24" i="85"/>
  <c r="C23" i="85"/>
  <c r="B23" i="85"/>
  <c r="C22" i="85"/>
  <c r="B22" i="85"/>
  <c r="C21" i="85"/>
  <c r="B21" i="85"/>
  <c r="C20" i="85"/>
  <c r="B20" i="85"/>
  <c r="C19" i="85"/>
  <c r="B19" i="85"/>
  <c r="C18" i="85"/>
  <c r="B18" i="85"/>
  <c r="C17" i="85"/>
  <c r="B17" i="85"/>
  <c r="C16" i="85"/>
  <c r="B16" i="85"/>
  <c r="C15" i="85"/>
  <c r="B15" i="85"/>
  <c r="C14" i="85"/>
  <c r="B14" i="85"/>
  <c r="C13" i="85"/>
  <c r="B13" i="85"/>
  <c r="C12" i="85"/>
  <c r="B12" i="85"/>
  <c r="C11" i="85"/>
  <c r="B11" i="85"/>
  <c r="C10" i="85"/>
  <c r="B10" i="85"/>
  <c r="C9" i="85"/>
  <c r="B9" i="85"/>
  <c r="C8" i="85"/>
  <c r="B8" i="85"/>
  <c r="C7" i="85"/>
  <c r="B7" i="85"/>
  <c r="C6" i="85"/>
  <c r="B6" i="85"/>
  <c r="C5" i="85"/>
  <c r="B5" i="85"/>
  <c r="C4" i="85"/>
  <c r="B4" i="85"/>
  <c r="C3" i="85"/>
  <c r="B3" i="85"/>
  <c r="C2" i="85"/>
  <c r="B2" i="85"/>
  <c r="Q133" i="84"/>
  <c r="C133" i="84"/>
  <c r="B133" i="84"/>
  <c r="Q132" i="84"/>
  <c r="C132" i="84"/>
  <c r="B132" i="84"/>
  <c r="Q131" i="84"/>
  <c r="C131" i="84"/>
  <c r="B131" i="84"/>
  <c r="Q130" i="84"/>
  <c r="C130" i="84"/>
  <c r="B130" i="84"/>
  <c r="Q129" i="84"/>
  <c r="C129" i="84"/>
  <c r="B129" i="84"/>
  <c r="Q128" i="84"/>
  <c r="C128" i="84"/>
  <c r="B128" i="84"/>
  <c r="Q127" i="84"/>
  <c r="C127" i="84"/>
  <c r="B127" i="84"/>
  <c r="Q126" i="84"/>
  <c r="C126" i="84"/>
  <c r="B126" i="84"/>
  <c r="Q125" i="84"/>
  <c r="C125" i="84"/>
  <c r="B125" i="84"/>
  <c r="Q124" i="84"/>
  <c r="C124" i="84"/>
  <c r="B124" i="84"/>
  <c r="C123" i="84"/>
  <c r="B123" i="84"/>
  <c r="Q122" i="84"/>
  <c r="C122" i="84"/>
  <c r="B122" i="84"/>
  <c r="C113" i="84"/>
  <c r="B113" i="84"/>
  <c r="C112" i="84"/>
  <c r="B112" i="84"/>
  <c r="C111" i="84"/>
  <c r="B111" i="84"/>
  <c r="C110" i="84"/>
  <c r="B110" i="84"/>
  <c r="C109" i="84"/>
  <c r="B109" i="84"/>
  <c r="C108" i="84"/>
  <c r="B108" i="84"/>
  <c r="C107" i="84"/>
  <c r="B107" i="84"/>
  <c r="C106" i="84"/>
  <c r="B106" i="84"/>
  <c r="C105" i="84"/>
  <c r="B105" i="84"/>
  <c r="C104" i="84"/>
  <c r="B104" i="84"/>
  <c r="C103" i="84"/>
  <c r="B103" i="84"/>
  <c r="C102" i="84"/>
  <c r="B102" i="84"/>
  <c r="C101" i="84"/>
  <c r="B101" i="84"/>
  <c r="C100" i="84"/>
  <c r="B100" i="84"/>
  <c r="C99" i="84"/>
  <c r="B99" i="84"/>
  <c r="C98" i="84"/>
  <c r="B98" i="84"/>
  <c r="C97" i="84"/>
  <c r="B97" i="84"/>
  <c r="C96" i="84"/>
  <c r="B96" i="84"/>
  <c r="C95" i="84"/>
  <c r="B95" i="84"/>
  <c r="C94" i="84"/>
  <c r="B94" i="84"/>
  <c r="C93" i="84"/>
  <c r="B93" i="84"/>
  <c r="C92" i="84"/>
  <c r="B92" i="84"/>
  <c r="C91" i="84"/>
  <c r="B91" i="84"/>
  <c r="C90" i="84"/>
  <c r="B90" i="84"/>
  <c r="C89" i="84"/>
  <c r="B89" i="84"/>
  <c r="C88" i="84"/>
  <c r="B88" i="84"/>
  <c r="C87" i="84"/>
  <c r="B87" i="84"/>
  <c r="C86" i="84"/>
  <c r="B86" i="84"/>
  <c r="C85" i="84"/>
  <c r="B85" i="84"/>
  <c r="C84" i="84"/>
  <c r="B84" i="84"/>
  <c r="C83" i="84"/>
  <c r="B83" i="84"/>
  <c r="C82" i="84"/>
  <c r="B82" i="84"/>
  <c r="C81" i="84"/>
  <c r="B81" i="84"/>
  <c r="C80" i="84"/>
  <c r="B80" i="84"/>
  <c r="C79" i="84"/>
  <c r="B79" i="84"/>
  <c r="C78" i="84"/>
  <c r="B78" i="84"/>
  <c r="C77" i="84"/>
  <c r="B77" i="84"/>
  <c r="C76" i="84"/>
  <c r="B76" i="84"/>
  <c r="C75" i="84"/>
  <c r="B75" i="84"/>
  <c r="C74" i="84"/>
  <c r="B74" i="84"/>
  <c r="C73" i="84"/>
  <c r="B73" i="84"/>
  <c r="C72" i="84"/>
  <c r="B72" i="84"/>
  <c r="C71" i="84"/>
  <c r="B71" i="84"/>
  <c r="C70" i="84"/>
  <c r="B70" i="84"/>
  <c r="C69" i="84"/>
  <c r="B69" i="84"/>
  <c r="C68" i="84"/>
  <c r="B68" i="84"/>
  <c r="C67" i="84"/>
  <c r="B67" i="84"/>
  <c r="C66" i="84"/>
  <c r="B66" i="84"/>
  <c r="C65" i="84"/>
  <c r="B65" i="84"/>
  <c r="C64" i="84"/>
  <c r="B64" i="84"/>
  <c r="C63" i="84"/>
  <c r="B63" i="84"/>
  <c r="C62" i="84"/>
  <c r="B62" i="84"/>
  <c r="C61" i="84"/>
  <c r="B61" i="84"/>
  <c r="C60" i="84"/>
  <c r="B60" i="84"/>
  <c r="C59" i="84"/>
  <c r="B59" i="84"/>
  <c r="C58" i="84"/>
  <c r="B58" i="84"/>
  <c r="C57" i="84"/>
  <c r="B57" i="84"/>
  <c r="C56" i="84"/>
  <c r="B56" i="84"/>
  <c r="C55" i="84"/>
  <c r="B55" i="84"/>
  <c r="C54" i="84"/>
  <c r="B54" i="84"/>
  <c r="C53" i="84"/>
  <c r="B53" i="84"/>
  <c r="C52" i="84"/>
  <c r="B52" i="84"/>
  <c r="C51" i="84"/>
  <c r="B51" i="84"/>
  <c r="C50" i="84"/>
  <c r="B50" i="84"/>
  <c r="C49" i="84"/>
  <c r="B49" i="84"/>
  <c r="C48" i="84"/>
  <c r="B48" i="84"/>
  <c r="C47" i="84"/>
  <c r="B47" i="84"/>
  <c r="C46" i="84"/>
  <c r="B46" i="84"/>
  <c r="C45" i="84"/>
  <c r="B45" i="84"/>
  <c r="C44" i="84"/>
  <c r="B44" i="84"/>
  <c r="C43" i="84"/>
  <c r="B43" i="84"/>
  <c r="C42" i="84"/>
  <c r="B42" i="84"/>
  <c r="C41" i="84"/>
  <c r="B41" i="84"/>
  <c r="C40" i="84"/>
  <c r="B40" i="84"/>
  <c r="C39" i="84"/>
  <c r="B39" i="84"/>
  <c r="C38" i="84"/>
  <c r="B38" i="84"/>
  <c r="C37" i="84"/>
  <c r="B37" i="84"/>
  <c r="C36" i="84"/>
  <c r="B36" i="84"/>
  <c r="C35" i="84"/>
  <c r="B35" i="84"/>
  <c r="C34" i="84"/>
  <c r="B34" i="84"/>
  <c r="C33" i="84"/>
  <c r="B33" i="84"/>
  <c r="C32" i="84"/>
  <c r="B32" i="84"/>
  <c r="C31" i="84"/>
  <c r="B31" i="84"/>
  <c r="C30" i="84"/>
  <c r="B30" i="84"/>
  <c r="C29" i="84"/>
  <c r="B29" i="84"/>
  <c r="C28" i="84"/>
  <c r="B28" i="84"/>
  <c r="C27" i="84"/>
  <c r="B27" i="84"/>
  <c r="C26" i="84"/>
  <c r="B26" i="84"/>
  <c r="C25" i="84"/>
  <c r="B25" i="84"/>
  <c r="C24" i="84"/>
  <c r="B24" i="84"/>
  <c r="C23" i="84"/>
  <c r="B23" i="84"/>
  <c r="C22" i="84"/>
  <c r="B22" i="84"/>
  <c r="C21" i="84"/>
  <c r="B21" i="84"/>
  <c r="C20" i="84"/>
  <c r="B20" i="84"/>
  <c r="C19" i="84"/>
  <c r="B19" i="84"/>
  <c r="C18" i="84"/>
  <c r="B18" i="84"/>
  <c r="C17" i="84"/>
  <c r="B17" i="84"/>
  <c r="C16" i="84"/>
  <c r="B16" i="84"/>
  <c r="C15" i="84"/>
  <c r="B15" i="84"/>
  <c r="C14" i="84"/>
  <c r="B14" i="84"/>
  <c r="C13" i="84"/>
  <c r="B13" i="84"/>
  <c r="C12" i="84"/>
  <c r="B12" i="84"/>
  <c r="C11" i="84"/>
  <c r="B11" i="84"/>
  <c r="C10" i="84"/>
  <c r="B10" i="84"/>
  <c r="C9" i="84"/>
  <c r="B9" i="84"/>
  <c r="C8" i="84"/>
  <c r="B8" i="84"/>
  <c r="C7" i="84"/>
  <c r="B7" i="84"/>
  <c r="C6" i="84"/>
  <c r="B6" i="84"/>
  <c r="C5" i="84"/>
  <c r="B5" i="84"/>
  <c r="C4" i="84"/>
  <c r="B4" i="84"/>
  <c r="C3" i="84"/>
  <c r="B3" i="84"/>
  <c r="C2" i="84"/>
  <c r="B2" i="84"/>
  <c r="M133" i="30" l="1"/>
  <c r="K135" i="84"/>
  <c r="X134" i="84"/>
  <c r="K134" i="27"/>
  <c r="U133" i="27"/>
  <c r="O134" i="87"/>
  <c r="AM7" i="91"/>
  <c r="AM8" i="91" s="1"/>
  <c r="B7" i="91"/>
  <c r="B8" i="91" s="1"/>
  <c r="Q123" i="85"/>
  <c r="X7" i="91"/>
  <c r="AY8" i="91"/>
  <c r="M8" i="91"/>
  <c r="AS8" i="91"/>
  <c r="AI7" i="91"/>
  <c r="AJ7" i="91" s="1"/>
  <c r="B180" i="7"/>
  <c r="B191" i="7" s="1"/>
  <c r="DT135" i="39"/>
  <c r="DT136" i="39" s="1"/>
  <c r="DT137" i="39" s="1"/>
  <c r="DT138" i="39" s="1"/>
  <c r="DT139" i="39" s="1"/>
  <c r="DT140" i="39" s="1"/>
  <c r="DT141" i="39" s="1"/>
  <c r="DT142" i="39" s="1"/>
  <c r="DT143" i="39" s="1"/>
  <c r="DT144" i="39" s="1"/>
  <c r="DT145" i="39" s="1"/>
  <c r="DT146" i="39" s="1"/>
  <c r="DT147" i="39" s="1"/>
  <c r="DT148" i="39" s="1"/>
  <c r="DT149" i="39" s="1"/>
  <c r="DT150" i="39" s="1"/>
  <c r="DT151" i="39" s="1"/>
  <c r="DT152" i="39" s="1"/>
  <c r="DT153" i="39" s="1"/>
  <c r="DT154" i="39" s="1"/>
  <c r="DT155" i="39" s="1"/>
  <c r="DT156" i="39" s="1"/>
  <c r="DT157" i="39" s="1"/>
  <c r="DT158" i="39" s="1"/>
  <c r="DT159" i="39" s="1"/>
  <c r="DT160" i="39" s="1"/>
  <c r="DT161" i="39" s="1"/>
  <c r="DT162" i="39" s="1"/>
  <c r="DT163" i="39" s="1"/>
  <c r="DT164" i="39" s="1"/>
  <c r="DT165" i="39" s="1"/>
  <c r="DT166" i="39" s="1"/>
  <c r="DT167" i="39" s="1"/>
  <c r="DT168" i="39" s="1"/>
  <c r="DT169" i="39" s="1"/>
  <c r="DS123" i="39"/>
  <c r="DS124" i="39" s="1"/>
  <c r="DS125" i="39" s="1"/>
  <c r="DS126" i="39" s="1"/>
  <c r="DS127" i="39" s="1"/>
  <c r="DS128" i="39" s="1"/>
  <c r="DS129" i="39" s="1"/>
  <c r="DS130" i="39" s="1"/>
  <c r="DS131" i="39" s="1"/>
  <c r="DS132" i="39" s="1"/>
  <c r="DS133" i="39" s="1"/>
  <c r="DS134" i="39" s="1"/>
  <c r="DS135" i="39" s="1"/>
  <c r="DS136" i="39" s="1"/>
  <c r="DS137" i="39" s="1"/>
  <c r="DS138" i="39" s="1"/>
  <c r="DS139" i="39" s="1"/>
  <c r="DS140" i="39" s="1"/>
  <c r="DS141" i="39" s="1"/>
  <c r="DS142" i="39" s="1"/>
  <c r="DS143" i="39" s="1"/>
  <c r="DS144" i="39" s="1"/>
  <c r="DS145" i="39" s="1"/>
  <c r="DS146" i="39" s="1"/>
  <c r="DS147" i="39" s="1"/>
  <c r="DS148" i="39" s="1"/>
  <c r="DS149" i="39" s="1"/>
  <c r="DS150" i="39" s="1"/>
  <c r="DS151" i="39" s="1"/>
  <c r="DS152" i="39" s="1"/>
  <c r="DS153" i="39" s="1"/>
  <c r="DS154" i="39" s="1"/>
  <c r="DS155" i="39" s="1"/>
  <c r="DS156" i="39" s="1"/>
  <c r="DS157" i="39" s="1"/>
  <c r="DS158" i="39" s="1"/>
  <c r="DS159" i="39" s="1"/>
  <c r="DS160" i="39" s="1"/>
  <c r="DS161" i="39" s="1"/>
  <c r="DS162" i="39" s="1"/>
  <c r="DS163" i="39" s="1"/>
  <c r="DS164" i="39" s="1"/>
  <c r="DS165" i="39" s="1"/>
  <c r="DS166" i="39" s="1"/>
  <c r="DS167" i="39" s="1"/>
  <c r="DS168" i="39" s="1"/>
  <c r="DS169" i="39" s="1"/>
  <c r="DR111" i="39"/>
  <c r="DQ99" i="39"/>
  <c r="DP87" i="39"/>
  <c r="DP88" i="39" s="1"/>
  <c r="DP89" i="39" s="1"/>
  <c r="DP90" i="39" s="1"/>
  <c r="DP91" i="39" s="1"/>
  <c r="DP92" i="39" s="1"/>
  <c r="DP93" i="39" s="1"/>
  <c r="DP94" i="39" s="1"/>
  <c r="DP95" i="39" s="1"/>
  <c r="DP96" i="39" s="1"/>
  <c r="DP97" i="39" s="1"/>
  <c r="DP98" i="39" s="1"/>
  <c r="DP99" i="39" s="1"/>
  <c r="DP100" i="39" s="1"/>
  <c r="DP101" i="39" s="1"/>
  <c r="DP102" i="39" s="1"/>
  <c r="DP103" i="39" s="1"/>
  <c r="DP104" i="39" s="1"/>
  <c r="DP105" i="39" s="1"/>
  <c r="DP106" i="39" s="1"/>
  <c r="DP107" i="39" s="1"/>
  <c r="DP108" i="39" s="1"/>
  <c r="DP109" i="39" s="1"/>
  <c r="DP110" i="39" s="1"/>
  <c r="DP111" i="39" s="1"/>
  <c r="DP112" i="39" s="1"/>
  <c r="DP113" i="39" s="1"/>
  <c r="DP114" i="39" s="1"/>
  <c r="DP115" i="39" s="1"/>
  <c r="DP116" i="39" s="1"/>
  <c r="DP117" i="39" s="1"/>
  <c r="DP118" i="39" s="1"/>
  <c r="DP119" i="39" s="1"/>
  <c r="DP120" i="39" s="1"/>
  <c r="DP121" i="39" s="1"/>
  <c r="DP122" i="39" s="1"/>
  <c r="DP123" i="39" s="1"/>
  <c r="DP124" i="39" s="1"/>
  <c r="DP125" i="39" s="1"/>
  <c r="DP126" i="39" s="1"/>
  <c r="DP127" i="39" s="1"/>
  <c r="DP128" i="39" s="1"/>
  <c r="DP129" i="39" s="1"/>
  <c r="DP130" i="39" s="1"/>
  <c r="DP131" i="39" s="1"/>
  <c r="DP132" i="39" s="1"/>
  <c r="DP133" i="39" s="1"/>
  <c r="DP134" i="39" s="1"/>
  <c r="DP135" i="39" s="1"/>
  <c r="DP136" i="39" s="1"/>
  <c r="DP137" i="39" s="1"/>
  <c r="DP138" i="39" s="1"/>
  <c r="DP139" i="39" s="1"/>
  <c r="DP140" i="39" s="1"/>
  <c r="DP141" i="39" s="1"/>
  <c r="DP142" i="39" s="1"/>
  <c r="DP143" i="39" s="1"/>
  <c r="DP144" i="39" s="1"/>
  <c r="DP145" i="39" s="1"/>
  <c r="DP146" i="39" s="1"/>
  <c r="DP147" i="39" s="1"/>
  <c r="DP148" i="39" s="1"/>
  <c r="DP149" i="39" s="1"/>
  <c r="DP150" i="39" s="1"/>
  <c r="DP151" i="39" s="1"/>
  <c r="DP152" i="39" s="1"/>
  <c r="DP153" i="39" s="1"/>
  <c r="DP154" i="39" s="1"/>
  <c r="DP155" i="39" s="1"/>
  <c r="DP156" i="39" s="1"/>
  <c r="DP157" i="39" s="1"/>
  <c r="DP158" i="39" s="1"/>
  <c r="DP159" i="39" s="1"/>
  <c r="DP160" i="39" s="1"/>
  <c r="DP161" i="39" s="1"/>
  <c r="DP162" i="39" s="1"/>
  <c r="DP163" i="39" s="1"/>
  <c r="DP164" i="39" s="1"/>
  <c r="DP165" i="39" s="1"/>
  <c r="DP166" i="39" s="1"/>
  <c r="DP167" i="39" s="1"/>
  <c r="DP168" i="39" s="1"/>
  <c r="DP169" i="39" s="1"/>
  <c r="K136" i="84" l="1"/>
  <c r="X135" i="84"/>
  <c r="O135" i="87"/>
  <c r="K135" i="27"/>
  <c r="U134" i="27"/>
  <c r="M134" i="30"/>
  <c r="B181" i="7"/>
  <c r="B182" i="7" s="1"/>
  <c r="DR112" i="39"/>
  <c r="AM9" i="91"/>
  <c r="AM10" i="91" s="1"/>
  <c r="B9" i="91"/>
  <c r="AI8" i="91"/>
  <c r="AJ8" i="91" s="1"/>
  <c r="AY9" i="91"/>
  <c r="X8" i="91"/>
  <c r="Q124" i="85"/>
  <c r="AS9" i="91"/>
  <c r="M9" i="91"/>
  <c r="DQ100" i="39"/>
  <c r="CF51" i="39"/>
  <c r="BL50" i="39"/>
  <c r="BK50" i="39"/>
  <c r="O136" i="87" l="1"/>
  <c r="M135" i="30"/>
  <c r="K136" i="27"/>
  <c r="U135" i="27"/>
  <c r="K137" i="84"/>
  <c r="X136" i="84"/>
  <c r="B192" i="7"/>
  <c r="B183" i="7"/>
  <c r="B193" i="7"/>
  <c r="DR113" i="39"/>
  <c r="AY10" i="91"/>
  <c r="AS10" i="91"/>
  <c r="M10" i="91"/>
  <c r="X9" i="91"/>
  <c r="B10" i="91"/>
  <c r="Q125" i="85"/>
  <c r="AI9" i="91"/>
  <c r="AJ9" i="91" s="1"/>
  <c r="AM11" i="91"/>
  <c r="DQ101" i="39"/>
  <c r="K138" i="84" l="1"/>
  <c r="X137" i="84"/>
  <c r="O137" i="87"/>
  <c r="M136" i="30"/>
  <c r="K137" i="27"/>
  <c r="U136" i="27"/>
  <c r="B184" i="7"/>
  <c r="B194" i="7"/>
  <c r="DR114" i="39"/>
  <c r="AM12" i="91"/>
  <c r="AY11" i="91"/>
  <c r="AI10" i="91"/>
  <c r="AJ10" i="91" s="1"/>
  <c r="B11" i="91"/>
  <c r="Q126" i="85"/>
  <c r="M11" i="91"/>
  <c r="X10" i="91"/>
  <c r="AS11" i="91"/>
  <c r="DQ102" i="39"/>
  <c r="O138" i="87" l="1"/>
  <c r="K138" i="27"/>
  <c r="U137" i="27"/>
  <c r="M137" i="30"/>
  <c r="K139" i="84"/>
  <c r="X138" i="84"/>
  <c r="B185" i="7"/>
  <c r="B195" i="7"/>
  <c r="DR115" i="39"/>
  <c r="AI11" i="91"/>
  <c r="AJ11" i="91" s="1"/>
  <c r="M12" i="91"/>
  <c r="B12" i="91"/>
  <c r="AY12" i="91"/>
  <c r="AS12" i="91"/>
  <c r="X11" i="91"/>
  <c r="Q127" i="85"/>
  <c r="AM13" i="91"/>
  <c r="DQ103" i="39"/>
  <c r="K140" i="84" l="1"/>
  <c r="X139" i="84"/>
  <c r="O139" i="87"/>
  <c r="K139" i="27"/>
  <c r="U138" i="27"/>
  <c r="M138" i="30"/>
  <c r="B186" i="7"/>
  <c r="B196" i="7"/>
  <c r="DR116" i="39"/>
  <c r="AS13" i="91"/>
  <c r="AY13" i="91"/>
  <c r="AI12" i="91"/>
  <c r="AJ12" i="91" s="1"/>
  <c r="X12" i="91"/>
  <c r="B13" i="91"/>
  <c r="AM14" i="91"/>
  <c r="Q128" i="85"/>
  <c r="M13" i="91"/>
  <c r="DQ104" i="39"/>
  <c r="M139" i="30" l="1"/>
  <c r="O140" i="87"/>
  <c r="K140" i="27"/>
  <c r="U139" i="27"/>
  <c r="K141" i="84"/>
  <c r="X140" i="84"/>
  <c r="B187" i="7"/>
  <c r="B197" i="7"/>
  <c r="DR117" i="39"/>
  <c r="AI13" i="91"/>
  <c r="AJ13" i="91" s="1"/>
  <c r="X13" i="91"/>
  <c r="AY14" i="91"/>
  <c r="M14" i="91"/>
  <c r="M15" i="91" s="1"/>
  <c r="M16" i="91" s="1"/>
  <c r="AM15" i="91"/>
  <c r="AM16" i="91" s="1"/>
  <c r="B14" i="91"/>
  <c r="AS14" i="91"/>
  <c r="Q129" i="85"/>
  <c r="DQ105" i="39"/>
  <c r="O141" i="87" l="1"/>
  <c r="M140" i="30"/>
  <c r="X141" i="84"/>
  <c r="K142" i="84"/>
  <c r="K141" i="27"/>
  <c r="U140" i="27"/>
  <c r="B188" i="7"/>
  <c r="B198" i="7"/>
  <c r="DR118" i="39"/>
  <c r="B15" i="91"/>
  <c r="X14" i="91"/>
  <c r="Q130" i="85"/>
  <c r="AS15" i="91"/>
  <c r="AS16" i="91" s="1"/>
  <c r="AY15" i="91"/>
  <c r="AY16" i="91" s="1"/>
  <c r="AI14" i="91"/>
  <c r="AJ14" i="91" s="1"/>
  <c r="DQ106" i="39"/>
  <c r="M141" i="30" l="1"/>
  <c r="K143" i="84"/>
  <c r="X142" i="84"/>
  <c r="O142" i="87"/>
  <c r="K142" i="27"/>
  <c r="U141" i="27"/>
  <c r="B189" i="7"/>
  <c r="B199" i="7"/>
  <c r="DR119" i="39"/>
  <c r="B16" i="91"/>
  <c r="X15" i="91"/>
  <c r="AI15" i="91"/>
  <c r="Q131" i="85"/>
  <c r="DQ107" i="39"/>
  <c r="K144" i="84" l="1"/>
  <c r="X143" i="84"/>
  <c r="O143" i="87"/>
  <c r="M142" i="30"/>
  <c r="K143" i="27"/>
  <c r="U142" i="27"/>
  <c r="B200" i="7"/>
  <c r="DR120" i="39"/>
  <c r="X16" i="91"/>
  <c r="Q132" i="85"/>
  <c r="AI16" i="91"/>
  <c r="DQ108" i="39"/>
  <c r="M143" i="30" l="1"/>
  <c r="O144" i="87"/>
  <c r="O145" i="87"/>
  <c r="K144" i="27"/>
  <c r="U143" i="27"/>
  <c r="K145" i="84"/>
  <c r="X145" i="84" s="1"/>
  <c r="X144" i="84"/>
  <c r="DR121" i="39"/>
  <c r="Q133" i="85"/>
  <c r="DQ109" i="39"/>
  <c r="M145" i="30" l="1"/>
  <c r="M144" i="30"/>
  <c r="K145" i="27"/>
  <c r="U145" i="27" s="1"/>
  <c r="U144" i="27"/>
  <c r="DR122" i="39"/>
  <c r="DQ110" i="39"/>
  <c r="DR123" i="39" l="1"/>
  <c r="DQ111" i="39"/>
  <c r="DR124" i="39" l="1"/>
  <c r="DQ112" i="39"/>
  <c r="DR125" i="39" l="1"/>
  <c r="DQ113" i="39"/>
  <c r="DR126" i="39" l="1"/>
  <c r="DQ114" i="39"/>
  <c r="DR127" i="39" l="1"/>
  <c r="DQ115" i="39"/>
  <c r="DR128" i="39" l="1"/>
  <c r="DQ116" i="39"/>
  <c r="DR129" i="39" l="1"/>
  <c r="DQ117" i="39"/>
  <c r="DR130" i="39" l="1"/>
  <c r="DQ118" i="39"/>
  <c r="DR131" i="39" l="1"/>
  <c r="DQ119" i="39"/>
  <c r="DR132" i="39" l="1"/>
  <c r="DQ120" i="39"/>
  <c r="DR133" i="39" l="1"/>
  <c r="DQ121" i="39"/>
  <c r="DR134" i="39" l="1"/>
  <c r="DQ122" i="39"/>
  <c r="DR135" i="39" l="1"/>
  <c r="DQ123" i="39"/>
  <c r="DR136" i="39" l="1"/>
  <c r="DQ124" i="39"/>
  <c r="DR137" i="39" l="1"/>
  <c r="DQ125" i="39"/>
  <c r="DR138" i="39" l="1"/>
  <c r="DQ126" i="39"/>
  <c r="DR139" i="39" l="1"/>
  <c r="DQ127" i="39"/>
  <c r="DR140" i="39" l="1"/>
  <c r="DQ128" i="39"/>
  <c r="DR141" i="39" l="1"/>
  <c r="DQ129" i="39"/>
  <c r="DR142" i="39" l="1"/>
  <c r="DQ130" i="39"/>
  <c r="DR143" i="39" l="1"/>
  <c r="DQ131" i="39"/>
  <c r="DR144" i="39" l="1"/>
  <c r="DQ132" i="39"/>
  <c r="DR145" i="39" l="1"/>
  <c r="DQ133" i="39"/>
  <c r="DR146" i="39" l="1"/>
  <c r="DQ134" i="39"/>
  <c r="DR147" i="39" l="1"/>
  <c r="DQ135" i="39"/>
  <c r="DR148" i="39" l="1"/>
  <c r="DQ136" i="39"/>
  <c r="DR149" i="39" l="1"/>
  <c r="DQ137" i="39"/>
  <c r="DR150" i="39" l="1"/>
  <c r="DQ138" i="39"/>
  <c r="DR151" i="39" l="1"/>
  <c r="DQ139" i="39"/>
  <c r="DR152" i="39" l="1"/>
  <c r="DQ140" i="39"/>
  <c r="DR153" i="39" l="1"/>
  <c r="DQ141" i="39"/>
  <c r="DR154" i="39" l="1"/>
  <c r="DQ142" i="39"/>
  <c r="DR155" i="39" l="1"/>
  <c r="DQ143" i="39"/>
  <c r="DR156" i="39" l="1"/>
  <c r="DQ144" i="39"/>
  <c r="DR157" i="39" l="1"/>
  <c r="DQ145" i="39"/>
  <c r="DR158" i="39" l="1"/>
  <c r="DQ146" i="39"/>
  <c r="DR159" i="39" l="1"/>
  <c r="DQ147" i="39"/>
  <c r="DR160" i="39" l="1"/>
  <c r="DQ148" i="39"/>
  <c r="DR161" i="39" l="1"/>
  <c r="DQ149" i="39"/>
  <c r="DR162" i="39" l="1"/>
  <c r="DQ150" i="39"/>
  <c r="DR163" i="39" l="1"/>
  <c r="DQ151" i="39"/>
  <c r="DR164" i="39" l="1"/>
  <c r="DQ152" i="39"/>
  <c r="DR165" i="39" l="1"/>
  <c r="DQ153" i="39"/>
  <c r="DR166" i="39" l="1"/>
  <c r="DQ154" i="39"/>
  <c r="DR167" i="39" l="1"/>
  <c r="DQ155" i="39"/>
  <c r="DR168" i="39" l="1"/>
  <c r="DQ156" i="39"/>
  <c r="DR169" i="39" l="1"/>
  <c r="DQ157" i="39"/>
  <c r="DQ158" i="39" l="1"/>
  <c r="DQ159" i="39" l="1"/>
  <c r="DQ160" i="39" l="1"/>
  <c r="DQ161" i="39" l="1"/>
  <c r="DQ162" i="39" l="1"/>
  <c r="DQ163" i="39" l="1"/>
  <c r="DQ164" i="39" l="1"/>
  <c r="DQ165" i="39" l="1"/>
  <c r="DQ166" i="39" l="1"/>
  <c r="DQ167" i="39" l="1"/>
  <c r="DQ168" i="39" l="1"/>
  <c r="DQ169" i="39" l="1"/>
  <c r="AC17" i="7" l="1"/>
  <c r="AC16" i="7"/>
  <c r="AC15" i="7"/>
  <c r="AC12" i="7"/>
  <c r="AC11" i="7"/>
  <c r="AC10" i="7"/>
  <c r="B110" i="30"/>
  <c r="C110" i="30"/>
  <c r="J110" i="30"/>
  <c r="B111" i="30"/>
  <c r="C111" i="30"/>
  <c r="J111" i="30"/>
  <c r="B112" i="30"/>
  <c r="C112" i="30"/>
  <c r="J112" i="30"/>
  <c r="B113" i="30"/>
  <c r="C113" i="30"/>
  <c r="J113" i="30"/>
  <c r="B114" i="30"/>
  <c r="C114" i="30"/>
  <c r="J114" i="30"/>
  <c r="B122" i="30"/>
  <c r="C122" i="30"/>
  <c r="J122" i="30"/>
  <c r="B123" i="30"/>
  <c r="C123" i="30"/>
  <c r="J123" i="30"/>
  <c r="B124" i="30"/>
  <c r="C124" i="30"/>
  <c r="J124" i="30"/>
  <c r="B125" i="30"/>
  <c r="C125" i="30"/>
  <c r="J125" i="30"/>
  <c r="B126" i="30"/>
  <c r="C126" i="30"/>
  <c r="J126" i="30"/>
  <c r="B127" i="30"/>
  <c r="C127" i="30"/>
  <c r="J127" i="30"/>
  <c r="B128" i="30"/>
  <c r="C128" i="30"/>
  <c r="J128" i="30"/>
  <c r="B129" i="30"/>
  <c r="C129" i="30"/>
  <c r="J129" i="30"/>
  <c r="B130" i="30"/>
  <c r="C130" i="30"/>
  <c r="J130" i="30"/>
  <c r="B131" i="30"/>
  <c r="C131" i="30"/>
  <c r="J131" i="30"/>
  <c r="B132" i="30"/>
  <c r="C132" i="30"/>
  <c r="J132" i="30"/>
  <c r="B133" i="30"/>
  <c r="C133" i="30"/>
  <c r="J133" i="30"/>
  <c r="J109" i="30"/>
  <c r="C109" i="30"/>
  <c r="B109" i="30"/>
  <c r="J108" i="30"/>
  <c r="C108" i="30"/>
  <c r="B108" i="30"/>
  <c r="J107" i="30"/>
  <c r="C107" i="30"/>
  <c r="B107" i="30"/>
  <c r="J106" i="30"/>
  <c r="C106" i="30"/>
  <c r="B106" i="30"/>
  <c r="J105" i="30"/>
  <c r="C105" i="30"/>
  <c r="B105" i="30"/>
  <c r="J104" i="30"/>
  <c r="C104" i="30"/>
  <c r="B104" i="30"/>
  <c r="J103" i="30"/>
  <c r="C103" i="30"/>
  <c r="B103" i="30"/>
  <c r="J102" i="30"/>
  <c r="C102" i="30"/>
  <c r="B102" i="30"/>
  <c r="J101" i="30"/>
  <c r="C101" i="30"/>
  <c r="B101" i="30"/>
  <c r="J100" i="30"/>
  <c r="C100" i="30"/>
  <c r="B100" i="30"/>
  <c r="J99" i="30"/>
  <c r="C99" i="30"/>
  <c r="B99" i="30"/>
  <c r="J98" i="30"/>
  <c r="C98" i="30"/>
  <c r="B98" i="30"/>
  <c r="J97" i="30"/>
  <c r="C97" i="30"/>
  <c r="B97" i="30"/>
  <c r="J96" i="30"/>
  <c r="C96" i="30"/>
  <c r="B96" i="30"/>
  <c r="J95" i="30"/>
  <c r="C95" i="30"/>
  <c r="B95" i="30"/>
  <c r="J94" i="30"/>
  <c r="C94" i="30"/>
  <c r="B94" i="30"/>
  <c r="J93" i="30"/>
  <c r="C93" i="30"/>
  <c r="B93" i="30"/>
  <c r="J92" i="30"/>
  <c r="C92" i="30"/>
  <c r="B92" i="30"/>
  <c r="J91" i="30"/>
  <c r="C91" i="30"/>
  <c r="B91" i="30"/>
  <c r="J90" i="30"/>
  <c r="C90" i="30"/>
  <c r="B90" i="30"/>
  <c r="J89" i="30"/>
  <c r="C89" i="30"/>
  <c r="B89" i="30"/>
  <c r="J88" i="30"/>
  <c r="C88" i="30"/>
  <c r="B88" i="30"/>
  <c r="J87" i="30"/>
  <c r="C87" i="30"/>
  <c r="B87" i="30"/>
  <c r="J86" i="30"/>
  <c r="C86" i="30"/>
  <c r="B86" i="30"/>
  <c r="J85" i="30"/>
  <c r="C85" i="30"/>
  <c r="B85" i="30"/>
  <c r="J84" i="30"/>
  <c r="C84" i="30"/>
  <c r="B84" i="30"/>
  <c r="J83" i="30"/>
  <c r="C83" i="30"/>
  <c r="B83" i="30"/>
  <c r="J82" i="30"/>
  <c r="C82" i="30"/>
  <c r="B82" i="30"/>
  <c r="J81" i="30"/>
  <c r="C81" i="30"/>
  <c r="B81" i="30"/>
  <c r="J80" i="30"/>
  <c r="C80" i="30"/>
  <c r="B80" i="30"/>
  <c r="J79" i="30"/>
  <c r="C79" i="30"/>
  <c r="B79" i="30"/>
  <c r="J78" i="30"/>
  <c r="C78" i="30"/>
  <c r="B78" i="30"/>
  <c r="J77" i="30"/>
  <c r="C77" i="30"/>
  <c r="B77" i="30"/>
  <c r="J76" i="30"/>
  <c r="C76" i="30"/>
  <c r="B76" i="30"/>
  <c r="J75" i="30"/>
  <c r="C75" i="30"/>
  <c r="B75" i="30"/>
  <c r="J74" i="30"/>
  <c r="C74" i="30"/>
  <c r="B74" i="30"/>
  <c r="J73" i="30"/>
  <c r="C73" i="30"/>
  <c r="B73" i="30"/>
  <c r="J72" i="30"/>
  <c r="C72" i="30"/>
  <c r="B72" i="30"/>
  <c r="J71" i="30"/>
  <c r="C71" i="30"/>
  <c r="B71" i="30"/>
  <c r="J70" i="30"/>
  <c r="C70" i="30"/>
  <c r="B70" i="30"/>
  <c r="J69" i="30"/>
  <c r="C69" i="30"/>
  <c r="B69" i="30"/>
  <c r="J68" i="30"/>
  <c r="C68" i="30"/>
  <c r="B68" i="30"/>
  <c r="J67" i="30"/>
  <c r="C67" i="30"/>
  <c r="B67" i="30"/>
  <c r="J66" i="30"/>
  <c r="C66" i="30"/>
  <c r="B66" i="30"/>
  <c r="J65" i="30"/>
  <c r="C65" i="30"/>
  <c r="B65" i="30"/>
  <c r="J64" i="30"/>
  <c r="C64" i="30"/>
  <c r="B64" i="30"/>
  <c r="J63" i="30"/>
  <c r="C63" i="30"/>
  <c r="B63" i="30"/>
  <c r="J62" i="30"/>
  <c r="C62" i="30"/>
  <c r="B62" i="30"/>
  <c r="J61" i="30"/>
  <c r="C61" i="30"/>
  <c r="B61" i="30"/>
  <c r="J60" i="30"/>
  <c r="C60" i="30"/>
  <c r="B60" i="30"/>
  <c r="J59" i="30"/>
  <c r="C59" i="30"/>
  <c r="B59" i="30"/>
  <c r="J58" i="30"/>
  <c r="C58" i="30"/>
  <c r="B58" i="30"/>
  <c r="J57" i="30"/>
  <c r="C57" i="30"/>
  <c r="B57" i="30"/>
  <c r="J56" i="30"/>
  <c r="C56" i="30"/>
  <c r="B56" i="30"/>
  <c r="J55" i="30"/>
  <c r="C55" i="30"/>
  <c r="B55" i="30"/>
  <c r="J54" i="30"/>
  <c r="C54" i="30"/>
  <c r="B54" i="30"/>
  <c r="J53" i="30"/>
  <c r="C53" i="30"/>
  <c r="B53" i="30"/>
  <c r="J52" i="30"/>
  <c r="C52" i="30"/>
  <c r="B52" i="30"/>
  <c r="J51" i="30"/>
  <c r="C51" i="30"/>
  <c r="B51" i="30"/>
  <c r="J50" i="30"/>
  <c r="C50" i="30"/>
  <c r="B50" i="30"/>
  <c r="J49" i="30"/>
  <c r="C49" i="30"/>
  <c r="B49" i="30"/>
  <c r="J48" i="30"/>
  <c r="C48" i="30"/>
  <c r="B48" i="30"/>
  <c r="J47" i="30"/>
  <c r="C47" i="30"/>
  <c r="B47" i="30"/>
  <c r="J46" i="30"/>
  <c r="C46" i="30"/>
  <c r="B46" i="30"/>
  <c r="J45" i="30"/>
  <c r="C45" i="30"/>
  <c r="B45" i="30"/>
  <c r="J44" i="30"/>
  <c r="C44" i="30"/>
  <c r="B44" i="30"/>
  <c r="J43" i="30"/>
  <c r="C43" i="30"/>
  <c r="B43" i="30"/>
  <c r="J42" i="30"/>
  <c r="C42" i="30"/>
  <c r="B42" i="30"/>
  <c r="J41" i="30"/>
  <c r="C41" i="30"/>
  <c r="B41" i="30"/>
  <c r="J40" i="30"/>
  <c r="C40" i="30"/>
  <c r="B40" i="30"/>
  <c r="J39" i="30"/>
  <c r="C39" i="30"/>
  <c r="B39" i="30"/>
  <c r="J38" i="30"/>
  <c r="C38" i="30"/>
  <c r="B38" i="30"/>
  <c r="J37" i="30"/>
  <c r="C37" i="30"/>
  <c r="B37" i="30"/>
  <c r="J36" i="30"/>
  <c r="C36" i="30"/>
  <c r="B36" i="30"/>
  <c r="J35" i="30"/>
  <c r="C35" i="30"/>
  <c r="B35" i="30"/>
  <c r="J34" i="30"/>
  <c r="C34" i="30"/>
  <c r="B34" i="30"/>
  <c r="J33" i="30"/>
  <c r="C33" i="30"/>
  <c r="B33" i="30"/>
  <c r="J32" i="30"/>
  <c r="C32" i="30"/>
  <c r="B32" i="30"/>
  <c r="J31" i="30"/>
  <c r="C31" i="30"/>
  <c r="B31" i="30"/>
  <c r="J30" i="30"/>
  <c r="C30" i="30"/>
  <c r="B30" i="30"/>
  <c r="J29" i="30"/>
  <c r="C29" i="30"/>
  <c r="B29" i="30"/>
  <c r="J28" i="30"/>
  <c r="C28" i="30"/>
  <c r="B28" i="30"/>
  <c r="J27" i="30"/>
  <c r="C27" i="30"/>
  <c r="B27" i="30"/>
  <c r="J26" i="30"/>
  <c r="C26" i="30"/>
  <c r="B26" i="30"/>
  <c r="J25" i="30"/>
  <c r="C25" i="30"/>
  <c r="B25" i="30"/>
  <c r="J24" i="30"/>
  <c r="C24" i="30"/>
  <c r="B24" i="30"/>
  <c r="C23" i="30"/>
  <c r="B23" i="30"/>
  <c r="C22" i="30"/>
  <c r="B22" i="30"/>
  <c r="C21" i="30"/>
  <c r="B21" i="30"/>
  <c r="C20" i="30"/>
  <c r="B20" i="30"/>
  <c r="C19" i="30"/>
  <c r="B19" i="30"/>
  <c r="C18" i="30"/>
  <c r="B18" i="30"/>
  <c r="C17" i="30"/>
  <c r="B17" i="30"/>
  <c r="C16" i="30"/>
  <c r="B16" i="30"/>
  <c r="C15" i="30"/>
  <c r="B15" i="30"/>
  <c r="C14" i="30"/>
  <c r="B14" i="30"/>
  <c r="C13" i="30"/>
  <c r="B13" i="30"/>
  <c r="C12" i="30"/>
  <c r="B12" i="30"/>
  <c r="C11" i="30"/>
  <c r="B11" i="30"/>
  <c r="C10" i="30"/>
  <c r="B10" i="30"/>
  <c r="C9" i="30"/>
  <c r="B9" i="30"/>
  <c r="C8" i="30"/>
  <c r="B8" i="30"/>
  <c r="C7" i="30"/>
  <c r="B7" i="30"/>
  <c r="C6" i="30"/>
  <c r="B6" i="30"/>
  <c r="C5" i="30"/>
  <c r="B5" i="30"/>
  <c r="C4" i="30"/>
  <c r="B4" i="30"/>
  <c r="C3" i="30"/>
  <c r="B3" i="30"/>
  <c r="C2" i="30"/>
  <c r="B2" i="30"/>
  <c r="B110" i="29"/>
  <c r="C110" i="29"/>
  <c r="B111" i="29"/>
  <c r="C111" i="29"/>
  <c r="B112" i="29"/>
  <c r="C112" i="29"/>
  <c r="B113" i="29"/>
  <c r="C113" i="29"/>
  <c r="B122" i="29"/>
  <c r="C122" i="29"/>
  <c r="B123" i="29"/>
  <c r="C123" i="29"/>
  <c r="B124" i="29"/>
  <c r="C124" i="29"/>
  <c r="B125" i="29"/>
  <c r="C125" i="29"/>
  <c r="B126" i="29"/>
  <c r="C126" i="29"/>
  <c r="B127" i="29"/>
  <c r="C127" i="29"/>
  <c r="B128" i="29"/>
  <c r="C128" i="29"/>
  <c r="B129" i="29"/>
  <c r="C129" i="29"/>
  <c r="B130" i="29"/>
  <c r="C130" i="29"/>
  <c r="B131" i="29"/>
  <c r="C131" i="29"/>
  <c r="B132" i="29"/>
  <c r="C132" i="29"/>
  <c r="B133" i="29"/>
  <c r="C133" i="29"/>
  <c r="C109" i="29"/>
  <c r="B109" i="29"/>
  <c r="C108" i="29"/>
  <c r="B108" i="29"/>
  <c r="C107" i="29"/>
  <c r="B107" i="29"/>
  <c r="C106" i="29"/>
  <c r="B106" i="29"/>
  <c r="C105" i="29"/>
  <c r="B105" i="29"/>
  <c r="C104" i="29"/>
  <c r="B104" i="29"/>
  <c r="C103" i="29"/>
  <c r="B103" i="29"/>
  <c r="C102" i="29"/>
  <c r="B102" i="29"/>
  <c r="C101" i="29"/>
  <c r="B101" i="29"/>
  <c r="C100" i="29"/>
  <c r="B100" i="29"/>
  <c r="C99" i="29"/>
  <c r="B99" i="29"/>
  <c r="C98" i="29"/>
  <c r="B98" i="29"/>
  <c r="C97" i="29"/>
  <c r="B97" i="29"/>
  <c r="C96" i="29"/>
  <c r="B96" i="29"/>
  <c r="C95" i="29"/>
  <c r="B95" i="29"/>
  <c r="C94" i="29"/>
  <c r="B94" i="29"/>
  <c r="C93" i="29"/>
  <c r="B93" i="29"/>
  <c r="C92" i="29"/>
  <c r="B92" i="29"/>
  <c r="C91" i="29"/>
  <c r="B91" i="29"/>
  <c r="C90" i="29"/>
  <c r="B90" i="29"/>
  <c r="C89" i="29"/>
  <c r="B89" i="29"/>
  <c r="C88" i="29"/>
  <c r="B88" i="29"/>
  <c r="C87" i="29"/>
  <c r="B87" i="29"/>
  <c r="C86" i="29"/>
  <c r="B86" i="29"/>
  <c r="C85" i="29"/>
  <c r="B85" i="29"/>
  <c r="C84" i="29"/>
  <c r="B84" i="29"/>
  <c r="C83" i="29"/>
  <c r="B83" i="29"/>
  <c r="C82" i="29"/>
  <c r="B82" i="29"/>
  <c r="C81" i="29"/>
  <c r="B81" i="29"/>
  <c r="C80" i="29"/>
  <c r="B80" i="29"/>
  <c r="C79" i="29"/>
  <c r="B79" i="29"/>
  <c r="C78" i="29"/>
  <c r="B78" i="29"/>
  <c r="C77" i="29"/>
  <c r="B77" i="29"/>
  <c r="C76" i="29"/>
  <c r="B76" i="29"/>
  <c r="C75" i="29"/>
  <c r="B75" i="29"/>
  <c r="C74" i="29"/>
  <c r="B74" i="29"/>
  <c r="C73" i="29"/>
  <c r="B73" i="29"/>
  <c r="C72" i="29"/>
  <c r="B72" i="29"/>
  <c r="C71" i="29"/>
  <c r="B71" i="29"/>
  <c r="C70" i="29"/>
  <c r="B70" i="29"/>
  <c r="C69" i="29"/>
  <c r="B69" i="29"/>
  <c r="C68" i="29"/>
  <c r="B68" i="29"/>
  <c r="C67" i="29"/>
  <c r="B67" i="29"/>
  <c r="C66" i="29"/>
  <c r="B66" i="29"/>
  <c r="C65" i="29"/>
  <c r="B65" i="29"/>
  <c r="C64" i="29"/>
  <c r="B64" i="29"/>
  <c r="C63" i="29"/>
  <c r="B63" i="29"/>
  <c r="C62" i="29"/>
  <c r="B62" i="29"/>
  <c r="C61" i="29"/>
  <c r="B61" i="29"/>
  <c r="C60" i="29"/>
  <c r="B60" i="29"/>
  <c r="C59" i="29"/>
  <c r="B59" i="29"/>
  <c r="C58" i="29"/>
  <c r="B58" i="29"/>
  <c r="C57" i="29"/>
  <c r="B57" i="29"/>
  <c r="C56" i="29"/>
  <c r="B56" i="29"/>
  <c r="C55" i="29"/>
  <c r="B55" i="29"/>
  <c r="C54" i="29"/>
  <c r="B54" i="29"/>
  <c r="C53" i="29"/>
  <c r="B53" i="29"/>
  <c r="C52" i="29"/>
  <c r="B52" i="29"/>
  <c r="C51" i="29"/>
  <c r="B51" i="29"/>
  <c r="C50" i="29"/>
  <c r="B50" i="29"/>
  <c r="C49" i="29"/>
  <c r="B49" i="29"/>
  <c r="C48" i="29"/>
  <c r="B48" i="29"/>
  <c r="C47" i="29"/>
  <c r="B47" i="29"/>
  <c r="C46" i="29"/>
  <c r="B46" i="29"/>
  <c r="C45" i="29"/>
  <c r="B45" i="29"/>
  <c r="C44" i="29"/>
  <c r="B44" i="29"/>
  <c r="C43" i="29"/>
  <c r="B43" i="29"/>
  <c r="C42" i="29"/>
  <c r="B42" i="29"/>
  <c r="C41" i="29"/>
  <c r="B41" i="29"/>
  <c r="C40" i="29"/>
  <c r="B40" i="29"/>
  <c r="C39" i="29"/>
  <c r="B39" i="29"/>
  <c r="C38" i="29"/>
  <c r="B38" i="29"/>
  <c r="C37" i="29"/>
  <c r="B37" i="29"/>
  <c r="C36" i="29"/>
  <c r="B36" i="29"/>
  <c r="C35" i="29"/>
  <c r="B35" i="29"/>
  <c r="C34" i="29"/>
  <c r="B34" i="29"/>
  <c r="C33" i="29"/>
  <c r="B33" i="29"/>
  <c r="C32" i="29"/>
  <c r="B32" i="29"/>
  <c r="C31" i="29"/>
  <c r="B31" i="29"/>
  <c r="C30" i="29"/>
  <c r="B30" i="29"/>
  <c r="C29" i="29"/>
  <c r="B29" i="29"/>
  <c r="C28" i="29"/>
  <c r="B28" i="29"/>
  <c r="C27" i="29"/>
  <c r="B27" i="29"/>
  <c r="C26" i="29"/>
  <c r="B26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C19" i="29"/>
  <c r="B19" i="29"/>
  <c r="C18" i="29"/>
  <c r="B18" i="29"/>
  <c r="C17" i="29"/>
  <c r="B17" i="29"/>
  <c r="C16" i="29"/>
  <c r="B16" i="29"/>
  <c r="C15" i="29"/>
  <c r="B15" i="29"/>
  <c r="C14" i="29"/>
  <c r="B14" i="29"/>
  <c r="C13" i="29"/>
  <c r="B13" i="29"/>
  <c r="C12" i="29"/>
  <c r="B12" i="29"/>
  <c r="C11" i="29"/>
  <c r="B11" i="29"/>
  <c r="C10" i="29"/>
  <c r="B10" i="29"/>
  <c r="C9" i="29"/>
  <c r="B9" i="29"/>
  <c r="C8" i="29"/>
  <c r="B8" i="29"/>
  <c r="C7" i="29"/>
  <c r="B7" i="29"/>
  <c r="C6" i="29"/>
  <c r="B6" i="29"/>
  <c r="C5" i="29"/>
  <c r="B5" i="29"/>
  <c r="C4" i="29"/>
  <c r="B4" i="29"/>
  <c r="C3" i="29"/>
  <c r="B3" i="29"/>
  <c r="C2" i="29"/>
  <c r="B2" i="29"/>
  <c r="P1" i="29"/>
  <c r="Q1" i="29"/>
  <c r="O1" i="29"/>
  <c r="K97" i="28"/>
  <c r="B149" i="7"/>
  <c r="B150" i="7"/>
  <c r="B151" i="7"/>
  <c r="B152" i="7"/>
  <c r="B153" i="7"/>
  <c r="B154" i="7"/>
  <c r="B155" i="7"/>
  <c r="B156" i="7"/>
  <c r="B157" i="7"/>
  <c r="B158" i="7"/>
  <c r="B159" i="7"/>
  <c r="B148" i="7"/>
  <c r="B110" i="28"/>
  <c r="C110" i="28"/>
  <c r="K110" i="28"/>
  <c r="B111" i="28"/>
  <c r="C111" i="28"/>
  <c r="K111" i="28"/>
  <c r="B122" i="28"/>
  <c r="C122" i="28"/>
  <c r="K122" i="28"/>
  <c r="B123" i="28"/>
  <c r="C123" i="28"/>
  <c r="K123" i="28"/>
  <c r="B124" i="28"/>
  <c r="C124" i="28"/>
  <c r="K124" i="28"/>
  <c r="B125" i="28"/>
  <c r="C125" i="28"/>
  <c r="K125" i="28"/>
  <c r="B126" i="28"/>
  <c r="C126" i="28"/>
  <c r="K126" i="28"/>
  <c r="B127" i="28"/>
  <c r="C127" i="28"/>
  <c r="K127" i="28"/>
  <c r="B128" i="28"/>
  <c r="C128" i="28"/>
  <c r="K128" i="28"/>
  <c r="B129" i="28"/>
  <c r="C129" i="28"/>
  <c r="K129" i="28"/>
  <c r="B130" i="28"/>
  <c r="C130" i="28"/>
  <c r="K130" i="28"/>
  <c r="B131" i="28"/>
  <c r="C131" i="28"/>
  <c r="K131" i="28"/>
  <c r="B132" i="28"/>
  <c r="C132" i="28"/>
  <c r="K132" i="28"/>
  <c r="B133" i="28"/>
  <c r="C133" i="28"/>
  <c r="K133" i="28"/>
  <c r="K109" i="28"/>
  <c r="C109" i="28"/>
  <c r="B109" i="28"/>
  <c r="K108" i="28"/>
  <c r="C108" i="28"/>
  <c r="B108" i="28"/>
  <c r="K107" i="28"/>
  <c r="C107" i="28"/>
  <c r="B107" i="28"/>
  <c r="K106" i="28"/>
  <c r="C106" i="28"/>
  <c r="B106" i="28"/>
  <c r="K105" i="28"/>
  <c r="C105" i="28"/>
  <c r="B105" i="28"/>
  <c r="K104" i="28"/>
  <c r="C104" i="28"/>
  <c r="B104" i="28"/>
  <c r="K103" i="28"/>
  <c r="C103" i="28"/>
  <c r="B103" i="28"/>
  <c r="K102" i="28"/>
  <c r="C102" i="28"/>
  <c r="B102" i="28"/>
  <c r="K101" i="28"/>
  <c r="C101" i="28"/>
  <c r="B101" i="28"/>
  <c r="K100" i="28"/>
  <c r="C100" i="28"/>
  <c r="B100" i="28"/>
  <c r="K99" i="28"/>
  <c r="C99" i="28"/>
  <c r="B99" i="28"/>
  <c r="K98" i="28"/>
  <c r="C98" i="28"/>
  <c r="B98" i="28"/>
  <c r="C97" i="28"/>
  <c r="B97" i="28"/>
  <c r="K96" i="28"/>
  <c r="C96" i="28"/>
  <c r="B96" i="28"/>
  <c r="K95" i="28"/>
  <c r="C95" i="28"/>
  <c r="B95" i="28"/>
  <c r="K94" i="28"/>
  <c r="C94" i="28"/>
  <c r="B94" i="28"/>
  <c r="K93" i="28"/>
  <c r="C93" i="28"/>
  <c r="B93" i="28"/>
  <c r="K92" i="28"/>
  <c r="C92" i="28"/>
  <c r="B92" i="28"/>
  <c r="K91" i="28"/>
  <c r="C91" i="28"/>
  <c r="B91" i="28"/>
  <c r="K90" i="28"/>
  <c r="C90" i="28"/>
  <c r="B90" i="28"/>
  <c r="K89" i="28"/>
  <c r="C89" i="28"/>
  <c r="B89" i="28"/>
  <c r="K88" i="28"/>
  <c r="C88" i="28"/>
  <c r="B88" i="28"/>
  <c r="K87" i="28"/>
  <c r="C87" i="28"/>
  <c r="B87" i="28"/>
  <c r="K86" i="28"/>
  <c r="C86" i="28"/>
  <c r="B86" i="28"/>
  <c r="K85" i="28"/>
  <c r="C85" i="28"/>
  <c r="B85" i="28"/>
  <c r="K84" i="28"/>
  <c r="C84" i="28"/>
  <c r="B84" i="28"/>
  <c r="K83" i="28"/>
  <c r="C83" i="28"/>
  <c r="B83" i="28"/>
  <c r="K82" i="28"/>
  <c r="C82" i="28"/>
  <c r="B82" i="28"/>
  <c r="K81" i="28"/>
  <c r="C81" i="28"/>
  <c r="B81" i="28"/>
  <c r="K80" i="28"/>
  <c r="C80" i="28"/>
  <c r="B80" i="28"/>
  <c r="K79" i="28"/>
  <c r="C79" i="28"/>
  <c r="B79" i="28"/>
  <c r="K78" i="28"/>
  <c r="C78" i="28"/>
  <c r="B78" i="28"/>
  <c r="K77" i="28"/>
  <c r="C77" i="28"/>
  <c r="B77" i="28"/>
  <c r="K76" i="28"/>
  <c r="C76" i="28"/>
  <c r="B76" i="28"/>
  <c r="K75" i="28"/>
  <c r="C75" i="28"/>
  <c r="B75" i="28"/>
  <c r="K74" i="28"/>
  <c r="C74" i="28"/>
  <c r="B74" i="28"/>
  <c r="K73" i="28"/>
  <c r="C73" i="28"/>
  <c r="B73" i="28"/>
  <c r="K72" i="28"/>
  <c r="C72" i="28"/>
  <c r="B72" i="28"/>
  <c r="K71" i="28"/>
  <c r="C71" i="28"/>
  <c r="B71" i="28"/>
  <c r="K70" i="28"/>
  <c r="C70" i="28"/>
  <c r="B70" i="28"/>
  <c r="K69" i="28"/>
  <c r="C69" i="28"/>
  <c r="B69" i="28"/>
  <c r="K68" i="28"/>
  <c r="C68" i="28"/>
  <c r="B68" i="28"/>
  <c r="K67" i="28"/>
  <c r="C67" i="28"/>
  <c r="B67" i="28"/>
  <c r="K66" i="28"/>
  <c r="C66" i="28"/>
  <c r="B66" i="28"/>
  <c r="K65" i="28"/>
  <c r="C65" i="28"/>
  <c r="B65" i="28"/>
  <c r="K64" i="28"/>
  <c r="C64" i="28"/>
  <c r="B64" i="28"/>
  <c r="K63" i="28"/>
  <c r="C63" i="28"/>
  <c r="B63" i="28"/>
  <c r="K62" i="28"/>
  <c r="C62" i="28"/>
  <c r="B62" i="28"/>
  <c r="K61" i="28"/>
  <c r="C61" i="28"/>
  <c r="B61" i="28"/>
  <c r="K60" i="28"/>
  <c r="C60" i="28"/>
  <c r="B60" i="28"/>
  <c r="K59" i="28"/>
  <c r="C59" i="28"/>
  <c r="B59" i="28"/>
  <c r="K58" i="28"/>
  <c r="C58" i="28"/>
  <c r="B58" i="28"/>
  <c r="K57" i="28"/>
  <c r="C57" i="28"/>
  <c r="B57" i="28"/>
  <c r="K56" i="28"/>
  <c r="C56" i="28"/>
  <c r="B56" i="28"/>
  <c r="K55" i="28"/>
  <c r="C55" i="28"/>
  <c r="B55" i="28"/>
  <c r="K54" i="28"/>
  <c r="C54" i="28"/>
  <c r="B54" i="28"/>
  <c r="K53" i="28"/>
  <c r="C53" i="28"/>
  <c r="B53" i="28"/>
  <c r="K52" i="28"/>
  <c r="C52" i="28"/>
  <c r="B52" i="28"/>
  <c r="K51" i="28"/>
  <c r="C51" i="28"/>
  <c r="B51" i="28"/>
  <c r="K50" i="28"/>
  <c r="C50" i="28"/>
  <c r="B50" i="28"/>
  <c r="K49" i="28"/>
  <c r="C49" i="28"/>
  <c r="B49" i="28"/>
  <c r="K48" i="28"/>
  <c r="C48" i="28"/>
  <c r="B48" i="28"/>
  <c r="K47" i="28"/>
  <c r="C47" i="28"/>
  <c r="B47" i="28"/>
  <c r="K46" i="28"/>
  <c r="C46" i="28"/>
  <c r="B46" i="28"/>
  <c r="K45" i="28"/>
  <c r="C45" i="28"/>
  <c r="B45" i="28"/>
  <c r="K44" i="28"/>
  <c r="C44" i="28"/>
  <c r="B44" i="28"/>
  <c r="K43" i="28"/>
  <c r="C43" i="28"/>
  <c r="B43" i="28"/>
  <c r="K42" i="28"/>
  <c r="C42" i="28"/>
  <c r="B42" i="28"/>
  <c r="K41" i="28"/>
  <c r="C41" i="28"/>
  <c r="B41" i="28"/>
  <c r="K40" i="28"/>
  <c r="C40" i="28"/>
  <c r="B40" i="28"/>
  <c r="K39" i="28"/>
  <c r="C39" i="28"/>
  <c r="B39" i="28"/>
  <c r="K38" i="28"/>
  <c r="C38" i="28"/>
  <c r="B38" i="28"/>
  <c r="K37" i="28"/>
  <c r="C37" i="28"/>
  <c r="B37" i="28"/>
  <c r="K36" i="28"/>
  <c r="C36" i="28"/>
  <c r="B36" i="28"/>
  <c r="K35" i="28"/>
  <c r="C35" i="28"/>
  <c r="B35" i="28"/>
  <c r="K34" i="28"/>
  <c r="C34" i="28"/>
  <c r="B34" i="28"/>
  <c r="K33" i="28"/>
  <c r="C33" i="28"/>
  <c r="B33" i="28"/>
  <c r="K32" i="28"/>
  <c r="C32" i="28"/>
  <c r="B32" i="28"/>
  <c r="K31" i="28"/>
  <c r="C31" i="28"/>
  <c r="B31" i="28"/>
  <c r="K30" i="28"/>
  <c r="C30" i="28"/>
  <c r="B30" i="28"/>
  <c r="K29" i="28"/>
  <c r="C29" i="28"/>
  <c r="B29" i="28"/>
  <c r="K28" i="28"/>
  <c r="C28" i="28"/>
  <c r="B28" i="28"/>
  <c r="K27" i="28"/>
  <c r="C27" i="28"/>
  <c r="B27" i="28"/>
  <c r="K26" i="28"/>
  <c r="C26" i="28"/>
  <c r="B26" i="28"/>
  <c r="K25" i="28"/>
  <c r="C25" i="28"/>
  <c r="B25" i="28"/>
  <c r="K24" i="28"/>
  <c r="C24" i="28"/>
  <c r="B24" i="28"/>
  <c r="K23" i="28"/>
  <c r="C23" i="28"/>
  <c r="B23" i="28"/>
  <c r="K22" i="28"/>
  <c r="C22" i="28"/>
  <c r="B22" i="28"/>
  <c r="K21" i="28"/>
  <c r="C21" i="28"/>
  <c r="B21" i="28"/>
  <c r="K20" i="28"/>
  <c r="C20" i="28"/>
  <c r="B20" i="28"/>
  <c r="K19" i="28"/>
  <c r="C19" i="28"/>
  <c r="B19" i="28"/>
  <c r="K18" i="28"/>
  <c r="C18" i="28"/>
  <c r="B18" i="28"/>
  <c r="K17" i="28"/>
  <c r="C17" i="28"/>
  <c r="B17" i="28"/>
  <c r="K16" i="28"/>
  <c r="C16" i="28"/>
  <c r="B16" i="28"/>
  <c r="K15" i="28"/>
  <c r="C15" i="28"/>
  <c r="B15" i="28"/>
  <c r="K14" i="28"/>
  <c r="C14" i="28"/>
  <c r="B14" i="28"/>
  <c r="K13" i="28"/>
  <c r="C13" i="28"/>
  <c r="B13" i="28"/>
  <c r="K12" i="28"/>
  <c r="C12" i="28"/>
  <c r="B12" i="28"/>
  <c r="K11" i="28"/>
  <c r="C11" i="28"/>
  <c r="B11" i="28"/>
  <c r="K10" i="28"/>
  <c r="C10" i="28"/>
  <c r="B10" i="28"/>
  <c r="K9" i="28"/>
  <c r="C9" i="28"/>
  <c r="B9" i="28"/>
  <c r="K8" i="28"/>
  <c r="C8" i="28"/>
  <c r="B8" i="28"/>
  <c r="K7" i="28"/>
  <c r="C7" i="28"/>
  <c r="B7" i="28"/>
  <c r="K6" i="28"/>
  <c r="C6" i="28"/>
  <c r="B6" i="28"/>
  <c r="K5" i="28"/>
  <c r="C5" i="28"/>
  <c r="B5" i="28"/>
  <c r="K4" i="28"/>
  <c r="C4" i="28"/>
  <c r="B4" i="28"/>
  <c r="K3" i="28"/>
  <c r="C3" i="28"/>
  <c r="B3" i="28"/>
  <c r="K2" i="28"/>
  <c r="C2" i="28"/>
  <c r="B2" i="28"/>
  <c r="O1" i="28"/>
  <c r="N1" i="28"/>
  <c r="B132" i="27"/>
  <c r="C132" i="27"/>
  <c r="B133" i="27"/>
  <c r="C133" i="27"/>
  <c r="B126" i="27"/>
  <c r="C126" i="27"/>
  <c r="B127" i="27"/>
  <c r="C127" i="27"/>
  <c r="B128" i="27"/>
  <c r="C128" i="27"/>
  <c r="B129" i="27"/>
  <c r="C129" i="27"/>
  <c r="B130" i="27"/>
  <c r="C130" i="27"/>
  <c r="B131" i="27"/>
  <c r="C131" i="27"/>
  <c r="B122" i="27"/>
  <c r="C122" i="27"/>
  <c r="B123" i="27"/>
  <c r="C123" i="27"/>
  <c r="B124" i="27"/>
  <c r="C124" i="27"/>
  <c r="B125" i="27"/>
  <c r="C125" i="27"/>
  <c r="C109" i="27"/>
  <c r="B109" i="27"/>
  <c r="C108" i="27"/>
  <c r="B108" i="27"/>
  <c r="C107" i="27"/>
  <c r="B107" i="27"/>
  <c r="C106" i="27"/>
  <c r="B106" i="27"/>
  <c r="C105" i="27"/>
  <c r="B105" i="27"/>
  <c r="C104" i="27"/>
  <c r="B104" i="27"/>
  <c r="C103" i="27"/>
  <c r="B103" i="27"/>
  <c r="C102" i="27"/>
  <c r="B102" i="27"/>
  <c r="C101" i="27"/>
  <c r="B101" i="27"/>
  <c r="C100" i="27"/>
  <c r="B100" i="27"/>
  <c r="C99" i="27"/>
  <c r="B99" i="27"/>
  <c r="C98" i="27"/>
  <c r="B98" i="27"/>
  <c r="C97" i="27"/>
  <c r="B97" i="27"/>
  <c r="C96" i="27"/>
  <c r="B96" i="27"/>
  <c r="C95" i="27"/>
  <c r="B95" i="27"/>
  <c r="C94" i="27"/>
  <c r="B94" i="27"/>
  <c r="C93" i="27"/>
  <c r="B93" i="27"/>
  <c r="C92" i="27"/>
  <c r="B92" i="27"/>
  <c r="C91" i="27"/>
  <c r="B91" i="27"/>
  <c r="C90" i="27"/>
  <c r="B90" i="27"/>
  <c r="C89" i="27"/>
  <c r="B89" i="27"/>
  <c r="C88" i="27"/>
  <c r="B88" i="27"/>
  <c r="C87" i="27"/>
  <c r="B87" i="27"/>
  <c r="C86" i="27"/>
  <c r="B86" i="27"/>
  <c r="C85" i="27"/>
  <c r="B85" i="27"/>
  <c r="C84" i="27"/>
  <c r="B84" i="27"/>
  <c r="C83" i="27"/>
  <c r="B83" i="27"/>
  <c r="C82" i="27"/>
  <c r="B82" i="27"/>
  <c r="C81" i="27"/>
  <c r="B81" i="27"/>
  <c r="C80" i="27"/>
  <c r="B80" i="27"/>
  <c r="C79" i="27"/>
  <c r="B79" i="27"/>
  <c r="C78" i="27"/>
  <c r="B78" i="27"/>
  <c r="C77" i="27"/>
  <c r="B77" i="27"/>
  <c r="C76" i="27"/>
  <c r="B76" i="27"/>
  <c r="C75" i="27"/>
  <c r="B75" i="27"/>
  <c r="C74" i="27"/>
  <c r="B74" i="27"/>
  <c r="C73" i="27"/>
  <c r="B73" i="27"/>
  <c r="C72" i="27"/>
  <c r="B72" i="27"/>
  <c r="C71" i="27"/>
  <c r="B71" i="27"/>
  <c r="C70" i="27"/>
  <c r="B70" i="27"/>
  <c r="C69" i="27"/>
  <c r="B69" i="27"/>
  <c r="C68" i="27"/>
  <c r="B68" i="27"/>
  <c r="C67" i="27"/>
  <c r="B67" i="27"/>
  <c r="C66" i="27"/>
  <c r="B66" i="27"/>
  <c r="C65" i="27"/>
  <c r="B65" i="27"/>
  <c r="C64" i="27"/>
  <c r="B64" i="27"/>
  <c r="C63" i="27"/>
  <c r="B63" i="27"/>
  <c r="C62" i="27"/>
  <c r="B62" i="27"/>
  <c r="C61" i="27"/>
  <c r="B61" i="27"/>
  <c r="C60" i="27"/>
  <c r="B60" i="27"/>
  <c r="C59" i="27"/>
  <c r="B59" i="27"/>
  <c r="C58" i="27"/>
  <c r="B58" i="27"/>
  <c r="C57" i="27"/>
  <c r="B57" i="27"/>
  <c r="C56" i="27"/>
  <c r="B56" i="27"/>
  <c r="C55" i="27"/>
  <c r="B55" i="27"/>
  <c r="C54" i="27"/>
  <c r="B54" i="27"/>
  <c r="C53" i="27"/>
  <c r="B53" i="27"/>
  <c r="C52" i="27"/>
  <c r="B52" i="27"/>
  <c r="C51" i="27"/>
  <c r="B51" i="27"/>
  <c r="C50" i="27"/>
  <c r="B50" i="27"/>
  <c r="C49" i="27"/>
  <c r="B49" i="27"/>
  <c r="C48" i="27"/>
  <c r="B48" i="27"/>
  <c r="C47" i="27"/>
  <c r="B47" i="27"/>
  <c r="C46" i="27"/>
  <c r="B46" i="27"/>
  <c r="C45" i="27"/>
  <c r="B45" i="27"/>
  <c r="C44" i="27"/>
  <c r="B44" i="27"/>
  <c r="C43" i="27"/>
  <c r="B43" i="27"/>
  <c r="C42" i="27"/>
  <c r="B42" i="27"/>
  <c r="C41" i="27"/>
  <c r="B41" i="27"/>
  <c r="C40" i="27"/>
  <c r="B40" i="27"/>
  <c r="C39" i="27"/>
  <c r="B39" i="27"/>
  <c r="C38" i="27"/>
  <c r="B38" i="27"/>
  <c r="C37" i="27"/>
  <c r="B37" i="27"/>
  <c r="C36" i="27"/>
  <c r="B36" i="27"/>
  <c r="C35" i="27"/>
  <c r="B35" i="27"/>
  <c r="C34" i="27"/>
  <c r="B34" i="27"/>
  <c r="C33" i="27"/>
  <c r="B33" i="27"/>
  <c r="C32" i="27"/>
  <c r="B32" i="27"/>
  <c r="C31" i="27"/>
  <c r="B31" i="27"/>
  <c r="C30" i="27"/>
  <c r="B30" i="27"/>
  <c r="C29" i="27"/>
  <c r="B29" i="27"/>
  <c r="C28" i="27"/>
  <c r="B28" i="27"/>
  <c r="C27" i="27"/>
  <c r="B27" i="27"/>
  <c r="C26" i="27"/>
  <c r="B26" i="27"/>
  <c r="C25" i="27"/>
  <c r="B25" i="27"/>
  <c r="C24" i="27"/>
  <c r="B24" i="27"/>
  <c r="C23" i="27"/>
  <c r="B23" i="27"/>
  <c r="C22" i="27"/>
  <c r="B22" i="27"/>
  <c r="C21" i="27"/>
  <c r="B21" i="27"/>
  <c r="C20" i="27"/>
  <c r="B20" i="27"/>
  <c r="C19" i="27"/>
  <c r="B19" i="27"/>
  <c r="C18" i="27"/>
  <c r="B18" i="27"/>
  <c r="C17" i="27"/>
  <c r="B17" i="27"/>
  <c r="C16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B9" i="27"/>
  <c r="C8" i="27"/>
  <c r="B8" i="27"/>
  <c r="C7" i="27"/>
  <c r="B7" i="27"/>
  <c r="C6" i="27"/>
  <c r="B6" i="27"/>
  <c r="C5" i="27"/>
  <c r="B5" i="27"/>
  <c r="C4" i="27"/>
  <c r="B4" i="27"/>
  <c r="C3" i="27"/>
  <c r="B3" i="27"/>
  <c r="C2" i="27"/>
  <c r="B2" i="27"/>
  <c r="D1" i="27"/>
  <c r="P1" i="47"/>
  <c r="B98" i="58"/>
  <c r="C98" i="58"/>
  <c r="B99" i="58"/>
  <c r="C99" i="58"/>
  <c r="B100" i="58"/>
  <c r="C100" i="58"/>
  <c r="B101" i="58"/>
  <c r="C101" i="58"/>
  <c r="B102" i="58"/>
  <c r="C102" i="58"/>
  <c r="B103" i="58"/>
  <c r="C103" i="58"/>
  <c r="B104" i="58"/>
  <c r="C104" i="58"/>
  <c r="B105" i="58"/>
  <c r="C105" i="58"/>
  <c r="B106" i="58"/>
  <c r="C106" i="58"/>
  <c r="B107" i="58"/>
  <c r="C107" i="58"/>
  <c r="B108" i="58"/>
  <c r="C108" i="58"/>
  <c r="B109" i="58"/>
  <c r="C109" i="58"/>
  <c r="O1" i="58"/>
  <c r="B98" i="47"/>
  <c r="C98" i="47"/>
  <c r="B99" i="47"/>
  <c r="C99" i="47"/>
  <c r="B100" i="47"/>
  <c r="C100" i="47"/>
  <c r="B101" i="47"/>
  <c r="C101" i="47"/>
  <c r="B102" i="47"/>
  <c r="C102" i="47"/>
  <c r="B103" i="47"/>
  <c r="C103" i="47"/>
  <c r="B104" i="47"/>
  <c r="C104" i="47"/>
  <c r="B105" i="47"/>
  <c r="C105" i="47"/>
  <c r="B106" i="47"/>
  <c r="C106" i="47"/>
  <c r="B107" i="47"/>
  <c r="C107" i="47"/>
  <c r="B108" i="47"/>
  <c r="C108" i="47"/>
  <c r="B109" i="47"/>
  <c r="C109" i="47"/>
  <c r="CD158" i="39"/>
  <c r="CD159" i="39" s="1"/>
  <c r="CE158" i="39"/>
  <c r="AP164" i="39"/>
  <c r="AQ164" i="39"/>
  <c r="CB164" i="39"/>
  <c r="AP165" i="39"/>
  <c r="AQ165" i="39"/>
  <c r="N105" i="28" s="1"/>
  <c r="CB165" i="39"/>
  <c r="AP166" i="39"/>
  <c r="AQ166" i="39"/>
  <c r="CB166" i="39"/>
  <c r="AP167" i="39"/>
  <c r="AQ167" i="39"/>
  <c r="CB167" i="39"/>
  <c r="AP168" i="39"/>
  <c r="AQ168" i="39"/>
  <c r="N108" i="28" s="1"/>
  <c r="CB168" i="39"/>
  <c r="AP169" i="39"/>
  <c r="AQ169" i="39"/>
  <c r="CB169" i="39"/>
  <c r="B169" i="39"/>
  <c r="B164" i="39"/>
  <c r="B165" i="39"/>
  <c r="B166" i="39"/>
  <c r="B167" i="39"/>
  <c r="B168" i="39"/>
  <c r="B98" i="41"/>
  <c r="C98" i="41"/>
  <c r="B99" i="41"/>
  <c r="C99" i="41"/>
  <c r="B100" i="41"/>
  <c r="C100" i="41"/>
  <c r="B101" i="41"/>
  <c r="C101" i="41"/>
  <c r="B102" i="41"/>
  <c r="C102" i="41"/>
  <c r="B103" i="41"/>
  <c r="C103" i="41"/>
  <c r="B104" i="41"/>
  <c r="C104" i="41"/>
  <c r="B105" i="41"/>
  <c r="C105" i="41"/>
  <c r="B106" i="41"/>
  <c r="C106" i="41"/>
  <c r="B107" i="41"/>
  <c r="C107" i="41"/>
  <c r="B108" i="41"/>
  <c r="C108" i="41"/>
  <c r="B109" i="41"/>
  <c r="C109" i="41"/>
  <c r="AD17" i="7"/>
  <c r="AD12" i="7"/>
  <c r="F23" i="70"/>
  <c r="E23" i="70"/>
  <c r="D23" i="70"/>
  <c r="C23" i="70"/>
  <c r="D1" i="41"/>
  <c r="V5" i="32"/>
  <c r="V6" i="32" s="1"/>
  <c r="V7" i="32" s="1"/>
  <c r="V8" i="32" s="1"/>
  <c r="V9" i="32" s="1"/>
  <c r="V10" i="32" s="1"/>
  <c r="V11" i="32" s="1"/>
  <c r="V12" i="32" s="1"/>
  <c r="V13" i="32" s="1"/>
  <c r="V14" i="32" s="1"/>
  <c r="V15" i="32" s="1"/>
  <c r="R5" i="32"/>
  <c r="R6" i="32" s="1"/>
  <c r="R7" i="32" s="1"/>
  <c r="R8" i="32" s="1"/>
  <c r="R9" i="32" s="1"/>
  <c r="R10" i="32" s="1"/>
  <c r="R11" i="32" s="1"/>
  <c r="R12" i="32" s="1"/>
  <c r="R13" i="32" s="1"/>
  <c r="R14" i="32" s="1"/>
  <c r="R15" i="32" s="1"/>
  <c r="N5" i="32"/>
  <c r="N6" i="32" s="1"/>
  <c r="N7" i="32" s="1"/>
  <c r="N8" i="32" s="1"/>
  <c r="N9" i="32" s="1"/>
  <c r="N10" i="32" s="1"/>
  <c r="N11" i="32" s="1"/>
  <c r="N12" i="32" s="1"/>
  <c r="N13" i="32" s="1"/>
  <c r="N14" i="32" s="1"/>
  <c r="N15" i="32" s="1"/>
  <c r="Z5" i="32"/>
  <c r="Z6" i="32" s="1"/>
  <c r="Z7" i="32" s="1"/>
  <c r="Z8" i="32" s="1"/>
  <c r="Z9" i="32" s="1"/>
  <c r="Z10" i="32" s="1"/>
  <c r="Z11" i="32" s="1"/>
  <c r="Z12" i="32" s="1"/>
  <c r="Z13" i="32" s="1"/>
  <c r="Z14" i="32" s="1"/>
  <c r="Z15" i="32" s="1"/>
  <c r="J5" i="32"/>
  <c r="J6" i="32" s="1"/>
  <c r="J7" i="32" s="1"/>
  <c r="J8" i="32" s="1"/>
  <c r="J9" i="32" s="1"/>
  <c r="J10" i="32" s="1"/>
  <c r="J11" i="32" s="1"/>
  <c r="J12" i="32" s="1"/>
  <c r="J13" i="32" s="1"/>
  <c r="J14" i="32" s="1"/>
  <c r="J15" i="32" s="1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CB158" i="39"/>
  <c r="CB159" i="39"/>
  <c r="CB160" i="39"/>
  <c r="CB161" i="39"/>
  <c r="CB162" i="39"/>
  <c r="CB163" i="39"/>
  <c r="DB158" i="39"/>
  <c r="DE158" i="39"/>
  <c r="DJ158" i="39"/>
  <c r="DK158" i="39"/>
  <c r="DM158" i="39"/>
  <c r="DN158" i="39"/>
  <c r="CP159" i="39"/>
  <c r="CT159" i="39"/>
  <c r="CH50" i="39"/>
  <c r="CI50" i="39"/>
  <c r="CJ50" i="39"/>
  <c r="CK50" i="39"/>
  <c r="CL50" i="39"/>
  <c r="CN50" i="39"/>
  <c r="CO50" i="39"/>
  <c r="CP50" i="39"/>
  <c r="CQ50" i="39"/>
  <c r="CR50" i="39"/>
  <c r="CS50" i="39"/>
  <c r="CT50" i="39"/>
  <c r="CU50" i="39"/>
  <c r="CH51" i="39"/>
  <c r="CI51" i="39"/>
  <c r="CJ51" i="39"/>
  <c r="CK51" i="39"/>
  <c r="CL51" i="39"/>
  <c r="CM51" i="39"/>
  <c r="CN51" i="39"/>
  <c r="CO51" i="39"/>
  <c r="CP51" i="39"/>
  <c r="CQ51" i="39"/>
  <c r="CR51" i="39"/>
  <c r="CS51" i="39"/>
  <c r="CT51" i="39"/>
  <c r="CU51" i="39"/>
  <c r="CH52" i="39"/>
  <c r="CI52" i="39"/>
  <c r="CJ52" i="39"/>
  <c r="CK52" i="39"/>
  <c r="CL52" i="39"/>
  <c r="CO52" i="39"/>
  <c r="CP52" i="39"/>
  <c r="CQ52" i="39"/>
  <c r="CR52" i="39"/>
  <c r="CS52" i="39"/>
  <c r="CT52" i="39"/>
  <c r="CU52" i="39"/>
  <c r="CH53" i="39"/>
  <c r="CI53" i="39"/>
  <c r="CJ53" i="39"/>
  <c r="CK53" i="39"/>
  <c r="CL53" i="39"/>
  <c r="CM53" i="39"/>
  <c r="CN53" i="39"/>
  <c r="CO53" i="39"/>
  <c r="CP53" i="39"/>
  <c r="CQ53" i="39"/>
  <c r="CR53" i="39"/>
  <c r="CS53" i="39"/>
  <c r="CT53" i="39"/>
  <c r="CU53" i="39"/>
  <c r="CH54" i="39"/>
  <c r="CI54" i="39"/>
  <c r="CJ54" i="39"/>
  <c r="CK54" i="39"/>
  <c r="CL54" i="39"/>
  <c r="CO54" i="39"/>
  <c r="CP54" i="39"/>
  <c r="CQ54" i="39"/>
  <c r="CR54" i="39"/>
  <c r="CS54" i="39"/>
  <c r="CT54" i="39"/>
  <c r="CU54" i="39"/>
  <c r="CH55" i="39"/>
  <c r="CI55" i="39"/>
  <c r="CJ55" i="39"/>
  <c r="CK55" i="39"/>
  <c r="CL55" i="39"/>
  <c r="CN55" i="39"/>
  <c r="CO55" i="39"/>
  <c r="CP55" i="39"/>
  <c r="CQ55" i="39"/>
  <c r="CR55" i="39"/>
  <c r="CS55" i="39"/>
  <c r="CT55" i="39"/>
  <c r="CU55" i="39"/>
  <c r="CH56" i="39"/>
  <c r="CI56" i="39"/>
  <c r="CJ56" i="39"/>
  <c r="CK56" i="39"/>
  <c r="CL56" i="39"/>
  <c r="CO56" i="39"/>
  <c r="CP56" i="39"/>
  <c r="CQ56" i="39"/>
  <c r="CR56" i="39"/>
  <c r="CS56" i="39"/>
  <c r="CT56" i="39"/>
  <c r="CU56" i="39"/>
  <c r="CH57" i="39"/>
  <c r="CI57" i="39"/>
  <c r="CJ57" i="39"/>
  <c r="CK57" i="39"/>
  <c r="CL57" i="39"/>
  <c r="CM57" i="39"/>
  <c r="CO57" i="39"/>
  <c r="CP57" i="39"/>
  <c r="CQ57" i="39"/>
  <c r="CR57" i="39"/>
  <c r="CS57" i="39"/>
  <c r="CT57" i="39"/>
  <c r="CU57" i="39"/>
  <c r="CH58" i="39"/>
  <c r="CI58" i="39"/>
  <c r="CJ58" i="39"/>
  <c r="CK58" i="39"/>
  <c r="CL58" i="39"/>
  <c r="CO58" i="39"/>
  <c r="CP58" i="39"/>
  <c r="CQ58" i="39"/>
  <c r="CR58" i="39"/>
  <c r="CS58" i="39"/>
  <c r="CT58" i="39"/>
  <c r="CU58" i="39"/>
  <c r="CH59" i="39"/>
  <c r="CI59" i="39"/>
  <c r="CJ59" i="39"/>
  <c r="CK59" i="39"/>
  <c r="CL59" i="39"/>
  <c r="CN59" i="39"/>
  <c r="CO59" i="39"/>
  <c r="CP59" i="39"/>
  <c r="CQ59" i="39"/>
  <c r="CR59" i="39"/>
  <c r="CS59" i="39"/>
  <c r="CT59" i="39"/>
  <c r="CU59" i="39"/>
  <c r="CH60" i="39"/>
  <c r="CI60" i="39"/>
  <c r="CJ60" i="39"/>
  <c r="CK60" i="39"/>
  <c r="CL60" i="39"/>
  <c r="CO60" i="39"/>
  <c r="CP60" i="39"/>
  <c r="CQ60" i="39"/>
  <c r="CR60" i="39"/>
  <c r="CS60" i="39"/>
  <c r="CT60" i="39"/>
  <c r="CU60" i="39"/>
  <c r="CH61" i="39"/>
  <c r="CI61" i="39"/>
  <c r="CJ61" i="39"/>
  <c r="CK61" i="39"/>
  <c r="CL61" i="39"/>
  <c r="CO61" i="39"/>
  <c r="CP61" i="39"/>
  <c r="CQ61" i="39"/>
  <c r="CR61" i="39"/>
  <c r="CS61" i="39"/>
  <c r="CT61" i="39"/>
  <c r="CU61" i="39"/>
  <c r="CH62" i="39"/>
  <c r="CI62" i="39"/>
  <c r="CJ62" i="39"/>
  <c r="CK62" i="39"/>
  <c r="CL62" i="39"/>
  <c r="CO62" i="39"/>
  <c r="CP62" i="39"/>
  <c r="CQ62" i="39"/>
  <c r="CR62" i="39"/>
  <c r="CS62" i="39"/>
  <c r="CT62" i="39"/>
  <c r="CU62" i="39"/>
  <c r="CH63" i="39"/>
  <c r="CI63" i="39"/>
  <c r="CJ63" i="39"/>
  <c r="CK63" i="39"/>
  <c r="CL63" i="39"/>
  <c r="CO63" i="39"/>
  <c r="CP63" i="39"/>
  <c r="CQ63" i="39"/>
  <c r="CR63" i="39"/>
  <c r="CS63" i="39"/>
  <c r="CT63" i="39"/>
  <c r="CU63" i="39"/>
  <c r="CH64" i="39"/>
  <c r="CI64" i="39"/>
  <c r="CJ64" i="39"/>
  <c r="CK64" i="39"/>
  <c r="CL64" i="39"/>
  <c r="CO64" i="39"/>
  <c r="CP64" i="39"/>
  <c r="CQ64" i="39"/>
  <c r="CR64" i="39"/>
  <c r="CS64" i="39"/>
  <c r="CT64" i="39"/>
  <c r="CU64" i="39"/>
  <c r="CH65" i="39"/>
  <c r="CI65" i="39"/>
  <c r="CJ65" i="39"/>
  <c r="CK65" i="39"/>
  <c r="CL65" i="39"/>
  <c r="CO65" i="39"/>
  <c r="CP65" i="39"/>
  <c r="CQ65" i="39"/>
  <c r="CR65" i="39"/>
  <c r="CS65" i="39"/>
  <c r="CT65" i="39"/>
  <c r="CU65" i="39"/>
  <c r="CH66" i="39"/>
  <c r="CI66" i="39"/>
  <c r="CJ66" i="39"/>
  <c r="CK66" i="39"/>
  <c r="CL66" i="39"/>
  <c r="CM66" i="39"/>
  <c r="CN66" i="39"/>
  <c r="CO66" i="39"/>
  <c r="CP66" i="39"/>
  <c r="CQ66" i="39"/>
  <c r="CR66" i="39"/>
  <c r="CS66" i="39"/>
  <c r="CT66" i="39"/>
  <c r="CU66" i="39"/>
  <c r="CH67" i="39"/>
  <c r="CI67" i="39"/>
  <c r="CJ67" i="39"/>
  <c r="CK67" i="39"/>
  <c r="CL67" i="39"/>
  <c r="CN67" i="39"/>
  <c r="CO67" i="39"/>
  <c r="CP67" i="39"/>
  <c r="CQ67" i="39"/>
  <c r="CR67" i="39"/>
  <c r="CS67" i="39"/>
  <c r="CT67" i="39"/>
  <c r="CU67" i="39"/>
  <c r="CH68" i="39"/>
  <c r="CI68" i="39"/>
  <c r="CJ68" i="39"/>
  <c r="CK68" i="39"/>
  <c r="CL68" i="39"/>
  <c r="CN68" i="39"/>
  <c r="CO68" i="39"/>
  <c r="CP68" i="39"/>
  <c r="CQ68" i="39"/>
  <c r="CR68" i="39"/>
  <c r="CS68" i="39"/>
  <c r="CT68" i="39"/>
  <c r="CU68" i="39"/>
  <c r="CH69" i="39"/>
  <c r="CI69" i="39"/>
  <c r="CJ69" i="39"/>
  <c r="CK69" i="39"/>
  <c r="CL69" i="39"/>
  <c r="CN69" i="39"/>
  <c r="CO69" i="39"/>
  <c r="CP69" i="39"/>
  <c r="CQ69" i="39"/>
  <c r="CR69" i="39"/>
  <c r="CS69" i="39"/>
  <c r="CT69" i="39"/>
  <c r="CU69" i="39"/>
  <c r="CH70" i="39"/>
  <c r="CI70" i="39"/>
  <c r="CJ70" i="39"/>
  <c r="CK70" i="39"/>
  <c r="CL70" i="39"/>
  <c r="CN70" i="39"/>
  <c r="CO70" i="39"/>
  <c r="CP70" i="39"/>
  <c r="CQ70" i="39"/>
  <c r="CR70" i="39"/>
  <c r="CS70" i="39"/>
  <c r="CT70" i="39"/>
  <c r="CU70" i="39"/>
  <c r="CH71" i="39"/>
  <c r="CI71" i="39"/>
  <c r="CJ71" i="39"/>
  <c r="CK71" i="39"/>
  <c r="CL71" i="39"/>
  <c r="CN71" i="39"/>
  <c r="CO71" i="39"/>
  <c r="CP71" i="39"/>
  <c r="CQ71" i="39"/>
  <c r="CR71" i="39"/>
  <c r="CS71" i="39"/>
  <c r="CT71" i="39"/>
  <c r="CU71" i="39"/>
  <c r="CH72" i="39"/>
  <c r="CI72" i="39"/>
  <c r="CJ72" i="39"/>
  <c r="CK72" i="39"/>
  <c r="CL72" i="39"/>
  <c r="CO72" i="39"/>
  <c r="CP72" i="39"/>
  <c r="CQ72" i="39"/>
  <c r="CR72" i="39"/>
  <c r="CS72" i="39"/>
  <c r="CT72" i="39"/>
  <c r="CU72" i="39"/>
  <c r="CH73" i="39"/>
  <c r="CI73" i="39"/>
  <c r="CJ73" i="39"/>
  <c r="CK73" i="39"/>
  <c r="CL73" i="39"/>
  <c r="CN73" i="39"/>
  <c r="CO73" i="39"/>
  <c r="CP73" i="39"/>
  <c r="CQ73" i="39"/>
  <c r="CR73" i="39"/>
  <c r="CS73" i="39"/>
  <c r="CT73" i="39"/>
  <c r="CU73" i="39"/>
  <c r="CI74" i="39"/>
  <c r="CJ74" i="39"/>
  <c r="CK74" i="39"/>
  <c r="CL74" i="39"/>
  <c r="CO74" i="39"/>
  <c r="CP74" i="39"/>
  <c r="CQ74" i="39"/>
  <c r="CR74" i="39"/>
  <c r="CS74" i="39"/>
  <c r="CT74" i="39"/>
  <c r="CU74" i="39"/>
  <c r="CH75" i="39"/>
  <c r="CI75" i="39"/>
  <c r="CJ75" i="39"/>
  <c r="CK75" i="39"/>
  <c r="CL75" i="39"/>
  <c r="CO75" i="39"/>
  <c r="CP75" i="39"/>
  <c r="CQ75" i="39"/>
  <c r="CR75" i="39"/>
  <c r="CS75" i="39"/>
  <c r="CT75" i="39"/>
  <c r="CU75" i="39"/>
  <c r="CH76" i="39"/>
  <c r="CI76" i="39"/>
  <c r="CJ76" i="39"/>
  <c r="CK76" i="39"/>
  <c r="CL76" i="39"/>
  <c r="CO76" i="39"/>
  <c r="CP76" i="39"/>
  <c r="CQ76" i="39"/>
  <c r="CR76" i="39"/>
  <c r="CS76" i="39"/>
  <c r="CT76" i="39"/>
  <c r="CU76" i="39"/>
  <c r="CH77" i="39"/>
  <c r="CI77" i="39"/>
  <c r="CJ77" i="39"/>
  <c r="CK77" i="39"/>
  <c r="CL77" i="39"/>
  <c r="CM77" i="39"/>
  <c r="CN77" i="39"/>
  <c r="CO77" i="39"/>
  <c r="CP77" i="39"/>
  <c r="CQ77" i="39"/>
  <c r="CR77" i="39"/>
  <c r="CS77" i="39"/>
  <c r="CT77" i="39"/>
  <c r="CU77" i="39"/>
  <c r="CH78" i="39"/>
  <c r="CI78" i="39"/>
  <c r="CJ78" i="39"/>
  <c r="CK78" i="39"/>
  <c r="CL78" i="39"/>
  <c r="CO78" i="39"/>
  <c r="CP78" i="39"/>
  <c r="CQ78" i="39"/>
  <c r="CR78" i="39"/>
  <c r="CS78" i="39"/>
  <c r="CT78" i="39"/>
  <c r="CU78" i="39"/>
  <c r="CH79" i="39"/>
  <c r="CI79" i="39"/>
  <c r="CJ79" i="39"/>
  <c r="CK79" i="39"/>
  <c r="CL79" i="39"/>
  <c r="CM79" i="39"/>
  <c r="CN79" i="39"/>
  <c r="CO79" i="39"/>
  <c r="CP79" i="39"/>
  <c r="CQ79" i="39"/>
  <c r="CR79" i="39"/>
  <c r="CS79" i="39"/>
  <c r="CT79" i="39"/>
  <c r="CU79" i="39"/>
  <c r="CH80" i="39"/>
  <c r="CI80" i="39"/>
  <c r="CJ80" i="39"/>
  <c r="CK80" i="39"/>
  <c r="CL80" i="39"/>
  <c r="CO80" i="39"/>
  <c r="CP80" i="39"/>
  <c r="CQ80" i="39"/>
  <c r="CR80" i="39"/>
  <c r="CS80" i="39"/>
  <c r="CT80" i="39"/>
  <c r="CU80" i="39"/>
  <c r="CH81" i="39"/>
  <c r="CI81" i="39"/>
  <c r="CJ81" i="39"/>
  <c r="CK81" i="39"/>
  <c r="CL81" i="39"/>
  <c r="CO81" i="39"/>
  <c r="CP81" i="39"/>
  <c r="CQ81" i="39"/>
  <c r="CR81" i="39"/>
  <c r="CS81" i="39"/>
  <c r="CT81" i="39"/>
  <c r="CU81" i="39"/>
  <c r="CH82" i="39"/>
  <c r="CI82" i="39"/>
  <c r="CJ82" i="39"/>
  <c r="CK82" i="39"/>
  <c r="CL82" i="39"/>
  <c r="CN82" i="39"/>
  <c r="CO82" i="39"/>
  <c r="CP82" i="39"/>
  <c r="CQ82" i="39"/>
  <c r="CR82" i="39"/>
  <c r="CS82" i="39"/>
  <c r="CT82" i="39"/>
  <c r="CU82" i="39"/>
  <c r="CH83" i="39"/>
  <c r="CI83" i="39"/>
  <c r="CJ83" i="39"/>
  <c r="CK83" i="39"/>
  <c r="CL83" i="39"/>
  <c r="CO83" i="39"/>
  <c r="CP83" i="39"/>
  <c r="CQ83" i="39"/>
  <c r="CR83" i="39"/>
  <c r="CS83" i="39"/>
  <c r="CT83" i="39"/>
  <c r="CU83" i="39"/>
  <c r="CH84" i="39"/>
  <c r="CI84" i="39"/>
  <c r="CJ84" i="39"/>
  <c r="CK84" i="39"/>
  <c r="CL84" i="39"/>
  <c r="CO84" i="39"/>
  <c r="CP84" i="39"/>
  <c r="CQ84" i="39"/>
  <c r="CR84" i="39"/>
  <c r="CS84" i="39"/>
  <c r="CT84" i="39"/>
  <c r="CU84" i="39"/>
  <c r="CH85" i="39"/>
  <c r="CI85" i="39"/>
  <c r="CJ85" i="39"/>
  <c r="CK85" i="39"/>
  <c r="CL85" i="39"/>
  <c r="CO85" i="39"/>
  <c r="CP85" i="39"/>
  <c r="CQ85" i="39"/>
  <c r="CR85" i="39"/>
  <c r="CS85" i="39"/>
  <c r="CT85" i="39"/>
  <c r="CU85" i="39"/>
  <c r="CI86" i="39"/>
  <c r="CJ86" i="39"/>
  <c r="CK86" i="39"/>
  <c r="CL86" i="39"/>
  <c r="CO86" i="39"/>
  <c r="CP86" i="39"/>
  <c r="CQ86" i="39"/>
  <c r="CR86" i="39"/>
  <c r="CS86" i="39"/>
  <c r="CT86" i="39"/>
  <c r="CU86" i="39"/>
  <c r="CI87" i="39"/>
  <c r="CJ87" i="39"/>
  <c r="CK87" i="39"/>
  <c r="CL87" i="39"/>
  <c r="CN87" i="39"/>
  <c r="CO87" i="39"/>
  <c r="CP87" i="39"/>
  <c r="CQ87" i="39"/>
  <c r="CR87" i="39"/>
  <c r="CS87" i="39"/>
  <c r="CT87" i="39"/>
  <c r="CU87" i="39"/>
  <c r="CI88" i="39"/>
  <c r="CJ88" i="39"/>
  <c r="CK88" i="39"/>
  <c r="CL88" i="39"/>
  <c r="CN88" i="39"/>
  <c r="CO88" i="39"/>
  <c r="CP88" i="39"/>
  <c r="CQ88" i="39"/>
  <c r="CR88" i="39"/>
  <c r="CS88" i="39"/>
  <c r="CT88" i="39"/>
  <c r="CU88" i="39"/>
  <c r="CI89" i="39"/>
  <c r="CJ89" i="39"/>
  <c r="CK89" i="39"/>
  <c r="CL89" i="39"/>
  <c r="CM89" i="39"/>
  <c r="CO89" i="39"/>
  <c r="CP89" i="39"/>
  <c r="CQ89" i="39"/>
  <c r="CR89" i="39"/>
  <c r="CS89" i="39"/>
  <c r="CT89" i="39"/>
  <c r="CU89" i="39"/>
  <c r="CI90" i="39"/>
  <c r="CJ90" i="39"/>
  <c r="CK90" i="39"/>
  <c r="CL90" i="39"/>
  <c r="CO90" i="39"/>
  <c r="CP90" i="39"/>
  <c r="CQ90" i="39"/>
  <c r="CR90" i="39"/>
  <c r="CS90" i="39"/>
  <c r="CT90" i="39"/>
  <c r="CU90" i="39"/>
  <c r="CI91" i="39"/>
  <c r="CJ91" i="39"/>
  <c r="CK91" i="39"/>
  <c r="CL91" i="39"/>
  <c r="CM91" i="39"/>
  <c r="CO91" i="39"/>
  <c r="CP91" i="39"/>
  <c r="CQ91" i="39"/>
  <c r="CR91" i="39"/>
  <c r="CS91" i="39"/>
  <c r="CT91" i="39"/>
  <c r="CU91" i="39"/>
  <c r="CH92" i="39"/>
  <c r="CI92" i="39"/>
  <c r="CJ92" i="39"/>
  <c r="CK92" i="39"/>
  <c r="CL92" i="39"/>
  <c r="CO92" i="39"/>
  <c r="CP92" i="39"/>
  <c r="CQ92" i="39"/>
  <c r="CR92" i="39"/>
  <c r="CS92" i="39"/>
  <c r="CT92" i="39"/>
  <c r="CU92" i="39"/>
  <c r="CH93" i="39"/>
  <c r="CI93" i="39"/>
  <c r="CJ93" i="39"/>
  <c r="CK93" i="39"/>
  <c r="CL93" i="39"/>
  <c r="CM93" i="39"/>
  <c r="CO93" i="39"/>
  <c r="CP93" i="39"/>
  <c r="CQ93" i="39"/>
  <c r="CR93" i="39"/>
  <c r="CS93" i="39"/>
  <c r="CT93" i="39"/>
  <c r="CU93" i="39"/>
  <c r="CI94" i="39"/>
  <c r="CJ94" i="39"/>
  <c r="CK94" i="39"/>
  <c r="CL94" i="39"/>
  <c r="CO94" i="39"/>
  <c r="CP94" i="39"/>
  <c r="CQ94" i="39"/>
  <c r="CR94" i="39"/>
  <c r="CS94" i="39"/>
  <c r="CT94" i="39"/>
  <c r="CU94" i="39"/>
  <c r="CI95" i="39"/>
  <c r="CJ95" i="39"/>
  <c r="CK95" i="39"/>
  <c r="CL95" i="39"/>
  <c r="CM95" i="39"/>
  <c r="CO95" i="39"/>
  <c r="CP95" i="39"/>
  <c r="CQ95" i="39"/>
  <c r="CR95" i="39"/>
  <c r="CS95" i="39"/>
  <c r="CT95" i="39"/>
  <c r="CU95" i="39"/>
  <c r="CH96" i="39"/>
  <c r="CI96" i="39"/>
  <c r="CJ96" i="39"/>
  <c r="CK96" i="39"/>
  <c r="CL96" i="39"/>
  <c r="CM96" i="39"/>
  <c r="CO96" i="39"/>
  <c r="CP96" i="39"/>
  <c r="CQ96" i="39"/>
  <c r="CR96" i="39"/>
  <c r="CS96" i="39"/>
  <c r="CT96" i="39"/>
  <c r="CU96" i="39"/>
  <c r="CH97" i="39"/>
  <c r="CI97" i="39"/>
  <c r="CJ97" i="39"/>
  <c r="CK97" i="39"/>
  <c r="CL97" i="39"/>
  <c r="CO97" i="39"/>
  <c r="CP97" i="39"/>
  <c r="CQ97" i="39"/>
  <c r="CR97" i="39"/>
  <c r="CS97" i="39"/>
  <c r="CT97" i="39"/>
  <c r="CU97" i="39"/>
  <c r="CI98" i="39"/>
  <c r="CJ98" i="39"/>
  <c r="CK98" i="39"/>
  <c r="CL98" i="39"/>
  <c r="CN98" i="39"/>
  <c r="CO98" i="39"/>
  <c r="CP98" i="39"/>
  <c r="CQ98" i="39"/>
  <c r="CR98" i="39"/>
  <c r="CS98" i="39"/>
  <c r="CT98" i="39"/>
  <c r="CU98" i="39"/>
  <c r="CI99" i="39"/>
  <c r="CJ99" i="39"/>
  <c r="CK99" i="39"/>
  <c r="CL99" i="39"/>
  <c r="CO99" i="39"/>
  <c r="CP99" i="39"/>
  <c r="CQ99" i="39"/>
  <c r="CR99" i="39"/>
  <c r="CS99" i="39"/>
  <c r="CT99" i="39"/>
  <c r="CU99" i="39"/>
  <c r="CH100" i="39"/>
  <c r="CI100" i="39"/>
  <c r="CJ100" i="39"/>
  <c r="CK100" i="39"/>
  <c r="CL100" i="39"/>
  <c r="CO100" i="39"/>
  <c r="CP100" i="39"/>
  <c r="CQ100" i="39"/>
  <c r="CR100" i="39"/>
  <c r="CS100" i="39"/>
  <c r="CT100" i="39"/>
  <c r="CU100" i="39"/>
  <c r="CH101" i="39"/>
  <c r="CI101" i="39"/>
  <c r="CJ101" i="39"/>
  <c r="CK101" i="39"/>
  <c r="CL101" i="39"/>
  <c r="CM101" i="39"/>
  <c r="CO101" i="39"/>
  <c r="CP101" i="39"/>
  <c r="CQ101" i="39"/>
  <c r="CR101" i="39"/>
  <c r="CS101" i="39"/>
  <c r="CT101" i="39"/>
  <c r="CU101" i="39"/>
  <c r="CI102" i="39"/>
  <c r="CJ102" i="39"/>
  <c r="CK102" i="39"/>
  <c r="CL102" i="39"/>
  <c r="CN102" i="39"/>
  <c r="CO102" i="39"/>
  <c r="CP102" i="39"/>
  <c r="CQ102" i="39"/>
  <c r="CR102" i="39"/>
  <c r="CS102" i="39"/>
  <c r="CT102" i="39"/>
  <c r="CU102" i="39"/>
  <c r="CI103" i="39"/>
  <c r="CJ103" i="39"/>
  <c r="CK103" i="39"/>
  <c r="CL103" i="39"/>
  <c r="CO103" i="39"/>
  <c r="CP103" i="39"/>
  <c r="CQ103" i="39"/>
  <c r="CR103" i="39"/>
  <c r="CS103" i="39"/>
  <c r="CT103" i="39"/>
  <c r="CU103" i="39"/>
  <c r="CI104" i="39"/>
  <c r="CJ104" i="39"/>
  <c r="CK104" i="39"/>
  <c r="CL104" i="39"/>
  <c r="CO104" i="39"/>
  <c r="CP104" i="39"/>
  <c r="CQ104" i="39"/>
  <c r="CR104" i="39"/>
  <c r="CS104" i="39"/>
  <c r="CT104" i="39"/>
  <c r="CU104" i="39"/>
  <c r="CH105" i="39"/>
  <c r="CI105" i="39"/>
  <c r="CJ105" i="39"/>
  <c r="CK105" i="39"/>
  <c r="CL105" i="39"/>
  <c r="CM105" i="39"/>
  <c r="CO105" i="39"/>
  <c r="CP105" i="39"/>
  <c r="CQ105" i="39"/>
  <c r="CR105" i="39"/>
  <c r="CS105" i="39"/>
  <c r="CT105" i="39"/>
  <c r="CU105" i="39"/>
  <c r="CH106" i="39"/>
  <c r="CI106" i="39"/>
  <c r="CJ106" i="39"/>
  <c r="CK106" i="39"/>
  <c r="CL106" i="39"/>
  <c r="CO106" i="39"/>
  <c r="CP106" i="39"/>
  <c r="CQ106" i="39"/>
  <c r="CR106" i="39"/>
  <c r="CS106" i="39"/>
  <c r="CT106" i="39"/>
  <c r="CU106" i="39"/>
  <c r="CI107" i="39"/>
  <c r="CJ107" i="39"/>
  <c r="CK107" i="39"/>
  <c r="CL107" i="39"/>
  <c r="CN107" i="39"/>
  <c r="CO107" i="39"/>
  <c r="CP107" i="39"/>
  <c r="CQ107" i="39"/>
  <c r="CR107" i="39"/>
  <c r="CS107" i="39"/>
  <c r="CT107" i="39"/>
  <c r="CU107" i="39"/>
  <c r="CH108" i="39"/>
  <c r="CI108" i="39"/>
  <c r="CJ108" i="39"/>
  <c r="CK108" i="39"/>
  <c r="CL108" i="39"/>
  <c r="CO108" i="39"/>
  <c r="CP108" i="39"/>
  <c r="CQ108" i="39"/>
  <c r="CR108" i="39"/>
  <c r="CS108" i="39"/>
  <c r="CT108" i="39"/>
  <c r="CU108" i="39"/>
  <c r="CI109" i="39"/>
  <c r="CJ109" i="39"/>
  <c r="CK109" i="39"/>
  <c r="CL109" i="39"/>
  <c r="CM109" i="39"/>
  <c r="CO109" i="39"/>
  <c r="CP109" i="39"/>
  <c r="CQ109" i="39"/>
  <c r="CR109" i="39"/>
  <c r="CS109" i="39"/>
  <c r="CT109" i="39"/>
  <c r="CU109" i="39"/>
  <c r="CI110" i="39"/>
  <c r="CJ110" i="39"/>
  <c r="CK110" i="39"/>
  <c r="CL110" i="39"/>
  <c r="CN110" i="39"/>
  <c r="CO110" i="39"/>
  <c r="CP110" i="39"/>
  <c r="CQ110" i="39"/>
  <c r="CR110" i="39"/>
  <c r="CS110" i="39"/>
  <c r="CT110" i="39"/>
  <c r="CU110" i="39"/>
  <c r="CI111" i="39"/>
  <c r="CJ111" i="39"/>
  <c r="CK111" i="39"/>
  <c r="CL111" i="39"/>
  <c r="CO111" i="39"/>
  <c r="CP111" i="39"/>
  <c r="CQ111" i="39"/>
  <c r="CR111" i="39"/>
  <c r="CS111" i="39"/>
  <c r="CT111" i="39"/>
  <c r="CU111" i="39"/>
  <c r="CH112" i="39"/>
  <c r="CI112" i="39"/>
  <c r="CJ112" i="39"/>
  <c r="CK112" i="39"/>
  <c r="CL112" i="39"/>
  <c r="CO112" i="39"/>
  <c r="CP112" i="39"/>
  <c r="CQ112" i="39"/>
  <c r="CR112" i="39"/>
  <c r="CS112" i="39"/>
  <c r="CT112" i="39"/>
  <c r="CU112" i="39"/>
  <c r="CI113" i="39"/>
  <c r="CJ113" i="39"/>
  <c r="CK113" i="39"/>
  <c r="CL113" i="39"/>
  <c r="CM113" i="39"/>
  <c r="CO113" i="39"/>
  <c r="CP113" i="39"/>
  <c r="CQ113" i="39"/>
  <c r="CR113" i="39"/>
  <c r="CS113" i="39"/>
  <c r="CT113" i="39"/>
  <c r="CU113" i="39"/>
  <c r="CH114" i="39"/>
  <c r="CI114" i="39"/>
  <c r="CJ114" i="39"/>
  <c r="CK114" i="39"/>
  <c r="CL114" i="39"/>
  <c r="CO114" i="39"/>
  <c r="CP114" i="39"/>
  <c r="CQ114" i="39"/>
  <c r="CR114" i="39"/>
  <c r="CS114" i="39"/>
  <c r="CT114" i="39"/>
  <c r="CU114" i="39"/>
  <c r="CI115" i="39"/>
  <c r="CJ115" i="39"/>
  <c r="CK115" i="39"/>
  <c r="CL115" i="39"/>
  <c r="CO115" i="39"/>
  <c r="CP115" i="39"/>
  <c r="CQ115" i="39"/>
  <c r="CR115" i="39"/>
  <c r="CS115" i="39"/>
  <c r="CT115" i="39"/>
  <c r="CU115" i="39"/>
  <c r="CH116" i="39"/>
  <c r="CI116" i="39"/>
  <c r="CJ116" i="39"/>
  <c r="CK116" i="39"/>
  <c r="CL116" i="39"/>
  <c r="CO116" i="39"/>
  <c r="CP116" i="39"/>
  <c r="CQ116" i="39"/>
  <c r="CR116" i="39"/>
  <c r="CS116" i="39"/>
  <c r="CT116" i="39"/>
  <c r="CU116" i="39"/>
  <c r="CI117" i="39"/>
  <c r="CJ117" i="39"/>
  <c r="CK117" i="39"/>
  <c r="CL117" i="39"/>
  <c r="CO117" i="39"/>
  <c r="CP117" i="39"/>
  <c r="CQ117" i="39"/>
  <c r="CR117" i="39"/>
  <c r="CS117" i="39"/>
  <c r="CT117" i="39"/>
  <c r="CU117" i="39"/>
  <c r="CH118" i="39"/>
  <c r="CI118" i="39"/>
  <c r="CJ118" i="39"/>
  <c r="CK118" i="39"/>
  <c r="CL118" i="39"/>
  <c r="CO118" i="39"/>
  <c r="CP118" i="39"/>
  <c r="CQ118" i="39"/>
  <c r="CR118" i="39"/>
  <c r="CS118" i="39"/>
  <c r="CT118" i="39"/>
  <c r="CU118" i="39"/>
  <c r="CI119" i="39"/>
  <c r="CJ119" i="39"/>
  <c r="CK119" i="39"/>
  <c r="CL119" i="39"/>
  <c r="CN119" i="39"/>
  <c r="CO119" i="39"/>
  <c r="CP119" i="39"/>
  <c r="CQ119" i="39"/>
  <c r="CR119" i="39"/>
  <c r="CS119" i="39"/>
  <c r="CT119" i="39"/>
  <c r="CU119" i="39"/>
  <c r="CI120" i="39"/>
  <c r="CJ120" i="39"/>
  <c r="CK120" i="39"/>
  <c r="CL120" i="39"/>
  <c r="CN120" i="39"/>
  <c r="CO120" i="39"/>
  <c r="CP120" i="39"/>
  <c r="CQ120" i="39"/>
  <c r="CR120" i="39"/>
  <c r="CS120" i="39"/>
  <c r="CT120" i="39"/>
  <c r="CU120" i="39"/>
  <c r="CH121" i="39"/>
  <c r="CI121" i="39"/>
  <c r="CJ121" i="39"/>
  <c r="CK121" i="39"/>
  <c r="CL121" i="39"/>
  <c r="CN121" i="39"/>
  <c r="CO121" i="39"/>
  <c r="CP121" i="39"/>
  <c r="CQ121" i="39"/>
  <c r="CR121" i="39"/>
  <c r="CS121" i="39"/>
  <c r="CT121" i="39"/>
  <c r="CU121" i="39"/>
  <c r="CI122" i="39"/>
  <c r="CJ122" i="39"/>
  <c r="CK122" i="39"/>
  <c r="CL122" i="39"/>
  <c r="CO122" i="39"/>
  <c r="CP122" i="39"/>
  <c r="CQ122" i="39"/>
  <c r="CR122" i="39"/>
  <c r="CS122" i="39"/>
  <c r="CT122" i="39"/>
  <c r="CU122" i="39"/>
  <c r="CI123" i="39"/>
  <c r="CJ123" i="39"/>
  <c r="CK123" i="39"/>
  <c r="CL123" i="39"/>
  <c r="CO123" i="39"/>
  <c r="CP123" i="39"/>
  <c r="CQ123" i="39"/>
  <c r="CR123" i="39"/>
  <c r="CS123" i="39"/>
  <c r="CT123" i="39"/>
  <c r="CU123" i="39"/>
  <c r="CI124" i="39"/>
  <c r="CJ124" i="39"/>
  <c r="CK124" i="39"/>
  <c r="CL124" i="39"/>
  <c r="CO124" i="39"/>
  <c r="CP124" i="39"/>
  <c r="CQ124" i="39"/>
  <c r="CR124" i="39"/>
  <c r="CS124" i="39"/>
  <c r="CT124" i="39"/>
  <c r="CU124" i="39"/>
  <c r="CH125" i="39"/>
  <c r="CI125" i="39"/>
  <c r="CJ125" i="39"/>
  <c r="CK125" i="39"/>
  <c r="CL125" i="39"/>
  <c r="CN125" i="39"/>
  <c r="CO125" i="39"/>
  <c r="CP125" i="39"/>
  <c r="CQ125" i="39"/>
  <c r="CR125" i="39"/>
  <c r="CS125" i="39"/>
  <c r="CT125" i="39"/>
  <c r="CU125" i="39"/>
  <c r="CH126" i="39"/>
  <c r="CI126" i="39"/>
  <c r="CJ126" i="39"/>
  <c r="CK126" i="39"/>
  <c r="CL126" i="39"/>
  <c r="CO126" i="39"/>
  <c r="CP126" i="39"/>
  <c r="CQ126" i="39"/>
  <c r="CR126" i="39"/>
  <c r="CS126" i="39"/>
  <c r="CT126" i="39"/>
  <c r="CU126" i="39"/>
  <c r="CI127" i="39"/>
  <c r="CJ127" i="39"/>
  <c r="CK127" i="39"/>
  <c r="CL127" i="39"/>
  <c r="CO127" i="39"/>
  <c r="CP127" i="39"/>
  <c r="CQ127" i="39"/>
  <c r="CR127" i="39"/>
  <c r="CS127" i="39"/>
  <c r="CT127" i="39"/>
  <c r="CU127" i="39"/>
  <c r="CH128" i="39"/>
  <c r="CI128" i="39"/>
  <c r="CJ128" i="39"/>
  <c r="CK128" i="39"/>
  <c r="CL128" i="39"/>
  <c r="CO128" i="39"/>
  <c r="CP128" i="39"/>
  <c r="CQ128" i="39"/>
  <c r="CR128" i="39"/>
  <c r="CS128" i="39"/>
  <c r="CT128" i="39"/>
  <c r="CU128" i="39"/>
  <c r="CI129" i="39"/>
  <c r="CJ129" i="39"/>
  <c r="CK129" i="39"/>
  <c r="CL129" i="39"/>
  <c r="CM129" i="39"/>
  <c r="CN129" i="39"/>
  <c r="CO129" i="39"/>
  <c r="CP129" i="39"/>
  <c r="CQ129" i="39"/>
  <c r="CR129" i="39"/>
  <c r="CS129" i="39"/>
  <c r="CT129" i="39"/>
  <c r="CU129" i="39"/>
  <c r="CH130" i="39"/>
  <c r="CI130" i="39"/>
  <c r="CJ130" i="39"/>
  <c r="CK130" i="39"/>
  <c r="CL130" i="39"/>
  <c r="CM130" i="39"/>
  <c r="CO130" i="39"/>
  <c r="CP130" i="39"/>
  <c r="CQ130" i="39"/>
  <c r="CR130" i="39"/>
  <c r="CS130" i="39"/>
  <c r="CT130" i="39"/>
  <c r="CU130" i="39"/>
  <c r="CH131" i="39"/>
  <c r="CI131" i="39"/>
  <c r="CJ131" i="39"/>
  <c r="CK131" i="39"/>
  <c r="CL131" i="39"/>
  <c r="CN131" i="39"/>
  <c r="CO131" i="39"/>
  <c r="CP131" i="39"/>
  <c r="CQ131" i="39"/>
  <c r="CR131" i="39"/>
  <c r="CS131" i="39"/>
  <c r="CT131" i="39"/>
  <c r="CU131" i="39"/>
  <c r="CI132" i="39"/>
  <c r="CJ132" i="39"/>
  <c r="CK132" i="39"/>
  <c r="CL132" i="39"/>
  <c r="CN132" i="39"/>
  <c r="CO132" i="39"/>
  <c r="CP132" i="39"/>
  <c r="CQ132" i="39"/>
  <c r="CR132" i="39"/>
  <c r="CS132" i="39"/>
  <c r="CT132" i="39"/>
  <c r="CU132" i="39"/>
  <c r="CH133" i="39"/>
  <c r="CI133" i="39"/>
  <c r="CJ133" i="39"/>
  <c r="CK133" i="39"/>
  <c r="CL133" i="39"/>
  <c r="CM133" i="39"/>
  <c r="CO133" i="39"/>
  <c r="CP133" i="39"/>
  <c r="CQ133" i="39"/>
  <c r="CR133" i="39"/>
  <c r="CS133" i="39"/>
  <c r="CT133" i="39"/>
  <c r="CU133" i="39"/>
  <c r="CH134" i="39"/>
  <c r="CI134" i="39"/>
  <c r="CJ134" i="39"/>
  <c r="CK134" i="39"/>
  <c r="CL134" i="39"/>
  <c r="CO134" i="39"/>
  <c r="CP134" i="39"/>
  <c r="CQ134" i="39"/>
  <c r="CR134" i="39"/>
  <c r="CS134" i="39"/>
  <c r="CT134" i="39"/>
  <c r="CU134" i="39"/>
  <c r="CH135" i="39"/>
  <c r="CI135" i="39"/>
  <c r="CJ135" i="39"/>
  <c r="CK135" i="39"/>
  <c r="CL135" i="39"/>
  <c r="CM135" i="39"/>
  <c r="CO135" i="39"/>
  <c r="CP135" i="39"/>
  <c r="CQ135" i="39"/>
  <c r="CR135" i="39"/>
  <c r="CS135" i="39"/>
  <c r="CT135" i="39"/>
  <c r="CU135" i="39"/>
  <c r="DB136" i="39"/>
  <c r="DD136" i="39"/>
  <c r="DF136" i="39"/>
  <c r="DI136" i="39"/>
  <c r="DK136" i="39"/>
  <c r="DM136" i="39"/>
  <c r="DO136" i="39"/>
  <c r="DC137" i="39"/>
  <c r="DE137" i="39"/>
  <c r="DJ137" i="39"/>
  <c r="DL137" i="39"/>
  <c r="DN137" i="39"/>
  <c r="CI138" i="39"/>
  <c r="CJ138" i="39"/>
  <c r="CK138" i="39"/>
  <c r="CL138" i="39"/>
  <c r="CO138" i="39"/>
  <c r="CP138" i="39"/>
  <c r="CQ138" i="39"/>
  <c r="CR138" i="39"/>
  <c r="CS138" i="39"/>
  <c r="CT138" i="39"/>
  <c r="CU138" i="39"/>
  <c r="CH139" i="39"/>
  <c r="CI139" i="39"/>
  <c r="CJ139" i="39"/>
  <c r="CK139" i="39"/>
  <c r="CL139" i="39"/>
  <c r="CM139" i="39"/>
  <c r="CO139" i="39"/>
  <c r="CP139" i="39"/>
  <c r="CQ139" i="39"/>
  <c r="CR139" i="39"/>
  <c r="CS139" i="39"/>
  <c r="CT139" i="39"/>
  <c r="CU139" i="39"/>
  <c r="CI140" i="39"/>
  <c r="CJ140" i="39"/>
  <c r="CK140" i="39"/>
  <c r="CL140" i="39"/>
  <c r="CO140" i="39"/>
  <c r="CP140" i="39"/>
  <c r="CQ140" i="39"/>
  <c r="CR140" i="39"/>
  <c r="CS140" i="39"/>
  <c r="CT140" i="39"/>
  <c r="CU140" i="39"/>
  <c r="CH141" i="39"/>
  <c r="CI141" i="39"/>
  <c r="CJ141" i="39"/>
  <c r="CK141" i="39"/>
  <c r="CL141" i="39"/>
  <c r="CN141" i="39"/>
  <c r="CO141" i="39"/>
  <c r="CP141" i="39"/>
  <c r="CQ141" i="39"/>
  <c r="CR141" i="39"/>
  <c r="CS141" i="39"/>
  <c r="CT141" i="39"/>
  <c r="CU141" i="39"/>
  <c r="CH142" i="39"/>
  <c r="CI142" i="39"/>
  <c r="CJ142" i="39"/>
  <c r="CK142" i="39"/>
  <c r="CL142" i="39"/>
  <c r="CN142" i="39"/>
  <c r="CO142" i="39"/>
  <c r="CP142" i="39"/>
  <c r="CQ142" i="39"/>
  <c r="CR142" i="39"/>
  <c r="CS142" i="39"/>
  <c r="CT142" i="39"/>
  <c r="CU142" i="39"/>
  <c r="CH143" i="39"/>
  <c r="CI143" i="39"/>
  <c r="CJ143" i="39"/>
  <c r="CK143" i="39"/>
  <c r="CL143" i="39"/>
  <c r="CN143" i="39"/>
  <c r="CO143" i="39"/>
  <c r="CP143" i="39"/>
  <c r="CQ143" i="39"/>
  <c r="CR143" i="39"/>
  <c r="CS143" i="39"/>
  <c r="CT143" i="39"/>
  <c r="CU143" i="39"/>
  <c r="CH144" i="39"/>
  <c r="CI144" i="39"/>
  <c r="CJ144" i="39"/>
  <c r="CK144" i="39"/>
  <c r="CL144" i="39"/>
  <c r="CO144" i="39"/>
  <c r="CP144" i="39"/>
  <c r="CQ144" i="39"/>
  <c r="CR144" i="39"/>
  <c r="CS144" i="39"/>
  <c r="CT144" i="39"/>
  <c r="CU144" i="39"/>
  <c r="CI145" i="39"/>
  <c r="CJ145" i="39"/>
  <c r="CK145" i="39"/>
  <c r="CL145" i="39"/>
  <c r="CM145" i="39"/>
  <c r="CN145" i="39"/>
  <c r="CO145" i="39"/>
  <c r="CP145" i="39"/>
  <c r="CQ145" i="39"/>
  <c r="CR145" i="39"/>
  <c r="CS145" i="39"/>
  <c r="CT145" i="39"/>
  <c r="CU145" i="39"/>
  <c r="DD146" i="39"/>
  <c r="DF146" i="39"/>
  <c r="CM146" i="39"/>
  <c r="DI146" i="39"/>
  <c r="DK146" i="39"/>
  <c r="DM146" i="39"/>
  <c r="DO146" i="39"/>
  <c r="CI147" i="39"/>
  <c r="CJ147" i="39"/>
  <c r="CK147" i="39"/>
  <c r="CL147" i="39"/>
  <c r="CO147" i="39"/>
  <c r="CP147" i="39"/>
  <c r="CQ147" i="39"/>
  <c r="CR147" i="39"/>
  <c r="CS147" i="39"/>
  <c r="CT147" i="39"/>
  <c r="CU147" i="39"/>
  <c r="CH148" i="39"/>
  <c r="CI148" i="39"/>
  <c r="CJ148" i="39"/>
  <c r="CK148" i="39"/>
  <c r="CL148" i="39"/>
  <c r="CO148" i="39"/>
  <c r="CP148" i="39"/>
  <c r="CQ148" i="39"/>
  <c r="CR148" i="39"/>
  <c r="CS148" i="39"/>
  <c r="CT148" i="39"/>
  <c r="CU148" i="39"/>
  <c r="CI149" i="39"/>
  <c r="CJ149" i="39"/>
  <c r="CK149" i="39"/>
  <c r="CL149" i="39"/>
  <c r="CN149" i="39"/>
  <c r="CO149" i="39"/>
  <c r="CP149" i="39"/>
  <c r="CQ149" i="39"/>
  <c r="CR149" i="39"/>
  <c r="CS149" i="39"/>
  <c r="CT149" i="39"/>
  <c r="CU149" i="39"/>
  <c r="CI150" i="39"/>
  <c r="CJ150" i="39"/>
  <c r="CK150" i="39"/>
  <c r="CL150" i="39"/>
  <c r="CO150" i="39"/>
  <c r="CP150" i="39"/>
  <c r="CQ150" i="39"/>
  <c r="CR150" i="39"/>
  <c r="CS150" i="39"/>
  <c r="CT150" i="39"/>
  <c r="CU150" i="39"/>
  <c r="CI151" i="39"/>
  <c r="CJ151" i="39"/>
  <c r="CK151" i="39"/>
  <c r="CL151" i="39"/>
  <c r="CN151" i="39"/>
  <c r="CO151" i="39"/>
  <c r="CP151" i="39"/>
  <c r="CQ151" i="39"/>
  <c r="CR151" i="39"/>
  <c r="CS151" i="39"/>
  <c r="CT151" i="39"/>
  <c r="CU151" i="39"/>
  <c r="CH152" i="39"/>
  <c r="CI152" i="39"/>
  <c r="CJ152" i="39"/>
  <c r="CK152" i="39"/>
  <c r="CL152" i="39"/>
  <c r="CN152" i="39"/>
  <c r="CO152" i="39"/>
  <c r="CP152" i="39"/>
  <c r="CQ152" i="39"/>
  <c r="CR152" i="39"/>
  <c r="CS152" i="39"/>
  <c r="CT152" i="39"/>
  <c r="CU152" i="39"/>
  <c r="CI153" i="39"/>
  <c r="CJ153" i="39"/>
  <c r="CK153" i="39"/>
  <c r="CL153" i="39"/>
  <c r="CO153" i="39"/>
  <c r="CP153" i="39"/>
  <c r="CQ153" i="39"/>
  <c r="CR153" i="39"/>
  <c r="CS153" i="39"/>
  <c r="CT153" i="39"/>
  <c r="CU153" i="39"/>
  <c r="CH154" i="39"/>
  <c r="CI154" i="39"/>
  <c r="CJ154" i="39"/>
  <c r="CK154" i="39"/>
  <c r="CL154" i="39"/>
  <c r="CO154" i="39"/>
  <c r="CP154" i="39"/>
  <c r="CQ154" i="39"/>
  <c r="CR154" i="39"/>
  <c r="CS154" i="39"/>
  <c r="CT154" i="39"/>
  <c r="CU154" i="39"/>
  <c r="CH155" i="39"/>
  <c r="CI155" i="39"/>
  <c r="CJ155" i="39"/>
  <c r="CK155" i="39"/>
  <c r="CL155" i="39"/>
  <c r="CM155" i="39"/>
  <c r="CO155" i="39"/>
  <c r="CP155" i="39"/>
  <c r="CQ155" i="39"/>
  <c r="CR155" i="39"/>
  <c r="CS155" i="39"/>
  <c r="CT155" i="39"/>
  <c r="CU155" i="39"/>
  <c r="CH156" i="39"/>
  <c r="CI156" i="39"/>
  <c r="CJ156" i="39"/>
  <c r="CK156" i="39"/>
  <c r="CL156" i="39"/>
  <c r="CO156" i="39"/>
  <c r="CP156" i="39"/>
  <c r="CQ156" i="39"/>
  <c r="CR156" i="39"/>
  <c r="CS156" i="39"/>
  <c r="CT156" i="39"/>
  <c r="CU156" i="39"/>
  <c r="CI157" i="39"/>
  <c r="CJ157" i="39"/>
  <c r="CK157" i="39"/>
  <c r="CL157" i="39"/>
  <c r="CO157" i="39"/>
  <c r="CP157" i="39"/>
  <c r="CQ157" i="39"/>
  <c r="CR157" i="39"/>
  <c r="CS157" i="39"/>
  <c r="CT157" i="39"/>
  <c r="CU157" i="39"/>
  <c r="B158" i="39"/>
  <c r="B159" i="39"/>
  <c r="B160" i="39"/>
  <c r="B161" i="39"/>
  <c r="B162" i="39"/>
  <c r="B163" i="39"/>
  <c r="DB22" i="6"/>
  <c r="DB23" i="6" s="1"/>
  <c r="DB24" i="6" s="1"/>
  <c r="DB25" i="6" s="1"/>
  <c r="DB26" i="6" s="1"/>
  <c r="DB27" i="6" s="1"/>
  <c r="DB28" i="6" s="1"/>
  <c r="DB29" i="6" s="1"/>
  <c r="DB30" i="6" s="1"/>
  <c r="DB31" i="6" s="1"/>
  <c r="CN22" i="6"/>
  <c r="CN23" i="6" s="1"/>
  <c r="CN24" i="6" s="1"/>
  <c r="CN25" i="6" s="1"/>
  <c r="CN26" i="6" s="1"/>
  <c r="CN27" i="6" s="1"/>
  <c r="CN28" i="6" s="1"/>
  <c r="CN29" i="6" s="1"/>
  <c r="CN30" i="6" s="1"/>
  <c r="CN31" i="6" s="1"/>
  <c r="BZ22" i="6"/>
  <c r="BZ23" i="6" s="1"/>
  <c r="BZ24" i="6" s="1"/>
  <c r="BZ25" i="6" s="1"/>
  <c r="BZ26" i="6" s="1"/>
  <c r="BZ27" i="6" s="1"/>
  <c r="BZ28" i="6" s="1"/>
  <c r="BZ29" i="6" s="1"/>
  <c r="BZ30" i="6" s="1"/>
  <c r="BZ31" i="6" s="1"/>
  <c r="BL22" i="6"/>
  <c r="BL23" i="6" s="1"/>
  <c r="BL24" i="6" s="1"/>
  <c r="BL25" i="6" s="1"/>
  <c r="BL26" i="6" s="1"/>
  <c r="BL27" i="6" s="1"/>
  <c r="BL28" i="6" s="1"/>
  <c r="BL29" i="6" s="1"/>
  <c r="BL30" i="6" s="1"/>
  <c r="BL31" i="6" s="1"/>
  <c r="AX22" i="6"/>
  <c r="AX23" i="6" s="1"/>
  <c r="AX24" i="6" s="1"/>
  <c r="AX25" i="6" s="1"/>
  <c r="AX26" i="6" s="1"/>
  <c r="AX27" i="6" s="1"/>
  <c r="AX28" i="6" s="1"/>
  <c r="AX29" i="6" s="1"/>
  <c r="AX30" i="6" s="1"/>
  <c r="AX31" i="6" s="1"/>
  <c r="AJ22" i="6"/>
  <c r="AJ23" i="6" s="1"/>
  <c r="AJ24" i="6" s="1"/>
  <c r="AJ25" i="6" s="1"/>
  <c r="AJ26" i="6" s="1"/>
  <c r="AJ27" i="6" s="1"/>
  <c r="AJ28" i="6" s="1"/>
  <c r="AJ29" i="6" s="1"/>
  <c r="AJ30" i="6" s="1"/>
  <c r="AJ31" i="6" s="1"/>
  <c r="V22" i="6"/>
  <c r="DC21" i="6"/>
  <c r="CO21" i="6"/>
  <c r="CA21" i="6"/>
  <c r="BM21" i="6"/>
  <c r="AY21" i="6"/>
  <c r="AK21" i="6"/>
  <c r="W21" i="6"/>
  <c r="DB20" i="6"/>
  <c r="DG37" i="6" s="1"/>
  <c r="CN20" i="6"/>
  <c r="CS37" i="6" s="1"/>
  <c r="BZ20" i="6"/>
  <c r="CE37" i="6" s="1"/>
  <c r="BL20" i="6"/>
  <c r="BQ37" i="6" s="1"/>
  <c r="AX20" i="6"/>
  <c r="BC37" i="6" s="1"/>
  <c r="AJ20" i="6"/>
  <c r="AO37" i="6" s="1"/>
  <c r="V20" i="6"/>
  <c r="AA37" i="6" s="1"/>
  <c r="DB6" i="6"/>
  <c r="DB7" i="6" s="1"/>
  <c r="DB8" i="6" s="1"/>
  <c r="DB9" i="6" s="1"/>
  <c r="DB10" i="6" s="1"/>
  <c r="DB11" i="6" s="1"/>
  <c r="DB12" i="6" s="1"/>
  <c r="DB13" i="6" s="1"/>
  <c r="DB14" i="6" s="1"/>
  <c r="DB15" i="6" s="1"/>
  <c r="CN6" i="6"/>
  <c r="CN7" i="6" s="1"/>
  <c r="CN8" i="6" s="1"/>
  <c r="CN9" i="6" s="1"/>
  <c r="CN10" i="6" s="1"/>
  <c r="CN11" i="6" s="1"/>
  <c r="CN12" i="6" s="1"/>
  <c r="CN13" i="6" s="1"/>
  <c r="CN14" i="6" s="1"/>
  <c r="CN15" i="6" s="1"/>
  <c r="BZ6" i="6"/>
  <c r="BZ7" i="6" s="1"/>
  <c r="BZ8" i="6" s="1"/>
  <c r="BZ9" i="6" s="1"/>
  <c r="BZ10" i="6" s="1"/>
  <c r="BZ11" i="6" s="1"/>
  <c r="BZ12" i="6" s="1"/>
  <c r="BZ13" i="6" s="1"/>
  <c r="BZ14" i="6" s="1"/>
  <c r="BZ15" i="6" s="1"/>
  <c r="BL6" i="6"/>
  <c r="BL7" i="6" s="1"/>
  <c r="BL8" i="6" s="1"/>
  <c r="BL9" i="6" s="1"/>
  <c r="BL10" i="6" s="1"/>
  <c r="BL11" i="6" s="1"/>
  <c r="BL12" i="6" s="1"/>
  <c r="BL13" i="6" s="1"/>
  <c r="BL14" i="6" s="1"/>
  <c r="BL15" i="6" s="1"/>
  <c r="AX6" i="6"/>
  <c r="AX7" i="6" s="1"/>
  <c r="AX8" i="6" s="1"/>
  <c r="AX9" i="6" s="1"/>
  <c r="AX10" i="6" s="1"/>
  <c r="AX11" i="6" s="1"/>
  <c r="AX12" i="6" s="1"/>
  <c r="AX13" i="6" s="1"/>
  <c r="AX14" i="6" s="1"/>
  <c r="AX15" i="6" s="1"/>
  <c r="AJ6" i="6"/>
  <c r="AJ7" i="6"/>
  <c r="AJ8" i="6" s="1"/>
  <c r="AJ9" i="6" s="1"/>
  <c r="AJ10" i="6" s="1"/>
  <c r="AJ11" i="6" s="1"/>
  <c r="AJ12" i="6" s="1"/>
  <c r="AJ13" i="6" s="1"/>
  <c r="AJ14" i="6" s="1"/>
  <c r="AJ15" i="6" s="1"/>
  <c r="V6" i="6"/>
  <c r="DC5" i="6"/>
  <c r="CO5" i="6"/>
  <c r="CA5" i="6"/>
  <c r="BM5" i="6"/>
  <c r="AY5" i="6"/>
  <c r="AK5" i="6"/>
  <c r="DD4" i="6"/>
  <c r="DD5" i="6" s="1"/>
  <c r="DB4" i="6"/>
  <c r="DF37" i="6" s="1"/>
  <c r="CP4" i="6"/>
  <c r="CN4" i="6"/>
  <c r="CR37" i="6" s="1"/>
  <c r="CB4" i="6"/>
  <c r="CB21" i="6" s="1"/>
  <c r="BZ4" i="6"/>
  <c r="CD37" i="6" s="1"/>
  <c r="BN4" i="6"/>
  <c r="BL4" i="6"/>
  <c r="BP37" i="6" s="1"/>
  <c r="AZ4" i="6"/>
  <c r="AZ21" i="6"/>
  <c r="AX4" i="6"/>
  <c r="BB37" i="6" s="1"/>
  <c r="AL4" i="6"/>
  <c r="AJ4" i="6"/>
  <c r="AN37" i="6" s="1"/>
  <c r="X4" i="6"/>
  <c r="X21" i="6" s="1"/>
  <c r="V4" i="6"/>
  <c r="Z37" i="6" s="1"/>
  <c r="DT1" i="6"/>
  <c r="DX1" i="6" s="1"/>
  <c r="DS1" i="6"/>
  <c r="DW1" i="6" s="1"/>
  <c r="DR1" i="6"/>
  <c r="DV1" i="6" s="1"/>
  <c r="DQ1" i="6"/>
  <c r="DU1" i="6" s="1"/>
  <c r="CH86" i="39"/>
  <c r="CH74" i="39"/>
  <c r="CM59" i="39"/>
  <c r="CM121" i="39"/>
  <c r="CN80" i="39"/>
  <c r="BN5" i="6"/>
  <c r="BA4" i="6"/>
  <c r="AZ5" i="6"/>
  <c r="BN6" i="6"/>
  <c r="AL21" i="6"/>
  <c r="CP21" i="6"/>
  <c r="CQ4" i="6"/>
  <c r="CQ5" i="6" s="1"/>
  <c r="CP5" i="6"/>
  <c r="Y4" i="6"/>
  <c r="Y22" i="6" s="1"/>
  <c r="CC4" i="6"/>
  <c r="X5" i="6"/>
  <c r="CB5" i="6"/>
  <c r="V23" i="6"/>
  <c r="CP23" i="6" s="1"/>
  <c r="DC22" i="6"/>
  <c r="CP22" i="6"/>
  <c r="AY22" i="6"/>
  <c r="AL22" i="6"/>
  <c r="CO22" i="6"/>
  <c r="CB22" i="6"/>
  <c r="AK22" i="6"/>
  <c r="X22" i="6"/>
  <c r="CA22" i="6"/>
  <c r="BN22" i="6"/>
  <c r="W22" i="6"/>
  <c r="BM22" i="6"/>
  <c r="AZ22" i="6"/>
  <c r="BA5" i="6"/>
  <c r="CC23" i="6"/>
  <c r="Y21" i="6"/>
  <c r="Z4" i="6"/>
  <c r="Y5" i="6"/>
  <c r="CC21" i="6"/>
  <c r="CD4" i="6"/>
  <c r="CD5" i="6" s="1"/>
  <c r="CC5" i="6"/>
  <c r="CC22" i="6"/>
  <c r="CD21" i="6"/>
  <c r="CE4" i="6"/>
  <c r="CD22" i="6"/>
  <c r="AA4" i="6"/>
  <c r="AA5" i="6" s="1"/>
  <c r="Z21" i="6"/>
  <c r="Z22" i="6"/>
  <c r="CE5" i="6"/>
  <c r="CF4" i="6"/>
  <c r="CF5" i="6" s="1"/>
  <c r="CE22" i="6"/>
  <c r="AA21" i="6"/>
  <c r="CF21" i="6"/>
  <c r="CG4" i="6"/>
  <c r="AD10" i="7"/>
  <c r="AD11" i="7"/>
  <c r="AD15" i="7"/>
  <c r="AD16" i="7"/>
  <c r="A119" i="9"/>
  <c r="H22" i="70"/>
  <c r="H21" i="70"/>
  <c r="I64" i="70"/>
  <c r="I65" i="70"/>
  <c r="I66" i="70"/>
  <c r="I67" i="70"/>
  <c r="I61" i="70"/>
  <c r="O1" i="47"/>
  <c r="Y151" i="41"/>
  <c r="Y152" i="41" s="1"/>
  <c r="Y153" i="41" s="1"/>
  <c r="Y154" i="41" s="1"/>
  <c r="Y155" i="41" s="1"/>
  <c r="Y156" i="41" s="1"/>
  <c r="Y157" i="41" s="1"/>
  <c r="Y158" i="41" s="1"/>
  <c r="Y159" i="41" s="1"/>
  <c r="Y160" i="41" s="1"/>
  <c r="Y137" i="41"/>
  <c r="Y138" i="41" s="1"/>
  <c r="Y139" i="41" s="1"/>
  <c r="Y140" i="41" s="1"/>
  <c r="Y141" i="41" s="1"/>
  <c r="Y142" i="41" s="1"/>
  <c r="Y143" i="41" s="1"/>
  <c r="Y144" i="41" s="1"/>
  <c r="Y145" i="41" s="1"/>
  <c r="Y146" i="41" s="1"/>
  <c r="Y147" i="41" s="1"/>
  <c r="M60" i="70"/>
  <c r="L60" i="70"/>
  <c r="F28" i="70"/>
  <c r="G23" i="70"/>
  <c r="C54" i="70"/>
  <c r="A26" i="32"/>
  <c r="A27" i="32" s="1"/>
  <c r="B74" i="58"/>
  <c r="B75" i="58"/>
  <c r="B76" i="58"/>
  <c r="C77" i="58"/>
  <c r="B78" i="58"/>
  <c r="B79" i="58"/>
  <c r="B80" i="58"/>
  <c r="C81" i="58"/>
  <c r="B82" i="58"/>
  <c r="B83" i="58"/>
  <c r="B84" i="58"/>
  <c r="C85" i="58"/>
  <c r="B86" i="58"/>
  <c r="B87" i="58"/>
  <c r="B88" i="58"/>
  <c r="C89" i="58"/>
  <c r="B90" i="58"/>
  <c r="C91" i="58"/>
  <c r="B92" i="58"/>
  <c r="C93" i="58"/>
  <c r="B94" i="58"/>
  <c r="B95" i="58"/>
  <c r="B96" i="58"/>
  <c r="C97" i="58"/>
  <c r="B97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74" i="41"/>
  <c r="C75" i="41"/>
  <c r="B76" i="41"/>
  <c r="B77" i="41"/>
  <c r="B78" i="41"/>
  <c r="B79" i="41"/>
  <c r="B80" i="41"/>
  <c r="C81" i="41"/>
  <c r="B82" i="41"/>
  <c r="C84" i="41"/>
  <c r="C85" i="41"/>
  <c r="C86" i="41"/>
  <c r="B87" i="41"/>
  <c r="C88" i="41"/>
  <c r="C89" i="41"/>
  <c r="C90" i="41"/>
  <c r="C91" i="41"/>
  <c r="C92" i="41"/>
  <c r="B93" i="41"/>
  <c r="B95" i="41"/>
  <c r="AU159" i="39"/>
  <c r="BA159" i="39"/>
  <c r="AV160" i="39"/>
  <c r="BB160" i="39"/>
  <c r="AZ161" i="39"/>
  <c r="BB161" i="39"/>
  <c r="AV162" i="39"/>
  <c r="AW162" i="39"/>
  <c r="AZ162" i="39"/>
  <c r="BB162" i="39"/>
  <c r="BB163" i="39"/>
  <c r="AZ164" i="39"/>
  <c r="AU165" i="39"/>
  <c r="BA165" i="39"/>
  <c r="AU166" i="39"/>
  <c r="AV166" i="39"/>
  <c r="BB166" i="39"/>
  <c r="AV167" i="39"/>
  <c r="AW167" i="39"/>
  <c r="AZ167" i="39"/>
  <c r="BB167" i="39"/>
  <c r="AW168" i="39"/>
  <c r="BB168" i="39"/>
  <c r="AV169" i="39"/>
  <c r="AZ169" i="39"/>
  <c r="AV158" i="39"/>
  <c r="AW158" i="39"/>
  <c r="BB158" i="39"/>
  <c r="BA169" i="39"/>
  <c r="AZ168" i="39"/>
  <c r="AU169" i="39"/>
  <c r="AW169" i="39"/>
  <c r="AU167" i="39"/>
  <c r="AZ166" i="39"/>
  <c r="AW165" i="39"/>
  <c r="BB164" i="39"/>
  <c r="AV164" i="39"/>
  <c r="BA168" i="39"/>
  <c r="AU168" i="39"/>
  <c r="AW166" i="39"/>
  <c r="BB165" i="39"/>
  <c r="AV165" i="39"/>
  <c r="BA164" i="39"/>
  <c r="AU164" i="39"/>
  <c r="AP173" i="39"/>
  <c r="AP161" i="39"/>
  <c r="AP170" i="39"/>
  <c r="AP158" i="39"/>
  <c r="AP175" i="39"/>
  <c r="AP163" i="39"/>
  <c r="AP171" i="39"/>
  <c r="AP159" i="39"/>
  <c r="AQ158" i="39"/>
  <c r="AP174" i="39"/>
  <c r="AP162" i="39"/>
  <c r="AP172" i="39"/>
  <c r="AP160" i="39"/>
  <c r="AQ163" i="39"/>
  <c r="N103" i="28" s="1"/>
  <c r="AQ174" i="39"/>
  <c r="AQ162" i="39"/>
  <c r="N102" i="28" s="1"/>
  <c r="AQ173" i="39"/>
  <c r="AQ161" i="39"/>
  <c r="AQ160" i="39"/>
  <c r="AQ159" i="39"/>
  <c r="BA163" i="39"/>
  <c r="AZ163" i="39"/>
  <c r="BA160" i="39"/>
  <c r="AZ159" i="39"/>
  <c r="AU163" i="39"/>
  <c r="AU161" i="39"/>
  <c r="AZ160" i="39"/>
  <c r="AW159" i="39"/>
  <c r="BA158" i="39"/>
  <c r="AU158" i="39"/>
  <c r="BA162" i="39"/>
  <c r="AU162" i="39"/>
  <c r="AW160" i="39"/>
  <c r="BB159" i="39"/>
  <c r="AV159" i="39"/>
  <c r="C88" i="47"/>
  <c r="C92" i="58"/>
  <c r="B93" i="58"/>
  <c r="C83" i="58"/>
  <c r="B91" i="58"/>
  <c r="M25" i="70"/>
  <c r="O25" i="70"/>
  <c r="B85" i="58"/>
  <c r="C84" i="58"/>
  <c r="C80" i="58"/>
  <c r="C79" i="58"/>
  <c r="C96" i="58"/>
  <c r="C95" i="58"/>
  <c r="C88" i="58"/>
  <c r="C87" i="58"/>
  <c r="B97" i="58"/>
  <c r="B89" i="58"/>
  <c r="C76" i="58"/>
  <c r="C75" i="58"/>
  <c r="B77" i="58"/>
  <c r="B81" i="58"/>
  <c r="C89" i="47"/>
  <c r="C96" i="47"/>
  <c r="C91" i="47"/>
  <c r="C80" i="47"/>
  <c r="C75" i="47"/>
  <c r="C83" i="47"/>
  <c r="C94" i="47"/>
  <c r="C84" i="47"/>
  <c r="C95" i="47"/>
  <c r="C87" i="47"/>
  <c r="C79" i="47"/>
  <c r="C74" i="47"/>
  <c r="C93" i="47"/>
  <c r="C90" i="47"/>
  <c r="C86" i="47"/>
  <c r="C82" i="47"/>
  <c r="C78" i="47"/>
  <c r="C76" i="47"/>
  <c r="C92" i="47"/>
  <c r="C85" i="47"/>
  <c r="C81" i="47"/>
  <c r="C77" i="47"/>
  <c r="C90" i="58"/>
  <c r="C86" i="58"/>
  <c r="C82" i="58"/>
  <c r="C78" i="58"/>
  <c r="C74" i="58"/>
  <c r="C94" i="58"/>
  <c r="L25" i="70"/>
  <c r="N25" i="70"/>
  <c r="C97" i="47"/>
  <c r="C93" i="41"/>
  <c r="C95" i="41"/>
  <c r="B89" i="41"/>
  <c r="B86" i="41"/>
  <c r="B85" i="41"/>
  <c r="B88" i="41"/>
  <c r="B84" i="41"/>
  <c r="B81" i="41"/>
  <c r="C79" i="41"/>
  <c r="C77" i="41"/>
  <c r="C87" i="41"/>
  <c r="B92" i="41"/>
  <c r="B90" i="41"/>
  <c r="B75" i="41"/>
  <c r="C94" i="41"/>
  <c r="B94" i="41"/>
  <c r="B83" i="41"/>
  <c r="C83" i="41"/>
  <c r="C96" i="41"/>
  <c r="B96" i="41"/>
  <c r="B91" i="41"/>
  <c r="B97" i="41"/>
  <c r="C97" i="41"/>
  <c r="C82" i="41"/>
  <c r="C80" i="41"/>
  <c r="C78" i="41"/>
  <c r="C76" i="41"/>
  <c r="C74" i="41"/>
  <c r="N110" i="28"/>
  <c r="N100" i="28"/>
  <c r="N99" i="28"/>
  <c r="B137" i="7"/>
  <c r="N76" i="98" s="1"/>
  <c r="B138" i="7"/>
  <c r="N77" i="98" s="1"/>
  <c r="B139" i="7"/>
  <c r="N78" i="98" s="1"/>
  <c r="B140" i="7"/>
  <c r="N79" i="98" s="1"/>
  <c r="B141" i="7"/>
  <c r="N80" i="98" s="1"/>
  <c r="B142" i="7"/>
  <c r="N81" i="98" s="1"/>
  <c r="B143" i="7"/>
  <c r="N82" i="98" s="1"/>
  <c r="B144" i="7"/>
  <c r="N83" i="98" s="1"/>
  <c r="B145" i="7"/>
  <c r="N84" i="98" s="1"/>
  <c r="B146" i="7"/>
  <c r="N85" i="98" s="1"/>
  <c r="B147" i="7"/>
  <c r="N86" i="98" s="1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N4" i="98" s="1"/>
  <c r="B66" i="7"/>
  <c r="N5" i="98" s="1"/>
  <c r="B67" i="7"/>
  <c r="N6" i="98" s="1"/>
  <c r="B68" i="7"/>
  <c r="N7" i="98" s="1"/>
  <c r="B69" i="7"/>
  <c r="N8" i="98" s="1"/>
  <c r="B70" i="7"/>
  <c r="N9" i="98" s="1"/>
  <c r="B71" i="7"/>
  <c r="N10" i="98" s="1"/>
  <c r="B72" i="7"/>
  <c r="N11" i="98" s="1"/>
  <c r="B73" i="7"/>
  <c r="N12" i="98" s="1"/>
  <c r="B74" i="7"/>
  <c r="N13" i="98" s="1"/>
  <c r="B75" i="7"/>
  <c r="N14" i="98" s="1"/>
  <c r="B76" i="7"/>
  <c r="N15" i="98" s="1"/>
  <c r="B77" i="7"/>
  <c r="N16" i="98" s="1"/>
  <c r="B78" i="7"/>
  <c r="N17" i="98" s="1"/>
  <c r="B79" i="7"/>
  <c r="N18" i="98" s="1"/>
  <c r="B80" i="7"/>
  <c r="N19" i="98" s="1"/>
  <c r="B81" i="7"/>
  <c r="N20" i="98" s="1"/>
  <c r="B82" i="7"/>
  <c r="N21" i="98" s="1"/>
  <c r="B83" i="7"/>
  <c r="N22" i="98" s="1"/>
  <c r="B84" i="7"/>
  <c r="N23" i="98" s="1"/>
  <c r="B85" i="7"/>
  <c r="N24" i="98" s="1"/>
  <c r="B86" i="7"/>
  <c r="N25" i="98" s="1"/>
  <c r="B87" i="7"/>
  <c r="N26" i="98" s="1"/>
  <c r="B88" i="7"/>
  <c r="N27" i="98" s="1"/>
  <c r="B89" i="7"/>
  <c r="N28" i="98" s="1"/>
  <c r="B90" i="7"/>
  <c r="N29" i="98" s="1"/>
  <c r="B91" i="7"/>
  <c r="N30" i="98" s="1"/>
  <c r="B92" i="7"/>
  <c r="N31" i="98" s="1"/>
  <c r="B93" i="7"/>
  <c r="N32" i="98" s="1"/>
  <c r="B94" i="7"/>
  <c r="N33" i="98" s="1"/>
  <c r="B95" i="7"/>
  <c r="N34" i="98" s="1"/>
  <c r="B96" i="7"/>
  <c r="N35" i="98" s="1"/>
  <c r="B97" i="7"/>
  <c r="N36" i="98" s="1"/>
  <c r="B98" i="7"/>
  <c r="N37" i="98" s="1"/>
  <c r="B99" i="7"/>
  <c r="N38" i="98" s="1"/>
  <c r="B100" i="7"/>
  <c r="N39" i="98" s="1"/>
  <c r="B101" i="7"/>
  <c r="N40" i="98" s="1"/>
  <c r="B102" i="7"/>
  <c r="N41" i="98" s="1"/>
  <c r="B103" i="7"/>
  <c r="N42" i="98" s="1"/>
  <c r="B104" i="7"/>
  <c r="N43" i="98" s="1"/>
  <c r="B105" i="7"/>
  <c r="N44" i="98" s="1"/>
  <c r="B106" i="7"/>
  <c r="N45" i="98" s="1"/>
  <c r="B107" i="7"/>
  <c r="N46" i="98" s="1"/>
  <c r="B108" i="7"/>
  <c r="N47" i="98" s="1"/>
  <c r="B109" i="7"/>
  <c r="N48" i="98" s="1"/>
  <c r="B110" i="7"/>
  <c r="N49" i="98" s="1"/>
  <c r="B111" i="7"/>
  <c r="N50" i="98" s="1"/>
  <c r="B112" i="7"/>
  <c r="N51" i="98" s="1"/>
  <c r="B113" i="7"/>
  <c r="N52" i="98" s="1"/>
  <c r="B114" i="7"/>
  <c r="N53" i="98" s="1"/>
  <c r="B115" i="7"/>
  <c r="N54" i="98" s="1"/>
  <c r="B116" i="7"/>
  <c r="N55" i="98" s="1"/>
  <c r="B117" i="7"/>
  <c r="N56" i="98" s="1"/>
  <c r="B118" i="7"/>
  <c r="N57" i="98" s="1"/>
  <c r="B119" i="7"/>
  <c r="N58" i="98" s="1"/>
  <c r="B120" i="7"/>
  <c r="N59" i="98" s="1"/>
  <c r="B121" i="7"/>
  <c r="N60" i="98" s="1"/>
  <c r="B122" i="7"/>
  <c r="N61" i="98" s="1"/>
  <c r="B123" i="7"/>
  <c r="N62" i="98" s="1"/>
  <c r="B124" i="7"/>
  <c r="N63" i="98" s="1"/>
  <c r="B125" i="7"/>
  <c r="N64" i="98" s="1"/>
  <c r="B126" i="7"/>
  <c r="N65" i="98" s="1"/>
  <c r="B127" i="7"/>
  <c r="N66" i="98" s="1"/>
  <c r="B128" i="7"/>
  <c r="N67" i="98" s="1"/>
  <c r="B129" i="7"/>
  <c r="N68" i="98" s="1"/>
  <c r="B130" i="7"/>
  <c r="N69" i="98" s="1"/>
  <c r="B131" i="7"/>
  <c r="N70" i="98" s="1"/>
  <c r="B132" i="7"/>
  <c r="N71" i="98" s="1"/>
  <c r="B133" i="7"/>
  <c r="N72" i="98" s="1"/>
  <c r="B134" i="7"/>
  <c r="N73" i="98" s="1"/>
  <c r="B135" i="7"/>
  <c r="N74" i="98" s="1"/>
  <c r="B136" i="7"/>
  <c r="N75" i="98" s="1"/>
  <c r="CB134" i="39"/>
  <c r="BM135" i="39"/>
  <c r="BM147" i="39" s="1"/>
  <c r="BM159" i="39" s="1"/>
  <c r="BN135" i="39"/>
  <c r="BN147" i="39" s="1"/>
  <c r="BN159" i="39" s="1"/>
  <c r="BO135" i="39"/>
  <c r="BO147" i="39" s="1"/>
  <c r="BO159" i="39" s="1"/>
  <c r="BP135" i="39"/>
  <c r="BP147" i="39" s="1"/>
  <c r="BP159" i="39" s="1"/>
  <c r="BQ135" i="39"/>
  <c r="BQ147" i="39" s="1"/>
  <c r="BQ159" i="39" s="1"/>
  <c r="BR135" i="39"/>
  <c r="BR147" i="39" s="1"/>
  <c r="BR159" i="39" s="1"/>
  <c r="BS135" i="39"/>
  <c r="BS147" i="39" s="1"/>
  <c r="BS159" i="39" s="1"/>
  <c r="BT135" i="39"/>
  <c r="BT147" i="39" s="1"/>
  <c r="BT159" i="39" s="1"/>
  <c r="BU135" i="39"/>
  <c r="BV135" i="39"/>
  <c r="BV147" i="39" s="1"/>
  <c r="BV159" i="39" s="1"/>
  <c r="BW135" i="39"/>
  <c r="BX135" i="39"/>
  <c r="BX147" i="39" s="1"/>
  <c r="BX159" i="39" s="1"/>
  <c r="BM136" i="39"/>
  <c r="BM148" i="39" s="1"/>
  <c r="BM160" i="39" s="1"/>
  <c r="BN136" i="39"/>
  <c r="BN148" i="39" s="1"/>
  <c r="BN160" i="39" s="1"/>
  <c r="BO136" i="39"/>
  <c r="BO148" i="39" s="1"/>
  <c r="BO160" i="39" s="1"/>
  <c r="BP136" i="39"/>
  <c r="BP148" i="39" s="1"/>
  <c r="BP160" i="39" s="1"/>
  <c r="BQ136" i="39"/>
  <c r="BQ148" i="39" s="1"/>
  <c r="BQ160" i="39" s="1"/>
  <c r="BR136" i="39"/>
  <c r="BR148" i="39" s="1"/>
  <c r="BR160" i="39" s="1"/>
  <c r="BS136" i="39"/>
  <c r="BS148" i="39" s="1"/>
  <c r="BS160" i="39" s="1"/>
  <c r="BT136" i="39"/>
  <c r="BT148" i="39" s="1"/>
  <c r="BT160" i="39" s="1"/>
  <c r="BU136" i="39"/>
  <c r="BV136" i="39"/>
  <c r="BV148" i="39" s="1"/>
  <c r="BV160" i="39" s="1"/>
  <c r="BW136" i="39"/>
  <c r="BX136" i="39"/>
  <c r="BX148" i="39" s="1"/>
  <c r="BX160" i="39" s="1"/>
  <c r="BM137" i="39"/>
  <c r="BM149" i="39" s="1"/>
  <c r="BM161" i="39" s="1"/>
  <c r="BN137" i="39"/>
  <c r="BN149" i="39" s="1"/>
  <c r="BN161" i="39" s="1"/>
  <c r="BO137" i="39"/>
  <c r="BO149" i="39" s="1"/>
  <c r="BO161" i="39" s="1"/>
  <c r="BP137" i="39"/>
  <c r="BP149" i="39" s="1"/>
  <c r="BP161" i="39" s="1"/>
  <c r="BQ137" i="39"/>
  <c r="BQ149" i="39" s="1"/>
  <c r="BQ161" i="39" s="1"/>
  <c r="BR137" i="39"/>
  <c r="BR149" i="39" s="1"/>
  <c r="BR161" i="39" s="1"/>
  <c r="BS137" i="39"/>
  <c r="BS149" i="39" s="1"/>
  <c r="BS161" i="39" s="1"/>
  <c r="BT137" i="39"/>
  <c r="BT149" i="39" s="1"/>
  <c r="BT161" i="39" s="1"/>
  <c r="BU137" i="39"/>
  <c r="BU149" i="39" s="1"/>
  <c r="BU161" i="39" s="1"/>
  <c r="BV137" i="39"/>
  <c r="BV149" i="39" s="1"/>
  <c r="BV161" i="39" s="1"/>
  <c r="BW137" i="39"/>
  <c r="BW149" i="39" s="1"/>
  <c r="BX137" i="39"/>
  <c r="BX149" i="39" s="1"/>
  <c r="BX161" i="39" s="1"/>
  <c r="BM138" i="39"/>
  <c r="BM150" i="39" s="1"/>
  <c r="BM162" i="39" s="1"/>
  <c r="BN138" i="39"/>
  <c r="BN150" i="39" s="1"/>
  <c r="BN162" i="39" s="1"/>
  <c r="BO138" i="39"/>
  <c r="BO150" i="39" s="1"/>
  <c r="BO162" i="39" s="1"/>
  <c r="BP138" i="39"/>
  <c r="BP150" i="39" s="1"/>
  <c r="BP162" i="39" s="1"/>
  <c r="BQ138" i="39"/>
  <c r="BQ150" i="39" s="1"/>
  <c r="BQ162" i="39" s="1"/>
  <c r="BR138" i="39"/>
  <c r="BR150" i="39" s="1"/>
  <c r="BR162" i="39" s="1"/>
  <c r="BS138" i="39"/>
  <c r="BS150" i="39" s="1"/>
  <c r="BS162" i="39" s="1"/>
  <c r="BT138" i="39"/>
  <c r="BT150" i="39" s="1"/>
  <c r="BT162" i="39" s="1"/>
  <c r="BU138" i="39"/>
  <c r="BV138" i="39"/>
  <c r="BV150" i="39" s="1"/>
  <c r="BV162" i="39" s="1"/>
  <c r="BW138" i="39"/>
  <c r="BX138" i="39"/>
  <c r="BX150" i="39" s="1"/>
  <c r="BX162" i="39" s="1"/>
  <c r="BM139" i="39"/>
  <c r="BM151" i="39" s="1"/>
  <c r="BM163" i="39" s="1"/>
  <c r="BN139" i="39"/>
  <c r="BN151" i="39" s="1"/>
  <c r="BN163" i="39" s="1"/>
  <c r="BO139" i="39"/>
  <c r="BO151" i="39" s="1"/>
  <c r="BO163" i="39" s="1"/>
  <c r="BP139" i="39"/>
  <c r="BP151" i="39" s="1"/>
  <c r="BP163" i="39" s="1"/>
  <c r="BQ139" i="39"/>
  <c r="BQ151" i="39" s="1"/>
  <c r="BQ163" i="39" s="1"/>
  <c r="BR139" i="39"/>
  <c r="BR151" i="39" s="1"/>
  <c r="BR163" i="39" s="1"/>
  <c r="BS139" i="39"/>
  <c r="BS151" i="39" s="1"/>
  <c r="BS163" i="39" s="1"/>
  <c r="BT139" i="39"/>
  <c r="BT151" i="39" s="1"/>
  <c r="BT163" i="39" s="1"/>
  <c r="BU139" i="39"/>
  <c r="BU151" i="39" s="1"/>
  <c r="BV139" i="39"/>
  <c r="BV151" i="39" s="1"/>
  <c r="BV163" i="39" s="1"/>
  <c r="BW139" i="39"/>
  <c r="BW151" i="39" s="1"/>
  <c r="BX139" i="39"/>
  <c r="BX151" i="39" s="1"/>
  <c r="BX163" i="39" s="1"/>
  <c r="BM140" i="39"/>
  <c r="BM152" i="39" s="1"/>
  <c r="BM164" i="39" s="1"/>
  <c r="BN140" i="39"/>
  <c r="BN152" i="39" s="1"/>
  <c r="BN164" i="39" s="1"/>
  <c r="BO140" i="39"/>
  <c r="BO152" i="39" s="1"/>
  <c r="BO164" i="39" s="1"/>
  <c r="BP140" i="39"/>
  <c r="BP152" i="39" s="1"/>
  <c r="BP164" i="39" s="1"/>
  <c r="BQ140" i="39"/>
  <c r="BQ152" i="39" s="1"/>
  <c r="BQ164" i="39" s="1"/>
  <c r="BR140" i="39"/>
  <c r="BR152" i="39" s="1"/>
  <c r="BR164" i="39" s="1"/>
  <c r="BS140" i="39"/>
  <c r="BS152" i="39" s="1"/>
  <c r="BS164" i="39" s="1"/>
  <c r="BT140" i="39"/>
  <c r="BT152" i="39" s="1"/>
  <c r="BT164" i="39" s="1"/>
  <c r="BU140" i="39"/>
  <c r="BU152" i="39" s="1"/>
  <c r="BV140" i="39"/>
  <c r="BV152" i="39" s="1"/>
  <c r="BV164" i="39" s="1"/>
  <c r="BW140" i="39"/>
  <c r="BX140" i="39"/>
  <c r="BX152" i="39" s="1"/>
  <c r="BX164" i="39" s="1"/>
  <c r="BM141" i="39"/>
  <c r="BM153" i="39" s="1"/>
  <c r="BM165" i="39" s="1"/>
  <c r="BN141" i="39"/>
  <c r="BN153" i="39" s="1"/>
  <c r="BN165" i="39" s="1"/>
  <c r="BO141" i="39"/>
  <c r="BO153" i="39" s="1"/>
  <c r="BO165" i="39" s="1"/>
  <c r="BP141" i="39"/>
  <c r="BP153" i="39" s="1"/>
  <c r="BP165" i="39" s="1"/>
  <c r="BQ141" i="39"/>
  <c r="BQ153" i="39" s="1"/>
  <c r="BQ165" i="39" s="1"/>
  <c r="BR141" i="39"/>
  <c r="BR153" i="39" s="1"/>
  <c r="BR165" i="39" s="1"/>
  <c r="BS141" i="39"/>
  <c r="BS153" i="39" s="1"/>
  <c r="BS165" i="39" s="1"/>
  <c r="BT141" i="39"/>
  <c r="BT153" i="39" s="1"/>
  <c r="BT165" i="39" s="1"/>
  <c r="BU141" i="39"/>
  <c r="BV141" i="39"/>
  <c r="BV153" i="39" s="1"/>
  <c r="BV165" i="39" s="1"/>
  <c r="BW141" i="39"/>
  <c r="BX141" i="39"/>
  <c r="BX153" i="39" s="1"/>
  <c r="BX165" i="39" s="1"/>
  <c r="BM142" i="39"/>
  <c r="BM154" i="39" s="1"/>
  <c r="BM166" i="39" s="1"/>
  <c r="BN142" i="39"/>
  <c r="BN154" i="39" s="1"/>
  <c r="BN166" i="39" s="1"/>
  <c r="BO142" i="39"/>
  <c r="BO154" i="39" s="1"/>
  <c r="BO166" i="39" s="1"/>
  <c r="BP142" i="39"/>
  <c r="BP154" i="39" s="1"/>
  <c r="BP166" i="39" s="1"/>
  <c r="BQ142" i="39"/>
  <c r="BQ154" i="39" s="1"/>
  <c r="BQ166" i="39" s="1"/>
  <c r="BR142" i="39"/>
  <c r="BR154" i="39" s="1"/>
  <c r="BR166" i="39" s="1"/>
  <c r="BS142" i="39"/>
  <c r="BS154" i="39" s="1"/>
  <c r="BS166" i="39" s="1"/>
  <c r="BT142" i="39"/>
  <c r="BT154" i="39" s="1"/>
  <c r="BT166" i="39" s="1"/>
  <c r="BU142" i="39"/>
  <c r="BV142" i="39"/>
  <c r="BV154" i="39" s="1"/>
  <c r="BV166" i="39" s="1"/>
  <c r="BW142" i="39"/>
  <c r="BX142" i="39"/>
  <c r="BX154" i="39" s="1"/>
  <c r="BX166" i="39" s="1"/>
  <c r="BM143" i="39"/>
  <c r="BM155" i="39" s="1"/>
  <c r="BM167" i="39" s="1"/>
  <c r="BN143" i="39"/>
  <c r="BN155" i="39" s="1"/>
  <c r="BN167" i="39" s="1"/>
  <c r="BO143" i="39"/>
  <c r="BO155" i="39" s="1"/>
  <c r="BO167" i="39" s="1"/>
  <c r="BP143" i="39"/>
  <c r="BP155" i="39" s="1"/>
  <c r="BP167" i="39" s="1"/>
  <c r="BQ143" i="39"/>
  <c r="BQ155" i="39" s="1"/>
  <c r="BQ167" i="39" s="1"/>
  <c r="BR143" i="39"/>
  <c r="BR155" i="39" s="1"/>
  <c r="BR167" i="39" s="1"/>
  <c r="BS143" i="39"/>
  <c r="BS155" i="39" s="1"/>
  <c r="BS167" i="39" s="1"/>
  <c r="BT143" i="39"/>
  <c r="BT155" i="39" s="1"/>
  <c r="BT167" i="39" s="1"/>
  <c r="BU143" i="39"/>
  <c r="BV143" i="39"/>
  <c r="BV155" i="39" s="1"/>
  <c r="BV167" i="39" s="1"/>
  <c r="BW143" i="39"/>
  <c r="BX143" i="39"/>
  <c r="BX155" i="39" s="1"/>
  <c r="BX167" i="39" s="1"/>
  <c r="BM144" i="39"/>
  <c r="BM156" i="39" s="1"/>
  <c r="BM168" i="39" s="1"/>
  <c r="BN144" i="39"/>
  <c r="BN156" i="39" s="1"/>
  <c r="BN168" i="39" s="1"/>
  <c r="BO144" i="39"/>
  <c r="BO156" i="39" s="1"/>
  <c r="BO168" i="39" s="1"/>
  <c r="BP144" i="39"/>
  <c r="BP156" i="39" s="1"/>
  <c r="BP168" i="39" s="1"/>
  <c r="BQ144" i="39"/>
  <c r="BQ156" i="39" s="1"/>
  <c r="BQ168" i="39" s="1"/>
  <c r="BR144" i="39"/>
  <c r="BR156" i="39" s="1"/>
  <c r="BR168" i="39" s="1"/>
  <c r="BS144" i="39"/>
  <c r="BS156" i="39" s="1"/>
  <c r="BS168" i="39" s="1"/>
  <c r="BT144" i="39"/>
  <c r="BT156" i="39" s="1"/>
  <c r="BT168" i="39" s="1"/>
  <c r="BU144" i="39"/>
  <c r="BV144" i="39"/>
  <c r="BV156" i="39" s="1"/>
  <c r="BV168" i="39" s="1"/>
  <c r="BW144" i="39"/>
  <c r="BX144" i="39"/>
  <c r="BX156" i="39" s="1"/>
  <c r="BX168" i="39" s="1"/>
  <c r="BM145" i="39"/>
  <c r="BM157" i="39" s="1"/>
  <c r="BM169" i="39" s="1"/>
  <c r="BN145" i="39"/>
  <c r="BN157" i="39" s="1"/>
  <c r="BN169" i="39" s="1"/>
  <c r="BO145" i="39"/>
  <c r="BO157" i="39" s="1"/>
  <c r="BO169" i="39" s="1"/>
  <c r="BP145" i="39"/>
  <c r="BP157" i="39" s="1"/>
  <c r="BP169" i="39" s="1"/>
  <c r="BQ145" i="39"/>
  <c r="BQ157" i="39" s="1"/>
  <c r="BQ169" i="39" s="1"/>
  <c r="BR145" i="39"/>
  <c r="BR157" i="39" s="1"/>
  <c r="BR169" i="39" s="1"/>
  <c r="BS145" i="39"/>
  <c r="BS157" i="39" s="1"/>
  <c r="BS169" i="39" s="1"/>
  <c r="BT145" i="39"/>
  <c r="BT157" i="39" s="1"/>
  <c r="BT169" i="39" s="1"/>
  <c r="BU145" i="39"/>
  <c r="BV145" i="39"/>
  <c r="BV157" i="39" s="1"/>
  <c r="BV169" i="39" s="1"/>
  <c r="BW145" i="39"/>
  <c r="BX145" i="39"/>
  <c r="BX157" i="39" s="1"/>
  <c r="BX169" i="39" s="1"/>
  <c r="BN134" i="39"/>
  <c r="BN146" i="39" s="1"/>
  <c r="BN158" i="39" s="1"/>
  <c r="BO134" i="39"/>
  <c r="BO146" i="39" s="1"/>
  <c r="BO158" i="39" s="1"/>
  <c r="BP134" i="39"/>
  <c r="BP146" i="39" s="1"/>
  <c r="BP158" i="39" s="1"/>
  <c r="BQ134" i="39"/>
  <c r="BQ146" i="39" s="1"/>
  <c r="BQ158" i="39" s="1"/>
  <c r="BR134" i="39"/>
  <c r="BR146" i="39" s="1"/>
  <c r="BR158" i="39" s="1"/>
  <c r="BS134" i="39"/>
  <c r="BS146" i="39" s="1"/>
  <c r="BS158" i="39" s="1"/>
  <c r="BT134" i="39"/>
  <c r="BT146" i="39" s="1"/>
  <c r="BT158" i="39" s="1"/>
  <c r="BU134" i="39"/>
  <c r="BV134" i="39"/>
  <c r="BV146" i="39" s="1"/>
  <c r="BV158" i="39" s="1"/>
  <c r="BW134" i="39"/>
  <c r="BX134" i="39"/>
  <c r="BX146" i="39" s="1"/>
  <c r="BX158" i="39" s="1"/>
  <c r="BM134" i="39"/>
  <c r="BM146" i="39" s="1"/>
  <c r="BM158" i="39" s="1"/>
  <c r="B143" i="39"/>
  <c r="AP143" i="39"/>
  <c r="AQ143" i="39"/>
  <c r="AU143" i="39"/>
  <c r="AV143" i="39"/>
  <c r="AW143" i="39"/>
  <c r="AZ143" i="39"/>
  <c r="BA143" i="39"/>
  <c r="BB143" i="39"/>
  <c r="CB143" i="39"/>
  <c r="B144" i="39"/>
  <c r="AP144" i="39"/>
  <c r="AQ144" i="39"/>
  <c r="AU144" i="39"/>
  <c r="AV144" i="39"/>
  <c r="AW144" i="39"/>
  <c r="AZ144" i="39"/>
  <c r="BA144" i="39"/>
  <c r="BB144" i="39"/>
  <c r="CB144" i="39"/>
  <c r="B145" i="39"/>
  <c r="AP145" i="39"/>
  <c r="AQ145" i="39"/>
  <c r="N85" i="28" s="1"/>
  <c r="AU145" i="39"/>
  <c r="AV145" i="39"/>
  <c r="AW145" i="39"/>
  <c r="AZ145" i="39"/>
  <c r="BA145" i="39"/>
  <c r="BB145" i="39"/>
  <c r="CB145" i="39"/>
  <c r="B146" i="39"/>
  <c r="AP146" i="39"/>
  <c r="AQ146" i="39"/>
  <c r="N86" i="28" s="1"/>
  <c r="AU146" i="39"/>
  <c r="AV146" i="39"/>
  <c r="AW146" i="39"/>
  <c r="AZ146" i="39"/>
  <c r="BA146" i="39"/>
  <c r="BB146" i="39"/>
  <c r="CB146" i="39"/>
  <c r="B147" i="39"/>
  <c r="AP147" i="39"/>
  <c r="AQ147" i="39"/>
  <c r="AU147" i="39"/>
  <c r="AV147" i="39"/>
  <c r="AW147" i="39"/>
  <c r="AZ147" i="39"/>
  <c r="BA147" i="39"/>
  <c r="BB147" i="39"/>
  <c r="CB147" i="39"/>
  <c r="B148" i="39"/>
  <c r="AP148" i="39"/>
  <c r="AQ148" i="39"/>
  <c r="AU148" i="39"/>
  <c r="AV148" i="39"/>
  <c r="AW148" i="39"/>
  <c r="AZ148" i="39"/>
  <c r="BA148" i="39"/>
  <c r="BB148" i="39"/>
  <c r="CB148" i="39"/>
  <c r="B149" i="39"/>
  <c r="AP149" i="39"/>
  <c r="AQ149" i="39"/>
  <c r="N89" i="28" s="1"/>
  <c r="AU149" i="39"/>
  <c r="AV149" i="39"/>
  <c r="AW149" i="39"/>
  <c r="AZ149" i="39"/>
  <c r="BA149" i="39"/>
  <c r="BB149" i="39"/>
  <c r="CB149" i="39"/>
  <c r="B150" i="39"/>
  <c r="AP150" i="39"/>
  <c r="AQ150" i="39"/>
  <c r="AU150" i="39"/>
  <c r="AV150" i="39"/>
  <c r="AW150" i="39"/>
  <c r="AZ150" i="39"/>
  <c r="BA150" i="39"/>
  <c r="BB150" i="39"/>
  <c r="CB150" i="39"/>
  <c r="B151" i="39"/>
  <c r="AP151" i="39"/>
  <c r="AQ151" i="39"/>
  <c r="AU151" i="39"/>
  <c r="AV151" i="39"/>
  <c r="AW151" i="39"/>
  <c r="AZ151" i="39"/>
  <c r="BA151" i="39"/>
  <c r="BB151" i="39"/>
  <c r="CB151" i="39"/>
  <c r="B152" i="39"/>
  <c r="AP152" i="39"/>
  <c r="AQ152" i="39"/>
  <c r="AU152" i="39"/>
  <c r="AV152" i="39"/>
  <c r="AW152" i="39"/>
  <c r="AZ152" i="39"/>
  <c r="BA152" i="39"/>
  <c r="BB152" i="39"/>
  <c r="CB152" i="39"/>
  <c r="B153" i="39"/>
  <c r="AP153" i="39"/>
  <c r="AQ153" i="39"/>
  <c r="AU153" i="39"/>
  <c r="AV153" i="39"/>
  <c r="AW153" i="39"/>
  <c r="AZ153" i="39"/>
  <c r="BA153" i="39"/>
  <c r="BB153" i="39"/>
  <c r="CB153" i="39"/>
  <c r="B154" i="39"/>
  <c r="AP154" i="39"/>
  <c r="AQ154" i="39"/>
  <c r="N94" i="28" s="1"/>
  <c r="AU154" i="39"/>
  <c r="AV154" i="39"/>
  <c r="AW154" i="39"/>
  <c r="AZ154" i="39"/>
  <c r="BA154" i="39"/>
  <c r="BB154" i="39"/>
  <c r="CB154" i="39"/>
  <c r="B155" i="39"/>
  <c r="AP155" i="39"/>
  <c r="AQ155" i="39"/>
  <c r="AU155" i="39"/>
  <c r="AV155" i="39"/>
  <c r="AW155" i="39"/>
  <c r="AZ155" i="39"/>
  <c r="BA155" i="39"/>
  <c r="BB155" i="39"/>
  <c r="CB155" i="39"/>
  <c r="B156" i="39"/>
  <c r="AP156" i="39"/>
  <c r="AQ156" i="39"/>
  <c r="N96" i="28" s="1"/>
  <c r="AU156" i="39"/>
  <c r="AV156" i="39"/>
  <c r="AW156" i="39"/>
  <c r="AZ156" i="39"/>
  <c r="BA156" i="39"/>
  <c r="BB156" i="39"/>
  <c r="CB156" i="39"/>
  <c r="B157" i="39"/>
  <c r="AP157" i="39"/>
  <c r="AQ157" i="39"/>
  <c r="N97" i="28" s="1"/>
  <c r="AU157" i="39"/>
  <c r="AV157" i="39"/>
  <c r="AW157" i="39"/>
  <c r="AZ157" i="39"/>
  <c r="BA157" i="39"/>
  <c r="BB157" i="39"/>
  <c r="CB157" i="39"/>
  <c r="B134" i="39"/>
  <c r="AP134" i="39"/>
  <c r="AQ134" i="39"/>
  <c r="AU134" i="39"/>
  <c r="AV134" i="39"/>
  <c r="AW134" i="39"/>
  <c r="AZ134" i="39"/>
  <c r="BA134" i="39"/>
  <c r="BB134" i="39"/>
  <c r="B135" i="39"/>
  <c r="AP135" i="39"/>
  <c r="AQ135" i="39"/>
  <c r="AU135" i="39"/>
  <c r="AV135" i="39"/>
  <c r="AW135" i="39"/>
  <c r="AZ135" i="39"/>
  <c r="BA135" i="39"/>
  <c r="BB135" i="39"/>
  <c r="CB135" i="39"/>
  <c r="B136" i="39"/>
  <c r="AP136" i="39"/>
  <c r="AQ136" i="39"/>
  <c r="AU136" i="39"/>
  <c r="AV136" i="39"/>
  <c r="AW136" i="39"/>
  <c r="AZ136" i="39"/>
  <c r="BA136" i="39"/>
  <c r="BB136" i="39"/>
  <c r="CB136" i="39"/>
  <c r="B137" i="39"/>
  <c r="AP137" i="39"/>
  <c r="AQ137" i="39"/>
  <c r="AU137" i="39"/>
  <c r="AV137" i="39"/>
  <c r="AW137" i="39"/>
  <c r="AZ137" i="39"/>
  <c r="BA137" i="39"/>
  <c r="BB137" i="39"/>
  <c r="CB137" i="39"/>
  <c r="B138" i="39"/>
  <c r="AP138" i="39"/>
  <c r="AQ138" i="39"/>
  <c r="AU138" i="39"/>
  <c r="AV138" i="39"/>
  <c r="AW138" i="39"/>
  <c r="AZ138" i="39"/>
  <c r="BA138" i="39"/>
  <c r="BB138" i="39"/>
  <c r="CB138" i="39"/>
  <c r="B139" i="39"/>
  <c r="AP139" i="39"/>
  <c r="AQ139" i="39"/>
  <c r="AU139" i="39"/>
  <c r="AV139" i="39"/>
  <c r="AW139" i="39"/>
  <c r="AZ139" i="39"/>
  <c r="BA139" i="39"/>
  <c r="BB139" i="39"/>
  <c r="CB139" i="39"/>
  <c r="B140" i="39"/>
  <c r="AP140" i="39"/>
  <c r="AQ140" i="39"/>
  <c r="AU140" i="39"/>
  <c r="AV140" i="39"/>
  <c r="AW140" i="39"/>
  <c r="AZ140" i="39"/>
  <c r="BA140" i="39"/>
  <c r="BB140" i="39"/>
  <c r="CB140" i="39"/>
  <c r="B141" i="39"/>
  <c r="AP141" i="39"/>
  <c r="AQ141" i="39"/>
  <c r="AU141" i="39"/>
  <c r="AV141" i="39"/>
  <c r="AW141" i="39"/>
  <c r="AZ141" i="39"/>
  <c r="BA141" i="39"/>
  <c r="BB141" i="39"/>
  <c r="CB141" i="39"/>
  <c r="B142" i="39"/>
  <c r="AP142" i="39"/>
  <c r="AQ142" i="39"/>
  <c r="N82" i="28" s="1"/>
  <c r="AU142" i="39"/>
  <c r="AV142" i="39"/>
  <c r="AW142" i="39"/>
  <c r="AZ142" i="39"/>
  <c r="BA142" i="39"/>
  <c r="BB142" i="39"/>
  <c r="CB142" i="39"/>
  <c r="N80" i="28"/>
  <c r="N83" i="28"/>
  <c r="N79" i="28"/>
  <c r="N75" i="28"/>
  <c r="N74" i="28"/>
  <c r="N90" i="28"/>
  <c r="N76" i="28"/>
  <c r="N87" i="28"/>
  <c r="N78" i="28"/>
  <c r="N95" i="28"/>
  <c r="N91" i="28"/>
  <c r="N77" i="28"/>
  <c r="N92" i="28"/>
  <c r="N84" i="28"/>
  <c r="V48" i="32"/>
  <c r="V60" i="32" s="1"/>
  <c r="V47" i="32"/>
  <c r="V59" i="32" s="1"/>
  <c r="V46" i="32"/>
  <c r="V58" i="32" s="1"/>
  <c r="V45" i="32"/>
  <c r="V57" i="32" s="1"/>
  <c r="V44" i="32"/>
  <c r="V56" i="32" s="1"/>
  <c r="V43" i="32"/>
  <c r="V55" i="32" s="1"/>
  <c r="V42" i="32"/>
  <c r="V54" i="32" s="1"/>
  <c r="V41" i="32"/>
  <c r="V53" i="32" s="1"/>
  <c r="V40" i="32"/>
  <c r="V52" i="32" s="1"/>
  <c r="V39" i="32"/>
  <c r="V51" i="32" s="1"/>
  <c r="V38" i="32"/>
  <c r="V50" i="32" s="1"/>
  <c r="V37" i="32"/>
  <c r="V49" i="32" s="1"/>
  <c r="R48" i="32"/>
  <c r="R60" i="32" s="1"/>
  <c r="R47" i="32"/>
  <c r="R59" i="32" s="1"/>
  <c r="R46" i="32"/>
  <c r="R58" i="32" s="1"/>
  <c r="R45" i="32"/>
  <c r="R57" i="32" s="1"/>
  <c r="R44" i="32"/>
  <c r="R56" i="32" s="1"/>
  <c r="R43" i="32"/>
  <c r="R55" i="32" s="1"/>
  <c r="R42" i="32"/>
  <c r="R54" i="32" s="1"/>
  <c r="R41" i="32"/>
  <c r="R53" i="32" s="1"/>
  <c r="R40" i="32"/>
  <c r="R52" i="32" s="1"/>
  <c r="R39" i="32"/>
  <c r="R51" i="32" s="1"/>
  <c r="R38" i="32"/>
  <c r="R50" i="32" s="1"/>
  <c r="R37" i="32"/>
  <c r="R49" i="32" s="1"/>
  <c r="N48" i="32"/>
  <c r="N60" i="32" s="1"/>
  <c r="N47" i="32"/>
  <c r="N59" i="32" s="1"/>
  <c r="N46" i="32"/>
  <c r="N58" i="32" s="1"/>
  <c r="N45" i="32"/>
  <c r="N57" i="32" s="1"/>
  <c r="N44" i="32"/>
  <c r="N56" i="32" s="1"/>
  <c r="N43" i="32"/>
  <c r="N55" i="32" s="1"/>
  <c r="N42" i="32"/>
  <c r="N54" i="32" s="1"/>
  <c r="N41" i="32"/>
  <c r="N53" i="32" s="1"/>
  <c r="N40" i="32"/>
  <c r="N52" i="32" s="1"/>
  <c r="N39" i="32"/>
  <c r="N51" i="32" s="1"/>
  <c r="N38" i="32"/>
  <c r="N50" i="32" s="1"/>
  <c r="N37" i="32"/>
  <c r="N49" i="32" s="1"/>
  <c r="Z48" i="32"/>
  <c r="Z60" i="32" s="1"/>
  <c r="Z47" i="32"/>
  <c r="Z59" i="32" s="1"/>
  <c r="Z46" i="32"/>
  <c r="Z58" i="32" s="1"/>
  <c r="Z45" i="32"/>
  <c r="Z57" i="32" s="1"/>
  <c r="Z44" i="32"/>
  <c r="Z56" i="32" s="1"/>
  <c r="Z43" i="32"/>
  <c r="Z55" i="32" s="1"/>
  <c r="Z42" i="32"/>
  <c r="Z54" i="32" s="1"/>
  <c r="Z41" i="32"/>
  <c r="Z53" i="32" s="1"/>
  <c r="Z40" i="32"/>
  <c r="Z52" i="32" s="1"/>
  <c r="Z39" i="32"/>
  <c r="Z51" i="32" s="1"/>
  <c r="Z38" i="32"/>
  <c r="Z50" i="32" s="1"/>
  <c r="Z37" i="32"/>
  <c r="Z49" i="32" s="1"/>
  <c r="J48" i="32"/>
  <c r="J60" i="32" s="1"/>
  <c r="J47" i="32"/>
  <c r="J59" i="32" s="1"/>
  <c r="J46" i="32"/>
  <c r="J58" i="32" s="1"/>
  <c r="J45" i="32"/>
  <c r="J57" i="32" s="1"/>
  <c r="J44" i="32"/>
  <c r="J56" i="32" s="1"/>
  <c r="J43" i="32"/>
  <c r="J55" i="32" s="1"/>
  <c r="J42" i="32"/>
  <c r="J54" i="32" s="1"/>
  <c r="J41" i="32"/>
  <c r="J53" i="32" s="1"/>
  <c r="J40" i="32"/>
  <c r="J52" i="32" s="1"/>
  <c r="J39" i="32"/>
  <c r="J51" i="32" s="1"/>
  <c r="J38" i="32"/>
  <c r="J50" i="32" s="1"/>
  <c r="J37" i="32"/>
  <c r="J49" i="32" s="1"/>
  <c r="F38" i="32"/>
  <c r="F50" i="32" s="1"/>
  <c r="F39" i="32"/>
  <c r="F51" i="32" s="1"/>
  <c r="F40" i="32"/>
  <c r="F52" i="32" s="1"/>
  <c r="F41" i="32"/>
  <c r="F53" i="32" s="1"/>
  <c r="F42" i="32"/>
  <c r="F54" i="32"/>
  <c r="F43" i="32"/>
  <c r="F55" i="32" s="1"/>
  <c r="F44" i="32"/>
  <c r="F56" i="32" s="1"/>
  <c r="F45" i="32"/>
  <c r="F57" i="32" s="1"/>
  <c r="F46" i="32"/>
  <c r="F58" i="32" s="1"/>
  <c r="F47" i="32"/>
  <c r="F59" i="32" s="1"/>
  <c r="F48" i="32"/>
  <c r="F60" i="32" s="1"/>
  <c r="F37" i="32"/>
  <c r="F49" i="32" s="1"/>
  <c r="B47" i="32"/>
  <c r="B59" i="32" s="1"/>
  <c r="B48" i="32"/>
  <c r="B60" i="32" s="1"/>
  <c r="A38" i="32"/>
  <c r="A50" i="32" s="1"/>
  <c r="B38" i="32"/>
  <c r="B50" i="32" s="1"/>
  <c r="B39" i="32"/>
  <c r="B51" i="32" s="1"/>
  <c r="B40" i="32"/>
  <c r="B52" i="32" s="1"/>
  <c r="B41" i="32"/>
  <c r="B53" i="32" s="1"/>
  <c r="B42" i="32"/>
  <c r="B54" i="32" s="1"/>
  <c r="B43" i="32"/>
  <c r="B55" i="32" s="1"/>
  <c r="B44" i="32"/>
  <c r="B56" i="32" s="1"/>
  <c r="B45" i="32"/>
  <c r="B57" i="32" s="1"/>
  <c r="B46" i="32"/>
  <c r="B58" i="32" s="1"/>
  <c r="B37" i="32"/>
  <c r="B49" i="32" s="1"/>
  <c r="A37" i="32"/>
  <c r="A49" i="32" s="1"/>
  <c r="W6" i="35"/>
  <c r="W7" i="35" s="1"/>
  <c r="W8" i="35" s="1"/>
  <c r="W9" i="35" s="1"/>
  <c r="W10" i="35" s="1"/>
  <c r="W11" i="35" s="1"/>
  <c r="W12" i="35" s="1"/>
  <c r="W13" i="35" s="1"/>
  <c r="W14" i="35" s="1"/>
  <c r="P6" i="35"/>
  <c r="B73" i="58"/>
  <c r="B72" i="58"/>
  <c r="C71" i="58"/>
  <c r="C68" i="58"/>
  <c r="C67" i="58"/>
  <c r="B65" i="58"/>
  <c r="C63" i="58"/>
  <c r="B61" i="58"/>
  <c r="C60" i="58"/>
  <c r="B57" i="58"/>
  <c r="C55" i="58"/>
  <c r="C53" i="58"/>
  <c r="B52" i="58"/>
  <c r="B49" i="58"/>
  <c r="B48" i="58"/>
  <c r="C47" i="58"/>
  <c r="B46" i="58"/>
  <c r="C45" i="58"/>
  <c r="B44" i="58"/>
  <c r="B42" i="58"/>
  <c r="C40" i="58"/>
  <c r="B39" i="58"/>
  <c r="C38" i="58"/>
  <c r="B35" i="58"/>
  <c r="C32" i="58"/>
  <c r="B31" i="58"/>
  <c r="C30" i="58"/>
  <c r="B27" i="58"/>
  <c r="C26" i="58"/>
  <c r="C24" i="58"/>
  <c r="B23" i="58"/>
  <c r="C22" i="58"/>
  <c r="C20" i="58"/>
  <c r="B17" i="58"/>
  <c r="C16" i="58"/>
  <c r="B15" i="58"/>
  <c r="B14" i="58"/>
  <c r="B12" i="58"/>
  <c r="C10" i="58"/>
  <c r="B9" i="58"/>
  <c r="C8" i="58"/>
  <c r="C6" i="58"/>
  <c r="B4" i="58"/>
  <c r="C2" i="58"/>
  <c r="AU50" i="39"/>
  <c r="AV50" i="39"/>
  <c r="AW50" i="39"/>
  <c r="AZ50" i="39"/>
  <c r="BA50" i="39"/>
  <c r="BB50" i="39"/>
  <c r="AU51" i="39"/>
  <c r="AV51" i="39"/>
  <c r="AW51" i="39"/>
  <c r="AZ51" i="39"/>
  <c r="BA51" i="39"/>
  <c r="BB51" i="39"/>
  <c r="AU52" i="39"/>
  <c r="AV52" i="39"/>
  <c r="AW52" i="39"/>
  <c r="AZ52" i="39"/>
  <c r="BA52" i="39"/>
  <c r="BB52" i="39"/>
  <c r="AU53" i="39"/>
  <c r="AV53" i="39"/>
  <c r="AW53" i="39"/>
  <c r="AZ53" i="39"/>
  <c r="BA53" i="39"/>
  <c r="BB53" i="39"/>
  <c r="AU54" i="39"/>
  <c r="AV54" i="39"/>
  <c r="AW54" i="39"/>
  <c r="AZ54" i="39"/>
  <c r="BA54" i="39"/>
  <c r="BB54" i="39"/>
  <c r="AU55" i="39"/>
  <c r="AV55" i="39"/>
  <c r="AW55" i="39"/>
  <c r="AZ55" i="39"/>
  <c r="BA55" i="39"/>
  <c r="BB55" i="39"/>
  <c r="AU56" i="39"/>
  <c r="AV56" i="39"/>
  <c r="AW56" i="39"/>
  <c r="AZ56" i="39"/>
  <c r="BA56" i="39"/>
  <c r="BB56" i="39"/>
  <c r="AU57" i="39"/>
  <c r="AV57" i="39"/>
  <c r="AW57" i="39"/>
  <c r="AZ57" i="39"/>
  <c r="BA57" i="39"/>
  <c r="BB57" i="39"/>
  <c r="AU58" i="39"/>
  <c r="AV58" i="39"/>
  <c r="AW58" i="39"/>
  <c r="AZ58" i="39"/>
  <c r="BA58" i="39"/>
  <c r="BB58" i="39"/>
  <c r="AU59" i="39"/>
  <c r="AV59" i="39"/>
  <c r="AW59" i="39"/>
  <c r="AZ59" i="39"/>
  <c r="BA59" i="39"/>
  <c r="BB59" i="39"/>
  <c r="AU60" i="39"/>
  <c r="AV60" i="39"/>
  <c r="AW60" i="39"/>
  <c r="AZ60" i="39"/>
  <c r="BA60" i="39"/>
  <c r="BB60" i="39"/>
  <c r="AU61" i="39"/>
  <c r="AV61" i="39"/>
  <c r="AW61" i="39"/>
  <c r="AZ61" i="39"/>
  <c r="BA61" i="39"/>
  <c r="BB61" i="39"/>
  <c r="AU62" i="39"/>
  <c r="AV62" i="39"/>
  <c r="AW62" i="39"/>
  <c r="AZ62" i="39"/>
  <c r="BA62" i="39"/>
  <c r="BB62" i="39"/>
  <c r="AU63" i="39"/>
  <c r="AV63" i="39"/>
  <c r="AW63" i="39"/>
  <c r="AZ63" i="39"/>
  <c r="BA63" i="39"/>
  <c r="BB63" i="39"/>
  <c r="AU64" i="39"/>
  <c r="AV64" i="39"/>
  <c r="AW64" i="39"/>
  <c r="AZ64" i="39"/>
  <c r="BA64" i="39"/>
  <c r="BB64" i="39"/>
  <c r="AU65" i="39"/>
  <c r="AV65" i="39"/>
  <c r="AW65" i="39"/>
  <c r="AZ65" i="39"/>
  <c r="BA65" i="39"/>
  <c r="BB65" i="39"/>
  <c r="AU66" i="39"/>
  <c r="AV66" i="39"/>
  <c r="AW66" i="39"/>
  <c r="AZ66" i="39"/>
  <c r="BA66" i="39"/>
  <c r="BB66" i="39"/>
  <c r="AU67" i="39"/>
  <c r="AV67" i="39"/>
  <c r="AW67" i="39"/>
  <c r="AZ67" i="39"/>
  <c r="BA67" i="39"/>
  <c r="BB67" i="39"/>
  <c r="AU68" i="39"/>
  <c r="AV68" i="39"/>
  <c r="AW68" i="39"/>
  <c r="AZ68" i="39"/>
  <c r="BA68" i="39"/>
  <c r="BB68" i="39"/>
  <c r="AU69" i="39"/>
  <c r="AV69" i="39"/>
  <c r="AW69" i="39"/>
  <c r="AZ69" i="39"/>
  <c r="BA69" i="39"/>
  <c r="BB69" i="39"/>
  <c r="AU70" i="39"/>
  <c r="AV70" i="39"/>
  <c r="AW70" i="39"/>
  <c r="AZ70" i="39"/>
  <c r="BA70" i="39"/>
  <c r="BB70" i="39"/>
  <c r="AU71" i="39"/>
  <c r="AV71" i="39"/>
  <c r="AW71" i="39"/>
  <c r="AZ71" i="39"/>
  <c r="BA71" i="39"/>
  <c r="BB71" i="39"/>
  <c r="AU72" i="39"/>
  <c r="AV72" i="39"/>
  <c r="AW72" i="39"/>
  <c r="AZ72" i="39"/>
  <c r="BA72" i="39"/>
  <c r="BB72" i="39"/>
  <c r="AU73" i="39"/>
  <c r="AV73" i="39"/>
  <c r="AW73" i="39"/>
  <c r="AZ73" i="39"/>
  <c r="BA73" i="39"/>
  <c r="BB73" i="39"/>
  <c r="AU74" i="39"/>
  <c r="AV74" i="39"/>
  <c r="AW74" i="39"/>
  <c r="AZ74" i="39"/>
  <c r="BA74" i="39"/>
  <c r="BB74" i="39"/>
  <c r="AU75" i="39"/>
  <c r="AV75" i="39"/>
  <c r="AW75" i="39"/>
  <c r="AZ75" i="39"/>
  <c r="BA75" i="39"/>
  <c r="BB75" i="39"/>
  <c r="AU76" i="39"/>
  <c r="AV76" i="39"/>
  <c r="AW76" i="39"/>
  <c r="AZ76" i="39"/>
  <c r="BA76" i="39"/>
  <c r="BB76" i="39"/>
  <c r="AU77" i="39"/>
  <c r="AV77" i="39"/>
  <c r="AW77" i="39"/>
  <c r="AZ77" i="39"/>
  <c r="BA77" i="39"/>
  <c r="BB77" i="39"/>
  <c r="AU78" i="39"/>
  <c r="AV78" i="39"/>
  <c r="AW78" i="39"/>
  <c r="AZ78" i="39"/>
  <c r="BA78" i="39"/>
  <c r="BB78" i="39"/>
  <c r="AU79" i="39"/>
  <c r="AV79" i="39"/>
  <c r="AW79" i="39"/>
  <c r="AZ79" i="39"/>
  <c r="BA79" i="39"/>
  <c r="BB79" i="39"/>
  <c r="AU80" i="39"/>
  <c r="AV80" i="39"/>
  <c r="AW80" i="39"/>
  <c r="AZ80" i="39"/>
  <c r="BA80" i="39"/>
  <c r="BB80" i="39"/>
  <c r="AU81" i="39"/>
  <c r="AV81" i="39"/>
  <c r="AW81" i="39"/>
  <c r="AZ81" i="39"/>
  <c r="BA81" i="39"/>
  <c r="BB81" i="39"/>
  <c r="AU82" i="39"/>
  <c r="AV82" i="39"/>
  <c r="AW82" i="39"/>
  <c r="AZ82" i="39"/>
  <c r="BA82" i="39"/>
  <c r="BB82" i="39"/>
  <c r="AU83" i="39"/>
  <c r="AV83" i="39"/>
  <c r="AW83" i="39"/>
  <c r="AZ83" i="39"/>
  <c r="BA83" i="39"/>
  <c r="BB83" i="39"/>
  <c r="AU84" i="39"/>
  <c r="AV84" i="39"/>
  <c r="AW84" i="39"/>
  <c r="AZ84" i="39"/>
  <c r="BA84" i="39"/>
  <c r="BB84" i="39"/>
  <c r="AU85" i="39"/>
  <c r="AV85" i="39"/>
  <c r="AW85" i="39"/>
  <c r="AZ85" i="39"/>
  <c r="BA85" i="39"/>
  <c r="BB85" i="39"/>
  <c r="AU86" i="39"/>
  <c r="AV86" i="39"/>
  <c r="AW86" i="39"/>
  <c r="AZ86" i="39"/>
  <c r="BA86" i="39"/>
  <c r="BB86" i="39"/>
  <c r="AU87" i="39"/>
  <c r="AV87" i="39"/>
  <c r="AW87" i="39"/>
  <c r="AZ87" i="39"/>
  <c r="BA87" i="39"/>
  <c r="BB87" i="39"/>
  <c r="AU88" i="39"/>
  <c r="AV88" i="39"/>
  <c r="AW88" i="39"/>
  <c r="AZ88" i="39"/>
  <c r="BA88" i="39"/>
  <c r="BB88" i="39"/>
  <c r="AU89" i="39"/>
  <c r="AV89" i="39"/>
  <c r="AW89" i="39"/>
  <c r="AZ89" i="39"/>
  <c r="BA89" i="39"/>
  <c r="BB89" i="39"/>
  <c r="AU90" i="39"/>
  <c r="AV90" i="39"/>
  <c r="AW90" i="39"/>
  <c r="AZ90" i="39"/>
  <c r="BA90" i="39"/>
  <c r="BB90" i="39"/>
  <c r="AU91" i="39"/>
  <c r="AV91" i="39"/>
  <c r="AW91" i="39"/>
  <c r="AZ91" i="39"/>
  <c r="BA91" i="39"/>
  <c r="BB91" i="39"/>
  <c r="AU92" i="39"/>
  <c r="AV92" i="39"/>
  <c r="AW92" i="39"/>
  <c r="AZ92" i="39"/>
  <c r="BA92" i="39"/>
  <c r="BB92" i="39"/>
  <c r="AU93" i="39"/>
  <c r="AV93" i="39"/>
  <c r="AW93" i="39"/>
  <c r="AZ93" i="39"/>
  <c r="BA93" i="39"/>
  <c r="BB93" i="39"/>
  <c r="AU94" i="39"/>
  <c r="AV94" i="39"/>
  <c r="AW94" i="39"/>
  <c r="AZ94" i="39"/>
  <c r="BA94" i="39"/>
  <c r="BB94" i="39"/>
  <c r="AU95" i="39"/>
  <c r="AV95" i="39"/>
  <c r="AW95" i="39"/>
  <c r="AZ95" i="39"/>
  <c r="BA95" i="39"/>
  <c r="BB95" i="39"/>
  <c r="AU96" i="39"/>
  <c r="AV96" i="39"/>
  <c r="AW96" i="39"/>
  <c r="AZ96" i="39"/>
  <c r="BA96" i="39"/>
  <c r="BB96" i="39"/>
  <c r="AU97" i="39"/>
  <c r="AV97" i="39"/>
  <c r="AW97" i="39"/>
  <c r="AZ97" i="39"/>
  <c r="BA97" i="39"/>
  <c r="BB97" i="39"/>
  <c r="AU98" i="39"/>
  <c r="AV98" i="39"/>
  <c r="AW98" i="39"/>
  <c r="AZ98" i="39"/>
  <c r="BA98" i="39"/>
  <c r="BB98" i="39"/>
  <c r="AU99" i="39"/>
  <c r="AV99" i="39"/>
  <c r="AW99" i="39"/>
  <c r="AZ99" i="39"/>
  <c r="BA99" i="39"/>
  <c r="BB99" i="39"/>
  <c r="AU100" i="39"/>
  <c r="AV100" i="39"/>
  <c r="AW100" i="39"/>
  <c r="AZ100" i="39"/>
  <c r="BA100" i="39"/>
  <c r="BB100" i="39"/>
  <c r="AU101" i="39"/>
  <c r="AV101" i="39"/>
  <c r="AW101" i="39"/>
  <c r="AZ101" i="39"/>
  <c r="BA101" i="39"/>
  <c r="BB101" i="39"/>
  <c r="AU102" i="39"/>
  <c r="AV102" i="39"/>
  <c r="AW102" i="39"/>
  <c r="AZ102" i="39"/>
  <c r="BA102" i="39"/>
  <c r="BB102" i="39"/>
  <c r="AU103" i="39"/>
  <c r="AV103" i="39"/>
  <c r="AW103" i="39"/>
  <c r="AZ103" i="39"/>
  <c r="BA103" i="39"/>
  <c r="BB103" i="39"/>
  <c r="AU104" i="39"/>
  <c r="AV104" i="39"/>
  <c r="AW104" i="39"/>
  <c r="AZ104" i="39"/>
  <c r="BA104" i="39"/>
  <c r="BB104" i="39"/>
  <c r="AU105" i="39"/>
  <c r="AV105" i="39"/>
  <c r="AW105" i="39"/>
  <c r="AZ105" i="39"/>
  <c r="BA105" i="39"/>
  <c r="BB105" i="39"/>
  <c r="AU106" i="39"/>
  <c r="AV106" i="39"/>
  <c r="AW106" i="39"/>
  <c r="AZ106" i="39"/>
  <c r="BA106" i="39"/>
  <c r="BB106" i="39"/>
  <c r="AU107" i="39"/>
  <c r="AV107" i="39"/>
  <c r="AW107" i="39"/>
  <c r="AZ107" i="39"/>
  <c r="BA107" i="39"/>
  <c r="BB107" i="39"/>
  <c r="AU108" i="39"/>
  <c r="AV108" i="39"/>
  <c r="AW108" i="39"/>
  <c r="AZ108" i="39"/>
  <c r="BA108" i="39"/>
  <c r="BB108" i="39"/>
  <c r="AU109" i="39"/>
  <c r="AV109" i="39"/>
  <c r="AW109" i="39"/>
  <c r="AZ109" i="39"/>
  <c r="BA109" i="39"/>
  <c r="BB109" i="39"/>
  <c r="AU110" i="39"/>
  <c r="AV110" i="39"/>
  <c r="AW110" i="39"/>
  <c r="AZ110" i="39"/>
  <c r="BA110" i="39"/>
  <c r="BB110" i="39"/>
  <c r="AU111" i="39"/>
  <c r="AV111" i="39"/>
  <c r="AW111" i="39"/>
  <c r="AZ111" i="39"/>
  <c r="BA111" i="39"/>
  <c r="BB111" i="39"/>
  <c r="AU112" i="39"/>
  <c r="AV112" i="39"/>
  <c r="AW112" i="39"/>
  <c r="AZ112" i="39"/>
  <c r="BA112" i="39"/>
  <c r="BB112" i="39"/>
  <c r="AU113" i="39"/>
  <c r="AV113" i="39"/>
  <c r="AW113" i="39"/>
  <c r="AZ113" i="39"/>
  <c r="BA113" i="39"/>
  <c r="BB113" i="39"/>
  <c r="AU114" i="39"/>
  <c r="AV114" i="39"/>
  <c r="AW114" i="39"/>
  <c r="AZ114" i="39"/>
  <c r="BA114" i="39"/>
  <c r="BB114" i="39"/>
  <c r="AU115" i="39"/>
  <c r="AV115" i="39"/>
  <c r="AW115" i="39"/>
  <c r="AZ115" i="39"/>
  <c r="BA115" i="39"/>
  <c r="BB115" i="39"/>
  <c r="AU116" i="39"/>
  <c r="AV116" i="39"/>
  <c r="AW116" i="39"/>
  <c r="AZ116" i="39"/>
  <c r="BA116" i="39"/>
  <c r="BB116" i="39"/>
  <c r="AU117" i="39"/>
  <c r="AV117" i="39"/>
  <c r="AW117" i="39"/>
  <c r="AZ117" i="39"/>
  <c r="BA117" i="39"/>
  <c r="BB117" i="39"/>
  <c r="AU118" i="39"/>
  <c r="AV118" i="39"/>
  <c r="AW118" i="39"/>
  <c r="AZ118" i="39"/>
  <c r="BA118" i="39"/>
  <c r="BB118" i="39"/>
  <c r="AU119" i="39"/>
  <c r="AV119" i="39"/>
  <c r="AW119" i="39"/>
  <c r="AZ119" i="39"/>
  <c r="BA119" i="39"/>
  <c r="BB119" i="39"/>
  <c r="AU120" i="39"/>
  <c r="AV120" i="39"/>
  <c r="AW120" i="39"/>
  <c r="AZ120" i="39"/>
  <c r="BA120" i="39"/>
  <c r="BB120" i="39"/>
  <c r="AU121" i="39"/>
  <c r="AV121" i="39"/>
  <c r="AW121" i="39"/>
  <c r="AZ121" i="39"/>
  <c r="BA121" i="39"/>
  <c r="BB121" i="39"/>
  <c r="J12" i="67"/>
  <c r="J11" i="67"/>
  <c r="B30" i="58"/>
  <c r="B60" i="58"/>
  <c r="C9" i="58"/>
  <c r="B20" i="58"/>
  <c r="B55" i="58"/>
  <c r="C4" i="58"/>
  <c r="C14" i="58"/>
  <c r="B38" i="58"/>
  <c r="C52" i="58"/>
  <c r="C57" i="58"/>
  <c r="C72" i="58"/>
  <c r="B40" i="58"/>
  <c r="C46" i="58"/>
  <c r="C12" i="58"/>
  <c r="B32" i="58"/>
  <c r="C44" i="58"/>
  <c r="C49" i="58"/>
  <c r="B53" i="58"/>
  <c r="B13" i="58"/>
  <c r="C13" i="58"/>
  <c r="B21" i="58"/>
  <c r="C21" i="58"/>
  <c r="C43" i="58"/>
  <c r="B43" i="58"/>
  <c r="C59" i="58"/>
  <c r="B59" i="58"/>
  <c r="B5" i="58"/>
  <c r="C5" i="58"/>
  <c r="B10" i="58"/>
  <c r="C17" i="58"/>
  <c r="C18" i="58"/>
  <c r="B18" i="58"/>
  <c r="B24" i="58"/>
  <c r="C34" i="58"/>
  <c r="B34" i="58"/>
  <c r="C51" i="58"/>
  <c r="B51" i="58"/>
  <c r="C73" i="58"/>
  <c r="B2" i="58"/>
  <c r="B8" i="58"/>
  <c r="C35" i="58"/>
  <c r="C36" i="58"/>
  <c r="B36" i="58"/>
  <c r="B47" i="58"/>
  <c r="C64" i="58"/>
  <c r="B64" i="58"/>
  <c r="B69" i="58"/>
  <c r="C69" i="58"/>
  <c r="C27" i="58"/>
  <c r="C28" i="58"/>
  <c r="B28" i="58"/>
  <c r="B45" i="58"/>
  <c r="C56" i="58"/>
  <c r="B56" i="58"/>
  <c r="B68" i="58"/>
  <c r="B6" i="58"/>
  <c r="B16" i="58"/>
  <c r="B22" i="58"/>
  <c r="B26" i="58"/>
  <c r="C31" i="58"/>
  <c r="C39" i="58"/>
  <c r="C61" i="58"/>
  <c r="C65" i="58"/>
  <c r="C3" i="58"/>
  <c r="B3" i="58"/>
  <c r="C29" i="58"/>
  <c r="B29" i="58"/>
  <c r="C11" i="58"/>
  <c r="B11" i="58"/>
  <c r="B19" i="58"/>
  <c r="C19" i="58"/>
  <c r="C37" i="58"/>
  <c r="B37" i="58"/>
  <c r="C7" i="58"/>
  <c r="B7" i="58"/>
  <c r="C33" i="58"/>
  <c r="B33" i="58"/>
  <c r="C41" i="58"/>
  <c r="B41" i="58"/>
  <c r="C50" i="58"/>
  <c r="B50" i="58"/>
  <c r="C15" i="58"/>
  <c r="C23" i="58"/>
  <c r="C25" i="58"/>
  <c r="B25" i="58"/>
  <c r="C54" i="58"/>
  <c r="B54" i="58"/>
  <c r="C42" i="58"/>
  <c r="C48" i="58"/>
  <c r="C58" i="58"/>
  <c r="B58" i="58"/>
  <c r="C62" i="58"/>
  <c r="B62" i="58"/>
  <c r="B63" i="58"/>
  <c r="C66" i="58"/>
  <c r="B66" i="58"/>
  <c r="B67" i="58"/>
  <c r="C70" i="58"/>
  <c r="B70" i="58"/>
  <c r="B71" i="58"/>
  <c r="AZ123" i="39"/>
  <c r="B6" i="35"/>
  <c r="J6" i="35"/>
  <c r="AU122" i="39"/>
  <c r="AW122" i="39"/>
  <c r="AZ122" i="39"/>
  <c r="AW126" i="39"/>
  <c r="BB129" i="39"/>
  <c r="AW133" i="39"/>
  <c r="AV132" i="39"/>
  <c r="BA125" i="39"/>
  <c r="AV129" i="39"/>
  <c r="BA132" i="39"/>
  <c r="AV130" i="39"/>
  <c r="AU125" i="39"/>
  <c r="AZ128" i="39"/>
  <c r="AU132" i="39"/>
  <c r="AW123" i="39"/>
  <c r="AW124" i="39"/>
  <c r="AV125" i="39"/>
  <c r="AU126" i="39"/>
  <c r="BA122" i="39"/>
  <c r="AV126" i="39"/>
  <c r="BA123" i="39"/>
  <c r="AV127" i="39"/>
  <c r="BA130" i="39"/>
  <c r="AV124" i="39"/>
  <c r="AU123" i="39"/>
  <c r="AZ126" i="39"/>
  <c r="AU130" i="39"/>
  <c r="BA133" i="39"/>
  <c r="BB132" i="39"/>
  <c r="BB125" i="39"/>
  <c r="AW129" i="39"/>
  <c r="AU133" i="39"/>
  <c r="AU127" i="39"/>
  <c r="BB127" i="39"/>
  <c r="BA128" i="39"/>
  <c r="BA129" i="39"/>
  <c r="AV122" i="39"/>
  <c r="BB128" i="39"/>
  <c r="AZ124" i="39"/>
  <c r="AU128" i="39"/>
  <c r="BA131" i="39"/>
  <c r="BB126" i="39"/>
  <c r="BB123" i="39"/>
  <c r="AW127" i="39"/>
  <c r="AU131" i="39"/>
  <c r="BB124" i="39"/>
  <c r="AV123" i="39"/>
  <c r="BA126" i="39"/>
  <c r="AW130" i="39"/>
  <c r="BB133" i="39"/>
  <c r="AZ130" i="39"/>
  <c r="AW131" i="39"/>
  <c r="AW132" i="39"/>
  <c r="AV133" i="39"/>
  <c r="BB122" i="39"/>
  <c r="AZ131" i="39"/>
  <c r="AW125" i="39"/>
  <c r="AU129" i="39"/>
  <c r="AZ132" i="39"/>
  <c r="AZ129" i="39"/>
  <c r="BA124" i="39"/>
  <c r="AW128" i="39"/>
  <c r="BB131" i="39"/>
  <c r="AZ127" i="39"/>
  <c r="AU124" i="39"/>
  <c r="BA127" i="39"/>
  <c r="AV131" i="39"/>
  <c r="AZ125" i="39"/>
  <c r="AV128" i="39"/>
  <c r="BB130" i="39"/>
  <c r="AZ133" i="39"/>
  <c r="J7" i="35"/>
  <c r="J8" i="35" s="1"/>
  <c r="J9" i="35" s="1"/>
  <c r="J10" i="35" s="1"/>
  <c r="J11" i="35" s="1"/>
  <c r="J12" i="35" s="1"/>
  <c r="J13" i="35" s="1"/>
  <c r="J14" i="35" s="1"/>
  <c r="B62" i="47"/>
  <c r="C63" i="47"/>
  <c r="C64" i="47"/>
  <c r="C65" i="47"/>
  <c r="B66" i="47"/>
  <c r="B67" i="47"/>
  <c r="C68" i="47"/>
  <c r="C69" i="47"/>
  <c r="B70" i="47"/>
  <c r="B71" i="47"/>
  <c r="C72" i="47"/>
  <c r="C73" i="47"/>
  <c r="C61" i="47"/>
  <c r="C60" i="47"/>
  <c r="C58" i="47"/>
  <c r="C56" i="47"/>
  <c r="C54" i="47"/>
  <c r="C52" i="47"/>
  <c r="C50" i="47"/>
  <c r="C48" i="47"/>
  <c r="C46" i="47"/>
  <c r="C44" i="47"/>
  <c r="C42" i="47"/>
  <c r="C40" i="47"/>
  <c r="C38" i="47"/>
  <c r="C37" i="47"/>
  <c r="B35" i="47"/>
  <c r="B33" i="47"/>
  <c r="B32" i="47"/>
  <c r="B31" i="47"/>
  <c r="B29" i="47"/>
  <c r="B28" i="47"/>
  <c r="B27" i="47"/>
  <c r="B25" i="47"/>
  <c r="B24" i="47"/>
  <c r="B23" i="47"/>
  <c r="B21" i="47"/>
  <c r="B20" i="47"/>
  <c r="B19" i="47"/>
  <c r="B17" i="47"/>
  <c r="B16" i="47"/>
  <c r="B15" i="47"/>
  <c r="B13" i="47"/>
  <c r="B12" i="47"/>
  <c r="B11" i="47"/>
  <c r="B9" i="47"/>
  <c r="B8" i="47"/>
  <c r="B7" i="47"/>
  <c r="B5" i="47"/>
  <c r="B4" i="47"/>
  <c r="B3" i="47"/>
  <c r="BY63" i="39"/>
  <c r="BY64" i="39"/>
  <c r="BY66" i="39"/>
  <c r="BY67" i="39"/>
  <c r="BY68" i="39"/>
  <c r="BY70" i="39"/>
  <c r="BY71" i="39"/>
  <c r="BY72" i="39"/>
  <c r="BY73" i="39"/>
  <c r="BY62" i="39"/>
  <c r="B73" i="41"/>
  <c r="C72" i="41"/>
  <c r="C71" i="41"/>
  <c r="C70" i="41"/>
  <c r="C69" i="41"/>
  <c r="C68" i="41"/>
  <c r="C67" i="41"/>
  <c r="B66" i="41"/>
  <c r="C65" i="41"/>
  <c r="B64" i="41"/>
  <c r="C63" i="41"/>
  <c r="B62" i="41"/>
  <c r="C61" i="41"/>
  <c r="B60" i="41"/>
  <c r="C59" i="41"/>
  <c r="B58" i="41"/>
  <c r="C57" i="41"/>
  <c r="B56" i="41"/>
  <c r="C55" i="41"/>
  <c r="B54" i="41"/>
  <c r="C53" i="41"/>
  <c r="C52" i="41"/>
  <c r="C51" i="41"/>
  <c r="B50" i="41"/>
  <c r="C49" i="41"/>
  <c r="C48" i="41"/>
  <c r="C47" i="41"/>
  <c r="C46" i="41"/>
  <c r="C45" i="41"/>
  <c r="C44" i="41"/>
  <c r="C43" i="41"/>
  <c r="B42" i="41"/>
  <c r="C41" i="41"/>
  <c r="C40" i="41"/>
  <c r="C39" i="41"/>
  <c r="C38" i="41"/>
  <c r="B37" i="41"/>
  <c r="B35" i="41"/>
  <c r="B33" i="41"/>
  <c r="B31" i="41"/>
  <c r="B29" i="41"/>
  <c r="B27" i="41"/>
  <c r="B25" i="41"/>
  <c r="B23" i="41"/>
  <c r="B21" i="41"/>
  <c r="B19" i="41"/>
  <c r="B17" i="41"/>
  <c r="B15" i="41"/>
  <c r="C13" i="41"/>
  <c r="B11" i="41"/>
  <c r="C9" i="41"/>
  <c r="C8" i="41"/>
  <c r="C7" i="41"/>
  <c r="C6" i="41"/>
  <c r="B5" i="41"/>
  <c r="C4" i="41"/>
  <c r="B3" i="41"/>
  <c r="C2" i="41"/>
  <c r="CB133" i="39"/>
  <c r="AQ133" i="39"/>
  <c r="AP133" i="39"/>
  <c r="B133" i="39"/>
  <c r="CB132" i="39"/>
  <c r="AQ132" i="39"/>
  <c r="AP132" i="39"/>
  <c r="B132" i="39"/>
  <c r="CB131" i="39"/>
  <c r="AQ131" i="39"/>
  <c r="AP131" i="39"/>
  <c r="B131" i="39"/>
  <c r="CB130" i="39"/>
  <c r="AQ130" i="39"/>
  <c r="AP130" i="39"/>
  <c r="B130" i="39"/>
  <c r="CB129" i="39"/>
  <c r="AQ129" i="39"/>
  <c r="N69" i="28" s="1"/>
  <c r="AP129" i="39"/>
  <c r="B129" i="39"/>
  <c r="CB128" i="39"/>
  <c r="AQ128" i="39"/>
  <c r="AP128" i="39"/>
  <c r="B128" i="39"/>
  <c r="CB127" i="39"/>
  <c r="AQ127" i="39"/>
  <c r="AP127" i="39"/>
  <c r="B127" i="39"/>
  <c r="CB126" i="39"/>
  <c r="AQ126" i="39"/>
  <c r="AP126" i="39"/>
  <c r="B126" i="39"/>
  <c r="CB125" i="39"/>
  <c r="AQ125" i="39"/>
  <c r="N65" i="28" s="1"/>
  <c r="AP125" i="39"/>
  <c r="B125" i="39"/>
  <c r="CB124" i="39"/>
  <c r="AQ124" i="39"/>
  <c r="AP124" i="39"/>
  <c r="B124" i="39"/>
  <c r="CB123" i="39"/>
  <c r="AQ123" i="39"/>
  <c r="N63" i="28" s="1"/>
  <c r="AP123" i="39"/>
  <c r="B123" i="39"/>
  <c r="CB122" i="39"/>
  <c r="AQ122" i="39"/>
  <c r="AP122" i="39"/>
  <c r="B122" i="39"/>
  <c r="AT121" i="39"/>
  <c r="AQ121" i="39"/>
  <c r="N61" i="28" s="1"/>
  <c r="AP121" i="39"/>
  <c r="B121" i="39"/>
  <c r="AT120" i="39"/>
  <c r="AQ120" i="39"/>
  <c r="AP120" i="39"/>
  <c r="B120" i="39"/>
  <c r="AT119" i="39"/>
  <c r="AQ119" i="39"/>
  <c r="N59" i="28" s="1"/>
  <c r="AP119" i="39"/>
  <c r="B119" i="39"/>
  <c r="AT118" i="39"/>
  <c r="AQ118" i="39"/>
  <c r="AP118" i="39"/>
  <c r="B118" i="39"/>
  <c r="AT117" i="39"/>
  <c r="AQ117" i="39"/>
  <c r="AP117" i="39"/>
  <c r="B117" i="39"/>
  <c r="AT116" i="39"/>
  <c r="AQ116" i="39"/>
  <c r="AP116" i="39"/>
  <c r="B116" i="39"/>
  <c r="AT115" i="39"/>
  <c r="AQ115" i="39"/>
  <c r="AP115" i="39"/>
  <c r="B115" i="39"/>
  <c r="AT114" i="39"/>
  <c r="AQ114" i="39"/>
  <c r="AP114" i="39"/>
  <c r="B114" i="39"/>
  <c r="AT113" i="39"/>
  <c r="AQ113" i="39"/>
  <c r="AP113" i="39"/>
  <c r="B113" i="39"/>
  <c r="AT112" i="39"/>
  <c r="AQ112" i="39"/>
  <c r="AP112" i="39"/>
  <c r="B112" i="39"/>
  <c r="AT111" i="39"/>
  <c r="AQ111" i="39"/>
  <c r="N51" i="28" s="1"/>
  <c r="AP111" i="39"/>
  <c r="B111" i="39"/>
  <c r="AT110" i="39"/>
  <c r="AQ110" i="39"/>
  <c r="AP110" i="39"/>
  <c r="B110" i="39"/>
  <c r="AT109" i="39"/>
  <c r="AQ109" i="39"/>
  <c r="N49" i="28" s="1"/>
  <c r="AP109" i="39"/>
  <c r="B109" i="39"/>
  <c r="AT108" i="39"/>
  <c r="AQ108" i="39"/>
  <c r="AP108" i="39"/>
  <c r="B108" i="39"/>
  <c r="AT107" i="39"/>
  <c r="AQ107" i="39"/>
  <c r="N47" i="28" s="1"/>
  <c r="AP107" i="39"/>
  <c r="B107" i="39"/>
  <c r="AT106" i="39"/>
  <c r="AQ106" i="39"/>
  <c r="AP106" i="39"/>
  <c r="B106" i="39"/>
  <c r="AT105" i="39"/>
  <c r="AQ105" i="39"/>
  <c r="N45" i="28" s="1"/>
  <c r="AP105" i="39"/>
  <c r="B105" i="39"/>
  <c r="AT104" i="39"/>
  <c r="AQ104" i="39"/>
  <c r="AP104" i="39"/>
  <c r="B104" i="39"/>
  <c r="AT103" i="39"/>
  <c r="AQ103" i="39"/>
  <c r="N43" i="28" s="1"/>
  <c r="AP103" i="39"/>
  <c r="B103" i="39"/>
  <c r="AT102" i="39"/>
  <c r="AQ102" i="39"/>
  <c r="AP102" i="39"/>
  <c r="B102" i="39"/>
  <c r="AT101" i="39"/>
  <c r="AQ101" i="39"/>
  <c r="AP101" i="39"/>
  <c r="B101" i="39"/>
  <c r="AT100" i="39"/>
  <c r="AQ100" i="39"/>
  <c r="AP100" i="39"/>
  <c r="B100" i="39"/>
  <c r="AT99" i="39"/>
  <c r="AQ99" i="39"/>
  <c r="AP99" i="39"/>
  <c r="B99" i="39"/>
  <c r="AT98" i="39"/>
  <c r="AQ98" i="39"/>
  <c r="AP98" i="39"/>
  <c r="B98" i="39"/>
  <c r="AT97" i="39"/>
  <c r="AQ97" i="39"/>
  <c r="AP97" i="39"/>
  <c r="B97" i="39"/>
  <c r="AT96" i="39"/>
  <c r="AQ96" i="39"/>
  <c r="AP96" i="39"/>
  <c r="B96" i="39"/>
  <c r="AT95" i="39"/>
  <c r="AQ95" i="39"/>
  <c r="N35" i="28" s="1"/>
  <c r="AP95" i="39"/>
  <c r="B95" i="39"/>
  <c r="AT94" i="39"/>
  <c r="AQ94" i="39"/>
  <c r="AP94" i="39"/>
  <c r="B94" i="39"/>
  <c r="AT93" i="39"/>
  <c r="AQ93" i="39"/>
  <c r="N33" i="28" s="1"/>
  <c r="AP93" i="39"/>
  <c r="B93" i="39"/>
  <c r="AT92" i="39"/>
  <c r="AQ92" i="39"/>
  <c r="AP92" i="39"/>
  <c r="B92" i="39"/>
  <c r="AT91" i="39"/>
  <c r="AQ91" i="39"/>
  <c r="N31" i="28" s="1"/>
  <c r="AP91" i="39"/>
  <c r="B91" i="39"/>
  <c r="AT90" i="39"/>
  <c r="AQ90" i="39"/>
  <c r="AP90" i="39"/>
  <c r="B90" i="39"/>
  <c r="AT89" i="39"/>
  <c r="AQ89" i="39"/>
  <c r="N29" i="28" s="1"/>
  <c r="AP89" i="39"/>
  <c r="B89" i="39"/>
  <c r="AT88" i="39"/>
  <c r="AQ88" i="39"/>
  <c r="AP88" i="39"/>
  <c r="B88" i="39"/>
  <c r="AT87" i="39"/>
  <c r="AQ87" i="39"/>
  <c r="N27" i="28" s="1"/>
  <c r="AP87" i="39"/>
  <c r="B87" i="39"/>
  <c r="AT86" i="39"/>
  <c r="AQ86" i="39"/>
  <c r="AP86" i="39"/>
  <c r="B86" i="39"/>
  <c r="AT85" i="39"/>
  <c r="AQ85" i="39"/>
  <c r="AP85" i="39"/>
  <c r="B85" i="39"/>
  <c r="AT84" i="39"/>
  <c r="AQ84" i="39"/>
  <c r="AP84" i="39"/>
  <c r="B84" i="39"/>
  <c r="AT83" i="39"/>
  <c r="AQ83" i="39"/>
  <c r="AP83" i="39"/>
  <c r="B83" i="39"/>
  <c r="AT82" i="39"/>
  <c r="AQ82" i="39"/>
  <c r="AP82" i="39"/>
  <c r="B82" i="39"/>
  <c r="AT81" i="39"/>
  <c r="AQ81" i="39"/>
  <c r="AP81" i="39"/>
  <c r="B81" i="39"/>
  <c r="AT80" i="39"/>
  <c r="AQ80" i="39"/>
  <c r="AP80" i="39"/>
  <c r="B80" i="39"/>
  <c r="AT79" i="39"/>
  <c r="AQ79" i="39"/>
  <c r="N19" i="28" s="1"/>
  <c r="AP79" i="39"/>
  <c r="B79" i="39"/>
  <c r="AT78" i="39"/>
  <c r="AQ78" i="39"/>
  <c r="AP78" i="39"/>
  <c r="B78" i="39"/>
  <c r="AT77" i="39"/>
  <c r="AQ77" i="39"/>
  <c r="N17" i="28" s="1"/>
  <c r="AP77" i="39"/>
  <c r="B77" i="39"/>
  <c r="AT76" i="39"/>
  <c r="AQ76" i="39"/>
  <c r="AP76" i="39"/>
  <c r="B76" i="39"/>
  <c r="AT75" i="39"/>
  <c r="AQ75" i="39"/>
  <c r="N15" i="28" s="1"/>
  <c r="AP75" i="39"/>
  <c r="B75" i="39"/>
  <c r="AT74" i="39"/>
  <c r="AQ74" i="39"/>
  <c r="AP74" i="39"/>
  <c r="B74" i="39"/>
  <c r="AT73" i="39"/>
  <c r="AQ73" i="39"/>
  <c r="N13" i="28" s="1"/>
  <c r="AP73" i="39"/>
  <c r="B73" i="39"/>
  <c r="AT72" i="39"/>
  <c r="AQ72" i="39"/>
  <c r="AP72" i="39"/>
  <c r="B72" i="39"/>
  <c r="AT71" i="39"/>
  <c r="AQ71" i="39"/>
  <c r="N11" i="28" s="1"/>
  <c r="AP71" i="39"/>
  <c r="B71" i="39"/>
  <c r="AT70" i="39"/>
  <c r="AQ70" i="39"/>
  <c r="N10" i="28" s="1"/>
  <c r="AP70" i="39"/>
  <c r="B70" i="39"/>
  <c r="AT69" i="39"/>
  <c r="AQ69" i="39"/>
  <c r="AP69" i="39"/>
  <c r="B69" i="39"/>
  <c r="AT68" i="39"/>
  <c r="AQ68" i="39"/>
  <c r="AP68" i="39"/>
  <c r="B68" i="39"/>
  <c r="AT67" i="39"/>
  <c r="AQ67" i="39"/>
  <c r="AP67" i="39"/>
  <c r="B67" i="39"/>
  <c r="AT66" i="39"/>
  <c r="AQ66" i="39"/>
  <c r="AP66" i="39"/>
  <c r="B66" i="39"/>
  <c r="AT65" i="39"/>
  <c r="AQ65" i="39"/>
  <c r="AP65" i="39"/>
  <c r="B65" i="39"/>
  <c r="AT64" i="39"/>
  <c r="AQ64" i="39"/>
  <c r="AP64" i="39"/>
  <c r="B64" i="39"/>
  <c r="AT63" i="39"/>
  <c r="AQ63" i="39"/>
  <c r="N3" i="28" s="1"/>
  <c r="AP63" i="39"/>
  <c r="B63" i="39"/>
  <c r="AT62" i="39"/>
  <c r="AQ62" i="39"/>
  <c r="AP62" i="39"/>
  <c r="B62" i="39"/>
  <c r="AT61" i="39"/>
  <c r="AQ61" i="39"/>
  <c r="AP61" i="39"/>
  <c r="B61" i="39"/>
  <c r="AT60" i="39"/>
  <c r="AQ60" i="39"/>
  <c r="AP60" i="39"/>
  <c r="B60" i="39"/>
  <c r="AT59" i="39"/>
  <c r="AQ59" i="39"/>
  <c r="AP59" i="39"/>
  <c r="B59" i="39"/>
  <c r="AT58" i="39"/>
  <c r="AQ58" i="39"/>
  <c r="AP58" i="39"/>
  <c r="B58" i="39"/>
  <c r="AT57" i="39"/>
  <c r="AQ57" i="39"/>
  <c r="AP57" i="39"/>
  <c r="B57" i="39"/>
  <c r="AT56" i="39"/>
  <c r="AQ56" i="39"/>
  <c r="AP56" i="39"/>
  <c r="B56" i="39"/>
  <c r="AT55" i="39"/>
  <c r="AQ55" i="39"/>
  <c r="AP55" i="39"/>
  <c r="B55" i="39"/>
  <c r="AT54" i="39"/>
  <c r="AQ54" i="39"/>
  <c r="AP54" i="39"/>
  <c r="B54" i="39"/>
  <c r="AT53" i="39"/>
  <c r="AQ53" i="39"/>
  <c r="AP53" i="39"/>
  <c r="B53" i="39"/>
  <c r="AT52" i="39"/>
  <c r="AQ52" i="39"/>
  <c r="AP52" i="39"/>
  <c r="B52" i="39"/>
  <c r="AT51" i="39"/>
  <c r="AQ51" i="39"/>
  <c r="AP51" i="39"/>
  <c r="B51" i="39"/>
  <c r="AT50" i="39"/>
  <c r="AQ50" i="39"/>
  <c r="AP50" i="39"/>
  <c r="B50" i="39"/>
  <c r="N6" i="28"/>
  <c r="N8" i="28"/>
  <c r="N48" i="28"/>
  <c r="N50" i="28"/>
  <c r="N66" i="28"/>
  <c r="N20" i="28"/>
  <c r="N38" i="28"/>
  <c r="N42" i="28"/>
  <c r="N7" i="28"/>
  <c r="N9" i="28"/>
  <c r="N23" i="28"/>
  <c r="N25" i="28"/>
  <c r="N39" i="28"/>
  <c r="N41" i="28"/>
  <c r="N55" i="28"/>
  <c r="N57" i="28"/>
  <c r="N73" i="28"/>
  <c r="N12" i="28"/>
  <c r="N16" i="28"/>
  <c r="N18" i="28"/>
  <c r="N22" i="28"/>
  <c r="N26" i="28"/>
  <c r="N32" i="28"/>
  <c r="N40" i="28"/>
  <c r="N46" i="28"/>
  <c r="N56" i="28"/>
  <c r="N58" i="28"/>
  <c r="N60" i="28"/>
  <c r="C15" i="47"/>
  <c r="B68" i="47"/>
  <c r="B72" i="47"/>
  <c r="B64" i="47"/>
  <c r="B44" i="47"/>
  <c r="C70" i="47"/>
  <c r="C66" i="47"/>
  <c r="C62" i="47"/>
  <c r="C71" i="47"/>
  <c r="C67" i="47"/>
  <c r="B63" i="47"/>
  <c r="BY65" i="39"/>
  <c r="BY77" i="39" s="1"/>
  <c r="B73" i="47"/>
  <c r="B69" i="47"/>
  <c r="B65" i="47"/>
  <c r="C3" i="47"/>
  <c r="C23" i="47"/>
  <c r="C32" i="47"/>
  <c r="B54" i="47"/>
  <c r="C9" i="47"/>
  <c r="C12" i="47"/>
  <c r="C20" i="47"/>
  <c r="C31" i="47"/>
  <c r="B42" i="47"/>
  <c r="B48" i="47"/>
  <c r="B58" i="47"/>
  <c r="C5" i="47"/>
  <c r="C8" i="47"/>
  <c r="C11" i="47"/>
  <c r="C19" i="47"/>
  <c r="C25" i="47"/>
  <c r="C28" i="47"/>
  <c r="B46" i="47"/>
  <c r="B52" i="47"/>
  <c r="B60" i="47"/>
  <c r="C4" i="47"/>
  <c r="C7" i="47"/>
  <c r="C16" i="47"/>
  <c r="C24" i="47"/>
  <c r="C27" i="47"/>
  <c r="C35" i="47"/>
  <c r="B40" i="47"/>
  <c r="B50" i="47"/>
  <c r="B56" i="47"/>
  <c r="C13" i="47"/>
  <c r="B14" i="47"/>
  <c r="C14" i="47"/>
  <c r="C29" i="47"/>
  <c r="B30" i="47"/>
  <c r="C30" i="47"/>
  <c r="B38" i="47"/>
  <c r="C39" i="47"/>
  <c r="B39" i="47"/>
  <c r="C43" i="47"/>
  <c r="B43" i="47"/>
  <c r="C47" i="47"/>
  <c r="B47" i="47"/>
  <c r="C51" i="47"/>
  <c r="B51" i="47"/>
  <c r="C55" i="47"/>
  <c r="B55" i="47"/>
  <c r="C59" i="47"/>
  <c r="B59" i="47"/>
  <c r="B10" i="47"/>
  <c r="C10" i="47"/>
  <c r="B2" i="47"/>
  <c r="C2" i="47"/>
  <c r="C17" i="47"/>
  <c r="B18" i="47"/>
  <c r="C18" i="47"/>
  <c r="C33" i="47"/>
  <c r="B34" i="47"/>
  <c r="C34" i="47"/>
  <c r="B26" i="47"/>
  <c r="C26" i="47"/>
  <c r="B6" i="47"/>
  <c r="C6" i="47"/>
  <c r="C21" i="47"/>
  <c r="B22" i="47"/>
  <c r="C22" i="47"/>
  <c r="C41" i="47"/>
  <c r="B41" i="47"/>
  <c r="C45" i="47"/>
  <c r="B45" i="47"/>
  <c r="C49" i="47"/>
  <c r="B49" i="47"/>
  <c r="C53" i="47"/>
  <c r="B53" i="47"/>
  <c r="C57" i="47"/>
  <c r="B57" i="47"/>
  <c r="C36" i="47"/>
  <c r="B36" i="47"/>
  <c r="B37" i="47"/>
  <c r="B61" i="47"/>
  <c r="C19" i="41"/>
  <c r="C23" i="41"/>
  <c r="B41" i="41"/>
  <c r="B63" i="41"/>
  <c r="C35" i="41"/>
  <c r="B49" i="41"/>
  <c r="B67" i="41"/>
  <c r="B2" i="41"/>
  <c r="B9" i="41"/>
  <c r="C11" i="41"/>
  <c r="C27" i="41"/>
  <c r="B40" i="41"/>
  <c r="B48" i="41"/>
  <c r="B55" i="41"/>
  <c r="C15" i="41"/>
  <c r="C31" i="41"/>
  <c r="C42" i="41"/>
  <c r="C50" i="41"/>
  <c r="B59" i="41"/>
  <c r="B7" i="41"/>
  <c r="B8" i="41"/>
  <c r="B13" i="41"/>
  <c r="B38" i="41"/>
  <c r="B39" i="41"/>
  <c r="B46" i="41"/>
  <c r="B47" i="41"/>
  <c r="C54" i="41"/>
  <c r="C58" i="41"/>
  <c r="C62" i="41"/>
  <c r="C66" i="41"/>
  <c r="B69" i="41"/>
  <c r="C5" i="41"/>
  <c r="B6" i="41"/>
  <c r="C17" i="41"/>
  <c r="C21" i="41"/>
  <c r="C25" i="41"/>
  <c r="C29" i="41"/>
  <c r="C33" i="41"/>
  <c r="C37" i="41"/>
  <c r="B44" i="41"/>
  <c r="B45" i="41"/>
  <c r="B52" i="41"/>
  <c r="B53" i="41"/>
  <c r="B57" i="41"/>
  <c r="B61" i="41"/>
  <c r="B65" i="41"/>
  <c r="B71" i="41"/>
  <c r="C3" i="41"/>
  <c r="B4" i="41"/>
  <c r="B43" i="41"/>
  <c r="B51" i="41"/>
  <c r="C56" i="41"/>
  <c r="C60" i="41"/>
  <c r="C64" i="41"/>
  <c r="C18" i="41"/>
  <c r="B18" i="41"/>
  <c r="C22" i="41"/>
  <c r="B22" i="41"/>
  <c r="C26" i="41"/>
  <c r="B26" i="41"/>
  <c r="C30" i="41"/>
  <c r="B30" i="41"/>
  <c r="C34" i="41"/>
  <c r="B34" i="41"/>
  <c r="C16" i="41"/>
  <c r="B16" i="41"/>
  <c r="C20" i="41"/>
  <c r="B20" i="41"/>
  <c r="C24" i="41"/>
  <c r="B24" i="41"/>
  <c r="C28" i="41"/>
  <c r="B28" i="41"/>
  <c r="C32" i="41"/>
  <c r="B32" i="41"/>
  <c r="C36" i="41"/>
  <c r="B36" i="41"/>
  <c r="C10" i="41"/>
  <c r="B10" i="41"/>
  <c r="C12" i="41"/>
  <c r="B12" i="41"/>
  <c r="C14" i="41"/>
  <c r="B14" i="41"/>
  <c r="C73" i="41"/>
  <c r="B68" i="41"/>
  <c r="B70" i="41"/>
  <c r="B72" i="41"/>
  <c r="BZ63" i="39"/>
  <c r="BZ75" i="39" s="1"/>
  <c r="BZ87" i="39" s="1"/>
  <c r="BZ99" i="39" s="1"/>
  <c r="BZ111" i="39" s="1"/>
  <c r="BZ123" i="39" s="1"/>
  <c r="BZ135" i="39" s="1"/>
  <c r="BZ147" i="39" s="1"/>
  <c r="BZ159" i="39" s="1"/>
  <c r="CA53" i="39"/>
  <c r="BZ69" i="39"/>
  <c r="BZ81" i="39" s="1"/>
  <c r="BZ93" i="39" s="1"/>
  <c r="BZ105" i="39" s="1"/>
  <c r="BZ117" i="39" s="1"/>
  <c r="BZ129" i="39" s="1"/>
  <c r="BZ141" i="39" s="1"/>
  <c r="BZ153" i="39" s="1"/>
  <c r="BZ165" i="39" s="1"/>
  <c r="CA50" i="39"/>
  <c r="CA61" i="39"/>
  <c r="BZ70" i="39"/>
  <c r="BZ82" i="39" s="1"/>
  <c r="BZ94" i="39" s="1"/>
  <c r="BZ106" i="39" s="1"/>
  <c r="BZ118" i="39" s="1"/>
  <c r="BZ130" i="39" s="1"/>
  <c r="BZ142" i="39" s="1"/>
  <c r="BZ154" i="39" s="1"/>
  <c r="BZ166" i="39" s="1"/>
  <c r="BZ72" i="39"/>
  <c r="BZ84" i="39" s="1"/>
  <c r="BZ96" i="39" s="1"/>
  <c r="BZ108" i="39" s="1"/>
  <c r="BZ120" i="39" s="1"/>
  <c r="BZ132" i="39" s="1"/>
  <c r="BZ144" i="39" s="1"/>
  <c r="BZ156" i="39" s="1"/>
  <c r="BZ168" i="39" s="1"/>
  <c r="BZ64" i="39"/>
  <c r="BZ76" i="39" s="1"/>
  <c r="BZ88" i="39" s="1"/>
  <c r="BZ100" i="39" s="1"/>
  <c r="BZ112" i="39" s="1"/>
  <c r="BZ124" i="39" s="1"/>
  <c r="BZ136" i="39" s="1"/>
  <c r="BZ148" i="39" s="1"/>
  <c r="BZ160" i="39" s="1"/>
  <c r="BZ68" i="39"/>
  <c r="BZ80" i="39" s="1"/>
  <c r="BZ92" i="39" s="1"/>
  <c r="BZ104" i="39" s="1"/>
  <c r="BZ116" i="39" s="1"/>
  <c r="BZ128" i="39" s="1"/>
  <c r="BZ140" i="39" s="1"/>
  <c r="BZ152" i="39" s="1"/>
  <c r="BZ164" i="39" s="1"/>
  <c r="BZ73" i="39"/>
  <c r="BZ65" i="39"/>
  <c r="BZ77" i="39" s="1"/>
  <c r="BZ89" i="39" s="1"/>
  <c r="BZ101" i="39" s="1"/>
  <c r="BZ113" i="39" s="1"/>
  <c r="BZ125" i="39" s="1"/>
  <c r="BZ137" i="39" s="1"/>
  <c r="BZ149" i="39" s="1"/>
  <c r="BZ161" i="39" s="1"/>
  <c r="BZ66" i="39"/>
  <c r="BZ78" i="39" s="1"/>
  <c r="BZ90" i="39" s="1"/>
  <c r="BZ102" i="39" s="1"/>
  <c r="BZ114" i="39" s="1"/>
  <c r="BZ126" i="39" s="1"/>
  <c r="BZ138" i="39" s="1"/>
  <c r="BZ150" i="39" s="1"/>
  <c r="BZ162" i="39" s="1"/>
  <c r="CA56" i="39"/>
  <c r="B47" i="36"/>
  <c r="B59" i="36" s="1"/>
  <c r="B46" i="36"/>
  <c r="B58" i="36" s="1"/>
  <c r="B45" i="36"/>
  <c r="B57" i="36" s="1"/>
  <c r="B44" i="36"/>
  <c r="B56" i="36" s="1"/>
  <c r="B43" i="36"/>
  <c r="B55" i="36" s="1"/>
  <c r="B42" i="36"/>
  <c r="B54" i="36" s="1"/>
  <c r="B41" i="36"/>
  <c r="B53" i="36" s="1"/>
  <c r="B36" i="36"/>
  <c r="B35" i="36"/>
  <c r="B17" i="36"/>
  <c r="B26" i="36" s="1"/>
  <c r="B34" i="36" s="1"/>
  <c r="B33" i="36"/>
  <c r="B20" i="36"/>
  <c r="B19" i="36"/>
  <c r="B18" i="36"/>
  <c r="B16" i="36"/>
  <c r="B15" i="36"/>
  <c r="B14" i="36"/>
  <c r="D134" i="9"/>
  <c r="E134" i="9"/>
  <c r="I134" i="9"/>
  <c r="F134" i="9"/>
  <c r="G134" i="9"/>
  <c r="H134" i="9"/>
  <c r="C134" i="9"/>
  <c r="B5" i="32"/>
  <c r="B6" i="32" s="1"/>
  <c r="B7" i="32" s="1"/>
  <c r="AI6" i="33"/>
  <c r="AI7" i="33" s="1"/>
  <c r="AI8" i="33" s="1"/>
  <c r="AO6" i="33"/>
  <c r="BA6" i="33"/>
  <c r="AU6" i="33"/>
  <c r="B6" i="33"/>
  <c r="B7" i="33" s="1"/>
  <c r="B8" i="33" s="1"/>
  <c r="B9" i="33" s="1"/>
  <c r="B10" i="33" s="1"/>
  <c r="B11" i="33" s="1"/>
  <c r="B12" i="33" s="1"/>
  <c r="B13" i="33" s="1"/>
  <c r="B14" i="33" s="1"/>
  <c r="B15" i="33" s="1"/>
  <c r="B16" i="33" s="1"/>
  <c r="M6" i="33"/>
  <c r="M7" i="33" s="1"/>
  <c r="M8" i="33" s="1"/>
  <c r="AO7" i="33"/>
  <c r="AO8" i="33" s="1"/>
  <c r="AO9" i="33" s="1"/>
  <c r="AO10" i="33" s="1"/>
  <c r="BA7" i="33"/>
  <c r="BA8" i="33" s="1"/>
  <c r="BA9" i="33" s="1"/>
  <c r="BA10" i="33" s="1"/>
  <c r="BA11" i="33" s="1"/>
  <c r="X6" i="33"/>
  <c r="X7" i="33" s="1"/>
  <c r="X8" i="33" s="1"/>
  <c r="X9" i="33" s="1"/>
  <c r="X10" i="33" s="1"/>
  <c r="X11" i="33" s="1"/>
  <c r="X12" i="33" s="1"/>
  <c r="X13" i="33" s="1"/>
  <c r="X14" i="33" s="1"/>
  <c r="X15" i="33" s="1"/>
  <c r="X16" i="33" s="1"/>
  <c r="AU7" i="33"/>
  <c r="AU8" i="33" s="1"/>
  <c r="AU9" i="33" s="1"/>
  <c r="AU10" i="33" s="1"/>
  <c r="AU11" i="33" s="1"/>
  <c r="AU12" i="33" s="1"/>
  <c r="AU13" i="33" s="1"/>
  <c r="AU14" i="33" s="1"/>
  <c r="Q148" i="7" l="1"/>
  <c r="Q160" i="7" s="1"/>
  <c r="Q156" i="7"/>
  <c r="Q168" i="7" s="1"/>
  <c r="Q151" i="7"/>
  <c r="Q163" i="7" s="1"/>
  <c r="Q154" i="7"/>
  <c r="Q166" i="7" s="1"/>
  <c r="Q149" i="7"/>
  <c r="Q161" i="7" s="1"/>
  <c r="Q150" i="7"/>
  <c r="Q162" i="7" s="1"/>
  <c r="Q152" i="7"/>
  <c r="Q164" i="7" s="1"/>
  <c r="Q153" i="7"/>
  <c r="Q165" i="7" s="1"/>
  <c r="Q155" i="7"/>
  <c r="Q167" i="7" s="1"/>
  <c r="Q145" i="7"/>
  <c r="Q157" i="7" s="1"/>
  <c r="Q169" i="7" s="1"/>
  <c r="Q147" i="7"/>
  <c r="Q159" i="7" s="1"/>
  <c r="Q171" i="7" s="1"/>
  <c r="Q146" i="7"/>
  <c r="Q158" i="7" s="1"/>
  <c r="Q170" i="7" s="1"/>
  <c r="B7" i="35"/>
  <c r="B8" i="35" s="1"/>
  <c r="B9" i="35" s="1"/>
  <c r="B10" i="35" s="1"/>
  <c r="B11" i="35" s="1"/>
  <c r="B12" i="35" s="1"/>
  <c r="B13" i="35" s="1"/>
  <c r="B14" i="35" s="1"/>
  <c r="P7" i="35"/>
  <c r="P8" i="35" s="1"/>
  <c r="P9" i="35" s="1"/>
  <c r="P10" i="35" s="1"/>
  <c r="P11" i="35" s="1"/>
  <c r="P12" i="35" s="1"/>
  <c r="P13" i="35" s="1"/>
  <c r="P14" i="35" s="1"/>
  <c r="D12" i="26"/>
  <c r="D13" i="26"/>
  <c r="T74" i="98"/>
  <c r="S74" i="98"/>
  <c r="R74" i="98"/>
  <c r="T70" i="98"/>
  <c r="S70" i="98"/>
  <c r="R70" i="98"/>
  <c r="T66" i="98"/>
  <c r="S66" i="98"/>
  <c r="R66" i="98"/>
  <c r="T62" i="98"/>
  <c r="S62" i="98"/>
  <c r="R62" i="98"/>
  <c r="T58" i="98"/>
  <c r="S58" i="98"/>
  <c r="R58" i="98"/>
  <c r="T54" i="98"/>
  <c r="S54" i="98"/>
  <c r="R54" i="98"/>
  <c r="T50" i="98"/>
  <c r="S50" i="98"/>
  <c r="R50" i="98"/>
  <c r="T46" i="98"/>
  <c r="S46" i="98"/>
  <c r="R46" i="98"/>
  <c r="T42" i="98"/>
  <c r="S42" i="98"/>
  <c r="R42" i="98"/>
  <c r="T38" i="98"/>
  <c r="S38" i="98"/>
  <c r="R38" i="98"/>
  <c r="T34" i="98"/>
  <c r="S34" i="98"/>
  <c r="R34" i="98"/>
  <c r="T30" i="98"/>
  <c r="S30" i="98"/>
  <c r="R30" i="98"/>
  <c r="T26" i="98"/>
  <c r="S26" i="98"/>
  <c r="R26" i="98"/>
  <c r="T22" i="98"/>
  <c r="S22" i="98"/>
  <c r="R22" i="98"/>
  <c r="T18" i="98"/>
  <c r="S18" i="98"/>
  <c r="R18" i="98"/>
  <c r="T14" i="98"/>
  <c r="S14" i="98"/>
  <c r="R14" i="98"/>
  <c r="T10" i="98"/>
  <c r="S10" i="98"/>
  <c r="R10" i="98"/>
  <c r="T6" i="98"/>
  <c r="S6" i="98"/>
  <c r="R6" i="98"/>
  <c r="T86" i="98"/>
  <c r="S86" i="98"/>
  <c r="R86" i="98"/>
  <c r="T82" i="98"/>
  <c r="S82" i="98"/>
  <c r="R82" i="98"/>
  <c r="T78" i="98"/>
  <c r="S78" i="98"/>
  <c r="R78" i="98"/>
  <c r="T73" i="98"/>
  <c r="S73" i="98"/>
  <c r="R73" i="98"/>
  <c r="T69" i="98"/>
  <c r="S69" i="98"/>
  <c r="R69" i="98"/>
  <c r="T65" i="98"/>
  <c r="S65" i="98"/>
  <c r="R65" i="98"/>
  <c r="T61" i="98"/>
  <c r="S61" i="98"/>
  <c r="R61" i="98"/>
  <c r="T57" i="98"/>
  <c r="S57" i="98"/>
  <c r="R57" i="98"/>
  <c r="T53" i="98"/>
  <c r="S53" i="98"/>
  <c r="R53" i="98"/>
  <c r="T49" i="98"/>
  <c r="S49" i="98"/>
  <c r="R49" i="98"/>
  <c r="T45" i="98"/>
  <c r="S45" i="98"/>
  <c r="R45" i="98"/>
  <c r="T41" i="98"/>
  <c r="S41" i="98"/>
  <c r="R41" i="98"/>
  <c r="T37" i="98"/>
  <c r="S37" i="98"/>
  <c r="R37" i="98"/>
  <c r="T33" i="98"/>
  <c r="S33" i="98"/>
  <c r="R33" i="98"/>
  <c r="T29" i="98"/>
  <c r="S29" i="98"/>
  <c r="R29" i="98"/>
  <c r="T25" i="98"/>
  <c r="S25" i="98"/>
  <c r="R25" i="98"/>
  <c r="T21" i="98"/>
  <c r="S21" i="98"/>
  <c r="R21" i="98"/>
  <c r="T17" i="98"/>
  <c r="S17" i="98"/>
  <c r="R17" i="98"/>
  <c r="T13" i="98"/>
  <c r="S13" i="98"/>
  <c r="R13" i="98"/>
  <c r="T9" i="98"/>
  <c r="S9" i="98"/>
  <c r="R9" i="98"/>
  <c r="T5" i="98"/>
  <c r="S5" i="98"/>
  <c r="R5" i="98"/>
  <c r="Q5" i="98"/>
  <c r="T85" i="98"/>
  <c r="S85" i="98"/>
  <c r="R85" i="98"/>
  <c r="T81" i="98"/>
  <c r="S81" i="98"/>
  <c r="R81" i="98"/>
  <c r="T77" i="98"/>
  <c r="S77" i="98"/>
  <c r="R77" i="98"/>
  <c r="T72" i="98"/>
  <c r="S72" i="98"/>
  <c r="R72" i="98"/>
  <c r="T68" i="98"/>
  <c r="S68" i="98"/>
  <c r="R68" i="98"/>
  <c r="T64" i="98"/>
  <c r="S64" i="98"/>
  <c r="R64" i="98"/>
  <c r="T60" i="98"/>
  <c r="S60" i="98"/>
  <c r="R60" i="98"/>
  <c r="T56" i="98"/>
  <c r="S56" i="98"/>
  <c r="R56" i="98"/>
  <c r="T52" i="98"/>
  <c r="S52" i="98"/>
  <c r="R52" i="98"/>
  <c r="T48" i="98"/>
  <c r="S48" i="98"/>
  <c r="R48" i="98"/>
  <c r="T44" i="98"/>
  <c r="S44" i="98"/>
  <c r="R44" i="98"/>
  <c r="T40" i="98"/>
  <c r="S40" i="98"/>
  <c r="R40" i="98"/>
  <c r="T36" i="98"/>
  <c r="S36" i="98"/>
  <c r="R36" i="98"/>
  <c r="T32" i="98"/>
  <c r="S32" i="98"/>
  <c r="R32" i="98"/>
  <c r="T28" i="98"/>
  <c r="S28" i="98"/>
  <c r="R28" i="98"/>
  <c r="T24" i="98"/>
  <c r="S24" i="98"/>
  <c r="R24" i="98"/>
  <c r="T20" i="98"/>
  <c r="S20" i="98"/>
  <c r="R20" i="98"/>
  <c r="T16" i="98"/>
  <c r="S16" i="98"/>
  <c r="R16" i="98"/>
  <c r="T12" i="98"/>
  <c r="S12" i="98"/>
  <c r="R12" i="98"/>
  <c r="T8" i="98"/>
  <c r="S8" i="98"/>
  <c r="R8" i="98"/>
  <c r="T4" i="98"/>
  <c r="S4" i="98"/>
  <c r="R4" i="98"/>
  <c r="Q4" i="98"/>
  <c r="T84" i="98"/>
  <c r="S84" i="98"/>
  <c r="R84" i="98"/>
  <c r="T80" i="98"/>
  <c r="S80" i="98"/>
  <c r="R80" i="98"/>
  <c r="T76" i="98"/>
  <c r="S76" i="98"/>
  <c r="R76" i="98"/>
  <c r="T75" i="98"/>
  <c r="S75" i="98"/>
  <c r="R75" i="98"/>
  <c r="T71" i="98"/>
  <c r="S71" i="98"/>
  <c r="R71" i="98"/>
  <c r="T67" i="98"/>
  <c r="S67" i="98"/>
  <c r="R67" i="98"/>
  <c r="T63" i="98"/>
  <c r="S63" i="98"/>
  <c r="R63" i="98"/>
  <c r="T59" i="98"/>
  <c r="S59" i="98"/>
  <c r="R59" i="98"/>
  <c r="T55" i="98"/>
  <c r="S55" i="98"/>
  <c r="R55" i="98"/>
  <c r="T51" i="98"/>
  <c r="S51" i="98"/>
  <c r="R51" i="98"/>
  <c r="T47" i="98"/>
  <c r="S47" i="98"/>
  <c r="R47" i="98"/>
  <c r="T43" i="98"/>
  <c r="S43" i="98"/>
  <c r="R43" i="98"/>
  <c r="T39" i="98"/>
  <c r="S39" i="98"/>
  <c r="R39" i="98"/>
  <c r="T35" i="98"/>
  <c r="S35" i="98"/>
  <c r="R35" i="98"/>
  <c r="T31" i="98"/>
  <c r="S31" i="98"/>
  <c r="R31" i="98"/>
  <c r="T27" i="98"/>
  <c r="S27" i="98"/>
  <c r="R27" i="98"/>
  <c r="T23" i="98"/>
  <c r="S23" i="98"/>
  <c r="R23" i="98"/>
  <c r="T19" i="98"/>
  <c r="S19" i="98"/>
  <c r="R19" i="98"/>
  <c r="T15" i="98"/>
  <c r="S15" i="98"/>
  <c r="R15" i="98"/>
  <c r="T11" i="98"/>
  <c r="S11" i="98"/>
  <c r="R11" i="98"/>
  <c r="T7" i="98"/>
  <c r="S7" i="98"/>
  <c r="R7" i="98"/>
  <c r="R3" i="98"/>
  <c r="P3" i="98"/>
  <c r="T3" i="98"/>
  <c r="S3" i="98"/>
  <c r="Q3" i="98"/>
  <c r="H180" i="7"/>
  <c r="E180" i="7"/>
  <c r="J180" i="7"/>
  <c r="G180" i="7"/>
  <c r="L180" i="7"/>
  <c r="I180" i="7"/>
  <c r="N180" i="7"/>
  <c r="P180" i="7"/>
  <c r="M180" i="7"/>
  <c r="K180" i="7"/>
  <c r="D180" i="7"/>
  <c r="F180" i="7"/>
  <c r="O180" i="7"/>
  <c r="E182" i="7"/>
  <c r="J182" i="7"/>
  <c r="G182" i="7"/>
  <c r="P181" i="7"/>
  <c r="D181" i="7"/>
  <c r="D192" i="7" s="1"/>
  <c r="O181" i="7"/>
  <c r="H182" i="7"/>
  <c r="I182" i="7"/>
  <c r="N182" i="7"/>
  <c r="K182" i="7"/>
  <c r="E181" i="7"/>
  <c r="F181" i="7"/>
  <c r="G181" i="7"/>
  <c r="L182" i="7"/>
  <c r="M182" i="7"/>
  <c r="D182" i="7"/>
  <c r="H181" i="7"/>
  <c r="I181" i="7"/>
  <c r="J181" i="7"/>
  <c r="K181" i="7"/>
  <c r="P182" i="7"/>
  <c r="F182" i="7"/>
  <c r="O182" i="7"/>
  <c r="L181" i="7"/>
  <c r="L192" i="7" s="1"/>
  <c r="M181" i="7"/>
  <c r="M192" i="7" s="1"/>
  <c r="N181" i="7"/>
  <c r="N192" i="7" s="1"/>
  <c r="H183" i="7"/>
  <c r="H194" i="7" s="1"/>
  <c r="I183" i="7"/>
  <c r="N183" i="7"/>
  <c r="O183" i="7"/>
  <c r="L183" i="7"/>
  <c r="M183" i="7"/>
  <c r="M194" i="7" s="1"/>
  <c r="G183" i="7"/>
  <c r="G194" i="7" s="1"/>
  <c r="P183" i="7"/>
  <c r="F183" i="7"/>
  <c r="K183" i="7"/>
  <c r="E183" i="7"/>
  <c r="E194" i="7" s="1"/>
  <c r="J183" i="7"/>
  <c r="D183" i="7"/>
  <c r="H184" i="7"/>
  <c r="H195" i="7" s="1"/>
  <c r="E184" i="7"/>
  <c r="J184" i="7"/>
  <c r="G184" i="7"/>
  <c r="L184" i="7"/>
  <c r="I184" i="7"/>
  <c r="N184" i="7"/>
  <c r="P184" i="7"/>
  <c r="M184" i="7"/>
  <c r="M195" i="7" s="1"/>
  <c r="K184" i="7"/>
  <c r="D184" i="7"/>
  <c r="F184" i="7"/>
  <c r="F195" i="7" s="1"/>
  <c r="O184" i="7"/>
  <c r="O195" i="7" s="1"/>
  <c r="H185" i="7"/>
  <c r="I185" i="7"/>
  <c r="J185" i="7"/>
  <c r="K185" i="7"/>
  <c r="L185" i="7"/>
  <c r="M185" i="7"/>
  <c r="N185" i="7"/>
  <c r="P185" i="7"/>
  <c r="D185" i="7"/>
  <c r="O185" i="7"/>
  <c r="E185" i="7"/>
  <c r="F185" i="7"/>
  <c r="G185" i="7"/>
  <c r="G196" i="7" s="1"/>
  <c r="H186" i="7"/>
  <c r="I186" i="7"/>
  <c r="N186" i="7"/>
  <c r="N197" i="7" s="1"/>
  <c r="G186" i="7"/>
  <c r="G197" i="7" s="1"/>
  <c r="J186" i="7"/>
  <c r="J197" i="7" s="1"/>
  <c r="L186" i="7"/>
  <c r="M186" i="7"/>
  <c r="D186" i="7"/>
  <c r="O186" i="7"/>
  <c r="O197" i="7" s="1"/>
  <c r="P186" i="7"/>
  <c r="F186" i="7"/>
  <c r="K186" i="7"/>
  <c r="E186" i="7"/>
  <c r="H187" i="7"/>
  <c r="I187" i="7"/>
  <c r="I198" i="7" s="1"/>
  <c r="N187" i="7"/>
  <c r="K187" i="7"/>
  <c r="E187" i="7"/>
  <c r="L187" i="7"/>
  <c r="L198" i="7" s="1"/>
  <c r="M187" i="7"/>
  <c r="G187" i="7"/>
  <c r="P187" i="7"/>
  <c r="P198" i="7" s="1"/>
  <c r="F187" i="7"/>
  <c r="F198" i="7" s="1"/>
  <c r="D187" i="7"/>
  <c r="J187" i="7"/>
  <c r="J198" i="7" s="1"/>
  <c r="O187" i="7"/>
  <c r="H188" i="7"/>
  <c r="E188" i="7"/>
  <c r="J188" i="7"/>
  <c r="G188" i="7"/>
  <c r="N188" i="7"/>
  <c r="L188" i="7"/>
  <c r="I188" i="7"/>
  <c r="P188" i="7"/>
  <c r="M188" i="7"/>
  <c r="D188" i="7"/>
  <c r="F188" i="7"/>
  <c r="K188" i="7"/>
  <c r="O188" i="7"/>
  <c r="O199" i="7" s="1"/>
  <c r="T83" i="98"/>
  <c r="U83" i="98" s="1"/>
  <c r="S83" i="98"/>
  <c r="R83" i="98"/>
  <c r="T79" i="98"/>
  <c r="S79" i="98"/>
  <c r="R79" i="98"/>
  <c r="H179" i="7"/>
  <c r="L179" i="7"/>
  <c r="L191" i="7" s="1"/>
  <c r="P179" i="7"/>
  <c r="E179" i="7"/>
  <c r="I179" i="7"/>
  <c r="M179" i="7"/>
  <c r="F179" i="7"/>
  <c r="J179" i="7"/>
  <c r="N179" i="7"/>
  <c r="G179" i="7"/>
  <c r="K179" i="7"/>
  <c r="O179" i="7"/>
  <c r="D179" i="7"/>
  <c r="R145" i="7"/>
  <c r="R146" i="7"/>
  <c r="R147" i="7"/>
  <c r="S145" i="7"/>
  <c r="S146" i="7"/>
  <c r="S147" i="7"/>
  <c r="P139" i="7"/>
  <c r="P151" i="7" s="1"/>
  <c r="P163" i="7" s="1"/>
  <c r="P143" i="7"/>
  <c r="P147" i="7"/>
  <c r="L136" i="7"/>
  <c r="L148" i="7" s="1"/>
  <c r="L160" i="7" s="1"/>
  <c r="I137" i="7"/>
  <c r="I149" i="7" s="1"/>
  <c r="I161" i="7" s="1"/>
  <c r="M137" i="7"/>
  <c r="M149" i="7" s="1"/>
  <c r="M161" i="7" s="1"/>
  <c r="J138" i="7"/>
  <c r="J150" i="7" s="1"/>
  <c r="J162" i="7" s="1"/>
  <c r="N138" i="7"/>
  <c r="N150" i="7" s="1"/>
  <c r="N162" i="7" s="1"/>
  <c r="K139" i="7"/>
  <c r="K151" i="7" s="1"/>
  <c r="K163" i="7" s="1"/>
  <c r="O139" i="7"/>
  <c r="O151" i="7" s="1"/>
  <c r="O163" i="7" s="1"/>
  <c r="L140" i="7"/>
  <c r="L152" i="7" s="1"/>
  <c r="L164" i="7" s="1"/>
  <c r="I141" i="7"/>
  <c r="I153" i="7" s="1"/>
  <c r="I165" i="7" s="1"/>
  <c r="M141" i="7"/>
  <c r="M153" i="7" s="1"/>
  <c r="M165" i="7" s="1"/>
  <c r="J142" i="7"/>
  <c r="N142" i="7"/>
  <c r="K143" i="7"/>
  <c r="O143" i="7"/>
  <c r="L144" i="7"/>
  <c r="I145" i="7"/>
  <c r="M145" i="7"/>
  <c r="J146" i="7"/>
  <c r="N146" i="7"/>
  <c r="K147" i="7"/>
  <c r="O147" i="7"/>
  <c r="H138" i="7"/>
  <c r="H150" i="7" s="1"/>
  <c r="H142" i="7"/>
  <c r="H146" i="7"/>
  <c r="T146" i="7"/>
  <c r="P136" i="7"/>
  <c r="P148" i="7" s="1"/>
  <c r="P160" i="7" s="1"/>
  <c r="P141" i="7"/>
  <c r="P153" i="7" s="1"/>
  <c r="P165" i="7" s="1"/>
  <c r="P146" i="7"/>
  <c r="J136" i="7"/>
  <c r="J148" i="7" s="1"/>
  <c r="J160" i="7" s="1"/>
  <c r="O136" i="7"/>
  <c r="O148" i="7" s="1"/>
  <c r="O160" i="7" s="1"/>
  <c r="N137" i="7"/>
  <c r="N149" i="7" s="1"/>
  <c r="N161" i="7" s="1"/>
  <c r="L138" i="7"/>
  <c r="L150" i="7" s="1"/>
  <c r="L162" i="7" s="1"/>
  <c r="J139" i="7"/>
  <c r="J151" i="7" s="1"/>
  <c r="J163" i="7" s="1"/>
  <c r="I140" i="7"/>
  <c r="I152" i="7" s="1"/>
  <c r="I164" i="7" s="1"/>
  <c r="N140" i="7"/>
  <c r="N152" i="7" s="1"/>
  <c r="N164" i="7" s="1"/>
  <c r="L141" i="7"/>
  <c r="L153" i="7" s="1"/>
  <c r="L165" i="7" s="1"/>
  <c r="K142" i="7"/>
  <c r="I143" i="7"/>
  <c r="N143" i="7"/>
  <c r="M144" i="7"/>
  <c r="K145" i="7"/>
  <c r="I146" i="7"/>
  <c r="O146" i="7"/>
  <c r="M147" i="7"/>
  <c r="H140" i="7"/>
  <c r="H152" i="7" s="1"/>
  <c r="H145" i="7"/>
  <c r="T147" i="7"/>
  <c r="P137" i="7"/>
  <c r="P149" i="7" s="1"/>
  <c r="P161" i="7" s="1"/>
  <c r="P142" i="7"/>
  <c r="K136" i="7"/>
  <c r="K148" i="7" s="1"/>
  <c r="K160" i="7" s="1"/>
  <c r="J137" i="7"/>
  <c r="J149" i="7" s="1"/>
  <c r="J161" i="7" s="1"/>
  <c r="O137" i="7"/>
  <c r="O149" i="7" s="1"/>
  <c r="O161" i="7" s="1"/>
  <c r="M138" i="7"/>
  <c r="M150" i="7" s="1"/>
  <c r="M162" i="7" s="1"/>
  <c r="L139" i="7"/>
  <c r="L151" i="7" s="1"/>
  <c r="L163" i="7" s="1"/>
  <c r="J140" i="7"/>
  <c r="J152" i="7" s="1"/>
  <c r="J164" i="7" s="1"/>
  <c r="O140" i="7"/>
  <c r="O152" i="7" s="1"/>
  <c r="O164" i="7" s="1"/>
  <c r="N141" i="7"/>
  <c r="N153" i="7" s="1"/>
  <c r="N165" i="7" s="1"/>
  <c r="L142" i="7"/>
  <c r="J143" i="7"/>
  <c r="I144" i="7"/>
  <c r="N144" i="7"/>
  <c r="L145" i="7"/>
  <c r="K146" i="7"/>
  <c r="I147" i="7"/>
  <c r="N147" i="7"/>
  <c r="H141" i="7"/>
  <c r="H153" i="7" s="1"/>
  <c r="H147" i="7"/>
  <c r="T145" i="7"/>
  <c r="P140" i="7"/>
  <c r="P152" i="7" s="1"/>
  <c r="P164" i="7" s="1"/>
  <c r="I136" i="7"/>
  <c r="I148" i="7" s="1"/>
  <c r="I160" i="7" s="1"/>
  <c r="L137" i="7"/>
  <c r="L149" i="7" s="1"/>
  <c r="L161" i="7" s="1"/>
  <c r="I139" i="7"/>
  <c r="I151" i="7" s="1"/>
  <c r="I163" i="7" s="1"/>
  <c r="M140" i="7"/>
  <c r="M152" i="7" s="1"/>
  <c r="M164" i="7" s="1"/>
  <c r="I142" i="7"/>
  <c r="M143" i="7"/>
  <c r="J145" i="7"/>
  <c r="M146" i="7"/>
  <c r="H139" i="7"/>
  <c r="H151" i="7" s="1"/>
  <c r="P144" i="7"/>
  <c r="M136" i="7"/>
  <c r="M148" i="7" s="1"/>
  <c r="M160" i="7" s="1"/>
  <c r="I138" i="7"/>
  <c r="I150" i="7" s="1"/>
  <c r="I162" i="7" s="1"/>
  <c r="M139" i="7"/>
  <c r="M151" i="7" s="1"/>
  <c r="M163" i="7" s="1"/>
  <c r="J141" i="7"/>
  <c r="J153" i="7" s="1"/>
  <c r="J165" i="7" s="1"/>
  <c r="M142" i="7"/>
  <c r="J144" i="7"/>
  <c r="N145" i="7"/>
  <c r="J147" i="7"/>
  <c r="H143" i="7"/>
  <c r="P145" i="7"/>
  <c r="N136" i="7"/>
  <c r="N148" i="7" s="1"/>
  <c r="N160" i="7" s="1"/>
  <c r="K138" i="7"/>
  <c r="K150" i="7" s="1"/>
  <c r="K162" i="7" s="1"/>
  <c r="N139" i="7"/>
  <c r="N151" i="7" s="1"/>
  <c r="N163" i="7" s="1"/>
  <c r="K141" i="7"/>
  <c r="K153" i="7" s="1"/>
  <c r="K165" i="7" s="1"/>
  <c r="O142" i="7"/>
  <c r="K144" i="7"/>
  <c r="O145" i="7"/>
  <c r="L147" i="7"/>
  <c r="H144" i="7"/>
  <c r="O141" i="7"/>
  <c r="O153" i="7" s="1"/>
  <c r="O165" i="7" s="1"/>
  <c r="O138" i="7"/>
  <c r="O150" i="7" s="1"/>
  <c r="O162" i="7" s="1"/>
  <c r="K140" i="7"/>
  <c r="K152" i="7" s="1"/>
  <c r="K164" i="7" s="1"/>
  <c r="P138" i="7"/>
  <c r="P150" i="7" s="1"/>
  <c r="P162" i="7" s="1"/>
  <c r="K137" i="7"/>
  <c r="K149" i="7" s="1"/>
  <c r="K161" i="7" s="1"/>
  <c r="L143" i="7"/>
  <c r="H137" i="7"/>
  <c r="H149" i="7" s="1"/>
  <c r="O144" i="7"/>
  <c r="H136" i="7"/>
  <c r="H148" i="7" s="1"/>
  <c r="H160" i="7" s="1"/>
  <c r="L146" i="7"/>
  <c r="R148" i="7"/>
  <c r="R160" i="7" s="1"/>
  <c r="R149" i="7"/>
  <c r="R161" i="7" s="1"/>
  <c r="R150" i="7"/>
  <c r="R162" i="7" s="1"/>
  <c r="R151" i="7"/>
  <c r="R163" i="7" s="1"/>
  <c r="R152" i="7"/>
  <c r="R164" i="7" s="1"/>
  <c r="R153" i="7"/>
  <c r="R165" i="7" s="1"/>
  <c r="S148" i="7"/>
  <c r="S160" i="7" s="1"/>
  <c r="S149" i="7"/>
  <c r="S161" i="7" s="1"/>
  <c r="S150" i="7"/>
  <c r="S162" i="7" s="1"/>
  <c r="S151" i="7"/>
  <c r="S163" i="7" s="1"/>
  <c r="S152" i="7"/>
  <c r="S164" i="7" s="1"/>
  <c r="S153" i="7"/>
  <c r="S165" i="7" s="1"/>
  <c r="T148" i="7"/>
  <c r="T160" i="7" s="1"/>
  <c r="T152" i="7"/>
  <c r="T164" i="7" s="1"/>
  <c r="T151" i="7"/>
  <c r="T163" i="7" s="1"/>
  <c r="T153" i="7"/>
  <c r="T165" i="7" s="1"/>
  <c r="T149" i="7"/>
  <c r="T161" i="7" s="1"/>
  <c r="T150" i="7"/>
  <c r="T162" i="7" s="1"/>
  <c r="G159" i="7"/>
  <c r="G171" i="7" s="1"/>
  <c r="F159" i="7"/>
  <c r="E159" i="7"/>
  <c r="E171" i="7" s="1"/>
  <c r="D159" i="7"/>
  <c r="D171" i="7" s="1"/>
  <c r="E149" i="7"/>
  <c r="E161" i="7" s="1"/>
  <c r="F150" i="7"/>
  <c r="G151" i="7"/>
  <c r="G163" i="7" s="1"/>
  <c r="E153" i="7"/>
  <c r="E165" i="7" s="1"/>
  <c r="F154" i="7"/>
  <c r="G155" i="7"/>
  <c r="G167" i="7" s="1"/>
  <c r="E157" i="7"/>
  <c r="E169" i="7" s="1"/>
  <c r="F158" i="7"/>
  <c r="D149" i="7"/>
  <c r="D161" i="7" s="1"/>
  <c r="D153" i="7"/>
  <c r="D165" i="7" s="1"/>
  <c r="D157" i="7"/>
  <c r="F149" i="7"/>
  <c r="E151" i="7"/>
  <c r="E163" i="7" s="1"/>
  <c r="G152" i="7"/>
  <c r="G164" i="7" s="1"/>
  <c r="G154" i="7"/>
  <c r="G166" i="7" s="1"/>
  <c r="F156" i="7"/>
  <c r="E158" i="7"/>
  <c r="E170" i="7" s="1"/>
  <c r="D152" i="7"/>
  <c r="D164" i="7" s="1"/>
  <c r="D158" i="7"/>
  <c r="D170" i="7" s="1"/>
  <c r="E148" i="7"/>
  <c r="E160" i="7" s="1"/>
  <c r="G149" i="7"/>
  <c r="G161" i="7" s="1"/>
  <c r="F151" i="7"/>
  <c r="F153" i="7"/>
  <c r="E155" i="7"/>
  <c r="E167" i="7" s="1"/>
  <c r="G156" i="7"/>
  <c r="G168" i="7" s="1"/>
  <c r="G158" i="7"/>
  <c r="G170" i="7" s="1"/>
  <c r="D154" i="7"/>
  <c r="D148" i="7"/>
  <c r="D160" i="7" s="1"/>
  <c r="G148" i="7"/>
  <c r="G160" i="7" s="1"/>
  <c r="F152" i="7"/>
  <c r="E156" i="7"/>
  <c r="E168" i="7" s="1"/>
  <c r="D151" i="7"/>
  <c r="D163" i="7" s="1"/>
  <c r="E150" i="7"/>
  <c r="E162" i="7" s="1"/>
  <c r="G153" i="7"/>
  <c r="G165" i="7" s="1"/>
  <c r="F157" i="7"/>
  <c r="D155" i="7"/>
  <c r="D167" i="7" s="1"/>
  <c r="G150" i="7"/>
  <c r="G162" i="7" s="1"/>
  <c r="E154" i="7"/>
  <c r="E166" i="7" s="1"/>
  <c r="G157" i="7"/>
  <c r="G169" i="7" s="1"/>
  <c r="D156" i="7"/>
  <c r="D150" i="7"/>
  <c r="F155" i="7"/>
  <c r="F148" i="7"/>
  <c r="E152" i="7"/>
  <c r="E164" i="7" s="1"/>
  <c r="U74" i="58"/>
  <c r="T74" i="58"/>
  <c r="U66" i="58"/>
  <c r="T66" i="58"/>
  <c r="U54" i="58"/>
  <c r="T54" i="58"/>
  <c r="U42" i="58"/>
  <c r="T42" i="58"/>
  <c r="U30" i="58"/>
  <c r="T30" i="58"/>
  <c r="U18" i="58"/>
  <c r="T18" i="58"/>
  <c r="T6" i="58"/>
  <c r="U6" i="58"/>
  <c r="U85" i="58"/>
  <c r="T85" i="58"/>
  <c r="U81" i="58"/>
  <c r="T81" i="58"/>
  <c r="T77" i="58"/>
  <c r="U77" i="58"/>
  <c r="T73" i="58"/>
  <c r="U73" i="58"/>
  <c r="U69" i="58"/>
  <c r="T69" i="58"/>
  <c r="U65" i="58"/>
  <c r="T65" i="58"/>
  <c r="U61" i="58"/>
  <c r="T61" i="58"/>
  <c r="U57" i="58"/>
  <c r="T57" i="58"/>
  <c r="U53" i="58"/>
  <c r="T53" i="58"/>
  <c r="U49" i="58"/>
  <c r="T49" i="58"/>
  <c r="U45" i="58"/>
  <c r="T45" i="58"/>
  <c r="U41" i="58"/>
  <c r="T41" i="58"/>
  <c r="U37" i="58"/>
  <c r="T37" i="58"/>
  <c r="U33" i="58"/>
  <c r="T33" i="58"/>
  <c r="U29" i="58"/>
  <c r="T29" i="58"/>
  <c r="U25" i="58"/>
  <c r="T25" i="58"/>
  <c r="U21" i="58"/>
  <c r="T21" i="58"/>
  <c r="U17" i="58"/>
  <c r="T17" i="58"/>
  <c r="U13" i="58"/>
  <c r="T13" i="58"/>
  <c r="U9" i="58"/>
  <c r="T9" i="58"/>
  <c r="U5" i="58"/>
  <c r="T5" i="58"/>
  <c r="N12" i="26"/>
  <c r="T82" i="58"/>
  <c r="U82" i="58"/>
  <c r="U70" i="58"/>
  <c r="T70" i="58"/>
  <c r="T58" i="58"/>
  <c r="U58" i="58"/>
  <c r="T46" i="58"/>
  <c r="U46" i="58"/>
  <c r="U34" i="58"/>
  <c r="T34" i="58"/>
  <c r="U22" i="58"/>
  <c r="T22" i="58"/>
  <c r="U10" i="58"/>
  <c r="T10" i="58"/>
  <c r="T84" i="58"/>
  <c r="U84" i="58"/>
  <c r="T80" i="58"/>
  <c r="U80" i="58"/>
  <c r="U76" i="58"/>
  <c r="T76" i="58"/>
  <c r="U72" i="58"/>
  <c r="T72" i="58"/>
  <c r="T68" i="58"/>
  <c r="U68" i="58"/>
  <c r="T64" i="58"/>
  <c r="U64" i="58"/>
  <c r="T60" i="58"/>
  <c r="U60" i="58"/>
  <c r="U56" i="58"/>
  <c r="T56" i="58"/>
  <c r="T52" i="58"/>
  <c r="U52" i="58"/>
  <c r="T48" i="58"/>
  <c r="U48" i="58"/>
  <c r="U44" i="58"/>
  <c r="T44" i="58"/>
  <c r="U40" i="58"/>
  <c r="T40" i="58"/>
  <c r="U36" i="58"/>
  <c r="T36" i="58"/>
  <c r="U32" i="58"/>
  <c r="T32" i="58"/>
  <c r="T28" i="58"/>
  <c r="U28" i="58"/>
  <c r="T24" i="58"/>
  <c r="U24" i="58"/>
  <c r="T20" i="58"/>
  <c r="U20" i="58"/>
  <c r="T16" i="58"/>
  <c r="U16" i="58"/>
  <c r="T12" i="58"/>
  <c r="U12" i="58"/>
  <c r="U8" i="58"/>
  <c r="T8" i="58"/>
  <c r="U4" i="58"/>
  <c r="T4" i="58"/>
  <c r="U78" i="58"/>
  <c r="T78" i="58"/>
  <c r="T62" i="58"/>
  <c r="U62" i="58"/>
  <c r="T50" i="58"/>
  <c r="U50" i="58"/>
  <c r="U38" i="58"/>
  <c r="T38" i="58"/>
  <c r="U26" i="58"/>
  <c r="T26" i="58"/>
  <c r="U14" i="58"/>
  <c r="T14" i="58"/>
  <c r="U2" i="58"/>
  <c r="T2" i="58"/>
  <c r="T83" i="58"/>
  <c r="U83" i="58"/>
  <c r="T79" i="58"/>
  <c r="U79" i="58"/>
  <c r="U75" i="58"/>
  <c r="T75" i="58"/>
  <c r="T71" i="58"/>
  <c r="U71" i="58"/>
  <c r="T67" i="58"/>
  <c r="U67" i="58"/>
  <c r="T63" i="58"/>
  <c r="U63" i="58"/>
  <c r="T59" i="58"/>
  <c r="U59" i="58"/>
  <c r="T55" i="58"/>
  <c r="U55" i="58"/>
  <c r="T51" i="58"/>
  <c r="U51" i="58"/>
  <c r="T47" i="58"/>
  <c r="U47" i="58"/>
  <c r="U43" i="58"/>
  <c r="T43" i="58"/>
  <c r="U39" i="58"/>
  <c r="T39" i="58"/>
  <c r="T35" i="58"/>
  <c r="U35" i="58"/>
  <c r="T31" i="58"/>
  <c r="U31" i="58"/>
  <c r="U27" i="58"/>
  <c r="T27" i="58"/>
  <c r="U23" i="58"/>
  <c r="T23" i="58"/>
  <c r="U19" i="58"/>
  <c r="T19" i="58"/>
  <c r="T15" i="58"/>
  <c r="U15" i="58"/>
  <c r="T11" i="58"/>
  <c r="U11" i="58"/>
  <c r="U7" i="58"/>
  <c r="T7" i="58"/>
  <c r="U3" i="58"/>
  <c r="T3" i="58"/>
  <c r="J13" i="67"/>
  <c r="D20" i="36" s="1"/>
  <c r="D19" i="36"/>
  <c r="D25" i="67"/>
  <c r="D24" i="67"/>
  <c r="D18" i="36"/>
  <c r="CM147" i="39"/>
  <c r="CM87" i="39"/>
  <c r="H50" i="39"/>
  <c r="F6" i="36"/>
  <c r="E6" i="36"/>
  <c r="D6" i="36"/>
  <c r="O73" i="98"/>
  <c r="P73" i="98"/>
  <c r="Q73" i="98"/>
  <c r="O61" i="98"/>
  <c r="P61" i="98"/>
  <c r="Q61" i="98"/>
  <c r="O49" i="98"/>
  <c r="P49" i="98"/>
  <c r="Q49" i="98"/>
  <c r="O37" i="98"/>
  <c r="P37" i="98"/>
  <c r="Q37" i="98"/>
  <c r="U37" i="98" s="1"/>
  <c r="O25" i="98"/>
  <c r="P25" i="98"/>
  <c r="Q25" i="98"/>
  <c r="O9" i="98"/>
  <c r="P9" i="98"/>
  <c r="Q9" i="98"/>
  <c r="O85" i="98"/>
  <c r="P85" i="98"/>
  <c r="Q85" i="98"/>
  <c r="O72" i="98"/>
  <c r="P72" i="98"/>
  <c r="Q72" i="98"/>
  <c r="O68" i="98"/>
  <c r="P68" i="98"/>
  <c r="Q68" i="98"/>
  <c r="O64" i="98"/>
  <c r="P64" i="98"/>
  <c r="Q64" i="98"/>
  <c r="O60" i="98"/>
  <c r="P60" i="98"/>
  <c r="Q60" i="98"/>
  <c r="O56" i="98"/>
  <c r="P56" i="98"/>
  <c r="Q56" i="98"/>
  <c r="O52" i="98"/>
  <c r="P52" i="98"/>
  <c r="Q52" i="98"/>
  <c r="O48" i="98"/>
  <c r="P48" i="98"/>
  <c r="Q48" i="98"/>
  <c r="O44" i="98"/>
  <c r="P44" i="98"/>
  <c r="Q44" i="98"/>
  <c r="O40" i="98"/>
  <c r="P40" i="98"/>
  <c r="Q40" i="98"/>
  <c r="U40" i="98" s="1"/>
  <c r="O36" i="98"/>
  <c r="P36" i="98"/>
  <c r="Q36" i="98"/>
  <c r="O32" i="98"/>
  <c r="P32" i="98"/>
  <c r="Q32" i="98"/>
  <c r="O28" i="98"/>
  <c r="P28" i="98"/>
  <c r="Q28" i="98"/>
  <c r="O24" i="98"/>
  <c r="P24" i="98"/>
  <c r="Q24" i="98"/>
  <c r="U24" i="98" s="1"/>
  <c r="O20" i="98"/>
  <c r="P20" i="98"/>
  <c r="Q20" i="98"/>
  <c r="O16" i="98"/>
  <c r="P16" i="98"/>
  <c r="Q16" i="98"/>
  <c r="O12" i="98"/>
  <c r="P12" i="98"/>
  <c r="Q12" i="98"/>
  <c r="O8" i="98"/>
  <c r="P8" i="98"/>
  <c r="Q8" i="98"/>
  <c r="O4" i="98"/>
  <c r="P4" i="98"/>
  <c r="P84" i="98"/>
  <c r="Q84" i="98"/>
  <c r="O80" i="98"/>
  <c r="P80" i="98"/>
  <c r="Q80" i="98"/>
  <c r="O76" i="98"/>
  <c r="P76" i="98"/>
  <c r="Q76" i="98"/>
  <c r="U76" i="98" s="1"/>
  <c r="O65" i="98"/>
  <c r="P65" i="98"/>
  <c r="Q65" i="98"/>
  <c r="O57" i="98"/>
  <c r="P57" i="98"/>
  <c r="Q57" i="98"/>
  <c r="O45" i="98"/>
  <c r="P45" i="98"/>
  <c r="Q45" i="98"/>
  <c r="O33" i="98"/>
  <c r="P33" i="98"/>
  <c r="Q33" i="98"/>
  <c r="O17" i="98"/>
  <c r="P17" i="98"/>
  <c r="Q17" i="98"/>
  <c r="O5" i="98"/>
  <c r="P5" i="98"/>
  <c r="O81" i="98"/>
  <c r="P81" i="98"/>
  <c r="Q81" i="98"/>
  <c r="O75" i="98"/>
  <c r="Q75" i="98"/>
  <c r="P75" i="98"/>
  <c r="O71" i="98"/>
  <c r="Q71" i="98"/>
  <c r="U71" i="98" s="1"/>
  <c r="P71" i="98"/>
  <c r="O67" i="98"/>
  <c r="Q67" i="98"/>
  <c r="P67" i="98"/>
  <c r="O63" i="98"/>
  <c r="Q63" i="98"/>
  <c r="P63" i="98"/>
  <c r="O59" i="98"/>
  <c r="Q59" i="98"/>
  <c r="P59" i="98"/>
  <c r="O55" i="98"/>
  <c r="Q55" i="98"/>
  <c r="P55" i="98"/>
  <c r="O51" i="98"/>
  <c r="Q51" i="98"/>
  <c r="P51" i="98"/>
  <c r="O47" i="98"/>
  <c r="Q47" i="98"/>
  <c r="P47" i="98"/>
  <c r="O43" i="98"/>
  <c r="Q43" i="98"/>
  <c r="P43" i="98"/>
  <c r="O39" i="98"/>
  <c r="Q39" i="98"/>
  <c r="U39" i="98" s="1"/>
  <c r="P39" i="98"/>
  <c r="O35" i="98"/>
  <c r="Q35" i="98"/>
  <c r="P35" i="98"/>
  <c r="O31" i="98"/>
  <c r="Q31" i="98"/>
  <c r="P31" i="98"/>
  <c r="O27" i="98"/>
  <c r="Q27" i="98"/>
  <c r="P27" i="98"/>
  <c r="O23" i="98"/>
  <c r="Q23" i="98"/>
  <c r="U23" i="98" s="1"/>
  <c r="P23" i="98"/>
  <c r="O19" i="98"/>
  <c r="Q19" i="98"/>
  <c r="P19" i="98"/>
  <c r="O15" i="98"/>
  <c r="Q15" i="98"/>
  <c r="P15" i="98"/>
  <c r="O11" i="98"/>
  <c r="Q11" i="98"/>
  <c r="P11" i="98"/>
  <c r="O7" i="98"/>
  <c r="Q7" i="98"/>
  <c r="U7" i="98" s="1"/>
  <c r="P7" i="98"/>
  <c r="O83" i="98"/>
  <c r="P83" i="98"/>
  <c r="O79" i="98"/>
  <c r="Q79" i="98"/>
  <c r="P79" i="98"/>
  <c r="O69" i="98"/>
  <c r="P69" i="98"/>
  <c r="Q69" i="98"/>
  <c r="O53" i="98"/>
  <c r="P53" i="98"/>
  <c r="Q53" i="98"/>
  <c r="O41" i="98"/>
  <c r="P41" i="98"/>
  <c r="Q41" i="98"/>
  <c r="O29" i="98"/>
  <c r="P29" i="98"/>
  <c r="Q29" i="98"/>
  <c r="U29" i="98" s="1"/>
  <c r="O21" i="98"/>
  <c r="P21" i="98"/>
  <c r="Q21" i="98"/>
  <c r="O13" i="98"/>
  <c r="P13" i="98"/>
  <c r="Q13" i="98"/>
  <c r="O77" i="98"/>
  <c r="P77" i="98"/>
  <c r="Q77" i="98"/>
  <c r="O74" i="98"/>
  <c r="P74" i="98"/>
  <c r="Q74" i="98"/>
  <c r="U74" i="98" s="1"/>
  <c r="O70" i="98"/>
  <c r="Q70" i="98"/>
  <c r="U70" i="98" s="1"/>
  <c r="P70" i="98"/>
  <c r="O66" i="98"/>
  <c r="Q66" i="98"/>
  <c r="P66" i="98"/>
  <c r="O62" i="98"/>
  <c r="P62" i="98"/>
  <c r="Q62" i="98"/>
  <c r="O58" i="98"/>
  <c r="Q58" i="98"/>
  <c r="P58" i="98"/>
  <c r="O54" i="98"/>
  <c r="Q54" i="98"/>
  <c r="P54" i="98"/>
  <c r="O50" i="98"/>
  <c r="P50" i="98"/>
  <c r="Q50" i="98"/>
  <c r="O46" i="98"/>
  <c r="Q46" i="98"/>
  <c r="P46" i="98"/>
  <c r="O42" i="98"/>
  <c r="P42" i="98"/>
  <c r="Q42" i="98"/>
  <c r="U42" i="98" s="1"/>
  <c r="O38" i="98"/>
  <c r="Q38" i="98"/>
  <c r="P38" i="98"/>
  <c r="O34" i="98"/>
  <c r="Q34" i="98"/>
  <c r="P34" i="98"/>
  <c r="O30" i="98"/>
  <c r="P30" i="98"/>
  <c r="Q30" i="98"/>
  <c r="O26" i="98"/>
  <c r="Q26" i="98"/>
  <c r="P26" i="98"/>
  <c r="O22" i="98"/>
  <c r="P22" i="98"/>
  <c r="Q22" i="98"/>
  <c r="O18" i="98"/>
  <c r="P18" i="98"/>
  <c r="Q18" i="98"/>
  <c r="O14" i="98"/>
  <c r="Q14" i="98"/>
  <c r="P14" i="98"/>
  <c r="O10" i="98"/>
  <c r="P10" i="98"/>
  <c r="Q10" i="98"/>
  <c r="O6" i="98"/>
  <c r="P6" i="98"/>
  <c r="Q6" i="98"/>
  <c r="O86" i="98"/>
  <c r="P86" i="98"/>
  <c r="Q86" i="98"/>
  <c r="O82" i="98"/>
  <c r="Q82" i="98"/>
  <c r="P82" i="98"/>
  <c r="O78" i="98"/>
  <c r="Q78" i="98"/>
  <c r="P78" i="98"/>
  <c r="BD164" i="39"/>
  <c r="BC164" i="39"/>
  <c r="BE164" i="39"/>
  <c r="BD156" i="39"/>
  <c r="BC156" i="39"/>
  <c r="BE156" i="39"/>
  <c r="BD148" i="39"/>
  <c r="BE148" i="39"/>
  <c r="BC148" i="39"/>
  <c r="BD140" i="39"/>
  <c r="BE140" i="39"/>
  <c r="BC140" i="39"/>
  <c r="BD132" i="39"/>
  <c r="BE132" i="39"/>
  <c r="BC132" i="39"/>
  <c r="BD124" i="39"/>
  <c r="BE124" i="39"/>
  <c r="BC124" i="39"/>
  <c r="BD116" i="39"/>
  <c r="BE116" i="39"/>
  <c r="BC116" i="39"/>
  <c r="BD108" i="39"/>
  <c r="BE108" i="39"/>
  <c r="BC108" i="39"/>
  <c r="BD100" i="39"/>
  <c r="BE100" i="39"/>
  <c r="BC100" i="39"/>
  <c r="BD92" i="39"/>
  <c r="BE92" i="39"/>
  <c r="BC92" i="39"/>
  <c r="BD84" i="39"/>
  <c r="BE84" i="39"/>
  <c r="BC84" i="39"/>
  <c r="BD72" i="39"/>
  <c r="BE72" i="39"/>
  <c r="BC72" i="39"/>
  <c r="BD64" i="39"/>
  <c r="BE64" i="39"/>
  <c r="BC64" i="39"/>
  <c r="BD56" i="39"/>
  <c r="BE56" i="39"/>
  <c r="BC56" i="39"/>
  <c r="BC168" i="39"/>
  <c r="BD168" i="39"/>
  <c r="BE160" i="39"/>
  <c r="BC160" i="39"/>
  <c r="BD160" i="39"/>
  <c r="BD152" i="39"/>
  <c r="BE152" i="39"/>
  <c r="BC152" i="39"/>
  <c r="BD144" i="39"/>
  <c r="BE144" i="39"/>
  <c r="BC144" i="39"/>
  <c r="BD136" i="39"/>
  <c r="BE136" i="39"/>
  <c r="BC136" i="39"/>
  <c r="BD128" i="39"/>
  <c r="BE128" i="39"/>
  <c r="BC128" i="39"/>
  <c r="BD120" i="39"/>
  <c r="BE120" i="39"/>
  <c r="BC120" i="39"/>
  <c r="BD112" i="39"/>
  <c r="BE112" i="39"/>
  <c r="BC112" i="39"/>
  <c r="BD104" i="39"/>
  <c r="BE104" i="39"/>
  <c r="BC104" i="39"/>
  <c r="BD96" i="39"/>
  <c r="BE96" i="39"/>
  <c r="BC96" i="39"/>
  <c r="BD88" i="39"/>
  <c r="BE88" i="39"/>
  <c r="BC88" i="39"/>
  <c r="BD80" i="39"/>
  <c r="BE80" i="39"/>
  <c r="BC80" i="39"/>
  <c r="BD76" i="39"/>
  <c r="BE76" i="39"/>
  <c r="BC76" i="39"/>
  <c r="BD68" i="39"/>
  <c r="BE68" i="39"/>
  <c r="BC68" i="39"/>
  <c r="BD60" i="39"/>
  <c r="BE60" i="39"/>
  <c r="BC60" i="39"/>
  <c r="BD52" i="39"/>
  <c r="BE52" i="39"/>
  <c r="BC52" i="39"/>
  <c r="BE167" i="39"/>
  <c r="BC167" i="39"/>
  <c r="BD167" i="39"/>
  <c r="BE163" i="39"/>
  <c r="BD163" i="39"/>
  <c r="BC163" i="39"/>
  <c r="BE159" i="39"/>
  <c r="BC159" i="39"/>
  <c r="BD159" i="39"/>
  <c r="BE155" i="39"/>
  <c r="BD155" i="39"/>
  <c r="BC155" i="39"/>
  <c r="BC151" i="39"/>
  <c r="BD151" i="39"/>
  <c r="BE151" i="39"/>
  <c r="BC147" i="39"/>
  <c r="BD147" i="39"/>
  <c r="BE147" i="39"/>
  <c r="BC143" i="39"/>
  <c r="BD143" i="39"/>
  <c r="BE143" i="39"/>
  <c r="BC139" i="39"/>
  <c r="BD139" i="39"/>
  <c r="BE139" i="39"/>
  <c r="BC135" i="39"/>
  <c r="BD135" i="39"/>
  <c r="BE135" i="39"/>
  <c r="BC131" i="39"/>
  <c r="BD131" i="39"/>
  <c r="BE131" i="39"/>
  <c r="BC127" i="39"/>
  <c r="BD127" i="39"/>
  <c r="BE127" i="39"/>
  <c r="BC123" i="39"/>
  <c r="BD123" i="39"/>
  <c r="BE123" i="39"/>
  <c r="BC119" i="39"/>
  <c r="BD119" i="39"/>
  <c r="BE119" i="39"/>
  <c r="BC115" i="39"/>
  <c r="BD115" i="39"/>
  <c r="BE115" i="39"/>
  <c r="BC111" i="39"/>
  <c r="BD111" i="39"/>
  <c r="BE111" i="39"/>
  <c r="BC107" i="39"/>
  <c r="BD107" i="39"/>
  <c r="BE107" i="39"/>
  <c r="BC103" i="39"/>
  <c r="BD103" i="39"/>
  <c r="BE103" i="39"/>
  <c r="BC99" i="39"/>
  <c r="BD99" i="39"/>
  <c r="BE99" i="39"/>
  <c r="BC95" i="39"/>
  <c r="BD95" i="39"/>
  <c r="BE95" i="39"/>
  <c r="BC91" i="39"/>
  <c r="BD91" i="39"/>
  <c r="BE91" i="39"/>
  <c r="BC87" i="39"/>
  <c r="BD87" i="39"/>
  <c r="BE87" i="39"/>
  <c r="BC83" i="39"/>
  <c r="BD83" i="39"/>
  <c r="BE83" i="39"/>
  <c r="BC79" i="39"/>
  <c r="BD79" i="39"/>
  <c r="BE79" i="39"/>
  <c r="BC75" i="39"/>
  <c r="BD75" i="39"/>
  <c r="BE75" i="39"/>
  <c r="BC71" i="39"/>
  <c r="BD71" i="39"/>
  <c r="BE71" i="39"/>
  <c r="BC67" i="39"/>
  <c r="BD67" i="39"/>
  <c r="BE67" i="39"/>
  <c r="BC63" i="39"/>
  <c r="BD63" i="39"/>
  <c r="BE63" i="39"/>
  <c r="BC59" i="39"/>
  <c r="BD59" i="39"/>
  <c r="BE59" i="39"/>
  <c r="BC55" i="39"/>
  <c r="BD55" i="39"/>
  <c r="BE55" i="39"/>
  <c r="BC51" i="39"/>
  <c r="BD51" i="39"/>
  <c r="BE51" i="39"/>
  <c r="BD166" i="39"/>
  <c r="BC166" i="39"/>
  <c r="BE166" i="39"/>
  <c r="BD162" i="39"/>
  <c r="BE162" i="39"/>
  <c r="BC162" i="39"/>
  <c r="BC158" i="39"/>
  <c r="BE158" i="39"/>
  <c r="BD154" i="39"/>
  <c r="BE154" i="39"/>
  <c r="BC154" i="39"/>
  <c r="BC150" i="39"/>
  <c r="BD150" i="39"/>
  <c r="BE150" i="39"/>
  <c r="BC146" i="39"/>
  <c r="BD146" i="39"/>
  <c r="BE146" i="39"/>
  <c r="BC142" i="39"/>
  <c r="BD142" i="39"/>
  <c r="BE142" i="39"/>
  <c r="BC138" i="39"/>
  <c r="BD138" i="39"/>
  <c r="BE138" i="39"/>
  <c r="BC134" i="39"/>
  <c r="BD134" i="39"/>
  <c r="BE134" i="39"/>
  <c r="BC130" i="39"/>
  <c r="BD130" i="39"/>
  <c r="BE130" i="39"/>
  <c r="BC126" i="39"/>
  <c r="BD126" i="39"/>
  <c r="BE126" i="39"/>
  <c r="BC122" i="39"/>
  <c r="BD122" i="39"/>
  <c r="BE122" i="39"/>
  <c r="BC118" i="39"/>
  <c r="BD118" i="39"/>
  <c r="BE118" i="39"/>
  <c r="BC114" i="39"/>
  <c r="BD114" i="39"/>
  <c r="BE114" i="39"/>
  <c r="BC110" i="39"/>
  <c r="BD110" i="39"/>
  <c r="BE110" i="39"/>
  <c r="BC106" i="39"/>
  <c r="BD106" i="39"/>
  <c r="BE106" i="39"/>
  <c r="BC102" i="39"/>
  <c r="BE102" i="39"/>
  <c r="BD102" i="39"/>
  <c r="BC98" i="39"/>
  <c r="BD98" i="39"/>
  <c r="BE98" i="39"/>
  <c r="BC94" i="39"/>
  <c r="BD94" i="39"/>
  <c r="BE94" i="39"/>
  <c r="BC90" i="39"/>
  <c r="BD90" i="39"/>
  <c r="BE90" i="39"/>
  <c r="BC86" i="39"/>
  <c r="BE86" i="39"/>
  <c r="BD86" i="39"/>
  <c r="BC82" i="39"/>
  <c r="BD82" i="39"/>
  <c r="BE82" i="39"/>
  <c r="BC78" i="39"/>
  <c r="BD78" i="39"/>
  <c r="BE78" i="39"/>
  <c r="BC74" i="39"/>
  <c r="BD74" i="39"/>
  <c r="BE74" i="39"/>
  <c r="BC70" i="39"/>
  <c r="BD70" i="39"/>
  <c r="BE70" i="39"/>
  <c r="BC66" i="39"/>
  <c r="BD66" i="39"/>
  <c r="BE66" i="39"/>
  <c r="BC62" i="39"/>
  <c r="BD62" i="39"/>
  <c r="BE62" i="39"/>
  <c r="BC58" i="39"/>
  <c r="BD58" i="39"/>
  <c r="BE58" i="39"/>
  <c r="BC54" i="39"/>
  <c r="BD54" i="39"/>
  <c r="BE54" i="39"/>
  <c r="BC50" i="39"/>
  <c r="BD50" i="39"/>
  <c r="BE50" i="39"/>
  <c r="BD169" i="39"/>
  <c r="BC165" i="39"/>
  <c r="BE165" i="39"/>
  <c r="BC161" i="39"/>
  <c r="BE161" i="39"/>
  <c r="BD161" i="39"/>
  <c r="BC157" i="39"/>
  <c r="BD157" i="39"/>
  <c r="BE157" i="39"/>
  <c r="BC153" i="39"/>
  <c r="BE153" i="39"/>
  <c r="BD153" i="39"/>
  <c r="BE149" i="39"/>
  <c r="BC149" i="39"/>
  <c r="BD149" i="39"/>
  <c r="BE145" i="39"/>
  <c r="BC145" i="39"/>
  <c r="BD145" i="39"/>
  <c r="BE141" i="39"/>
  <c r="BC141" i="39"/>
  <c r="BD141" i="39"/>
  <c r="BE137" i="39"/>
  <c r="BC137" i="39"/>
  <c r="BD137" i="39"/>
  <c r="BE133" i="39"/>
  <c r="BC133" i="39"/>
  <c r="BD133" i="39"/>
  <c r="BE129" i="39"/>
  <c r="BC129" i="39"/>
  <c r="BD129" i="39"/>
  <c r="BE125" i="39"/>
  <c r="BC125" i="39"/>
  <c r="BD125" i="39"/>
  <c r="BE121" i="39"/>
  <c r="BC121" i="39"/>
  <c r="BD121" i="39"/>
  <c r="BE117" i="39"/>
  <c r="BC117" i="39"/>
  <c r="BD117" i="39"/>
  <c r="BE113" i="39"/>
  <c r="BC113" i="39"/>
  <c r="BD113" i="39"/>
  <c r="BE109" i="39"/>
  <c r="BC109" i="39"/>
  <c r="BD109" i="39"/>
  <c r="BE105" i="39"/>
  <c r="BC105" i="39"/>
  <c r="BD105" i="39"/>
  <c r="BE101" i="39"/>
  <c r="BC101" i="39"/>
  <c r="BD101" i="39"/>
  <c r="BE97" i="39"/>
  <c r="BD97" i="39"/>
  <c r="BC97" i="39"/>
  <c r="BE93" i="39"/>
  <c r="BC93" i="39"/>
  <c r="BD93" i="39"/>
  <c r="BE89" i="39"/>
  <c r="BC89" i="39"/>
  <c r="BD89" i="39"/>
  <c r="BE85" i="39"/>
  <c r="BC85" i="39"/>
  <c r="BD85" i="39"/>
  <c r="BE81" i="39"/>
  <c r="BC81" i="39"/>
  <c r="BD81" i="39"/>
  <c r="BE77" i="39"/>
  <c r="BC77" i="39"/>
  <c r="BD77" i="39"/>
  <c r="BE73" i="39"/>
  <c r="BC73" i="39"/>
  <c r="BD73" i="39"/>
  <c r="BE69" i="39"/>
  <c r="BC69" i="39"/>
  <c r="BD69" i="39"/>
  <c r="BE65" i="39"/>
  <c r="BC65" i="39"/>
  <c r="BD65" i="39"/>
  <c r="BE61" i="39"/>
  <c r="BC61" i="39"/>
  <c r="BD61" i="39"/>
  <c r="BE57" i="39"/>
  <c r="BC57" i="39"/>
  <c r="BD57" i="39"/>
  <c r="BE53" i="39"/>
  <c r="BC53" i="39"/>
  <c r="BD53" i="39"/>
  <c r="AW163" i="39"/>
  <c r="BC169" i="39"/>
  <c r="AW161" i="39"/>
  <c r="BA167" i="39"/>
  <c r="BE169" i="39"/>
  <c r="AV168" i="39"/>
  <c r="AV163" i="39"/>
  <c r="BA161" i="39"/>
  <c r="AV161" i="39"/>
  <c r="BD158" i="39"/>
  <c r="AQ171" i="39"/>
  <c r="AZ165" i="39"/>
  <c r="BD165" i="39"/>
  <c r="D169" i="7"/>
  <c r="D168" i="7"/>
  <c r="AU160" i="39"/>
  <c r="AQ170" i="39"/>
  <c r="BB169" i="39"/>
  <c r="BE168" i="39"/>
  <c r="AW164" i="39"/>
  <c r="BA166" i="39"/>
  <c r="D166" i="7"/>
  <c r="D162" i="7"/>
  <c r="AQ172" i="39"/>
  <c r="AQ175" i="39"/>
  <c r="H23" i="70"/>
  <c r="H6" i="70" s="1"/>
  <c r="P6" i="70" s="1"/>
  <c r="H7" i="70"/>
  <c r="P7" i="70" s="1"/>
  <c r="L140" i="39"/>
  <c r="H140" i="39"/>
  <c r="L136" i="39"/>
  <c r="H136" i="39"/>
  <c r="L145" i="39"/>
  <c r="M145" i="39" s="1"/>
  <c r="H145" i="39"/>
  <c r="L139" i="39"/>
  <c r="H139" i="39"/>
  <c r="L135" i="39"/>
  <c r="H135" i="39"/>
  <c r="L51" i="39"/>
  <c r="H51" i="39"/>
  <c r="L52" i="39"/>
  <c r="H52" i="39"/>
  <c r="L53" i="39"/>
  <c r="H53" i="39"/>
  <c r="I53" i="39" s="1"/>
  <c r="L54" i="39"/>
  <c r="M54" i="39" s="1"/>
  <c r="H54" i="39"/>
  <c r="L55" i="39"/>
  <c r="H55" i="39"/>
  <c r="L56" i="39"/>
  <c r="H56" i="39"/>
  <c r="L57" i="39"/>
  <c r="H57" i="39"/>
  <c r="L58" i="39"/>
  <c r="H58" i="39"/>
  <c r="L59" i="39"/>
  <c r="H59" i="39"/>
  <c r="L60" i="39"/>
  <c r="H60" i="39"/>
  <c r="L61" i="39"/>
  <c r="H61" i="39"/>
  <c r="L62" i="39"/>
  <c r="M62" i="39" s="1"/>
  <c r="H62" i="39"/>
  <c r="L63" i="39"/>
  <c r="H63" i="39"/>
  <c r="L64" i="39"/>
  <c r="H64" i="39"/>
  <c r="L65" i="39"/>
  <c r="H65" i="39"/>
  <c r="L66" i="39"/>
  <c r="H66" i="39"/>
  <c r="L67" i="39"/>
  <c r="H67" i="39"/>
  <c r="L68" i="39"/>
  <c r="H68" i="39"/>
  <c r="L69" i="39"/>
  <c r="H69" i="39"/>
  <c r="L70" i="39"/>
  <c r="H70" i="39"/>
  <c r="I70" i="39" s="1"/>
  <c r="L71" i="39"/>
  <c r="H71" i="39"/>
  <c r="L72" i="39"/>
  <c r="H72" i="39"/>
  <c r="L73" i="39"/>
  <c r="H73" i="39"/>
  <c r="L74" i="39"/>
  <c r="H74" i="39"/>
  <c r="L75" i="39"/>
  <c r="H75" i="39"/>
  <c r="L76" i="39"/>
  <c r="H76" i="39"/>
  <c r="L77" i="39"/>
  <c r="H77" i="39"/>
  <c r="L78" i="39"/>
  <c r="H78" i="39"/>
  <c r="L79" i="39"/>
  <c r="H79" i="39"/>
  <c r="I79" i="39" s="1"/>
  <c r="L80" i="39"/>
  <c r="H80" i="39"/>
  <c r="L81" i="39"/>
  <c r="H81" i="39"/>
  <c r="L82" i="39"/>
  <c r="H82" i="39"/>
  <c r="L83" i="39"/>
  <c r="H83" i="39"/>
  <c r="L84" i="39"/>
  <c r="H84" i="39"/>
  <c r="L85" i="39"/>
  <c r="H85" i="39"/>
  <c r="L86" i="39"/>
  <c r="M86" i="39" s="1"/>
  <c r="H86" i="39"/>
  <c r="L87" i="39"/>
  <c r="H87" i="39"/>
  <c r="L88" i="39"/>
  <c r="H88" i="39"/>
  <c r="L89" i="39"/>
  <c r="H89" i="39"/>
  <c r="L90" i="39"/>
  <c r="H90" i="39"/>
  <c r="L91" i="39"/>
  <c r="H91" i="39"/>
  <c r="L92" i="39"/>
  <c r="H92" i="39"/>
  <c r="L93" i="39"/>
  <c r="H93" i="39"/>
  <c r="L94" i="39"/>
  <c r="H94" i="39"/>
  <c r="I94" i="39" s="1"/>
  <c r="L95" i="39"/>
  <c r="H95" i="39"/>
  <c r="L96" i="39"/>
  <c r="H96" i="39"/>
  <c r="L97" i="39"/>
  <c r="H97" i="39"/>
  <c r="L98" i="39"/>
  <c r="H98" i="39"/>
  <c r="L99" i="39"/>
  <c r="H99" i="39"/>
  <c r="L100" i="39"/>
  <c r="H100" i="39"/>
  <c r="L101" i="39"/>
  <c r="H101" i="39"/>
  <c r="L102" i="39"/>
  <c r="H102" i="39"/>
  <c r="L103" i="39"/>
  <c r="H103" i="39"/>
  <c r="L104" i="39"/>
  <c r="H104" i="39"/>
  <c r="L105" i="39"/>
  <c r="H105" i="39"/>
  <c r="L106" i="39"/>
  <c r="H106" i="39"/>
  <c r="L107" i="39"/>
  <c r="M107" i="39" s="1"/>
  <c r="H107" i="39"/>
  <c r="L108" i="39"/>
  <c r="H108" i="39"/>
  <c r="L109" i="39"/>
  <c r="H109" i="39"/>
  <c r="I109" i="39" s="1"/>
  <c r="L110" i="39"/>
  <c r="M110" i="39" s="1"/>
  <c r="H110" i="39"/>
  <c r="I110" i="39" s="1"/>
  <c r="L111" i="39"/>
  <c r="H111" i="39"/>
  <c r="L112" i="39"/>
  <c r="H112" i="39"/>
  <c r="L113" i="39"/>
  <c r="H113" i="39"/>
  <c r="L114" i="39"/>
  <c r="H114" i="39"/>
  <c r="L115" i="39"/>
  <c r="M115" i="39" s="1"/>
  <c r="H115" i="39"/>
  <c r="L116" i="39"/>
  <c r="H116" i="39"/>
  <c r="L117" i="39"/>
  <c r="H117" i="39"/>
  <c r="L118" i="39"/>
  <c r="H118" i="39"/>
  <c r="L119" i="39"/>
  <c r="H119" i="39"/>
  <c r="L120" i="39"/>
  <c r="H120" i="39"/>
  <c r="L121" i="39"/>
  <c r="H121" i="39"/>
  <c r="L122" i="39"/>
  <c r="H122" i="39"/>
  <c r="L123" i="39"/>
  <c r="H123" i="39"/>
  <c r="L124" i="39"/>
  <c r="H124" i="39"/>
  <c r="L125" i="39"/>
  <c r="H125" i="39"/>
  <c r="L126" i="39"/>
  <c r="H126" i="39"/>
  <c r="L127" i="39"/>
  <c r="M127" i="39" s="1"/>
  <c r="H127" i="39"/>
  <c r="L128" i="39"/>
  <c r="H128" i="39"/>
  <c r="L129" i="39"/>
  <c r="H129" i="39"/>
  <c r="L130" i="39"/>
  <c r="H130" i="39"/>
  <c r="I130" i="39" s="1"/>
  <c r="CW130" i="39" s="1"/>
  <c r="L131" i="39"/>
  <c r="H131" i="39"/>
  <c r="L132" i="39"/>
  <c r="H132" i="39"/>
  <c r="L133" i="39"/>
  <c r="H133" i="39"/>
  <c r="L141" i="39"/>
  <c r="H141" i="39"/>
  <c r="L137" i="39"/>
  <c r="H137" i="39"/>
  <c r="I137" i="39" s="1"/>
  <c r="L134" i="39"/>
  <c r="H134" i="39"/>
  <c r="L144" i="39"/>
  <c r="H144" i="39"/>
  <c r="L142" i="39"/>
  <c r="H142" i="39"/>
  <c r="L138" i="39"/>
  <c r="H138" i="39"/>
  <c r="L143" i="39"/>
  <c r="H143" i="39"/>
  <c r="CN75" i="39"/>
  <c r="L50" i="39"/>
  <c r="L43" i="36"/>
  <c r="C47" i="36"/>
  <c r="C30" i="111" s="1"/>
  <c r="A28" i="32"/>
  <c r="A39" i="32"/>
  <c r="A51" i="32" s="1"/>
  <c r="A120" i="9"/>
  <c r="D102" i="39"/>
  <c r="E102" i="39" s="1"/>
  <c r="D42" i="84" s="1"/>
  <c r="D139" i="39"/>
  <c r="E139" i="39" s="1"/>
  <c r="D79" i="84" s="1"/>
  <c r="D61" i="39"/>
  <c r="E61" i="39" s="1"/>
  <c r="D111" i="39"/>
  <c r="E111" i="39" s="1"/>
  <c r="D51" i="84" s="1"/>
  <c r="DT184" i="6"/>
  <c r="DX184" i="6" s="1"/>
  <c r="D89" i="39"/>
  <c r="E89" i="39" s="1"/>
  <c r="D127" i="39"/>
  <c r="E127" i="39" s="1"/>
  <c r="D67" i="84" s="1"/>
  <c r="D142" i="39"/>
  <c r="E142" i="39" s="1"/>
  <c r="D82" i="84" s="1"/>
  <c r="D77" i="39"/>
  <c r="E77" i="39" s="1"/>
  <c r="D144" i="39"/>
  <c r="E144" i="39" s="1"/>
  <c r="D84" i="84" s="1"/>
  <c r="D72" i="39"/>
  <c r="E72" i="39" s="1"/>
  <c r="D12" i="84" s="1"/>
  <c r="CY131" i="39"/>
  <c r="P12" i="70"/>
  <c r="H4" i="70"/>
  <c r="CM103" i="39"/>
  <c r="CM75" i="39"/>
  <c r="CM111" i="39"/>
  <c r="CM107" i="39"/>
  <c r="CM151" i="39"/>
  <c r="CM97" i="39"/>
  <c r="CN83" i="39"/>
  <c r="CM65" i="39"/>
  <c r="CA73" i="39"/>
  <c r="CH124" i="39"/>
  <c r="CH91" i="39"/>
  <c r="CM125" i="39"/>
  <c r="CH117" i="39"/>
  <c r="CQ136" i="39"/>
  <c r="CH110" i="39"/>
  <c r="CH102" i="39"/>
  <c r="CH98" i="39"/>
  <c r="CH90" i="39"/>
  <c r="CM85" i="39"/>
  <c r="CN109" i="39"/>
  <c r="CM63" i="39"/>
  <c r="CD160" i="39"/>
  <c r="CO160" i="39" s="1"/>
  <c r="CM117" i="39"/>
  <c r="CM137" i="39"/>
  <c r="CM127" i="39"/>
  <c r="CM123" i="39"/>
  <c r="CM71" i="39"/>
  <c r="CK159" i="39"/>
  <c r="CQ159" i="39"/>
  <c r="N1" i="85"/>
  <c r="R1" i="84"/>
  <c r="N5" i="91"/>
  <c r="AT5" i="91"/>
  <c r="Y5" i="91"/>
  <c r="AZ5" i="91"/>
  <c r="C5" i="91"/>
  <c r="AN5" i="91"/>
  <c r="C6" i="91"/>
  <c r="AZ7" i="91"/>
  <c r="AZ6" i="91"/>
  <c r="N6" i="91"/>
  <c r="AT7" i="91"/>
  <c r="Y6" i="91"/>
  <c r="C7" i="91"/>
  <c r="AT6" i="91"/>
  <c r="N7" i="91"/>
  <c r="AN6" i="91"/>
  <c r="C8" i="91"/>
  <c r="Y7" i="91"/>
  <c r="AT8" i="91"/>
  <c r="N8" i="91"/>
  <c r="AN8" i="91"/>
  <c r="AN7" i="91"/>
  <c r="AN9" i="91"/>
  <c r="AZ8" i="91"/>
  <c r="AZ9" i="91"/>
  <c r="C9" i="91"/>
  <c r="N9" i="91"/>
  <c r="Y8" i="91"/>
  <c r="AT9" i="91"/>
  <c r="AN10" i="91"/>
  <c r="N10" i="91"/>
  <c r="Y9" i="91"/>
  <c r="AZ10" i="91"/>
  <c r="C10" i="91"/>
  <c r="AT10" i="91"/>
  <c r="AN11" i="91"/>
  <c r="N11" i="91"/>
  <c r="AZ11" i="91"/>
  <c r="AT11" i="91"/>
  <c r="AN12" i="91"/>
  <c r="C11" i="91"/>
  <c r="Y10" i="91"/>
  <c r="AZ12" i="91"/>
  <c r="AN13" i="91"/>
  <c r="Y11" i="91"/>
  <c r="AT12" i="91"/>
  <c r="C12" i="91"/>
  <c r="N12" i="91"/>
  <c r="AN14" i="91"/>
  <c r="C13" i="91"/>
  <c r="AT13" i="91"/>
  <c r="Y12" i="91"/>
  <c r="N13" i="91"/>
  <c r="AZ13" i="91"/>
  <c r="C14" i="91"/>
  <c r="AT14" i="91"/>
  <c r="N14" i="91"/>
  <c r="Y13" i="91"/>
  <c r="AZ14" i="91"/>
  <c r="Y14" i="91"/>
  <c r="BW156" i="39"/>
  <c r="BW154" i="39"/>
  <c r="BW152" i="39"/>
  <c r="CM78" i="39"/>
  <c r="CN127" i="39"/>
  <c r="CM143" i="39"/>
  <c r="CM61" i="39"/>
  <c r="CM73" i="39"/>
  <c r="CM81" i="39"/>
  <c r="CH88" i="39"/>
  <c r="CH104" i="39"/>
  <c r="CH132" i="39"/>
  <c r="CH136" i="39"/>
  <c r="CH140" i="39"/>
  <c r="CM55" i="39"/>
  <c r="CN101" i="39"/>
  <c r="CN113" i="39"/>
  <c r="CH122" i="39"/>
  <c r="CH138" i="39"/>
  <c r="CT137" i="39"/>
  <c r="BW147" i="39"/>
  <c r="CN138" i="39"/>
  <c r="P1" i="86"/>
  <c r="O1" i="85"/>
  <c r="S1" i="84"/>
  <c r="BW153" i="39"/>
  <c r="CN63" i="39"/>
  <c r="CH153" i="39"/>
  <c r="CM119" i="39"/>
  <c r="CN136" i="39"/>
  <c r="CM69" i="39"/>
  <c r="CN146" i="39"/>
  <c r="CM153" i="39"/>
  <c r="CN159" i="39"/>
  <c r="CN61" i="39"/>
  <c r="CM108" i="39"/>
  <c r="CM83" i="39"/>
  <c r="CH94" i="39"/>
  <c r="CS146" i="39"/>
  <c r="BU157" i="39"/>
  <c r="BU169" i="39" s="1"/>
  <c r="AV7" i="33"/>
  <c r="E8" i="36" s="1"/>
  <c r="BU154" i="39"/>
  <c r="I43" i="36"/>
  <c r="D9" i="35"/>
  <c r="G25" i="36" s="1"/>
  <c r="G16" i="111" s="1"/>
  <c r="D138" i="39"/>
  <c r="E138" i="39" s="1"/>
  <c r="D78" i="84" s="1"/>
  <c r="BU155" i="39"/>
  <c r="CQ146" i="39"/>
  <c r="CJ146" i="39"/>
  <c r="CP137" i="39"/>
  <c r="CO136" i="39"/>
  <c r="CL136" i="39"/>
  <c r="CU146" i="39"/>
  <c r="CK137" i="39"/>
  <c r="CS136" i="39"/>
  <c r="BY89" i="39"/>
  <c r="CA89" i="39" s="1"/>
  <c r="BY85" i="39"/>
  <c r="BY84" i="39"/>
  <c r="BY83" i="39"/>
  <c r="BY79" i="39"/>
  <c r="BY78" i="39"/>
  <c r="BY90" i="39" s="1"/>
  <c r="BY76" i="39"/>
  <c r="CA76" i="39" s="1"/>
  <c r="BY75" i="39"/>
  <c r="CA75" i="39" s="1"/>
  <c r="CM157" i="39"/>
  <c r="CN155" i="39"/>
  <c r="CM149" i="39"/>
  <c r="CN57" i="39"/>
  <c r="AZ158" i="39"/>
  <c r="B8" i="32"/>
  <c r="BB11" i="33"/>
  <c r="I9" i="36" s="1"/>
  <c r="D33" i="110" s="1"/>
  <c r="D59" i="110" s="1"/>
  <c r="BA12" i="33"/>
  <c r="AV14" i="33"/>
  <c r="AU15" i="33"/>
  <c r="AU16" i="33" s="1"/>
  <c r="AO11" i="33"/>
  <c r="AO12" i="33" s="1"/>
  <c r="AO13" i="33" s="1"/>
  <c r="AO14" i="33" s="1"/>
  <c r="AO15" i="33" s="1"/>
  <c r="AO16" i="33" s="1"/>
  <c r="AP10" i="33"/>
  <c r="H7" i="36" s="1"/>
  <c r="C35" i="110" s="1"/>
  <c r="C61" i="110" s="1"/>
  <c r="AI9" i="33"/>
  <c r="AI10" i="33" s="1"/>
  <c r="AI11" i="33" s="1"/>
  <c r="AI12" i="33" s="1"/>
  <c r="AI13" i="33" s="1"/>
  <c r="AI14" i="33" s="1"/>
  <c r="AI15" i="33" s="1"/>
  <c r="AI16" i="33" s="1"/>
  <c r="M9" i="33"/>
  <c r="M10" i="33" s="1"/>
  <c r="M11" i="33" s="1"/>
  <c r="M12" i="33" s="1"/>
  <c r="N8" i="33"/>
  <c r="F4" i="36" s="1"/>
  <c r="BZ85" i="39"/>
  <c r="BZ97" i="39" s="1"/>
  <c r="BU164" i="39"/>
  <c r="CN156" i="39"/>
  <c r="CO137" i="39"/>
  <c r="DI137" i="39"/>
  <c r="CR136" i="39"/>
  <c r="DL136" i="39"/>
  <c r="CR158" i="39"/>
  <c r="DL158" i="39"/>
  <c r="N109" i="28"/>
  <c r="N104" i="28"/>
  <c r="CT146" i="39"/>
  <c r="DN146" i="39"/>
  <c r="CI146" i="39"/>
  <c r="DC146" i="39"/>
  <c r="CI136" i="39"/>
  <c r="DC136" i="39"/>
  <c r="AV11" i="33"/>
  <c r="I8" i="36" s="1"/>
  <c r="D34" i="110" s="1"/>
  <c r="D60" i="110" s="1"/>
  <c r="AV9" i="33"/>
  <c r="G8" i="36" s="1"/>
  <c r="B34" i="110" s="1"/>
  <c r="B60" i="110" s="1"/>
  <c r="AP9" i="33"/>
  <c r="G7" i="36" s="1"/>
  <c r="B35" i="110" s="1"/>
  <c r="B61" i="110" s="1"/>
  <c r="BB6" i="33"/>
  <c r="D9" i="36" s="1"/>
  <c r="F46" i="36"/>
  <c r="F29" i="111" s="1"/>
  <c r="CA77" i="39"/>
  <c r="CA65" i="39"/>
  <c r="K43" i="36"/>
  <c r="N53" i="28"/>
  <c r="N37" i="28"/>
  <c r="N21" i="28"/>
  <c r="N5" i="28"/>
  <c r="D135" i="39"/>
  <c r="E135" i="39" s="1"/>
  <c r="D75" i="84" s="1"/>
  <c r="BU156" i="39"/>
  <c r="CN139" i="39"/>
  <c r="CM131" i="39"/>
  <c r="DH146" i="39"/>
  <c r="CK146" i="39"/>
  <c r="DE146" i="39"/>
  <c r="CH146" i="39"/>
  <c r="DB146" i="39"/>
  <c r="CQ137" i="39"/>
  <c r="DK137" i="39"/>
  <c r="DH137" i="39"/>
  <c r="CH137" i="39"/>
  <c r="DB137" i="39"/>
  <c r="CT136" i="39"/>
  <c r="DN136" i="39"/>
  <c r="CN114" i="39"/>
  <c r="F41" i="36"/>
  <c r="F24" i="111" s="1"/>
  <c r="Y12" i="33"/>
  <c r="J5" i="36" s="1"/>
  <c r="E31" i="110" s="1"/>
  <c r="AV12" i="33"/>
  <c r="J8" i="36" s="1"/>
  <c r="E34" i="110" s="1"/>
  <c r="E60" i="110" s="1"/>
  <c r="BB10" i="33"/>
  <c r="H9" i="36" s="1"/>
  <c r="C33" i="110" s="1"/>
  <c r="C59" i="110" s="1"/>
  <c r="AP7" i="33"/>
  <c r="N5" i="33"/>
  <c r="C4" i="36" s="1"/>
  <c r="CA60" i="39"/>
  <c r="G42" i="36"/>
  <c r="BU150" i="39"/>
  <c r="BU153" i="39"/>
  <c r="BU148" i="39"/>
  <c r="BU147" i="39"/>
  <c r="CM99" i="39"/>
  <c r="CM141" i="39"/>
  <c r="CN105" i="39"/>
  <c r="N1" i="47"/>
  <c r="CP146" i="39"/>
  <c r="DJ146" i="39"/>
  <c r="DG146" i="39"/>
  <c r="CS137" i="39"/>
  <c r="DM137" i="39"/>
  <c r="DG137" i="39"/>
  <c r="CJ137" i="39"/>
  <c r="DD137" i="39"/>
  <c r="DH136" i="39"/>
  <c r="CK136" i="39"/>
  <c r="DE136" i="39"/>
  <c r="DF158" i="39"/>
  <c r="CL158" i="39"/>
  <c r="N106" i="28"/>
  <c r="G41" i="36"/>
  <c r="C14" i="33"/>
  <c r="L3" i="36" s="1"/>
  <c r="Y10" i="33"/>
  <c r="H5" i="36" s="1"/>
  <c r="C31" i="110" s="1"/>
  <c r="Y9" i="33"/>
  <c r="N7" i="33"/>
  <c r="E4" i="36" s="1"/>
  <c r="AP6" i="33"/>
  <c r="D7" i="36" s="1"/>
  <c r="CA57" i="39"/>
  <c r="I42" i="36"/>
  <c r="N72" i="28"/>
  <c r="R14" i="35"/>
  <c r="Y10" i="35"/>
  <c r="H26" i="36" s="1"/>
  <c r="H17" i="111" s="1"/>
  <c r="BU146" i="39"/>
  <c r="BW157" i="39"/>
  <c r="BW168" i="39"/>
  <c r="BW155" i="39"/>
  <c r="BU163" i="39"/>
  <c r="BW150" i="39"/>
  <c r="BW148" i="39"/>
  <c r="CM115" i="39"/>
  <c r="CM67" i="39"/>
  <c r="CN150" i="39"/>
  <c r="CR146" i="39"/>
  <c r="DL146" i="39"/>
  <c r="CO146" i="39"/>
  <c r="CL146" i="39"/>
  <c r="CU137" i="39"/>
  <c r="DO137" i="39"/>
  <c r="CR137" i="39"/>
  <c r="CL137" i="39"/>
  <c r="DF137" i="39"/>
  <c r="CI137" i="39"/>
  <c r="CU136" i="39"/>
  <c r="CP136" i="39"/>
  <c r="DJ136" i="39"/>
  <c r="DG136" i="39"/>
  <c r="CN106" i="39"/>
  <c r="CN90" i="39"/>
  <c r="CN74" i="39"/>
  <c r="CN58" i="39"/>
  <c r="CO158" i="39"/>
  <c r="DI158" i="39"/>
  <c r="N107" i="28"/>
  <c r="CN128" i="39"/>
  <c r="CN104" i="39"/>
  <c r="CN96" i="39"/>
  <c r="CU158" i="39"/>
  <c r="DO158" i="39"/>
  <c r="DH158" i="39"/>
  <c r="CJ136" i="39"/>
  <c r="CN118" i="39"/>
  <c r="CN94" i="39"/>
  <c r="CN86" i="39"/>
  <c r="CN78" i="39"/>
  <c r="CN62" i="39"/>
  <c r="CN54" i="39"/>
  <c r="DG158" i="39"/>
  <c r="CJ158" i="39"/>
  <c r="DD158" i="39"/>
  <c r="CN124" i="39"/>
  <c r="CN108" i="39"/>
  <c r="CN100" i="39"/>
  <c r="CN60" i="39"/>
  <c r="CL160" i="39"/>
  <c r="CI158" i="39"/>
  <c r="DC158" i="39"/>
  <c r="BY80" i="39"/>
  <c r="CA80" i="39" s="1"/>
  <c r="CA68" i="39"/>
  <c r="CA58" i="39"/>
  <c r="CA54" i="39"/>
  <c r="BZ62" i="39"/>
  <c r="BY69" i="39"/>
  <c r="CA69" i="39" s="1"/>
  <c r="DD50" i="39"/>
  <c r="DH50" i="39"/>
  <c r="DL50" i="39"/>
  <c r="DE50" i="39"/>
  <c r="DI50" i="39"/>
  <c r="DM50" i="39"/>
  <c r="DF50" i="39"/>
  <c r="DJ50" i="39"/>
  <c r="DN50" i="39"/>
  <c r="DC50" i="39"/>
  <c r="DG50" i="39"/>
  <c r="DK50" i="39"/>
  <c r="DO50" i="39"/>
  <c r="DB50" i="39"/>
  <c r="BZ67" i="39"/>
  <c r="CA55" i="39"/>
  <c r="CA59" i="39"/>
  <c r="BZ71" i="39"/>
  <c r="BY74" i="39"/>
  <c r="BW146" i="39"/>
  <c r="CM154" i="39"/>
  <c r="CM114" i="39"/>
  <c r="CM58" i="39"/>
  <c r="CM50" i="39"/>
  <c r="CM159" i="39"/>
  <c r="N68" i="28"/>
  <c r="Y5" i="35"/>
  <c r="CM88" i="39"/>
  <c r="CM80" i="39"/>
  <c r="CM72" i="39"/>
  <c r="CM138" i="39"/>
  <c r="CM122" i="39"/>
  <c r="CM106" i="39"/>
  <c r="CM98" i="39"/>
  <c r="CM90" i="39"/>
  <c r="CM82" i="39"/>
  <c r="CM74" i="39"/>
  <c r="Y11" i="35"/>
  <c r="I26" i="36" s="1"/>
  <c r="I17" i="111" s="1"/>
  <c r="D7" i="35"/>
  <c r="E25" i="36" s="1"/>
  <c r="E16" i="111" s="1"/>
  <c r="N98" i="28"/>
  <c r="CM152" i="39"/>
  <c r="CM144" i="39"/>
  <c r="CM136" i="39"/>
  <c r="CM128" i="39"/>
  <c r="CM120" i="39"/>
  <c r="CM112" i="39"/>
  <c r="CM104" i="39"/>
  <c r="CM64" i="39"/>
  <c r="CM56" i="39"/>
  <c r="Y14" i="33"/>
  <c r="L5" i="36" s="1"/>
  <c r="C11" i="33"/>
  <c r="I3" i="36" s="1"/>
  <c r="D29" i="110" s="1"/>
  <c r="C10" i="33"/>
  <c r="H3" i="36" s="1"/>
  <c r="C29" i="110" s="1"/>
  <c r="BB9" i="33"/>
  <c r="G9" i="36" s="1"/>
  <c r="B33" i="110" s="1"/>
  <c r="B59" i="110" s="1"/>
  <c r="Y7" i="33"/>
  <c r="E5" i="36" s="1"/>
  <c r="AV8" i="33"/>
  <c r="F8" i="36" s="1"/>
  <c r="G47" i="36"/>
  <c r="B20" i="110" s="1"/>
  <c r="BB5" i="33"/>
  <c r="C9" i="36" s="1"/>
  <c r="CA66" i="39"/>
  <c r="CA72" i="39"/>
  <c r="H42" i="36"/>
  <c r="BY82" i="39"/>
  <c r="CA70" i="39"/>
  <c r="L12" i="35"/>
  <c r="J27" i="36" s="1"/>
  <c r="L11" i="35"/>
  <c r="I27" i="36" s="1"/>
  <c r="I18" i="111" s="1"/>
  <c r="D10" i="35"/>
  <c r="H25" i="36" s="1"/>
  <c r="H16" i="111" s="1"/>
  <c r="N93" i="28"/>
  <c r="D140" i="39"/>
  <c r="N88" i="28"/>
  <c r="BW161" i="39"/>
  <c r="CM150" i="39"/>
  <c r="CM142" i="39"/>
  <c r="CM126" i="39"/>
  <c r="CM118" i="39"/>
  <c r="CM110" i="39"/>
  <c r="CM102" i="39"/>
  <c r="CM94" i="39"/>
  <c r="CM86" i="39"/>
  <c r="CM70" i="39"/>
  <c r="CM62" i="39"/>
  <c r="CM54" i="39"/>
  <c r="C12" i="33"/>
  <c r="J3" i="36" s="1"/>
  <c r="E29" i="110" s="1"/>
  <c r="Y8" i="33"/>
  <c r="F5" i="36" s="1"/>
  <c r="C8" i="33"/>
  <c r="F3" i="36" s="1"/>
  <c r="C6" i="33"/>
  <c r="D3" i="36" s="1"/>
  <c r="G45" i="36"/>
  <c r="B22" i="110" s="1"/>
  <c r="AV5" i="33"/>
  <c r="C8" i="36" s="1"/>
  <c r="CA63" i="39"/>
  <c r="CA51" i="39"/>
  <c r="F42" i="36"/>
  <c r="F25" i="111" s="1"/>
  <c r="G43" i="36"/>
  <c r="N71" i="28"/>
  <c r="N67" i="28"/>
  <c r="N64" i="28"/>
  <c r="L14" i="35"/>
  <c r="L27" i="36" s="1"/>
  <c r="L7" i="35"/>
  <c r="E27" i="36" s="1"/>
  <c r="E18" i="111" s="1"/>
  <c r="R9" i="35"/>
  <c r="G28" i="36" s="1"/>
  <c r="G19" i="111" s="1"/>
  <c r="R10" i="35"/>
  <c r="H28" i="36" s="1"/>
  <c r="H19" i="111" s="1"/>
  <c r="C47" i="110" s="1"/>
  <c r="C73" i="110" s="1"/>
  <c r="D12" i="35"/>
  <c r="J25" i="36" s="1"/>
  <c r="J16" i="111" s="1"/>
  <c r="R13" i="35"/>
  <c r="K28" i="36" s="1"/>
  <c r="Y14" i="35"/>
  <c r="Y32" i="35" s="1"/>
  <c r="L42" i="36"/>
  <c r="H43" i="36"/>
  <c r="J42" i="36"/>
  <c r="J43" i="36"/>
  <c r="F44" i="36"/>
  <c r="F27" i="111" s="1"/>
  <c r="C5" i="33"/>
  <c r="C3" i="36" s="1"/>
  <c r="F43" i="36"/>
  <c r="F26" i="111" s="1"/>
  <c r="K42" i="36"/>
  <c r="AP5" i="33"/>
  <c r="C7" i="36" s="1"/>
  <c r="AV6" i="33"/>
  <c r="D8" i="36" s="1"/>
  <c r="G44" i="36"/>
  <c r="B24" i="110" s="1"/>
  <c r="N6" i="33"/>
  <c r="D4" i="36" s="1"/>
  <c r="Y5" i="33"/>
  <c r="C5" i="36" s="1"/>
  <c r="BB7" i="33"/>
  <c r="E9" i="36" s="1"/>
  <c r="Y6" i="33"/>
  <c r="D5" i="36" s="1"/>
  <c r="C7" i="33"/>
  <c r="E3" i="36" s="1"/>
  <c r="BB8" i="33"/>
  <c r="F9" i="36" s="1"/>
  <c r="AP8" i="33"/>
  <c r="F7" i="36" s="1"/>
  <c r="C9" i="33"/>
  <c r="G3" i="36" s="1"/>
  <c r="B29" i="110" s="1"/>
  <c r="AV10" i="33"/>
  <c r="H8" i="36" s="1"/>
  <c r="C34" i="110" s="1"/>
  <c r="C60" i="110" s="1"/>
  <c r="Y11" i="33"/>
  <c r="I5" i="36" s="1"/>
  <c r="D31" i="110" s="1"/>
  <c r="AV13" i="33"/>
  <c r="K8" i="36" s="1"/>
  <c r="Y13" i="33"/>
  <c r="K5" i="36" s="1"/>
  <c r="C13" i="33"/>
  <c r="K3" i="36" s="1"/>
  <c r="N4" i="28"/>
  <c r="N14" i="28"/>
  <c r="N24" i="28"/>
  <c r="N28" i="28"/>
  <c r="N30" i="28"/>
  <c r="N34" i="28"/>
  <c r="N36" i="28"/>
  <c r="N44" i="28"/>
  <c r="N52" i="28"/>
  <c r="N54" i="28"/>
  <c r="N62" i="28"/>
  <c r="N70" i="28"/>
  <c r="L13" i="35"/>
  <c r="K27" i="36" s="1"/>
  <c r="R6" i="35"/>
  <c r="D28" i="36" s="1"/>
  <c r="D19" i="111" s="1"/>
  <c r="N81" i="28"/>
  <c r="CM134" i="39"/>
  <c r="CM156" i="39"/>
  <c r="CM148" i="39"/>
  <c r="CM140" i="39"/>
  <c r="CM132" i="39"/>
  <c r="CM124" i="39"/>
  <c r="CM116" i="39"/>
  <c r="CM100" i="39"/>
  <c r="CM92" i="39"/>
  <c r="CM84" i="39"/>
  <c r="CM76" i="39"/>
  <c r="CM68" i="39"/>
  <c r="CM60" i="39"/>
  <c r="CM52" i="39"/>
  <c r="CR160" i="39"/>
  <c r="CA64" i="39"/>
  <c r="CA52" i="39"/>
  <c r="L5" i="35"/>
  <c r="C27" i="36" s="1"/>
  <c r="C18" i="111" s="1"/>
  <c r="D5" i="35"/>
  <c r="C25" i="36" s="1"/>
  <c r="C16" i="111" s="1"/>
  <c r="R7" i="35"/>
  <c r="E28" i="36" s="1"/>
  <c r="E19" i="111" s="1"/>
  <c r="Y8" i="35"/>
  <c r="F26" i="36" s="1"/>
  <c r="F17" i="111" s="1"/>
  <c r="D8" i="35"/>
  <c r="F25" i="36" s="1"/>
  <c r="F16" i="111" s="1"/>
  <c r="L9" i="35"/>
  <c r="G27" i="36" s="1"/>
  <c r="G18" i="111" s="1"/>
  <c r="G50" i="111" s="1"/>
  <c r="L10" i="35"/>
  <c r="H27" i="36" s="1"/>
  <c r="H18" i="111" s="1"/>
  <c r="R11" i="35"/>
  <c r="I28" i="36" s="1"/>
  <c r="I19" i="111" s="1"/>
  <c r="D47" i="110" s="1"/>
  <c r="D73" i="110" s="1"/>
  <c r="Y12" i="35"/>
  <c r="J26" i="36" s="1"/>
  <c r="Y13" i="35"/>
  <c r="K26" i="36" s="1"/>
  <c r="R5" i="35"/>
  <c r="L6" i="35"/>
  <c r="D27" i="36" s="1"/>
  <c r="D18" i="111" s="1"/>
  <c r="D6" i="35"/>
  <c r="D25" i="36" s="1"/>
  <c r="D16" i="111" s="1"/>
  <c r="R8" i="35"/>
  <c r="F28" i="36" s="1"/>
  <c r="F19" i="111" s="1"/>
  <c r="R12" i="35"/>
  <c r="J28" i="36" s="1"/>
  <c r="D13" i="35"/>
  <c r="K25" i="36" s="1"/>
  <c r="K16" i="111" s="1"/>
  <c r="D14" i="35"/>
  <c r="L25" i="36" s="1"/>
  <c r="L16" i="111" s="1"/>
  <c r="D11" i="35"/>
  <c r="I25" i="36" s="1"/>
  <c r="I16" i="111" s="1"/>
  <c r="Y9" i="35"/>
  <c r="G26" i="36" s="1"/>
  <c r="G17" i="111" s="1"/>
  <c r="G49" i="111" s="1"/>
  <c r="L8" i="35"/>
  <c r="F27" i="36" s="1"/>
  <c r="F18" i="111" s="1"/>
  <c r="Y7" i="35"/>
  <c r="E26" i="36" s="1"/>
  <c r="E17" i="111" s="1"/>
  <c r="Y6" i="35"/>
  <c r="D26" i="36" s="1"/>
  <c r="D17" i="111" s="1"/>
  <c r="BW163" i="39"/>
  <c r="N101" i="28"/>
  <c r="CH149" i="39"/>
  <c r="CS158" i="39"/>
  <c r="CQ158" i="39"/>
  <c r="CH158" i="39"/>
  <c r="CH157" i="39"/>
  <c r="CH151" i="39"/>
  <c r="CH147" i="39"/>
  <c r="CH145" i="39"/>
  <c r="CH129" i="39"/>
  <c r="CH127" i="39"/>
  <c r="CH123" i="39"/>
  <c r="CH119" i="39"/>
  <c r="CN116" i="39"/>
  <c r="CH115" i="39"/>
  <c r="CH113" i="39"/>
  <c r="CH111" i="39"/>
  <c r="CH109" i="39"/>
  <c r="CH107" i="39"/>
  <c r="CH103" i="39"/>
  <c r="CH99" i="39"/>
  <c r="CH95" i="39"/>
  <c r="CN92" i="39"/>
  <c r="CH89" i="39"/>
  <c r="CH87" i="39"/>
  <c r="CN84" i="39"/>
  <c r="CN76" i="39"/>
  <c r="CN72" i="39"/>
  <c r="CN56" i="39"/>
  <c r="CJ159" i="39"/>
  <c r="CN157" i="39"/>
  <c r="CN153" i="39"/>
  <c r="CN147" i="39"/>
  <c r="CN135" i="39"/>
  <c r="CN133" i="39"/>
  <c r="CN123" i="39"/>
  <c r="CN117" i="39"/>
  <c r="CN111" i="39"/>
  <c r="CN103" i="39"/>
  <c r="CN99" i="39"/>
  <c r="CN97" i="39"/>
  <c r="CN91" i="39"/>
  <c r="CN85" i="39"/>
  <c r="CN81" i="39"/>
  <c r="CN65" i="39"/>
  <c r="CS159" i="39"/>
  <c r="CI159" i="39"/>
  <c r="CT158" i="39"/>
  <c r="CN95" i="39"/>
  <c r="CN115" i="39"/>
  <c r="CH120" i="39"/>
  <c r="CN89" i="39"/>
  <c r="CN93" i="39"/>
  <c r="CN137" i="39"/>
  <c r="CH150" i="39"/>
  <c r="CR159" i="39"/>
  <c r="CO159" i="39"/>
  <c r="CH159" i="39"/>
  <c r="CN158" i="39"/>
  <c r="CK158" i="39"/>
  <c r="CE159" i="39"/>
  <c r="CU159" i="39"/>
  <c r="CL159" i="39"/>
  <c r="CP158" i="39"/>
  <c r="CO6" i="6"/>
  <c r="W6" i="6"/>
  <c r="CA6" i="6"/>
  <c r="V7" i="6"/>
  <c r="AL6" i="6"/>
  <c r="DD6" i="6"/>
  <c r="Y6" i="6"/>
  <c r="CC6" i="6"/>
  <c r="CE6" i="6"/>
  <c r="X6" i="6"/>
  <c r="DC6" i="6"/>
  <c r="CP6" i="6"/>
  <c r="CB6" i="6"/>
  <c r="BM6" i="6"/>
  <c r="Z6" i="6"/>
  <c r="CG6" i="6"/>
  <c r="AK6" i="6"/>
  <c r="CF6" i="6"/>
  <c r="DD23" i="6"/>
  <c r="V24" i="6"/>
  <c r="CG24" i="6" s="1"/>
  <c r="AK23" i="6"/>
  <c r="BM23" i="6"/>
  <c r="DC23" i="6"/>
  <c r="AY23" i="6"/>
  <c r="CO23" i="6"/>
  <c r="X23" i="6"/>
  <c r="BN23" i="6"/>
  <c r="AZ23" i="6"/>
  <c r="AL23" i="6"/>
  <c r="CA23" i="6"/>
  <c r="CE23" i="6"/>
  <c r="CF23" i="6"/>
  <c r="Y23" i="6"/>
  <c r="W23" i="6"/>
  <c r="CF22" i="6"/>
  <c r="CD6" i="6"/>
  <c r="CD23" i="6"/>
  <c r="AZ6" i="6"/>
  <c r="AY6" i="6"/>
  <c r="DD21" i="6"/>
  <c r="DD22" i="6"/>
  <c r="DE4" i="6"/>
  <c r="AL5" i="6"/>
  <c r="AM4" i="6"/>
  <c r="CM158" i="39"/>
  <c r="CB23" i="6"/>
  <c r="CE24" i="6"/>
  <c r="CE21" i="6"/>
  <c r="Z23" i="6"/>
  <c r="BN21" i="6"/>
  <c r="BO4" i="6"/>
  <c r="CN154" i="39"/>
  <c r="CN148" i="39"/>
  <c r="CN144" i="39"/>
  <c r="CN140" i="39"/>
  <c r="CN134" i="39"/>
  <c r="CN130" i="39"/>
  <c r="CN126" i="39"/>
  <c r="CN122" i="39"/>
  <c r="CN112" i="39"/>
  <c r="CN64" i="39"/>
  <c r="CN52" i="39"/>
  <c r="Z5" i="6"/>
  <c r="CG21" i="6"/>
  <c r="CG5" i="6"/>
  <c r="CG22" i="6"/>
  <c r="CG23" i="6"/>
  <c r="CH4" i="6"/>
  <c r="BB4" i="6"/>
  <c r="BA22" i="6"/>
  <c r="BA6" i="6"/>
  <c r="BA21" i="6"/>
  <c r="BA23" i="6"/>
  <c r="BA24" i="6"/>
  <c r="BA7" i="6"/>
  <c r="AB4" i="6"/>
  <c r="AA22" i="6"/>
  <c r="AA6" i="6"/>
  <c r="AA23" i="6"/>
  <c r="CQ6" i="6"/>
  <c r="CQ22" i="6"/>
  <c r="CQ7" i="6"/>
  <c r="CQ23" i="6"/>
  <c r="CR4" i="6"/>
  <c r="CQ21" i="6"/>
  <c r="DE21" i="6"/>
  <c r="L1" i="28"/>
  <c r="O1" i="27"/>
  <c r="M1" i="47"/>
  <c r="O1" i="41"/>
  <c r="M1" i="28"/>
  <c r="N1" i="29"/>
  <c r="P1" i="27"/>
  <c r="N1" i="58"/>
  <c r="N1" i="41"/>
  <c r="B48" i="110" l="1"/>
  <c r="B74" i="110" s="1"/>
  <c r="B47" i="110"/>
  <c r="B73" i="110" s="1"/>
  <c r="G51" i="111"/>
  <c r="B50" i="110"/>
  <c r="B44" i="110"/>
  <c r="G48" i="111"/>
  <c r="F34" i="110"/>
  <c r="F60" i="110" s="1"/>
  <c r="P60" i="110" s="1"/>
  <c r="G31" i="110"/>
  <c r="F31" i="110"/>
  <c r="P31" i="110" s="1"/>
  <c r="G29" i="110"/>
  <c r="F29" i="110"/>
  <c r="P29" i="110" s="1"/>
  <c r="U10" i="98"/>
  <c r="U54" i="98"/>
  <c r="U55" i="98"/>
  <c r="U8" i="98"/>
  <c r="U72" i="98"/>
  <c r="U38" i="98"/>
  <c r="U56" i="98"/>
  <c r="L25" i="111"/>
  <c r="D112" i="111" s="1"/>
  <c r="C125" i="111" s="1"/>
  <c r="G17" i="110"/>
  <c r="L26" i="111"/>
  <c r="D113" i="111" s="1"/>
  <c r="C126" i="111" s="1"/>
  <c r="G18" i="110"/>
  <c r="K25" i="111"/>
  <c r="D99" i="111" s="1"/>
  <c r="C112" i="111" s="1"/>
  <c r="F17" i="110"/>
  <c r="J26" i="111"/>
  <c r="D87" i="111" s="1"/>
  <c r="C100" i="111" s="1"/>
  <c r="E18" i="110"/>
  <c r="J25" i="111"/>
  <c r="E17" i="110"/>
  <c r="H26" i="111"/>
  <c r="D61" i="111" s="1"/>
  <c r="C74" i="111" s="1"/>
  <c r="C18" i="110"/>
  <c r="H25" i="111"/>
  <c r="C17" i="110"/>
  <c r="I25" i="111"/>
  <c r="D73" i="111" s="1"/>
  <c r="D17" i="110"/>
  <c r="K26" i="111"/>
  <c r="D100" i="111" s="1"/>
  <c r="C113" i="111" s="1"/>
  <c r="F18" i="110"/>
  <c r="I26" i="111"/>
  <c r="D74" i="111" s="1"/>
  <c r="D18" i="110"/>
  <c r="G30" i="111"/>
  <c r="D52" i="111" s="1"/>
  <c r="G28" i="111"/>
  <c r="D50" i="111" s="1"/>
  <c r="G27" i="111"/>
  <c r="D49" i="111" s="1"/>
  <c r="M19" i="110"/>
  <c r="G26" i="111"/>
  <c r="D48" i="111" s="1"/>
  <c r="B18" i="110"/>
  <c r="G25" i="111"/>
  <c r="B17" i="110"/>
  <c r="G24" i="111"/>
  <c r="B16" i="110"/>
  <c r="O60" i="110"/>
  <c r="N60" i="110"/>
  <c r="M59" i="110"/>
  <c r="N59" i="110"/>
  <c r="M61" i="110"/>
  <c r="M60" i="110"/>
  <c r="M35" i="110"/>
  <c r="M34" i="110"/>
  <c r="G75" i="111"/>
  <c r="F88" i="111" s="1"/>
  <c r="D50" i="110"/>
  <c r="G62" i="111"/>
  <c r="F75" i="111" s="1"/>
  <c r="C50" i="110"/>
  <c r="G63" i="111"/>
  <c r="F76" i="111" s="1"/>
  <c r="C48" i="110"/>
  <c r="C74" i="110" s="1"/>
  <c r="G76" i="111"/>
  <c r="F89" i="111" s="1"/>
  <c r="D48" i="110"/>
  <c r="D74" i="110" s="1"/>
  <c r="G77" i="111"/>
  <c r="F90" i="111" s="1"/>
  <c r="G64" i="111"/>
  <c r="F77" i="111" s="1"/>
  <c r="G74" i="111"/>
  <c r="F87" i="111" s="1"/>
  <c r="D44" i="110"/>
  <c r="G113" i="111"/>
  <c r="F126" i="111" s="1"/>
  <c r="G44" i="110"/>
  <c r="G100" i="111"/>
  <c r="F113" i="111" s="1"/>
  <c r="F44" i="110"/>
  <c r="G87" i="111"/>
  <c r="F100" i="111" s="1"/>
  <c r="E44" i="110"/>
  <c r="G61" i="111"/>
  <c r="F74" i="111" s="1"/>
  <c r="C44" i="110"/>
  <c r="M33" i="110"/>
  <c r="O34" i="110"/>
  <c r="N29" i="110"/>
  <c r="N34" i="110"/>
  <c r="O31" i="110"/>
  <c r="N31" i="110"/>
  <c r="N33" i="110"/>
  <c r="M29" i="110"/>
  <c r="O29" i="110"/>
  <c r="L18" i="111"/>
  <c r="J18" i="111"/>
  <c r="J19" i="111"/>
  <c r="E47" i="110" s="1"/>
  <c r="E73" i="110" s="1"/>
  <c r="K18" i="111"/>
  <c r="K17" i="111"/>
  <c r="J17" i="111"/>
  <c r="K19" i="111"/>
  <c r="F47" i="110" s="1"/>
  <c r="F73" i="110" s="1"/>
  <c r="G20" i="111"/>
  <c r="E20" i="111"/>
  <c r="F20" i="111"/>
  <c r="D20" i="111"/>
  <c r="E199" i="7"/>
  <c r="G192" i="7"/>
  <c r="F197" i="7"/>
  <c r="H192" i="7"/>
  <c r="O194" i="7"/>
  <c r="N194" i="7"/>
  <c r="I194" i="7"/>
  <c r="J195" i="7"/>
  <c r="J199" i="7"/>
  <c r="H199" i="7"/>
  <c r="P196" i="7"/>
  <c r="L195" i="7"/>
  <c r="M197" i="7"/>
  <c r="J194" i="7"/>
  <c r="P193" i="7"/>
  <c r="K194" i="7"/>
  <c r="P192" i="7"/>
  <c r="P199" i="7"/>
  <c r="J192" i="7"/>
  <c r="L28" i="36"/>
  <c r="R32" i="35"/>
  <c r="F168" i="7"/>
  <c r="H130" i="106"/>
  <c r="N130" i="106" s="1"/>
  <c r="J130" i="87"/>
  <c r="P130" i="87" s="1"/>
  <c r="H130" i="30"/>
  <c r="F161" i="7"/>
  <c r="J123" i="87"/>
  <c r="P123" i="87" s="1"/>
  <c r="H123" i="30"/>
  <c r="H123" i="106"/>
  <c r="N123" i="106" s="1"/>
  <c r="F170" i="7"/>
  <c r="J132" i="87"/>
  <c r="P132" i="87" s="1"/>
  <c r="H132" i="30"/>
  <c r="H132" i="106"/>
  <c r="N132" i="106" s="1"/>
  <c r="F160" i="7"/>
  <c r="H122" i="106"/>
  <c r="N122" i="106" s="1"/>
  <c r="J122" i="87"/>
  <c r="P122" i="87" s="1"/>
  <c r="H122" i="30"/>
  <c r="N122" i="30" s="1"/>
  <c r="F169" i="7"/>
  <c r="J131" i="87"/>
  <c r="P131" i="87" s="1"/>
  <c r="H131" i="30"/>
  <c r="H131" i="106"/>
  <c r="N131" i="106" s="1"/>
  <c r="F165" i="7"/>
  <c r="J127" i="87"/>
  <c r="P127" i="87" s="1"/>
  <c r="H127" i="30"/>
  <c r="H127" i="106"/>
  <c r="N127" i="106" s="1"/>
  <c r="D195" i="7"/>
  <c r="F167" i="7"/>
  <c r="J129" i="87"/>
  <c r="P129" i="87" s="1"/>
  <c r="H129" i="30"/>
  <c r="H129" i="106"/>
  <c r="N129" i="106" s="1"/>
  <c r="F164" i="7"/>
  <c r="H126" i="106"/>
  <c r="N126" i="106" s="1"/>
  <c r="J126" i="87"/>
  <c r="P126" i="87" s="1"/>
  <c r="H126" i="30"/>
  <c r="F163" i="7"/>
  <c r="J125" i="87"/>
  <c r="P125" i="87" s="1"/>
  <c r="H125" i="30"/>
  <c r="H125" i="106"/>
  <c r="N125" i="106" s="1"/>
  <c r="F162" i="7"/>
  <c r="J124" i="87"/>
  <c r="P124" i="87" s="1"/>
  <c r="H124" i="30"/>
  <c r="H124" i="106"/>
  <c r="N124" i="106" s="1"/>
  <c r="F171" i="7"/>
  <c r="J133" i="87"/>
  <c r="P133" i="87" s="1"/>
  <c r="H133" i="30"/>
  <c r="H133" i="106"/>
  <c r="N133" i="106" s="1"/>
  <c r="F166" i="7"/>
  <c r="J128" i="87"/>
  <c r="P128" i="87" s="1"/>
  <c r="H128" i="30"/>
  <c r="H128" i="106"/>
  <c r="N128" i="106" s="1"/>
  <c r="L158" i="7"/>
  <c r="L170" i="7" s="1"/>
  <c r="AX120" i="99"/>
  <c r="AX180" i="39"/>
  <c r="L159" i="7"/>
  <c r="L171" i="7" s="1"/>
  <c r="AX121" i="99"/>
  <c r="AX181" i="39"/>
  <c r="P157" i="7"/>
  <c r="P169" i="7" s="1"/>
  <c r="BB179" i="39"/>
  <c r="BB119" i="99"/>
  <c r="J156" i="7"/>
  <c r="J168" i="7" s="1"/>
  <c r="AV178" i="39"/>
  <c r="AV118" i="99"/>
  <c r="M158" i="7"/>
  <c r="M170" i="7" s="1"/>
  <c r="AY180" i="39"/>
  <c r="AY120" i="99"/>
  <c r="N159" i="7"/>
  <c r="N171" i="7" s="1"/>
  <c r="AZ181" i="39"/>
  <c r="AZ121" i="99"/>
  <c r="N156" i="7"/>
  <c r="N168" i="7" s="1"/>
  <c r="AZ178" i="39"/>
  <c r="AZ118" i="99"/>
  <c r="P154" i="7"/>
  <c r="P166" i="7" s="1"/>
  <c r="BB176" i="39"/>
  <c r="BB116" i="99"/>
  <c r="H157" i="7"/>
  <c r="H169" i="7" s="1"/>
  <c r="AT179" i="39"/>
  <c r="AT119" i="99"/>
  <c r="I158" i="7"/>
  <c r="I170" i="7" s="1"/>
  <c r="AU180" i="39"/>
  <c r="AU120" i="99"/>
  <c r="I155" i="7"/>
  <c r="I167" i="7" s="1"/>
  <c r="AU117" i="99"/>
  <c r="AU177" i="39"/>
  <c r="J158" i="7"/>
  <c r="J170" i="7" s="1"/>
  <c r="AV120" i="99"/>
  <c r="AV180" i="39"/>
  <c r="O155" i="7"/>
  <c r="O167" i="7" s="1"/>
  <c r="BA177" i="39"/>
  <c r="BA117" i="99"/>
  <c r="S157" i="7"/>
  <c r="S169" i="7" s="1"/>
  <c r="BE119" i="99"/>
  <c r="BE179" i="39"/>
  <c r="R159" i="7"/>
  <c r="R171" i="7" s="1"/>
  <c r="BD121" i="99"/>
  <c r="BD181" i="39"/>
  <c r="R155" i="7"/>
  <c r="R167" i="7" s="1"/>
  <c r="BD177" i="39"/>
  <c r="BD117" i="99"/>
  <c r="BC119" i="99"/>
  <c r="BC179" i="39"/>
  <c r="T155" i="7"/>
  <c r="T167" i="7" s="1"/>
  <c r="BF177" i="39"/>
  <c r="BF117" i="99"/>
  <c r="L155" i="7"/>
  <c r="L167" i="7" s="1"/>
  <c r="AX177" i="39"/>
  <c r="AX117" i="99"/>
  <c r="O157" i="7"/>
  <c r="O169" i="7" s="1"/>
  <c r="BA179" i="39"/>
  <c r="BA119" i="99"/>
  <c r="H155" i="7"/>
  <c r="H167" i="7" s="1"/>
  <c r="AT177" i="39"/>
  <c r="AT117" i="99"/>
  <c r="M154" i="7"/>
  <c r="M166" i="7" s="1"/>
  <c r="AY176" i="39"/>
  <c r="AY116" i="99"/>
  <c r="J157" i="7"/>
  <c r="J169" i="7" s="1"/>
  <c r="AV119" i="99"/>
  <c r="AV179" i="39"/>
  <c r="T157" i="7"/>
  <c r="T169" i="7" s="1"/>
  <c r="BF179" i="39"/>
  <c r="BF119" i="99"/>
  <c r="I159" i="7"/>
  <c r="I171" i="7" s="1"/>
  <c r="AU181" i="39"/>
  <c r="AU121" i="99"/>
  <c r="I156" i="7"/>
  <c r="I168" i="7" s="1"/>
  <c r="AU178" i="39"/>
  <c r="AU118" i="99"/>
  <c r="K157" i="7"/>
  <c r="K169" i="7" s="1"/>
  <c r="AW119" i="99"/>
  <c r="AW179" i="39"/>
  <c r="K154" i="7"/>
  <c r="K166" i="7" s="1"/>
  <c r="AW116" i="99"/>
  <c r="AW176" i="39"/>
  <c r="T158" i="7"/>
  <c r="T170" i="7" s="1"/>
  <c r="BF180" i="39"/>
  <c r="BF120" i="99"/>
  <c r="O159" i="7"/>
  <c r="O171" i="7" s="1"/>
  <c r="BA121" i="99"/>
  <c r="BA181" i="39"/>
  <c r="M157" i="7"/>
  <c r="M169" i="7" s="1"/>
  <c r="AY119" i="99"/>
  <c r="AY179" i="39"/>
  <c r="K155" i="7"/>
  <c r="K167" i="7" s="1"/>
  <c r="AW177" i="39"/>
  <c r="AW117" i="99"/>
  <c r="T156" i="7"/>
  <c r="T168" i="7" s="1"/>
  <c r="BF178" i="39"/>
  <c r="BF118" i="99"/>
  <c r="S156" i="7"/>
  <c r="S168" i="7" s="1"/>
  <c r="BE178" i="39"/>
  <c r="BE118" i="99"/>
  <c r="R158" i="7"/>
  <c r="R170" i="7" s="1"/>
  <c r="BD120" i="99"/>
  <c r="BD180" i="39"/>
  <c r="R154" i="7"/>
  <c r="R166" i="7" s="1"/>
  <c r="BD116" i="99"/>
  <c r="BD176" i="39"/>
  <c r="BC178" i="39"/>
  <c r="BC118" i="99"/>
  <c r="K156" i="7"/>
  <c r="K168" i="7" s="1"/>
  <c r="AW178" i="39"/>
  <c r="AW118" i="99"/>
  <c r="J159" i="7"/>
  <c r="J171" i="7" s="1"/>
  <c r="AV181" i="39"/>
  <c r="AV121" i="99"/>
  <c r="P156" i="7"/>
  <c r="P168" i="7" s="1"/>
  <c r="BB178" i="39"/>
  <c r="BB118" i="99"/>
  <c r="M155" i="7"/>
  <c r="M167" i="7" s="1"/>
  <c r="AY177" i="39"/>
  <c r="AY117" i="99"/>
  <c r="H159" i="7"/>
  <c r="H171" i="7" s="1"/>
  <c r="AT121" i="99"/>
  <c r="AT181" i="39"/>
  <c r="K158" i="7"/>
  <c r="K170" i="7" s="1"/>
  <c r="AW180" i="39"/>
  <c r="AW120" i="99"/>
  <c r="J155" i="7"/>
  <c r="J167" i="7" s="1"/>
  <c r="AV177" i="39"/>
  <c r="AV117" i="99"/>
  <c r="T159" i="7"/>
  <c r="T171" i="7" s="1"/>
  <c r="BF121" i="99"/>
  <c r="BF181" i="39"/>
  <c r="M159" i="7"/>
  <c r="M171" i="7" s="1"/>
  <c r="AY181" i="39"/>
  <c r="AY121" i="99"/>
  <c r="M156" i="7"/>
  <c r="M168" i="7" s="1"/>
  <c r="AY178" i="39"/>
  <c r="AY118" i="99"/>
  <c r="P158" i="7"/>
  <c r="P170" i="7" s="1"/>
  <c r="BB120" i="99"/>
  <c r="BB180" i="39"/>
  <c r="H158" i="7"/>
  <c r="H170" i="7" s="1"/>
  <c r="AT120" i="99"/>
  <c r="AT180" i="39"/>
  <c r="K159" i="7"/>
  <c r="K171" i="7" s="1"/>
  <c r="AW121" i="99"/>
  <c r="AW181" i="39"/>
  <c r="I157" i="7"/>
  <c r="I169" i="7" s="1"/>
  <c r="AU119" i="99"/>
  <c r="AU179" i="39"/>
  <c r="N154" i="7"/>
  <c r="N166" i="7" s="1"/>
  <c r="AZ116" i="99"/>
  <c r="AZ176" i="39"/>
  <c r="P159" i="7"/>
  <c r="P171" i="7" s="1"/>
  <c r="BB121" i="99"/>
  <c r="BB181" i="39"/>
  <c r="S159" i="7"/>
  <c r="S171" i="7" s="1"/>
  <c r="BE121" i="99"/>
  <c r="BE181" i="39"/>
  <c r="S155" i="7"/>
  <c r="S167" i="7" s="1"/>
  <c r="BE177" i="39"/>
  <c r="BE117" i="99"/>
  <c r="R157" i="7"/>
  <c r="R169" i="7" s="1"/>
  <c r="BD119" i="99"/>
  <c r="BD179" i="39"/>
  <c r="BC181" i="39"/>
  <c r="BC121" i="99"/>
  <c r="BC177" i="39"/>
  <c r="BC117" i="99"/>
  <c r="O156" i="7"/>
  <c r="O168" i="7" s="1"/>
  <c r="BA178" i="39"/>
  <c r="BA118" i="99"/>
  <c r="H156" i="7"/>
  <c r="H168" i="7" s="1"/>
  <c r="AT178" i="39"/>
  <c r="AT118" i="99"/>
  <c r="O154" i="7"/>
  <c r="O166" i="7" s="1"/>
  <c r="BA116" i="99"/>
  <c r="BA176" i="39"/>
  <c r="N157" i="7"/>
  <c r="N169" i="7" s="1"/>
  <c r="AZ179" i="39"/>
  <c r="AZ119" i="99"/>
  <c r="I154" i="7"/>
  <c r="I166" i="7" s="1"/>
  <c r="AU176" i="39"/>
  <c r="AU116" i="99"/>
  <c r="L157" i="7"/>
  <c r="L169" i="7" s="1"/>
  <c r="AX179" i="39"/>
  <c r="AX119" i="99"/>
  <c r="L154" i="7"/>
  <c r="L166" i="7" s="1"/>
  <c r="AX176" i="39"/>
  <c r="AX116" i="99"/>
  <c r="T154" i="7"/>
  <c r="T166" i="7" s="1"/>
  <c r="BF176" i="39"/>
  <c r="BF116" i="99"/>
  <c r="O158" i="7"/>
  <c r="O170" i="7" s="1"/>
  <c r="BA120" i="99"/>
  <c r="BA180" i="39"/>
  <c r="N155" i="7"/>
  <c r="N167" i="7" s="1"/>
  <c r="AZ177" i="39"/>
  <c r="AZ117" i="99"/>
  <c r="H154" i="7"/>
  <c r="H166" i="7" s="1"/>
  <c r="AT176" i="39"/>
  <c r="AT116" i="99"/>
  <c r="N158" i="7"/>
  <c r="N170" i="7" s="1"/>
  <c r="AZ120" i="99"/>
  <c r="AZ180" i="39"/>
  <c r="L156" i="7"/>
  <c r="L168" i="7" s="1"/>
  <c r="AX178" i="39"/>
  <c r="AX118" i="99"/>
  <c r="J154" i="7"/>
  <c r="J166" i="7" s="1"/>
  <c r="AV116" i="99"/>
  <c r="AV176" i="39"/>
  <c r="P155" i="7"/>
  <c r="P167" i="7" s="1"/>
  <c r="BB177" i="39"/>
  <c r="BB117" i="99"/>
  <c r="S158" i="7"/>
  <c r="S170" i="7" s="1"/>
  <c r="BE180" i="39"/>
  <c r="BE120" i="99"/>
  <c r="S154" i="7"/>
  <c r="S166" i="7" s="1"/>
  <c r="BE116" i="99"/>
  <c r="BE176" i="39"/>
  <c r="R156" i="7"/>
  <c r="R168" i="7" s="1"/>
  <c r="BD178" i="39"/>
  <c r="BD118" i="99"/>
  <c r="BC180" i="39"/>
  <c r="BC120" i="99"/>
  <c r="BC176" i="39"/>
  <c r="BC116" i="99"/>
  <c r="G199" i="7"/>
  <c r="L194" i="7"/>
  <c r="O193" i="7"/>
  <c r="BC8" i="33"/>
  <c r="F47" i="36"/>
  <c r="F30" i="111" s="1"/>
  <c r="AQ8" i="33"/>
  <c r="F45" i="36"/>
  <c r="F28" i="111" s="1"/>
  <c r="L26" i="36"/>
  <c r="F194" i="7"/>
  <c r="J6" i="36"/>
  <c r="E37" i="110" s="1"/>
  <c r="C9" i="35"/>
  <c r="G5" i="36"/>
  <c r="B31" i="110" s="1"/>
  <c r="M31" i="110" s="1"/>
  <c r="L8" i="36"/>
  <c r="I6" i="36"/>
  <c r="D37" i="110" s="1"/>
  <c r="H6" i="36"/>
  <c r="C37" i="110" s="1"/>
  <c r="K7" i="35"/>
  <c r="E7" i="36"/>
  <c r="L6" i="36"/>
  <c r="K6" i="36"/>
  <c r="G6" i="36"/>
  <c r="B37" i="110" s="1"/>
  <c r="V3" i="98"/>
  <c r="BG98" i="39" s="1"/>
  <c r="F196" i="7"/>
  <c r="F192" i="7"/>
  <c r="E197" i="7"/>
  <c r="D193" i="7"/>
  <c r="M199" i="7"/>
  <c r="K192" i="7"/>
  <c r="H191" i="7"/>
  <c r="E198" i="7"/>
  <c r="L197" i="7"/>
  <c r="E196" i="7"/>
  <c r="G195" i="7"/>
  <c r="E192" i="7"/>
  <c r="E195" i="7"/>
  <c r="N199" i="7"/>
  <c r="K196" i="7"/>
  <c r="F199" i="7"/>
  <c r="I199" i="7"/>
  <c r="G198" i="7"/>
  <c r="K198" i="7"/>
  <c r="H197" i="7"/>
  <c r="O196" i="7"/>
  <c r="M196" i="7"/>
  <c r="I196" i="7"/>
  <c r="N195" i="7"/>
  <c r="P194" i="7"/>
  <c r="F193" i="7"/>
  <c r="I192" i="7"/>
  <c r="O192" i="7"/>
  <c r="L199" i="7"/>
  <c r="M198" i="7"/>
  <c r="N198" i="7"/>
  <c r="K197" i="7"/>
  <c r="L196" i="7"/>
  <c r="H196" i="7"/>
  <c r="K195" i="7"/>
  <c r="I195" i="7"/>
  <c r="K199" i="7"/>
  <c r="O198" i="7"/>
  <c r="H198" i="7"/>
  <c r="P197" i="7"/>
  <c r="I197" i="7"/>
  <c r="N196" i="7"/>
  <c r="J196" i="7"/>
  <c r="P195" i="7"/>
  <c r="K189" i="7"/>
  <c r="K200" i="7" s="1"/>
  <c r="D189" i="7"/>
  <c r="D200" i="7" s="1"/>
  <c r="N189" i="7"/>
  <c r="N200" i="7" s="1"/>
  <c r="H189" i="7"/>
  <c r="H200" i="7" s="1"/>
  <c r="N193" i="7"/>
  <c r="E193" i="7"/>
  <c r="K191" i="7"/>
  <c r="I191" i="7"/>
  <c r="E191" i="7"/>
  <c r="F189" i="7"/>
  <c r="F200" i="7" s="1"/>
  <c r="P189" i="7"/>
  <c r="P200" i="7" s="1"/>
  <c r="G189" i="7"/>
  <c r="G200" i="7" s="1"/>
  <c r="I193" i="7"/>
  <c r="O191" i="7"/>
  <c r="M191" i="7"/>
  <c r="E189" i="7"/>
  <c r="E200" i="7" s="1"/>
  <c r="M189" i="7"/>
  <c r="M200" i="7" s="1"/>
  <c r="J189" i="7"/>
  <c r="J200" i="7" s="1"/>
  <c r="M193" i="7"/>
  <c r="H193" i="7"/>
  <c r="G193" i="7"/>
  <c r="F191" i="7"/>
  <c r="P191" i="7"/>
  <c r="G191" i="7"/>
  <c r="O189" i="7"/>
  <c r="O200" i="7" s="1"/>
  <c r="L189" i="7"/>
  <c r="L200" i="7" s="1"/>
  <c r="I189" i="7"/>
  <c r="I200" i="7" s="1"/>
  <c r="L193" i="7"/>
  <c r="K193" i="7"/>
  <c r="J193" i="7"/>
  <c r="N191" i="7"/>
  <c r="J191" i="7"/>
  <c r="BB172" i="39"/>
  <c r="BB112" i="99"/>
  <c r="H164" i="7"/>
  <c r="AT174" i="39"/>
  <c r="AT114" i="99"/>
  <c r="BB111" i="99"/>
  <c r="BB171" i="39"/>
  <c r="I127" i="85"/>
  <c r="G127" i="28"/>
  <c r="AW111" i="99"/>
  <c r="AW171" i="39"/>
  <c r="AU110" i="99"/>
  <c r="AU170" i="39"/>
  <c r="G126" i="28"/>
  <c r="I126" i="85"/>
  <c r="AU175" i="39"/>
  <c r="AU115" i="99"/>
  <c r="AZ173" i="39"/>
  <c r="AZ113" i="99"/>
  <c r="BA172" i="39"/>
  <c r="BA112" i="99"/>
  <c r="AV115" i="99"/>
  <c r="AV175" i="39"/>
  <c r="BA111" i="99"/>
  <c r="BA171" i="39"/>
  <c r="AW173" i="39"/>
  <c r="AW113" i="99"/>
  <c r="AY114" i="99"/>
  <c r="AY174" i="39"/>
  <c r="AY113" i="99"/>
  <c r="AY173" i="39"/>
  <c r="AY172" i="39"/>
  <c r="AY112" i="99"/>
  <c r="G122" i="28"/>
  <c r="I122" i="85"/>
  <c r="AT170" i="39"/>
  <c r="AT110" i="99"/>
  <c r="BB174" i="39"/>
  <c r="BB114" i="99"/>
  <c r="AV112" i="99"/>
  <c r="AV172" i="39"/>
  <c r="BA115" i="99"/>
  <c r="BA175" i="39"/>
  <c r="BB113" i="99"/>
  <c r="BB173" i="39"/>
  <c r="H163" i="7"/>
  <c r="AT113" i="99"/>
  <c r="AT173" i="39"/>
  <c r="AZ110" i="99"/>
  <c r="AZ170" i="39"/>
  <c r="AZ114" i="99"/>
  <c r="AZ174" i="39"/>
  <c r="AV114" i="99"/>
  <c r="AV174" i="39"/>
  <c r="H161" i="7"/>
  <c r="AT111" i="99"/>
  <c r="AT171" i="39"/>
  <c r="AV173" i="39"/>
  <c r="AV113" i="99"/>
  <c r="AZ112" i="99"/>
  <c r="AZ172" i="39"/>
  <c r="AU113" i="99"/>
  <c r="AU173" i="39"/>
  <c r="AX174" i="39"/>
  <c r="AX114" i="99"/>
  <c r="AX113" i="99"/>
  <c r="AX173" i="39"/>
  <c r="AX112" i="99"/>
  <c r="AX172" i="39"/>
  <c r="AY110" i="99"/>
  <c r="AY170" i="39"/>
  <c r="AY175" i="39"/>
  <c r="AY115" i="99"/>
  <c r="H165" i="7"/>
  <c r="AT175" i="39"/>
  <c r="AT115" i="99"/>
  <c r="AU114" i="99"/>
  <c r="AU174" i="39"/>
  <c r="AW174" i="39"/>
  <c r="AW114" i="99"/>
  <c r="AU171" i="39"/>
  <c r="AU111" i="99"/>
  <c r="AW110" i="99"/>
  <c r="AW170" i="39"/>
  <c r="AW112" i="99"/>
  <c r="AW172" i="39"/>
  <c r="I123" i="85"/>
  <c r="G123" i="28"/>
  <c r="AZ111" i="99"/>
  <c r="AZ171" i="39"/>
  <c r="BA173" i="39"/>
  <c r="BA113" i="99"/>
  <c r="BB170" i="39"/>
  <c r="BB110" i="99"/>
  <c r="AX170" i="39"/>
  <c r="AX110" i="99"/>
  <c r="AX175" i="39"/>
  <c r="AX115" i="99"/>
  <c r="AW115" i="99"/>
  <c r="AW175" i="39"/>
  <c r="AY171" i="39"/>
  <c r="AY111" i="99"/>
  <c r="I124" i="85"/>
  <c r="G124" i="28"/>
  <c r="H162" i="7"/>
  <c r="AT112" i="99"/>
  <c r="AT172" i="39"/>
  <c r="AV110" i="99"/>
  <c r="AV170" i="39"/>
  <c r="AZ115" i="99"/>
  <c r="AZ175" i="39"/>
  <c r="BB175" i="39"/>
  <c r="BB115" i="99"/>
  <c r="AV111" i="99"/>
  <c r="AV171" i="39"/>
  <c r="AU172" i="39"/>
  <c r="AU112" i="99"/>
  <c r="BA174" i="39"/>
  <c r="BA114" i="99"/>
  <c r="BA110" i="99"/>
  <c r="BA170" i="39"/>
  <c r="AX111" i="99"/>
  <c r="AX171" i="39"/>
  <c r="G125" i="28"/>
  <c r="I125" i="85"/>
  <c r="I122" i="86"/>
  <c r="Q122" i="86" s="1"/>
  <c r="G122" i="29"/>
  <c r="O122" i="29" s="1"/>
  <c r="G124" i="29"/>
  <c r="O124" i="29" s="1"/>
  <c r="I124" i="86"/>
  <c r="Q124" i="86" s="1"/>
  <c r="I127" i="86"/>
  <c r="Q127" i="86" s="1"/>
  <c r="G127" i="29"/>
  <c r="O127" i="29" s="1"/>
  <c r="I126" i="86"/>
  <c r="Q126" i="86" s="1"/>
  <c r="G126" i="29"/>
  <c r="O126" i="29" s="1"/>
  <c r="I123" i="86"/>
  <c r="Q123" i="86" s="1"/>
  <c r="G123" i="29"/>
  <c r="O123" i="29" s="1"/>
  <c r="I125" i="86"/>
  <c r="Q125" i="86" s="1"/>
  <c r="G125" i="29"/>
  <c r="O125" i="29" s="1"/>
  <c r="U33" i="98"/>
  <c r="U15" i="98"/>
  <c r="U31" i="98"/>
  <c r="U47" i="98"/>
  <c r="U63" i="98"/>
  <c r="T13" i="26"/>
  <c r="CX110" i="39"/>
  <c r="CZ110" i="39"/>
  <c r="CZ86" i="39"/>
  <c r="CX86" i="39"/>
  <c r="CX62" i="39"/>
  <c r="CZ62" i="39"/>
  <c r="CZ54" i="39"/>
  <c r="CX54" i="39"/>
  <c r="CZ145" i="39"/>
  <c r="CX145" i="39"/>
  <c r="CZ127" i="39"/>
  <c r="CX127" i="39"/>
  <c r="CZ115" i="39"/>
  <c r="CX115" i="39"/>
  <c r="CZ107" i="39"/>
  <c r="CX107" i="39"/>
  <c r="CS160" i="39"/>
  <c r="CM160" i="39"/>
  <c r="Y33" i="35"/>
  <c r="U79" i="98"/>
  <c r="U11" i="98"/>
  <c r="U27" i="98"/>
  <c r="U43" i="98"/>
  <c r="U59" i="98"/>
  <c r="U75" i="98"/>
  <c r="U86" i="98"/>
  <c r="U18" i="98"/>
  <c r="U50" i="98"/>
  <c r="U13" i="98"/>
  <c r="U53" i="98"/>
  <c r="W3" i="98"/>
  <c r="U57" i="98"/>
  <c r="U84" i="98"/>
  <c r="U16" i="98"/>
  <c r="U32" i="98"/>
  <c r="U48" i="98"/>
  <c r="U64" i="98"/>
  <c r="U9" i="98"/>
  <c r="U61" i="98"/>
  <c r="X3" i="98"/>
  <c r="U30" i="98"/>
  <c r="U34" i="98"/>
  <c r="U62" i="98"/>
  <c r="U66" i="98"/>
  <c r="U77" i="98"/>
  <c r="U19" i="98"/>
  <c r="U35" i="98"/>
  <c r="U51" i="98"/>
  <c r="U67" i="98"/>
  <c r="U5" i="98"/>
  <c r="U45" i="98"/>
  <c r="U12" i="98"/>
  <c r="U28" i="98"/>
  <c r="U60" i="98"/>
  <c r="U85" i="98"/>
  <c r="D194" i="7"/>
  <c r="D199" i="7"/>
  <c r="D196" i="7"/>
  <c r="D198" i="7"/>
  <c r="D197" i="7"/>
  <c r="D191" i="7"/>
  <c r="H5" i="70"/>
  <c r="P5" i="70" s="1"/>
  <c r="L4" i="70"/>
  <c r="H8" i="70"/>
  <c r="P8" i="70" s="1"/>
  <c r="L12" i="70"/>
  <c r="O12" i="70"/>
  <c r="N12" i="70"/>
  <c r="M12" i="70"/>
  <c r="L5" i="70"/>
  <c r="M5" i="70"/>
  <c r="N5" i="70"/>
  <c r="O5" i="70"/>
  <c r="M6" i="70"/>
  <c r="N6" i="70"/>
  <c r="O6" i="70"/>
  <c r="L6" i="70"/>
  <c r="C49" i="70" s="1"/>
  <c r="M7" i="70"/>
  <c r="N7" i="70"/>
  <c r="O7" i="70"/>
  <c r="L7" i="70"/>
  <c r="M9" i="70"/>
  <c r="N9" i="70"/>
  <c r="O9" i="70"/>
  <c r="L9" i="70"/>
  <c r="O4" i="70"/>
  <c r="O18" i="70" s="1"/>
  <c r="M4" i="70"/>
  <c r="N4" i="70"/>
  <c r="BW165" i="39"/>
  <c r="L13" i="32"/>
  <c r="A29" i="32"/>
  <c r="A40" i="32"/>
  <c r="A52" i="32" s="1"/>
  <c r="AP13" i="33"/>
  <c r="K7" i="36" s="1"/>
  <c r="N9" i="33"/>
  <c r="G4" i="36" s="1"/>
  <c r="B30" i="110" s="1"/>
  <c r="AP11" i="33"/>
  <c r="I7" i="36" s="1"/>
  <c r="D35" i="110" s="1"/>
  <c r="AP12" i="33"/>
  <c r="AP14" i="33"/>
  <c r="N11" i="33"/>
  <c r="I4" i="36" s="1"/>
  <c r="D30" i="110" s="1"/>
  <c r="N10" i="33"/>
  <c r="H4" i="36" s="1"/>
  <c r="C30" i="110" s="1"/>
  <c r="A121" i="9"/>
  <c r="A122" i="9" s="1"/>
  <c r="D54" i="39"/>
  <c r="E54" i="39" s="1"/>
  <c r="D55" i="39"/>
  <c r="E55" i="39" s="1"/>
  <c r="I80" i="39"/>
  <c r="I103" i="39"/>
  <c r="I106" i="39"/>
  <c r="I60" i="39"/>
  <c r="I107" i="39"/>
  <c r="I57" i="39"/>
  <c r="I82" i="39"/>
  <c r="I58" i="39"/>
  <c r="I52" i="39"/>
  <c r="I105" i="39"/>
  <c r="I99" i="39"/>
  <c r="I75" i="39"/>
  <c r="I55" i="39"/>
  <c r="M100" i="39"/>
  <c r="I85" i="39"/>
  <c r="DR181" i="6" s="1"/>
  <c r="DV181" i="6" s="1"/>
  <c r="I83" i="39"/>
  <c r="I104" i="39"/>
  <c r="CW104" i="39" s="1"/>
  <c r="I102" i="39"/>
  <c r="D83" i="30"/>
  <c r="I50" i="39"/>
  <c r="D109" i="39"/>
  <c r="E109" i="39" s="1"/>
  <c r="D118" i="39"/>
  <c r="E118" i="39" s="1"/>
  <c r="D58" i="84" s="1"/>
  <c r="D100" i="39"/>
  <c r="E100" i="39" s="1"/>
  <c r="D40" i="84" s="1"/>
  <c r="D113" i="39"/>
  <c r="M104" i="39"/>
  <c r="M102" i="39"/>
  <c r="D119" i="39"/>
  <c r="E119" i="39" s="1"/>
  <c r="DT174" i="6"/>
  <c r="I95" i="39"/>
  <c r="D115" i="39"/>
  <c r="E115" i="39" s="1"/>
  <c r="D55" i="84" s="1"/>
  <c r="M106" i="39"/>
  <c r="D103" i="39"/>
  <c r="E103" i="39" s="1"/>
  <c r="D43" i="84" s="1"/>
  <c r="M101" i="39"/>
  <c r="I78" i="39"/>
  <c r="M105" i="39"/>
  <c r="I101" i="39"/>
  <c r="I77" i="39"/>
  <c r="M108" i="39"/>
  <c r="I54" i="39"/>
  <c r="I84" i="39"/>
  <c r="D106" i="39"/>
  <c r="E106" i="39" s="1"/>
  <c r="D46" i="84" s="1"/>
  <c r="D107" i="39"/>
  <c r="E107" i="39" s="1"/>
  <c r="D47" i="84" s="1"/>
  <c r="I100" i="39"/>
  <c r="D116" i="39"/>
  <c r="E116" i="39" s="1"/>
  <c r="DQ212" i="6" s="1"/>
  <c r="DU212" i="6" s="1"/>
  <c r="D121" i="39"/>
  <c r="E121" i="39" s="1"/>
  <c r="D61" i="84" s="1"/>
  <c r="I51" i="39"/>
  <c r="M103" i="39"/>
  <c r="I108" i="39"/>
  <c r="I92" i="39"/>
  <c r="D120" i="39"/>
  <c r="E120" i="39" s="1"/>
  <c r="D60" i="84" s="1"/>
  <c r="I56" i="39"/>
  <c r="D104" i="39"/>
  <c r="E104" i="39" s="1"/>
  <c r="D44" i="41" s="1"/>
  <c r="D25" i="30"/>
  <c r="D117" i="39"/>
  <c r="E117" i="39" s="1"/>
  <c r="D57" i="84" s="1"/>
  <c r="D112" i="39"/>
  <c r="D101" i="39"/>
  <c r="E101" i="39" s="1"/>
  <c r="D41" i="27" s="1"/>
  <c r="D105" i="39"/>
  <c r="E105" i="39" s="1"/>
  <c r="D45" i="41" s="1"/>
  <c r="D99" i="39"/>
  <c r="E99" i="39" s="1"/>
  <c r="D39" i="27" s="1"/>
  <c r="M109" i="39"/>
  <c r="M99" i="39"/>
  <c r="I81" i="39"/>
  <c r="I59" i="39"/>
  <c r="D98" i="39"/>
  <c r="E98" i="39" s="1"/>
  <c r="D110" i="39"/>
  <c r="E110" i="39" s="1"/>
  <c r="I76" i="39"/>
  <c r="D108" i="39"/>
  <c r="E108" i="39" s="1"/>
  <c r="D48" i="84" s="1"/>
  <c r="I61" i="39"/>
  <c r="I98" i="39"/>
  <c r="D114" i="39"/>
  <c r="E114" i="39" s="1"/>
  <c r="D54" i="84" s="1"/>
  <c r="I74" i="39"/>
  <c r="M98" i="39"/>
  <c r="D56" i="39"/>
  <c r="E56" i="39" s="1"/>
  <c r="D50" i="39"/>
  <c r="E50" i="39" s="1"/>
  <c r="D58" i="39"/>
  <c r="E58" i="39" s="1"/>
  <c r="D60" i="39"/>
  <c r="E60" i="39" s="1"/>
  <c r="D145" i="39"/>
  <c r="E145" i="39" s="1"/>
  <c r="D85" i="84" s="1"/>
  <c r="D51" i="39"/>
  <c r="E51" i="39" s="1"/>
  <c r="D136" i="39"/>
  <c r="E136" i="39" s="1"/>
  <c r="D76" i="84" s="1"/>
  <c r="D57" i="39"/>
  <c r="E57" i="39" s="1"/>
  <c r="D59" i="39"/>
  <c r="E59" i="39" s="1"/>
  <c r="D52" i="39"/>
  <c r="E52" i="39" s="1"/>
  <c r="D134" i="39"/>
  <c r="E134" i="39" s="1"/>
  <c r="D137" i="39"/>
  <c r="D53" i="39"/>
  <c r="E53" i="39" s="1"/>
  <c r="D143" i="39"/>
  <c r="E143" i="39" s="1"/>
  <c r="D141" i="39"/>
  <c r="E141" i="39" s="1"/>
  <c r="CV141" i="39" s="1"/>
  <c r="DA127" i="39"/>
  <c r="DQ238" i="6"/>
  <c r="DU238" i="6" s="1"/>
  <c r="CY132" i="39"/>
  <c r="M77" i="39"/>
  <c r="D87" i="39"/>
  <c r="E87" i="39" s="1"/>
  <c r="M121" i="39"/>
  <c r="CY106" i="39"/>
  <c r="M73" i="39"/>
  <c r="D123" i="39"/>
  <c r="E123" i="39" s="1"/>
  <c r="D63" i="84" s="1"/>
  <c r="I132" i="39"/>
  <c r="M66" i="39"/>
  <c r="M111" i="39"/>
  <c r="I133" i="39"/>
  <c r="I128" i="39"/>
  <c r="D63" i="39"/>
  <c r="E63" i="39" s="1"/>
  <c r="D3" i="84" s="1"/>
  <c r="D67" i="39"/>
  <c r="E67" i="39" s="1"/>
  <c r="D7" i="84" s="1"/>
  <c r="I125" i="39"/>
  <c r="M136" i="39"/>
  <c r="D131" i="39"/>
  <c r="E131" i="39" s="1"/>
  <c r="D71" i="84" s="1"/>
  <c r="M126" i="39"/>
  <c r="I127" i="39"/>
  <c r="M60" i="39"/>
  <c r="I123" i="39"/>
  <c r="M118" i="39"/>
  <c r="I122" i="39"/>
  <c r="I126" i="39"/>
  <c r="DR222" i="6" s="1"/>
  <c r="DV222" i="6" s="1"/>
  <c r="I124" i="39"/>
  <c r="CW124" i="39" s="1"/>
  <c r="I131" i="39"/>
  <c r="D122" i="39"/>
  <c r="E122" i="39" s="1"/>
  <c r="D62" i="84" s="1"/>
  <c r="DQ240" i="6"/>
  <c r="DU240" i="6" s="1"/>
  <c r="DT227" i="6"/>
  <c r="DX227" i="6" s="1"/>
  <c r="D69" i="39"/>
  <c r="E69" i="39" s="1"/>
  <c r="D9" i="84" s="1"/>
  <c r="M61" i="39"/>
  <c r="M52" i="39"/>
  <c r="D62" i="39"/>
  <c r="E62" i="39" s="1"/>
  <c r="M133" i="39"/>
  <c r="D65" i="39"/>
  <c r="E65" i="39" s="1"/>
  <c r="D5" i="84" s="1"/>
  <c r="CV144" i="39"/>
  <c r="D84" i="41"/>
  <c r="M130" i="39"/>
  <c r="D94" i="39"/>
  <c r="E94" i="39" s="1"/>
  <c r="D34" i="84" s="1"/>
  <c r="M124" i="39"/>
  <c r="M131" i="39"/>
  <c r="M123" i="39"/>
  <c r="D84" i="27"/>
  <c r="M125" i="39"/>
  <c r="M132" i="39"/>
  <c r="M129" i="39"/>
  <c r="DQ198" i="6"/>
  <c r="DU198" i="6" s="1"/>
  <c r="M82" i="39"/>
  <c r="M128" i="39"/>
  <c r="M135" i="39"/>
  <c r="M85" i="39"/>
  <c r="D42" i="27"/>
  <c r="M78" i="39"/>
  <c r="M138" i="39"/>
  <c r="M79" i="39"/>
  <c r="M76" i="39"/>
  <c r="M83" i="39"/>
  <c r="M134" i="39"/>
  <c r="M144" i="39"/>
  <c r="M137" i="39"/>
  <c r="M81" i="39"/>
  <c r="CV102" i="39"/>
  <c r="D93" i="39"/>
  <c r="E93" i="39" s="1"/>
  <c r="D86" i="39"/>
  <c r="E86" i="39" s="1"/>
  <c r="M84" i="39"/>
  <c r="M141" i="39"/>
  <c r="D95" i="39"/>
  <c r="E95" i="39" s="1"/>
  <c r="D35" i="84" s="1"/>
  <c r="D73" i="39"/>
  <c r="E73" i="39" s="1"/>
  <c r="D13" i="84" s="1"/>
  <c r="M75" i="39"/>
  <c r="M140" i="39"/>
  <c r="D42" i="41"/>
  <c r="D51" i="41"/>
  <c r="M80" i="39"/>
  <c r="D88" i="39"/>
  <c r="E88" i="39" s="1"/>
  <c r="D28" i="84" s="1"/>
  <c r="D97" i="39"/>
  <c r="E97" i="39" s="1"/>
  <c r="DQ193" i="6" s="1"/>
  <c r="DU193" i="6" s="1"/>
  <c r="M143" i="39"/>
  <c r="D92" i="39"/>
  <c r="E92" i="39" s="1"/>
  <c r="M139" i="39"/>
  <c r="M142" i="39"/>
  <c r="D91" i="39"/>
  <c r="E91" i="39" s="1"/>
  <c r="DQ187" i="6" s="1"/>
  <c r="DU187" i="6" s="1"/>
  <c r="D29" i="27"/>
  <c r="DQ185" i="6"/>
  <c r="DU185" i="6" s="1"/>
  <c r="D29" i="41"/>
  <c r="CV89" i="39"/>
  <c r="D29" i="84"/>
  <c r="DR190" i="6"/>
  <c r="DV190" i="6" s="1"/>
  <c r="DS241" i="6"/>
  <c r="DW241" i="6" s="1"/>
  <c r="M119" i="39"/>
  <c r="I93" i="39"/>
  <c r="D133" i="39"/>
  <c r="E133" i="39" s="1"/>
  <c r="D74" i="39"/>
  <c r="E74" i="39" s="1"/>
  <c r="D14" i="84" s="1"/>
  <c r="I96" i="39"/>
  <c r="M114" i="39"/>
  <c r="D126" i="39"/>
  <c r="E126" i="39" s="1"/>
  <c r="D66" i="84" s="1"/>
  <c r="I90" i="39"/>
  <c r="D132" i="39"/>
  <c r="E132" i="39" s="1"/>
  <c r="D72" i="84" s="1"/>
  <c r="M113" i="39"/>
  <c r="M67" i="39"/>
  <c r="M71" i="39"/>
  <c r="M72" i="39"/>
  <c r="D90" i="39"/>
  <c r="E90" i="39" s="1"/>
  <c r="I91" i="39"/>
  <c r="I89" i="39"/>
  <c r="D76" i="39"/>
  <c r="E76" i="39" s="1"/>
  <c r="D16" i="84" s="1"/>
  <c r="M68" i="39"/>
  <c r="M116" i="39"/>
  <c r="DQ235" i="6"/>
  <c r="DU235" i="6" s="1"/>
  <c r="M63" i="39"/>
  <c r="M112" i="39"/>
  <c r="D124" i="39"/>
  <c r="E124" i="39" s="1"/>
  <c r="D125" i="39"/>
  <c r="E125" i="39" s="1"/>
  <c r="M69" i="39"/>
  <c r="M64" i="39"/>
  <c r="D128" i="39"/>
  <c r="E128" i="39" s="1"/>
  <c r="DQ224" i="6" s="1"/>
  <c r="DU224" i="6" s="1"/>
  <c r="M117" i="39"/>
  <c r="D96" i="39"/>
  <c r="E96" i="39" s="1"/>
  <c r="D36" i="27" s="1"/>
  <c r="I97" i="39"/>
  <c r="I87" i="39"/>
  <c r="M120" i="39"/>
  <c r="M70" i="39"/>
  <c r="I86" i="39"/>
  <c r="D130" i="39"/>
  <c r="E130" i="39" s="1"/>
  <c r="D70" i="84" s="1"/>
  <c r="M65" i="39"/>
  <c r="I88" i="39"/>
  <c r="D129" i="39"/>
  <c r="E129" i="39" s="1"/>
  <c r="D84" i="39"/>
  <c r="E84" i="39" s="1"/>
  <c r="D24" i="84" s="1"/>
  <c r="I129" i="39"/>
  <c r="I136" i="39"/>
  <c r="CW136" i="39" s="1"/>
  <c r="I71" i="39"/>
  <c r="D71" i="30"/>
  <c r="D17" i="84"/>
  <c r="I65" i="39"/>
  <c r="I115" i="39"/>
  <c r="D79" i="39"/>
  <c r="E79" i="39" s="1"/>
  <c r="D19" i="84" s="1"/>
  <c r="I73" i="39"/>
  <c r="D78" i="39"/>
  <c r="E78" i="39" s="1"/>
  <c r="D18" i="84" s="1"/>
  <c r="I64" i="39"/>
  <c r="CV139" i="39"/>
  <c r="D75" i="39"/>
  <c r="E75" i="39" s="1"/>
  <c r="D15" i="84" s="1"/>
  <c r="D80" i="39"/>
  <c r="E80" i="39" s="1"/>
  <c r="D20" i="84" s="1"/>
  <c r="DT162" i="6"/>
  <c r="I111" i="39"/>
  <c r="I69" i="39"/>
  <c r="I63" i="39"/>
  <c r="I119" i="39"/>
  <c r="D85" i="39"/>
  <c r="D83" i="39"/>
  <c r="E83" i="39" s="1"/>
  <c r="D23" i="84" s="1"/>
  <c r="D79" i="41"/>
  <c r="D79" i="27"/>
  <c r="D81" i="39"/>
  <c r="E81" i="39" s="1"/>
  <c r="D21" i="84" s="1"/>
  <c r="D82" i="39"/>
  <c r="E82" i="39" s="1"/>
  <c r="DA131" i="39"/>
  <c r="I143" i="39"/>
  <c r="DR239" i="6" s="1"/>
  <c r="DV239" i="6" s="1"/>
  <c r="I113" i="39"/>
  <c r="M97" i="39"/>
  <c r="M95" i="39"/>
  <c r="M93" i="39"/>
  <c r="I140" i="39"/>
  <c r="DS223" i="6"/>
  <c r="DW223" i="6" s="1"/>
  <c r="CV111" i="39"/>
  <c r="D17" i="41"/>
  <c r="M90" i="39"/>
  <c r="M94" i="39"/>
  <c r="D82" i="27"/>
  <c r="I145" i="39"/>
  <c r="I139" i="39"/>
  <c r="DR235" i="6" s="1"/>
  <c r="DV235" i="6" s="1"/>
  <c r="I120" i="39"/>
  <c r="I121" i="39"/>
  <c r="I112" i="39"/>
  <c r="I144" i="39"/>
  <c r="D51" i="27"/>
  <c r="DQ173" i="6"/>
  <c r="M92" i="39"/>
  <c r="I116" i="39"/>
  <c r="I142" i="39"/>
  <c r="M88" i="39"/>
  <c r="M96" i="39"/>
  <c r="CV142" i="39"/>
  <c r="M91" i="39"/>
  <c r="I141" i="39"/>
  <c r="I118" i="39"/>
  <c r="DQ157" i="6"/>
  <c r="D17" i="27"/>
  <c r="D82" i="41"/>
  <c r="I114" i="39"/>
  <c r="M89" i="39"/>
  <c r="I117" i="39"/>
  <c r="M87" i="39"/>
  <c r="D70" i="39"/>
  <c r="E70" i="39" s="1"/>
  <c r="DQ166" i="6" s="1"/>
  <c r="I135" i="39"/>
  <c r="D53" i="30"/>
  <c r="DT209" i="6"/>
  <c r="DX209" i="6" s="1"/>
  <c r="CW137" i="39"/>
  <c r="DR233" i="6"/>
  <c r="DV233" i="6" s="1"/>
  <c r="M57" i="39"/>
  <c r="D68" i="39"/>
  <c r="E68" i="39" s="1"/>
  <c r="D8" i="84" s="1"/>
  <c r="M56" i="39"/>
  <c r="M50" i="39"/>
  <c r="D66" i="39"/>
  <c r="M55" i="39"/>
  <c r="I62" i="39"/>
  <c r="M58" i="39"/>
  <c r="D64" i="39"/>
  <c r="E64" i="39" s="1"/>
  <c r="D4" i="84" s="1"/>
  <c r="DQ231" i="6"/>
  <c r="DU231" i="6" s="1"/>
  <c r="D71" i="39"/>
  <c r="E71" i="39" s="1"/>
  <c r="D11" i="84" s="1"/>
  <c r="M59" i="39"/>
  <c r="M53" i="39"/>
  <c r="M51" i="39"/>
  <c r="DQ207" i="6"/>
  <c r="DU207" i="6" s="1"/>
  <c r="I72" i="39"/>
  <c r="I68" i="39"/>
  <c r="I66" i="39"/>
  <c r="I67" i="39"/>
  <c r="I138" i="39"/>
  <c r="CW94" i="39"/>
  <c r="DS158" i="6"/>
  <c r="DW158" i="6" s="1"/>
  <c r="CQ24" i="6"/>
  <c r="BY81" i="39"/>
  <c r="CA81" i="39" s="1"/>
  <c r="CA78" i="39"/>
  <c r="AR8" i="33"/>
  <c r="AS8" i="33" s="1"/>
  <c r="BW166" i="39"/>
  <c r="AB8" i="32"/>
  <c r="D8" i="32"/>
  <c r="C50" i="70"/>
  <c r="L21" i="70"/>
  <c r="DS203" i="6"/>
  <c r="DW203" i="6" s="1"/>
  <c r="X8" i="35"/>
  <c r="Z8" i="35" s="1"/>
  <c r="Q14" i="35"/>
  <c r="S14" i="35" s="1"/>
  <c r="CD161" i="39"/>
  <c r="CJ161" i="39" s="1"/>
  <c r="CH160" i="39"/>
  <c r="CP160" i="39"/>
  <c r="CQ160" i="39"/>
  <c r="CU160" i="39"/>
  <c r="CK160" i="39"/>
  <c r="CN160" i="39"/>
  <c r="CT160" i="39"/>
  <c r="BD8" i="33"/>
  <c r="BE8" i="33" s="1"/>
  <c r="DT195" i="6"/>
  <c r="DX195" i="6" s="1"/>
  <c r="D39" i="30"/>
  <c r="DA99" i="39"/>
  <c r="DR226" i="6"/>
  <c r="DV226" i="6" s="1"/>
  <c r="BW159" i="39"/>
  <c r="H13" i="32"/>
  <c r="Q12" i="35"/>
  <c r="S12" i="35" s="1"/>
  <c r="BW167" i="39"/>
  <c r="BU167" i="39"/>
  <c r="CY99" i="39"/>
  <c r="H8" i="32"/>
  <c r="CJ160" i="39"/>
  <c r="CI160" i="39"/>
  <c r="BY96" i="39"/>
  <c r="BY97" i="39"/>
  <c r="L10" i="32"/>
  <c r="K6" i="35"/>
  <c r="M6" i="35" s="1"/>
  <c r="BC9" i="33"/>
  <c r="BD9" i="33" s="1"/>
  <c r="BE9" i="33" s="1"/>
  <c r="BA9" i="91"/>
  <c r="BB9" i="91" s="1"/>
  <c r="BC9" i="91" s="1"/>
  <c r="D28" i="30"/>
  <c r="K10" i="35"/>
  <c r="M10" i="35" s="1"/>
  <c r="DA113" i="39"/>
  <c r="CY113" i="39"/>
  <c r="AW8" i="33"/>
  <c r="AX8" i="33" s="1"/>
  <c r="AY8" i="33" s="1"/>
  <c r="AU8" i="91"/>
  <c r="Q9" i="35"/>
  <c r="S9" i="35" s="1"/>
  <c r="BW162" i="39"/>
  <c r="C10" i="35"/>
  <c r="E10" i="35" s="1"/>
  <c r="C12" i="35"/>
  <c r="E12" i="35" s="1"/>
  <c r="AQ9" i="33"/>
  <c r="AR9" i="33" s="1"/>
  <c r="AS9" i="33" s="1"/>
  <c r="AO9" i="91"/>
  <c r="DA88" i="39"/>
  <c r="P8" i="32"/>
  <c r="BA8" i="91"/>
  <c r="H11" i="32"/>
  <c r="AO8" i="91"/>
  <c r="CY88" i="39"/>
  <c r="Q7" i="35"/>
  <c r="S7" i="35" s="1"/>
  <c r="BW164" i="39"/>
  <c r="CV135" i="39"/>
  <c r="D75" i="41"/>
  <c r="D75" i="27"/>
  <c r="BZ74" i="39"/>
  <c r="BZ86" i="39" s="1"/>
  <c r="BZ98" i="39" s="1"/>
  <c r="BZ110" i="39" s="1"/>
  <c r="BZ122" i="39" s="1"/>
  <c r="BZ134" i="39" s="1"/>
  <c r="BZ146" i="39" s="1"/>
  <c r="BZ158" i="39" s="1"/>
  <c r="CA62" i="39"/>
  <c r="BW160" i="39"/>
  <c r="K9" i="35"/>
  <c r="M9" i="35" s="1"/>
  <c r="BY109" i="39"/>
  <c r="BY121" i="39" s="1"/>
  <c r="E9" i="35"/>
  <c r="CA84" i="39"/>
  <c r="CA85" i="39"/>
  <c r="BU166" i="39"/>
  <c r="BY92" i="39"/>
  <c r="BY104" i="39" s="1"/>
  <c r="BY87" i="39"/>
  <c r="BY88" i="39"/>
  <c r="BY91" i="39"/>
  <c r="BY95" i="39"/>
  <c r="BY101" i="39"/>
  <c r="G46" i="36"/>
  <c r="B21" i="110" s="1"/>
  <c r="B9" i="32"/>
  <c r="BA13" i="33"/>
  <c r="BB12" i="33"/>
  <c r="J9" i="36" s="1"/>
  <c r="E33" i="110" s="1"/>
  <c r="M13" i="33"/>
  <c r="N12" i="33"/>
  <c r="J4" i="36" s="1"/>
  <c r="E30" i="110" s="1"/>
  <c r="BU158" i="39"/>
  <c r="BU165" i="39"/>
  <c r="Q11" i="35"/>
  <c r="S11" i="35" s="1"/>
  <c r="DR206" i="6"/>
  <c r="DV206" i="6" s="1"/>
  <c r="CW110" i="39"/>
  <c r="X10" i="35"/>
  <c r="Z10" i="35" s="1"/>
  <c r="BU160" i="39"/>
  <c r="DR166" i="6"/>
  <c r="DV166" i="6" s="1"/>
  <c r="BU159" i="39"/>
  <c r="BU168" i="39"/>
  <c r="M74" i="39"/>
  <c r="BW169" i="39"/>
  <c r="BU162" i="39"/>
  <c r="CF52" i="39"/>
  <c r="DD51" i="39"/>
  <c r="DH51" i="39"/>
  <c r="DL51" i="39"/>
  <c r="DE51" i="39"/>
  <c r="DI51" i="39"/>
  <c r="DM51" i="39"/>
  <c r="DF51" i="39"/>
  <c r="DJ51" i="39"/>
  <c r="DN51" i="39"/>
  <c r="DC51" i="39"/>
  <c r="DG51" i="39"/>
  <c r="DK51" i="39"/>
  <c r="DO51" i="39"/>
  <c r="DB51" i="39"/>
  <c r="BZ109" i="39"/>
  <c r="CA97" i="39"/>
  <c r="L9" i="32"/>
  <c r="X8" i="32"/>
  <c r="H12" i="32"/>
  <c r="L11" i="32"/>
  <c r="L12" i="32"/>
  <c r="E140" i="39"/>
  <c r="D80" i="84" s="1"/>
  <c r="D3" i="30"/>
  <c r="DT159" i="6"/>
  <c r="D32" i="35"/>
  <c r="CA67" i="39"/>
  <c r="BZ79" i="39"/>
  <c r="DS211" i="6"/>
  <c r="DW211" i="6" s="1"/>
  <c r="D67" i="27"/>
  <c r="D67" i="41"/>
  <c r="DQ223" i="6"/>
  <c r="DU223" i="6" s="1"/>
  <c r="CV127" i="39"/>
  <c r="Q8" i="35"/>
  <c r="S8" i="35" s="1"/>
  <c r="L8" i="32"/>
  <c r="C6" i="36"/>
  <c r="X5" i="35"/>
  <c r="Z5" i="35" s="1"/>
  <c r="BY102" i="39"/>
  <c r="CA90" i="39"/>
  <c r="Q13" i="35"/>
  <c r="S13" i="35" s="1"/>
  <c r="K13" i="35"/>
  <c r="M13" i="35" s="1"/>
  <c r="C5" i="35"/>
  <c r="E5" i="35" s="1"/>
  <c r="Q6" i="35"/>
  <c r="S6" i="35" s="1"/>
  <c r="X6" i="35"/>
  <c r="Z6" i="35" s="1"/>
  <c r="M7" i="35"/>
  <c r="DS182" i="6"/>
  <c r="DW182" i="6" s="1"/>
  <c r="H9" i="32"/>
  <c r="BY93" i="39"/>
  <c r="C14" i="35"/>
  <c r="C28" i="36"/>
  <c r="C19" i="111" s="1"/>
  <c r="Q10" i="35"/>
  <c r="S10" i="35" s="1"/>
  <c r="K5" i="35"/>
  <c r="M5" i="35" s="1"/>
  <c r="L33" i="35"/>
  <c r="L32" i="35"/>
  <c r="Q5" i="35"/>
  <c r="S5" i="35" s="1"/>
  <c r="BY94" i="39"/>
  <c r="CA82" i="39"/>
  <c r="DS206" i="6"/>
  <c r="DW206" i="6" s="1"/>
  <c r="X11" i="35"/>
  <c r="Z11" i="35" s="1"/>
  <c r="C26" i="36"/>
  <c r="C17" i="111" s="1"/>
  <c r="R33" i="35"/>
  <c r="CE160" i="39"/>
  <c r="C13" i="35"/>
  <c r="E13" i="35" s="1"/>
  <c r="C11" i="35"/>
  <c r="E11" i="35" s="1"/>
  <c r="K8" i="35"/>
  <c r="M8" i="35" s="1"/>
  <c r="C6" i="35"/>
  <c r="E6" i="35" s="1"/>
  <c r="C8" i="35"/>
  <c r="E8" i="35" s="1"/>
  <c r="DR205" i="6"/>
  <c r="DV205" i="6" s="1"/>
  <c r="CW109" i="39"/>
  <c r="X7" i="35"/>
  <c r="Z7" i="35" s="1"/>
  <c r="X9" i="35"/>
  <c r="Z9" i="35" s="1"/>
  <c r="C7" i="35"/>
  <c r="E7" i="35" s="1"/>
  <c r="H10" i="32"/>
  <c r="D14" i="30"/>
  <c r="DT170" i="6"/>
  <c r="BW158" i="39"/>
  <c r="BY86" i="39"/>
  <c r="DR175" i="6"/>
  <c r="DV175" i="6" s="1"/>
  <c r="BZ83" i="39"/>
  <c r="CA71" i="39"/>
  <c r="D78" i="27"/>
  <c r="D78" i="41"/>
  <c r="DQ234" i="6"/>
  <c r="DU234" i="6" s="1"/>
  <c r="CV138" i="39"/>
  <c r="D12" i="27"/>
  <c r="D12" i="41"/>
  <c r="DQ168" i="6"/>
  <c r="AM6" i="6"/>
  <c r="AM21" i="6"/>
  <c r="AN4" i="6"/>
  <c r="AN7" i="6" s="1"/>
  <c r="AM22" i="6"/>
  <c r="AM5" i="6"/>
  <c r="AM23" i="6"/>
  <c r="BO21" i="6"/>
  <c r="BO22" i="6"/>
  <c r="BO5" i="6"/>
  <c r="BP4" i="6"/>
  <c r="DF4" i="6"/>
  <c r="DE22" i="6"/>
  <c r="DE5" i="6"/>
  <c r="BO23" i="6"/>
  <c r="DE6" i="6"/>
  <c r="BO6" i="6"/>
  <c r="BO7" i="6"/>
  <c r="CB7" i="6"/>
  <c r="DD7" i="6"/>
  <c r="CO7" i="6"/>
  <c r="V8" i="6"/>
  <c r="BB8" i="6" s="1"/>
  <c r="CC7" i="6"/>
  <c r="DF7" i="6"/>
  <c r="BM7" i="6"/>
  <c r="W7" i="6"/>
  <c r="CP7" i="6"/>
  <c r="AK7" i="6"/>
  <c r="CD7" i="6"/>
  <c r="Z7" i="6"/>
  <c r="CE7" i="6"/>
  <c r="BN7" i="6"/>
  <c r="AY7" i="6"/>
  <c r="CF7" i="6"/>
  <c r="DE7" i="6"/>
  <c r="CA7" i="6"/>
  <c r="X7" i="6"/>
  <c r="Y7" i="6"/>
  <c r="DC7" i="6"/>
  <c r="AM7" i="6"/>
  <c r="AZ7" i="6"/>
  <c r="AA7" i="6"/>
  <c r="AL7" i="6"/>
  <c r="BP7" i="6"/>
  <c r="CG7" i="6"/>
  <c r="DE23" i="6"/>
  <c r="CA24" i="6"/>
  <c r="AA24" i="6"/>
  <c r="Z24" i="6"/>
  <c r="CP24" i="6"/>
  <c r="AL24" i="6"/>
  <c r="CO24" i="6"/>
  <c r="AK24" i="6"/>
  <c r="CF24" i="6"/>
  <c r="W24" i="6"/>
  <c r="BM24" i="6"/>
  <c r="V25" i="6"/>
  <c r="CC24" i="6"/>
  <c r="Y24" i="6"/>
  <c r="DE24" i="6"/>
  <c r="CD24" i="6"/>
  <c r="DC24" i="6"/>
  <c r="DF24" i="6"/>
  <c r="BN24" i="6"/>
  <c r="AZ24" i="6"/>
  <c r="BP24" i="6"/>
  <c r="X24" i="6"/>
  <c r="AY24" i="6"/>
  <c r="DD24" i="6"/>
  <c r="BO24" i="6"/>
  <c r="AM24" i="6"/>
  <c r="CB24" i="6"/>
  <c r="AB5" i="6"/>
  <c r="AB24" i="6"/>
  <c r="AB7" i="6"/>
  <c r="AB22" i="6"/>
  <c r="AB6" i="6"/>
  <c r="AB23" i="6"/>
  <c r="AB25" i="6"/>
  <c r="AB21" i="6"/>
  <c r="AC4" i="6"/>
  <c r="CR22" i="6"/>
  <c r="CR5" i="6"/>
  <c r="CR24" i="6"/>
  <c r="CR21" i="6"/>
  <c r="CR6" i="6"/>
  <c r="CS4" i="6"/>
  <c r="CR25" i="6"/>
  <c r="CR7" i="6"/>
  <c r="CR23" i="6"/>
  <c r="BB22" i="6"/>
  <c r="BB5" i="6"/>
  <c r="BB23" i="6"/>
  <c r="BB6" i="6"/>
  <c r="BB24" i="6"/>
  <c r="BB21" i="6"/>
  <c r="BB7" i="6"/>
  <c r="BB25" i="6"/>
  <c r="BC4" i="6"/>
  <c r="CI4" i="6"/>
  <c r="CH22" i="6"/>
  <c r="CH8" i="6"/>
  <c r="CH23" i="6"/>
  <c r="CH5" i="6"/>
  <c r="CH24" i="6"/>
  <c r="CH6" i="6"/>
  <c r="CH25" i="6"/>
  <c r="CH21" i="6"/>
  <c r="CH7" i="6"/>
  <c r="M44" i="110" l="1"/>
  <c r="M50" i="110"/>
  <c r="M47" i="110"/>
  <c r="F64" i="111"/>
  <c r="I51" i="111"/>
  <c r="K51" i="111" s="1"/>
  <c r="F63" i="111"/>
  <c r="I63" i="111" s="1"/>
  <c r="K63" i="111" s="1"/>
  <c r="I50" i="111"/>
  <c r="K50" i="111" s="1"/>
  <c r="F62" i="111"/>
  <c r="I62" i="111" s="1"/>
  <c r="K62" i="111" s="1"/>
  <c r="I49" i="111"/>
  <c r="K49" i="111" s="1"/>
  <c r="F61" i="111"/>
  <c r="I48" i="111"/>
  <c r="K48" i="111" s="1"/>
  <c r="G53" i="111"/>
  <c r="P34" i="110"/>
  <c r="Q31" i="110"/>
  <c r="G37" i="110"/>
  <c r="Q29" i="110"/>
  <c r="G34" i="110"/>
  <c r="G60" i="110" s="1"/>
  <c r="Q60" i="110" s="1"/>
  <c r="F35" i="110"/>
  <c r="F61" i="110" s="1"/>
  <c r="F37" i="110"/>
  <c r="BG38" i="99"/>
  <c r="O18" i="110"/>
  <c r="D60" i="111"/>
  <c r="C73" i="111" s="1"/>
  <c r="E73" i="111" s="1"/>
  <c r="J73" i="111" s="1"/>
  <c r="D47" i="111"/>
  <c r="E47" i="111" s="1"/>
  <c r="J47" i="111" s="1"/>
  <c r="G32" i="111"/>
  <c r="D86" i="111"/>
  <c r="C99" i="111" s="1"/>
  <c r="E99" i="111" s="1"/>
  <c r="J99" i="111" s="1"/>
  <c r="D46" i="111"/>
  <c r="C59" i="111" s="1"/>
  <c r="O17" i="110"/>
  <c r="M17" i="110"/>
  <c r="M18" i="110"/>
  <c r="N18" i="110"/>
  <c r="N17" i="110"/>
  <c r="P18" i="110"/>
  <c r="Q18" i="110"/>
  <c r="Q17" i="110"/>
  <c r="P17" i="110"/>
  <c r="G29" i="111"/>
  <c r="G31" i="111" s="1"/>
  <c r="I77" i="111"/>
  <c r="K77" i="111" s="1"/>
  <c r="O44" i="110"/>
  <c r="I113" i="111"/>
  <c r="K113" i="111" s="1"/>
  <c r="I75" i="111"/>
  <c r="K75" i="111" s="1"/>
  <c r="O33" i="110"/>
  <c r="E59" i="110"/>
  <c r="O59" i="110" s="1"/>
  <c r="N35" i="110"/>
  <c r="D61" i="110"/>
  <c r="N61" i="110" s="1"/>
  <c r="I100" i="111"/>
  <c r="K100" i="111" s="1"/>
  <c r="F79" i="111"/>
  <c r="M74" i="110"/>
  <c r="M48" i="110"/>
  <c r="M73" i="110"/>
  <c r="G79" i="111"/>
  <c r="I76" i="111"/>
  <c r="K76" i="111" s="1"/>
  <c r="I74" i="111"/>
  <c r="K74" i="111" s="1"/>
  <c r="G88" i="111"/>
  <c r="I88" i="111" s="1"/>
  <c r="K88" i="111" s="1"/>
  <c r="E50" i="110"/>
  <c r="O50" i="110" s="1"/>
  <c r="N50" i="110"/>
  <c r="G101" i="111"/>
  <c r="F114" i="111" s="1"/>
  <c r="F50" i="110"/>
  <c r="G102" i="111"/>
  <c r="F115" i="111" s="1"/>
  <c r="F48" i="110"/>
  <c r="F74" i="110" s="1"/>
  <c r="G89" i="111"/>
  <c r="I89" i="111" s="1"/>
  <c r="K89" i="111" s="1"/>
  <c r="E48" i="110"/>
  <c r="E74" i="110" s="1"/>
  <c r="G115" i="111"/>
  <c r="F128" i="111" s="1"/>
  <c r="G48" i="110"/>
  <c r="G74" i="110" s="1"/>
  <c r="N48" i="110"/>
  <c r="N74" i="110"/>
  <c r="G103" i="111"/>
  <c r="F116" i="111" s="1"/>
  <c r="G90" i="111"/>
  <c r="I90" i="111" s="1"/>
  <c r="K90" i="111" s="1"/>
  <c r="N47" i="110"/>
  <c r="N73" i="110"/>
  <c r="P44" i="110"/>
  <c r="Q44" i="110"/>
  <c r="I87" i="111"/>
  <c r="K87" i="111" s="1"/>
  <c r="N44" i="110"/>
  <c r="N30" i="110"/>
  <c r="N37" i="110"/>
  <c r="M30" i="110"/>
  <c r="M37" i="110"/>
  <c r="O37" i="110"/>
  <c r="O30" i="110"/>
  <c r="E113" i="111"/>
  <c r="J113" i="111" s="1"/>
  <c r="F92" i="111"/>
  <c r="E112" i="111"/>
  <c r="J112" i="111" s="1"/>
  <c r="E100" i="111"/>
  <c r="J100" i="111" s="1"/>
  <c r="E74" i="111"/>
  <c r="J74" i="111" s="1"/>
  <c r="C87" i="111"/>
  <c r="E87" i="111" s="1"/>
  <c r="J87" i="111" s="1"/>
  <c r="C86" i="111"/>
  <c r="C61" i="111"/>
  <c r="E48" i="111"/>
  <c r="J48" i="111" s="1"/>
  <c r="C65" i="111"/>
  <c r="E52" i="111"/>
  <c r="J52" i="111" s="1"/>
  <c r="F31" i="111"/>
  <c r="C63" i="111"/>
  <c r="E50" i="111"/>
  <c r="J50" i="111" s="1"/>
  <c r="E49" i="111"/>
  <c r="J49" i="111" s="1"/>
  <c r="C62" i="111"/>
  <c r="L19" i="111"/>
  <c r="C20" i="111"/>
  <c r="L17" i="111"/>
  <c r="G66" i="111"/>
  <c r="I64" i="111"/>
  <c r="K64" i="111" s="1"/>
  <c r="H20" i="111"/>
  <c r="U27" i="35"/>
  <c r="T12" i="35"/>
  <c r="S28" i="35"/>
  <c r="J140" i="87"/>
  <c r="P140" i="87" s="1"/>
  <c r="H140" i="30"/>
  <c r="H140" i="106"/>
  <c r="N140" i="106" s="1"/>
  <c r="J145" i="87"/>
  <c r="P145" i="87" s="1"/>
  <c r="H145" i="30"/>
  <c r="H145" i="106"/>
  <c r="N145" i="106" s="1"/>
  <c r="J136" i="87"/>
  <c r="P136" i="87" s="1"/>
  <c r="H136" i="30"/>
  <c r="H136" i="106"/>
  <c r="N136" i="106" s="1"/>
  <c r="J137" i="87"/>
  <c r="P137" i="87" s="1"/>
  <c r="H137" i="30"/>
  <c r="H137" i="106"/>
  <c r="N137" i="106" s="1"/>
  <c r="H138" i="106"/>
  <c r="N138" i="106" s="1"/>
  <c r="J138" i="87"/>
  <c r="P138" i="87" s="1"/>
  <c r="H138" i="30"/>
  <c r="J141" i="87"/>
  <c r="P141" i="87" s="1"/>
  <c r="H141" i="30"/>
  <c r="H141" i="106"/>
  <c r="N141" i="106" s="1"/>
  <c r="J139" i="87"/>
  <c r="P139" i="87" s="1"/>
  <c r="H139" i="30"/>
  <c r="H139" i="106"/>
  <c r="N139" i="106" s="1"/>
  <c r="J143" i="87"/>
  <c r="P143" i="87" s="1"/>
  <c r="H143" i="30"/>
  <c r="H143" i="106"/>
  <c r="N143" i="106" s="1"/>
  <c r="H134" i="106"/>
  <c r="N134" i="106" s="1"/>
  <c r="J134" i="87"/>
  <c r="P134" i="87" s="1"/>
  <c r="H134" i="30"/>
  <c r="J144" i="87"/>
  <c r="P144" i="87" s="1"/>
  <c r="H144" i="30"/>
  <c r="H144" i="106"/>
  <c r="N144" i="106" s="1"/>
  <c r="J135" i="87"/>
  <c r="P135" i="87" s="1"/>
  <c r="H135" i="30"/>
  <c r="H135" i="106"/>
  <c r="N135" i="106" s="1"/>
  <c r="H142" i="106"/>
  <c r="N142" i="106" s="1"/>
  <c r="J142" i="87"/>
  <c r="P142" i="87" s="1"/>
  <c r="H142" i="30"/>
  <c r="I120" i="85"/>
  <c r="I120" i="86"/>
  <c r="G120" i="29"/>
  <c r="O120" i="29" s="1"/>
  <c r="G120" i="28"/>
  <c r="N120" i="28" s="1"/>
  <c r="G120" i="47"/>
  <c r="O120" i="47" s="1"/>
  <c r="S120" i="47" s="1"/>
  <c r="G120" i="58"/>
  <c r="O120" i="58" s="1"/>
  <c r="S120" i="58" s="1"/>
  <c r="G121" i="28"/>
  <c r="N121" i="28" s="1"/>
  <c r="I121" i="86"/>
  <c r="G121" i="29"/>
  <c r="O121" i="29" s="1"/>
  <c r="G121" i="47"/>
  <c r="O121" i="47" s="1"/>
  <c r="S121" i="47" s="1"/>
  <c r="G121" i="58"/>
  <c r="O121" i="58" s="1"/>
  <c r="S121" i="58" s="1"/>
  <c r="I118" i="86"/>
  <c r="G118" i="29"/>
  <c r="O118" i="29" s="1"/>
  <c r="I118" i="85"/>
  <c r="G118" i="28"/>
  <c r="N118" i="28" s="1"/>
  <c r="G118" i="58"/>
  <c r="O118" i="58" s="1"/>
  <c r="S118" i="58" s="1"/>
  <c r="G118" i="47"/>
  <c r="O118" i="47" s="1"/>
  <c r="S118" i="47" s="1"/>
  <c r="I116" i="85"/>
  <c r="G116" i="28"/>
  <c r="N116" i="28" s="1"/>
  <c r="G116" i="29"/>
  <c r="O116" i="29" s="1"/>
  <c r="I116" i="86"/>
  <c r="G116" i="47"/>
  <c r="O116" i="47" s="1"/>
  <c r="S116" i="47" s="1"/>
  <c r="G116" i="58"/>
  <c r="O116" i="58" s="1"/>
  <c r="S116" i="58" s="1"/>
  <c r="I117" i="86"/>
  <c r="G117" i="28"/>
  <c r="N117" i="28" s="1"/>
  <c r="G117" i="29"/>
  <c r="O117" i="29" s="1"/>
  <c r="I117" i="85"/>
  <c r="G117" i="47"/>
  <c r="O117" i="47" s="1"/>
  <c r="S117" i="47" s="1"/>
  <c r="G117" i="58"/>
  <c r="O117" i="58" s="1"/>
  <c r="S117" i="58" s="1"/>
  <c r="I119" i="85"/>
  <c r="I119" i="86"/>
  <c r="G119" i="28"/>
  <c r="N119" i="28" s="1"/>
  <c r="G119" i="29"/>
  <c r="O119" i="29" s="1"/>
  <c r="G119" i="58"/>
  <c r="O119" i="58" s="1"/>
  <c r="S119" i="58" s="1"/>
  <c r="G119" i="47"/>
  <c r="O119" i="47" s="1"/>
  <c r="S119" i="47" s="1"/>
  <c r="P36" i="70"/>
  <c r="G7" i="67" s="1"/>
  <c r="P38" i="70"/>
  <c r="G9" i="67" s="1"/>
  <c r="P37" i="70"/>
  <c r="G8" i="67" s="1"/>
  <c r="X13" i="35"/>
  <c r="Z13" i="35" s="1"/>
  <c r="X14" i="35"/>
  <c r="T8" i="35"/>
  <c r="T13" i="35"/>
  <c r="X12" i="35"/>
  <c r="Z12" i="35" s="1"/>
  <c r="T9" i="35"/>
  <c r="T11" i="35"/>
  <c r="T10" i="35"/>
  <c r="T14" i="35"/>
  <c r="L7" i="36"/>
  <c r="K12" i="35"/>
  <c r="M12" i="35" s="1"/>
  <c r="J7" i="36"/>
  <c r="V4" i="98"/>
  <c r="V5" i="98" s="1"/>
  <c r="BG100" i="39" s="1"/>
  <c r="X4" i="98"/>
  <c r="X5" i="98" s="1"/>
  <c r="X6" i="98" s="1"/>
  <c r="X7" i="98" s="1"/>
  <c r="X8" i="98" s="1"/>
  <c r="X9" i="98" s="1"/>
  <c r="BG39" i="99"/>
  <c r="G137" i="28"/>
  <c r="I137" i="85"/>
  <c r="P137" i="85" s="1"/>
  <c r="G138" i="28"/>
  <c r="I138" i="85"/>
  <c r="P138" i="85" s="1"/>
  <c r="G134" i="28"/>
  <c r="I134" i="85"/>
  <c r="P134" i="85" s="1"/>
  <c r="I135" i="85"/>
  <c r="P135" i="85" s="1"/>
  <c r="G135" i="28"/>
  <c r="I136" i="85"/>
  <c r="P136" i="85" s="1"/>
  <c r="G136" i="28"/>
  <c r="I128" i="85"/>
  <c r="G128" i="28"/>
  <c r="I139" i="85"/>
  <c r="P139" i="85" s="1"/>
  <c r="G139" i="28"/>
  <c r="G133" i="28"/>
  <c r="I133" i="85"/>
  <c r="G129" i="28"/>
  <c r="I129" i="85"/>
  <c r="I132" i="85"/>
  <c r="G132" i="28"/>
  <c r="I137" i="86"/>
  <c r="Q137" i="86" s="1"/>
  <c r="G137" i="29"/>
  <c r="O137" i="29" s="1"/>
  <c r="I133" i="86"/>
  <c r="Q133" i="86" s="1"/>
  <c r="G133" i="29"/>
  <c r="O133" i="29" s="1"/>
  <c r="G128" i="29"/>
  <c r="O128" i="29" s="1"/>
  <c r="I128" i="86"/>
  <c r="Q128" i="86" s="1"/>
  <c r="I135" i="86"/>
  <c r="Q135" i="86" s="1"/>
  <c r="G135" i="29"/>
  <c r="O135" i="29" s="1"/>
  <c r="I138" i="86"/>
  <c r="Q138" i="86" s="1"/>
  <c r="G138" i="29"/>
  <c r="O138" i="29" s="1"/>
  <c r="I129" i="86"/>
  <c r="Q129" i="86" s="1"/>
  <c r="G129" i="29"/>
  <c r="O129" i="29" s="1"/>
  <c r="I139" i="86"/>
  <c r="Q139" i="86" s="1"/>
  <c r="G139" i="29"/>
  <c r="O139" i="29" s="1"/>
  <c r="G136" i="29"/>
  <c r="O136" i="29" s="1"/>
  <c r="I136" i="86"/>
  <c r="Q136" i="86" s="1"/>
  <c r="I134" i="86"/>
  <c r="Q134" i="86" s="1"/>
  <c r="G134" i="29"/>
  <c r="O134" i="29" s="1"/>
  <c r="G132" i="29"/>
  <c r="O132" i="29" s="1"/>
  <c r="I132" i="86"/>
  <c r="Q132" i="86" s="1"/>
  <c r="W4" i="98"/>
  <c r="BI38" i="99"/>
  <c r="BI98" i="39"/>
  <c r="W12" i="41"/>
  <c r="V12" i="41"/>
  <c r="W42" i="41"/>
  <c r="V42" i="41"/>
  <c r="W45" i="41"/>
  <c r="V45" i="41"/>
  <c r="V78" i="41"/>
  <c r="W78" i="41"/>
  <c r="W67" i="41"/>
  <c r="V67" i="41"/>
  <c r="W82" i="41"/>
  <c r="V82" i="41"/>
  <c r="V17" i="41"/>
  <c r="W17" i="41"/>
  <c r="V29" i="41"/>
  <c r="W29" i="41"/>
  <c r="W84" i="41"/>
  <c r="V84" i="41"/>
  <c r="V79" i="41"/>
  <c r="W79" i="41"/>
  <c r="V75" i="41"/>
  <c r="W75" i="41"/>
  <c r="V51" i="41"/>
  <c r="W51" i="41"/>
  <c r="V44" i="41"/>
  <c r="W44" i="41"/>
  <c r="CZ51" i="39"/>
  <c r="CX51" i="39"/>
  <c r="CX58" i="39"/>
  <c r="CZ58" i="39"/>
  <c r="CZ87" i="39"/>
  <c r="CX87" i="39"/>
  <c r="CZ91" i="39"/>
  <c r="CX91" i="39"/>
  <c r="CZ96" i="39"/>
  <c r="CX96" i="39"/>
  <c r="CZ92" i="39"/>
  <c r="CX92" i="39"/>
  <c r="CX94" i="39"/>
  <c r="CZ94" i="39"/>
  <c r="CZ97" i="39"/>
  <c r="CX97" i="39"/>
  <c r="CZ116" i="39"/>
  <c r="CX116" i="39"/>
  <c r="CZ113" i="39"/>
  <c r="CX113" i="39"/>
  <c r="CZ114" i="39"/>
  <c r="CX114" i="39"/>
  <c r="CZ139" i="39"/>
  <c r="CX139" i="39"/>
  <c r="CZ81" i="39"/>
  <c r="CX81" i="39"/>
  <c r="CZ83" i="39"/>
  <c r="CX83" i="39"/>
  <c r="CZ135" i="39"/>
  <c r="CX135" i="39"/>
  <c r="CX82" i="39"/>
  <c r="CZ82" i="39"/>
  <c r="CZ129" i="39"/>
  <c r="CX129" i="39"/>
  <c r="CZ136" i="39"/>
  <c r="CX136" i="39"/>
  <c r="CZ73" i="39"/>
  <c r="CX73" i="39"/>
  <c r="CZ121" i="39"/>
  <c r="CX121" i="39"/>
  <c r="CZ77" i="39"/>
  <c r="CX77" i="39"/>
  <c r="CZ103" i="39"/>
  <c r="CX103" i="39"/>
  <c r="CZ106" i="39"/>
  <c r="CX106" i="39"/>
  <c r="CZ104" i="39"/>
  <c r="CX104" i="39"/>
  <c r="CZ100" i="39"/>
  <c r="CX100" i="39"/>
  <c r="CZ53" i="39"/>
  <c r="CX53" i="39"/>
  <c r="CZ50" i="39"/>
  <c r="CX50" i="39"/>
  <c r="CZ88" i="39"/>
  <c r="CX88" i="39"/>
  <c r="CX90" i="39"/>
  <c r="CZ90" i="39"/>
  <c r="CZ65" i="39"/>
  <c r="CX65" i="39"/>
  <c r="CZ70" i="39"/>
  <c r="CX70" i="39"/>
  <c r="CZ64" i="39"/>
  <c r="CX64" i="39"/>
  <c r="CZ112" i="39"/>
  <c r="CX112" i="39"/>
  <c r="CZ68" i="39"/>
  <c r="CX68" i="39"/>
  <c r="CZ72" i="39"/>
  <c r="CX72" i="39"/>
  <c r="CZ140" i="39"/>
  <c r="CX140" i="39"/>
  <c r="DS237" i="6"/>
  <c r="DW237" i="6" s="1"/>
  <c r="CZ141" i="39"/>
  <c r="CX141" i="39"/>
  <c r="CZ137" i="39"/>
  <c r="CX137" i="39"/>
  <c r="CZ76" i="39"/>
  <c r="CX76" i="39"/>
  <c r="DS174" i="6"/>
  <c r="DW174" i="6" s="1"/>
  <c r="CX78" i="39"/>
  <c r="CZ78" i="39"/>
  <c r="CZ128" i="39"/>
  <c r="CX128" i="39"/>
  <c r="CZ124" i="39"/>
  <c r="CX124" i="39"/>
  <c r="CZ130" i="39"/>
  <c r="CX130" i="39"/>
  <c r="CZ118" i="39"/>
  <c r="CX118" i="39"/>
  <c r="CX126" i="39"/>
  <c r="CZ126" i="39"/>
  <c r="CZ66" i="39"/>
  <c r="CX66" i="39"/>
  <c r="CZ99" i="39"/>
  <c r="CX99" i="39"/>
  <c r="CZ74" i="39"/>
  <c r="CX74" i="39"/>
  <c r="CZ59" i="39"/>
  <c r="CX59" i="39"/>
  <c r="CZ55" i="39"/>
  <c r="CX55" i="39"/>
  <c r="CZ57" i="39"/>
  <c r="CX57" i="39"/>
  <c r="CZ89" i="39"/>
  <c r="CX89" i="39"/>
  <c r="CX93" i="39"/>
  <c r="CZ93" i="39"/>
  <c r="CZ120" i="39"/>
  <c r="CX120" i="39"/>
  <c r="CZ69" i="39"/>
  <c r="CX69" i="39"/>
  <c r="CZ63" i="39"/>
  <c r="CX63" i="39"/>
  <c r="CZ71" i="39"/>
  <c r="CX71" i="39"/>
  <c r="CZ119" i="39"/>
  <c r="CX119" i="39"/>
  <c r="CZ143" i="39"/>
  <c r="CX143" i="39"/>
  <c r="CZ80" i="39"/>
  <c r="CX80" i="39"/>
  <c r="CZ75" i="39"/>
  <c r="CX75" i="39"/>
  <c r="DS180" i="6"/>
  <c r="DW180" i="6" s="1"/>
  <c r="CZ84" i="39"/>
  <c r="CX84" i="39"/>
  <c r="CZ144" i="39"/>
  <c r="CX144" i="39"/>
  <c r="CZ79" i="39"/>
  <c r="CX79" i="39"/>
  <c r="CZ132" i="39"/>
  <c r="CX132" i="39"/>
  <c r="CZ123" i="39"/>
  <c r="CX123" i="39"/>
  <c r="CZ133" i="39"/>
  <c r="CX133" i="39"/>
  <c r="CZ52" i="39"/>
  <c r="CX52" i="39"/>
  <c r="CX109" i="39"/>
  <c r="CZ109" i="39"/>
  <c r="CX101" i="39"/>
  <c r="CZ101" i="39"/>
  <c r="CZ56" i="39"/>
  <c r="CX56" i="39"/>
  <c r="CZ95" i="39"/>
  <c r="CX95" i="39"/>
  <c r="CX117" i="39"/>
  <c r="CZ117" i="39"/>
  <c r="CZ67" i="39"/>
  <c r="CX67" i="39"/>
  <c r="CZ142" i="39"/>
  <c r="CX142" i="39"/>
  <c r="CZ134" i="39"/>
  <c r="CX134" i="39"/>
  <c r="CZ138" i="39"/>
  <c r="CX138" i="39"/>
  <c r="CZ85" i="39"/>
  <c r="CX85" i="39"/>
  <c r="CX125" i="39"/>
  <c r="CZ125" i="39"/>
  <c r="CZ131" i="39"/>
  <c r="CX131" i="39"/>
  <c r="CZ61" i="39"/>
  <c r="CX61" i="39"/>
  <c r="CZ60" i="39"/>
  <c r="CX60" i="39"/>
  <c r="CZ111" i="39"/>
  <c r="CX111" i="39"/>
  <c r="CZ98" i="39"/>
  <c r="CX98" i="39"/>
  <c r="CZ108" i="39"/>
  <c r="CX108" i="39"/>
  <c r="CZ105" i="39"/>
  <c r="CX105" i="39"/>
  <c r="CZ102" i="39"/>
  <c r="CX102" i="39"/>
  <c r="U44" i="98"/>
  <c r="U36" i="98"/>
  <c r="H9" i="103" s="1"/>
  <c r="U78" i="98"/>
  <c r="U68" i="98"/>
  <c r="U22" i="98"/>
  <c r="U49" i="98"/>
  <c r="U73" i="98"/>
  <c r="U4" i="98"/>
  <c r="U65" i="98"/>
  <c r="U21" i="98"/>
  <c r="U46" i="98"/>
  <c r="Y3" i="98"/>
  <c r="Y4" i="98" s="1"/>
  <c r="Y5" i="98" s="1"/>
  <c r="Y6" i="98" s="1"/>
  <c r="Y7" i="98" s="1"/>
  <c r="Y8" i="98" s="1"/>
  <c r="Y9" i="98" s="1"/>
  <c r="Y10" i="98" s="1"/>
  <c r="Y11" i="98" s="1"/>
  <c r="Y12" i="98" s="1"/>
  <c r="Y13" i="98" s="1"/>
  <c r="Y14" i="98" s="1"/>
  <c r="Y15" i="98" s="1"/>
  <c r="Y16" i="98" s="1"/>
  <c r="Y17" i="98" s="1"/>
  <c r="Y18" i="98" s="1"/>
  <c r="Y19" i="98" s="1"/>
  <c r="Y20" i="98" s="1"/>
  <c r="Y21" i="98" s="1"/>
  <c r="Y22" i="98" s="1"/>
  <c r="Y23" i="98" s="1"/>
  <c r="Y24" i="98" s="1"/>
  <c r="Y25" i="98" s="1"/>
  <c r="Y26" i="98" s="1"/>
  <c r="Y27" i="98" s="1"/>
  <c r="Y28" i="98" s="1"/>
  <c r="Y29" i="98" s="1"/>
  <c r="Y30" i="98" s="1"/>
  <c r="Y31" i="98" s="1"/>
  <c r="Y32" i="98" s="1"/>
  <c r="Y33" i="98" s="1"/>
  <c r="Y34" i="98" s="1"/>
  <c r="Y35" i="98" s="1"/>
  <c r="Y36" i="98" s="1"/>
  <c r="Y37" i="98" s="1"/>
  <c r="Y38" i="98" s="1"/>
  <c r="Y39" i="98" s="1"/>
  <c r="Y40" i="98" s="1"/>
  <c r="Y41" i="98" s="1"/>
  <c r="Y42" i="98" s="1"/>
  <c r="Y43" i="98" s="1"/>
  <c r="Y44" i="98" s="1"/>
  <c r="Y45" i="98" s="1"/>
  <c r="Y46" i="98" s="1"/>
  <c r="Y47" i="98" s="1"/>
  <c r="Y48" i="98" s="1"/>
  <c r="Y49" i="98" s="1"/>
  <c r="Y50" i="98" s="1"/>
  <c r="Y51" i="98" s="1"/>
  <c r="Y52" i="98" s="1"/>
  <c r="Y53" i="98" s="1"/>
  <c r="Y54" i="98" s="1"/>
  <c r="Y55" i="98" s="1"/>
  <c r="Y56" i="98" s="1"/>
  <c r="Y57" i="98" s="1"/>
  <c r="Y58" i="98" s="1"/>
  <c r="Y59" i="98" s="1"/>
  <c r="Y60" i="98" s="1"/>
  <c r="Y61" i="98" s="1"/>
  <c r="Y62" i="98" s="1"/>
  <c r="Y63" i="98" s="1"/>
  <c r="Y64" i="98" s="1"/>
  <c r="Y65" i="98" s="1"/>
  <c r="Y66" i="98" s="1"/>
  <c r="Y67" i="98" s="1"/>
  <c r="Y68" i="98" s="1"/>
  <c r="Y69" i="98" s="1"/>
  <c r="Y70" i="98" s="1"/>
  <c r="Y71" i="98" s="1"/>
  <c r="Y72" i="98" s="1"/>
  <c r="Y73" i="98" s="1"/>
  <c r="Y74" i="98" s="1"/>
  <c r="Y75" i="98" s="1"/>
  <c r="Y76" i="98" s="1"/>
  <c r="Y77" i="98" s="1"/>
  <c r="Y78" i="98" s="1"/>
  <c r="Y79" i="98" s="1"/>
  <c r="Y80" i="98" s="1"/>
  <c r="Y81" i="98" s="1"/>
  <c r="Y82" i="98" s="1"/>
  <c r="Y83" i="98" s="1"/>
  <c r="Y84" i="98" s="1"/>
  <c r="Y85" i="98" s="1"/>
  <c r="Y86" i="98" s="1"/>
  <c r="U6" i="98"/>
  <c r="U58" i="98"/>
  <c r="U80" i="98"/>
  <c r="U41" i="98"/>
  <c r="U25" i="98"/>
  <c r="U52" i="98"/>
  <c r="J9" i="103" s="1"/>
  <c r="U20" i="98"/>
  <c r="U14" i="98"/>
  <c r="U81" i="98"/>
  <c r="U17" i="98"/>
  <c r="U69" i="98"/>
  <c r="U26" i="98"/>
  <c r="U82" i="98"/>
  <c r="M36" i="70"/>
  <c r="M26" i="70"/>
  <c r="M37" i="70"/>
  <c r="D124" i="9" s="1"/>
  <c r="M38" i="70"/>
  <c r="E124" i="9" s="1"/>
  <c r="E125" i="9" s="1"/>
  <c r="N37" i="70"/>
  <c r="N38" i="70"/>
  <c r="C7" i="67"/>
  <c r="N26" i="70"/>
  <c r="O26" i="70"/>
  <c r="O37" i="70"/>
  <c r="F8" i="67" s="1"/>
  <c r="O38" i="70"/>
  <c r="F9" i="67" s="1"/>
  <c r="F7" i="67"/>
  <c r="C118" i="9"/>
  <c r="C145" i="9" s="1"/>
  <c r="L26" i="70"/>
  <c r="L38" i="70"/>
  <c r="E118" i="9" s="1"/>
  <c r="L37" i="70"/>
  <c r="P26" i="70"/>
  <c r="P21" i="70"/>
  <c r="M21" i="70"/>
  <c r="L8" i="70"/>
  <c r="L20" i="70"/>
  <c r="N8" i="70"/>
  <c r="M8" i="70"/>
  <c r="M22" i="70" s="1"/>
  <c r="M20" i="70"/>
  <c r="O8" i="70"/>
  <c r="N21" i="70"/>
  <c r="N20" i="70"/>
  <c r="P19" i="70"/>
  <c r="M19" i="70"/>
  <c r="N19" i="70"/>
  <c r="P18" i="70"/>
  <c r="P14" i="70"/>
  <c r="P20" i="70"/>
  <c r="P23" i="70"/>
  <c r="O20" i="70"/>
  <c r="N23" i="70"/>
  <c r="M23" i="70"/>
  <c r="O23" i="70"/>
  <c r="C52" i="70"/>
  <c r="L23" i="70"/>
  <c r="C48" i="70"/>
  <c r="H48" i="70" s="1"/>
  <c r="K62" i="70" s="1"/>
  <c r="L19" i="70"/>
  <c r="O21" i="70"/>
  <c r="O19" i="70"/>
  <c r="CK161" i="39"/>
  <c r="K11" i="35"/>
  <c r="M11" i="35" s="1"/>
  <c r="M28" i="35" s="1"/>
  <c r="CR161" i="39"/>
  <c r="A30" i="32"/>
  <c r="A41" i="32"/>
  <c r="A53" i="32" s="1"/>
  <c r="K14" i="35"/>
  <c r="M14" i="35" s="1"/>
  <c r="DQ150" i="6"/>
  <c r="D34" i="30"/>
  <c r="CW106" i="39"/>
  <c r="T46" i="47"/>
  <c r="CY130" i="39"/>
  <c r="D65" i="30"/>
  <c r="CV103" i="39"/>
  <c r="DQ216" i="6"/>
  <c r="DU216" i="6" s="1"/>
  <c r="DQ151" i="6"/>
  <c r="D71" i="27"/>
  <c r="DT192" i="6"/>
  <c r="DX192" i="6" s="1"/>
  <c r="CV131" i="39"/>
  <c r="CV145" i="39"/>
  <c r="DR202" i="6"/>
  <c r="DV202" i="6" s="1"/>
  <c r="U22" i="47"/>
  <c r="D45" i="27"/>
  <c r="DT172" i="6"/>
  <c r="DQ196" i="6"/>
  <c r="DU196" i="6" s="1"/>
  <c r="DT239" i="6"/>
  <c r="DX239" i="6" s="1"/>
  <c r="DR191" i="6"/>
  <c r="DV191" i="6" s="1"/>
  <c r="D54" i="27"/>
  <c r="DT204" i="6"/>
  <c r="DX204" i="6" s="1"/>
  <c r="D40" i="27"/>
  <c r="D59" i="84"/>
  <c r="DA134" i="39"/>
  <c r="D56" i="27"/>
  <c r="D74" i="30"/>
  <c r="DQ205" i="6"/>
  <c r="DU205" i="6" s="1"/>
  <c r="D55" i="27"/>
  <c r="DT226" i="6"/>
  <c r="DX226" i="6" s="1"/>
  <c r="DR204" i="6"/>
  <c r="DV204" i="6" s="1"/>
  <c r="DR200" i="6"/>
  <c r="DV200" i="6" s="1"/>
  <c r="CY138" i="39"/>
  <c r="CY94" i="39"/>
  <c r="DR170" i="6"/>
  <c r="DV170" i="6" s="1"/>
  <c r="DQ148" i="6"/>
  <c r="CV116" i="39"/>
  <c r="D44" i="84"/>
  <c r="DA96" i="39"/>
  <c r="CY96" i="39"/>
  <c r="CV115" i="39"/>
  <c r="DQ195" i="6"/>
  <c r="DU195" i="6" s="1"/>
  <c r="U25" i="47"/>
  <c r="CV104" i="39"/>
  <c r="DA130" i="39"/>
  <c r="D70" i="30"/>
  <c r="U18" i="47"/>
  <c r="DS204" i="6"/>
  <c r="DW204" i="6" s="1"/>
  <c r="DA138" i="39"/>
  <c r="DR178" i="6"/>
  <c r="DV178" i="6" s="1"/>
  <c r="D59" i="41"/>
  <c r="DQ152" i="6"/>
  <c r="D59" i="27"/>
  <c r="D56" i="41"/>
  <c r="D20" i="30"/>
  <c r="D49" i="41"/>
  <c r="D55" i="41"/>
  <c r="D36" i="30"/>
  <c r="D67" i="30"/>
  <c r="D10" i="91"/>
  <c r="H10" i="91" s="1"/>
  <c r="CV136" i="39"/>
  <c r="CY134" i="39"/>
  <c r="CW108" i="39"/>
  <c r="DR174" i="6"/>
  <c r="DV174" i="6" s="1"/>
  <c r="DQ200" i="6"/>
  <c r="DU200" i="6" s="1"/>
  <c r="DT234" i="6"/>
  <c r="DX234" i="6" s="1"/>
  <c r="CV119" i="39"/>
  <c r="U44" i="47"/>
  <c r="D44" i="27"/>
  <c r="CV99" i="39"/>
  <c r="DQ203" i="6"/>
  <c r="DU203" i="6" s="1"/>
  <c r="DT230" i="6"/>
  <c r="DX230" i="6" s="1"/>
  <c r="D61" i="41"/>
  <c r="T48" i="47"/>
  <c r="D78" i="30"/>
  <c r="DQ215" i="6"/>
  <c r="DU215" i="6" s="1"/>
  <c r="DQ237" i="6"/>
  <c r="DU237" i="6" s="1"/>
  <c r="D56" i="84"/>
  <c r="D49" i="27"/>
  <c r="CV109" i="39"/>
  <c r="D49" i="84"/>
  <c r="DT176" i="6"/>
  <c r="DQ211" i="6"/>
  <c r="DU211" i="6" s="1"/>
  <c r="DQ147" i="6"/>
  <c r="DQ232" i="6"/>
  <c r="DU232" i="6" s="1"/>
  <c r="DQ217" i="6"/>
  <c r="DU217" i="6" s="1"/>
  <c r="E112" i="39"/>
  <c r="D52" i="84" s="1"/>
  <c r="D81" i="84"/>
  <c r="D18" i="30"/>
  <c r="T32" i="47"/>
  <c r="CW92" i="39"/>
  <c r="CV107" i="39"/>
  <c r="D47" i="41"/>
  <c r="D76" i="27"/>
  <c r="CV121" i="39"/>
  <c r="DS162" i="6"/>
  <c r="DW162" i="6" s="1"/>
  <c r="DS194" i="6"/>
  <c r="DW194" i="6" s="1"/>
  <c r="DS202" i="6"/>
  <c r="DW202" i="6" s="1"/>
  <c r="D47" i="27"/>
  <c r="DS200" i="6"/>
  <c r="DW200" i="6" s="1"/>
  <c r="DS196" i="6"/>
  <c r="DW196" i="6" s="1"/>
  <c r="D76" i="41"/>
  <c r="D61" i="27"/>
  <c r="DR188" i="6"/>
  <c r="DV188" i="6" s="1"/>
  <c r="DT181" i="6"/>
  <c r="O9" i="91"/>
  <c r="S9" i="91" s="1"/>
  <c r="D9" i="33"/>
  <c r="H9" i="33" s="1"/>
  <c r="CV101" i="39"/>
  <c r="DS198" i="6"/>
  <c r="DW198" i="6" s="1"/>
  <c r="CW100" i="39"/>
  <c r="D43" i="41"/>
  <c r="DA143" i="39"/>
  <c r="CV120" i="39"/>
  <c r="U35" i="47"/>
  <c r="CV114" i="39"/>
  <c r="DQ210" i="6"/>
  <c r="DU210" i="6" s="1"/>
  <c r="DT178" i="6"/>
  <c r="CV100" i="39"/>
  <c r="D41" i="41"/>
  <c r="DQ197" i="6"/>
  <c r="DU197" i="6" s="1"/>
  <c r="DR196" i="6"/>
  <c r="DV196" i="6" s="1"/>
  <c r="DQ199" i="6"/>
  <c r="DU199" i="6" s="1"/>
  <c r="D43" i="27"/>
  <c r="D16" i="30"/>
  <c r="CW95" i="39"/>
  <c r="D54" i="41"/>
  <c r="CY93" i="39"/>
  <c r="D22" i="30"/>
  <c r="D40" i="41"/>
  <c r="D41" i="84"/>
  <c r="T40" i="47"/>
  <c r="D60" i="27"/>
  <c r="D60" i="41"/>
  <c r="CY143" i="39"/>
  <c r="Z9" i="33"/>
  <c r="AD9" i="33" s="1"/>
  <c r="DQ241" i="6"/>
  <c r="DU241" i="6" s="1"/>
  <c r="O9" i="33"/>
  <c r="S9" i="33" s="1"/>
  <c r="O5" i="91"/>
  <c r="S5" i="91" s="1"/>
  <c r="O7" i="91"/>
  <c r="S7" i="91" s="1"/>
  <c r="DA132" i="39"/>
  <c r="D72" i="30"/>
  <c r="DS197" i="6"/>
  <c r="DW197" i="6" s="1"/>
  <c r="CY127" i="39"/>
  <c r="DT228" i="6"/>
  <c r="DX228" i="6" s="1"/>
  <c r="DQ155" i="6"/>
  <c r="DA94" i="39"/>
  <c r="DQ201" i="6"/>
  <c r="DU201" i="6" s="1"/>
  <c r="D10" i="33"/>
  <c r="H10" i="33" s="1"/>
  <c r="D85" i="41"/>
  <c r="D5" i="33"/>
  <c r="H5" i="33" s="1"/>
  <c r="O7" i="33"/>
  <c r="S7" i="33" s="1"/>
  <c r="U14" i="47"/>
  <c r="DT223" i="6"/>
  <c r="DX223" i="6" s="1"/>
  <c r="DT177" i="6"/>
  <c r="D21" i="30"/>
  <c r="E113" i="39"/>
  <c r="D53" i="84" s="1"/>
  <c r="D85" i="27"/>
  <c r="CY108" i="39"/>
  <c r="O5" i="33"/>
  <c r="S5" i="33" s="1"/>
  <c r="DS199" i="6"/>
  <c r="DW199" i="6" s="1"/>
  <c r="Z9" i="91"/>
  <c r="AD9" i="91" s="1"/>
  <c r="DT190" i="6"/>
  <c r="DX190" i="6" s="1"/>
  <c r="D9" i="91"/>
  <c r="D45" i="84"/>
  <c r="CV105" i="39"/>
  <c r="D39" i="84"/>
  <c r="D39" i="41"/>
  <c r="CY129" i="39"/>
  <c r="E137" i="39"/>
  <c r="D77" i="84" s="1"/>
  <c r="D5" i="91"/>
  <c r="H5" i="91" s="1"/>
  <c r="DA128" i="39"/>
  <c r="DT224" i="6"/>
  <c r="DX224" i="6" s="1"/>
  <c r="DQ153" i="6"/>
  <c r="D81" i="41"/>
  <c r="CY128" i="39"/>
  <c r="D65" i="41"/>
  <c r="D68" i="30"/>
  <c r="D81" i="27"/>
  <c r="DA100" i="39"/>
  <c r="DA108" i="39"/>
  <c r="D48" i="30"/>
  <c r="DT221" i="6"/>
  <c r="DX221" i="6" s="1"/>
  <c r="DA124" i="39"/>
  <c r="D71" i="41"/>
  <c r="D40" i="30"/>
  <c r="DA97" i="39"/>
  <c r="DT193" i="6"/>
  <c r="DX193" i="6" s="1"/>
  <c r="DA125" i="39"/>
  <c r="CY125" i="39"/>
  <c r="DA104" i="39"/>
  <c r="CY124" i="39"/>
  <c r="D64" i="30"/>
  <c r="DT220" i="6"/>
  <c r="DX220" i="6" s="1"/>
  <c r="DA129" i="39"/>
  <c r="DT225" i="6"/>
  <c r="DX225" i="6" s="1"/>
  <c r="DS173" i="6"/>
  <c r="DW173" i="6" s="1"/>
  <c r="DS169" i="6"/>
  <c r="DW169" i="6" s="1"/>
  <c r="D69" i="30"/>
  <c r="CY100" i="39"/>
  <c r="CY104" i="39"/>
  <c r="DT196" i="6"/>
  <c r="DX196" i="6" s="1"/>
  <c r="DT200" i="6"/>
  <c r="DX200" i="6" s="1"/>
  <c r="D44" i="30"/>
  <c r="DR218" i="6"/>
  <c r="DV218" i="6" s="1"/>
  <c r="DS209" i="6"/>
  <c r="DW209" i="6" s="1"/>
  <c r="DS161" i="6"/>
  <c r="DW161" i="6" s="1"/>
  <c r="D37" i="30"/>
  <c r="DT189" i="6"/>
  <c r="DX189" i="6" s="1"/>
  <c r="D63" i="41"/>
  <c r="DA87" i="39"/>
  <c r="DQ219" i="6"/>
  <c r="DU219" i="6" s="1"/>
  <c r="DQ218" i="6"/>
  <c r="DU218" i="6" s="1"/>
  <c r="DT183" i="6"/>
  <c r="DX183" i="6" s="1"/>
  <c r="D63" i="27"/>
  <c r="CV123" i="39"/>
  <c r="CY87" i="39"/>
  <c r="D27" i="30"/>
  <c r="T62" i="47"/>
  <c r="CY97" i="39"/>
  <c r="D62" i="27"/>
  <c r="D20" i="27"/>
  <c r="U65" i="47"/>
  <c r="DA93" i="39"/>
  <c r="D33" i="30"/>
  <c r="DQ182" i="6"/>
  <c r="DU182" i="6" s="1"/>
  <c r="CW122" i="39"/>
  <c r="D26" i="41"/>
  <c r="CV122" i="39"/>
  <c r="D62" i="41"/>
  <c r="DQ227" i="6"/>
  <c r="DU227" i="6" s="1"/>
  <c r="DS234" i="6"/>
  <c r="DW234" i="6" s="1"/>
  <c r="D69" i="41"/>
  <c r="T26" i="47"/>
  <c r="T66" i="47"/>
  <c r="DR219" i="6"/>
  <c r="DV219" i="6" s="1"/>
  <c r="DR220" i="6"/>
  <c r="DV220" i="6" s="1"/>
  <c r="DS232" i="6"/>
  <c r="DW232" i="6" s="1"/>
  <c r="DS221" i="6"/>
  <c r="DW221" i="6" s="1"/>
  <c r="U64" i="47"/>
  <c r="CW125" i="39"/>
  <c r="DR184" i="6"/>
  <c r="DV184" i="6" s="1"/>
  <c r="CW126" i="39"/>
  <c r="DS222" i="6"/>
  <c r="DW222" i="6" s="1"/>
  <c r="DR221" i="6"/>
  <c r="DV221" i="6" s="1"/>
  <c r="DR182" i="6"/>
  <c r="DV182" i="6" s="1"/>
  <c r="D9" i="27"/>
  <c r="CW86" i="39"/>
  <c r="CW127" i="39"/>
  <c r="DR223" i="6"/>
  <c r="DV223" i="6" s="1"/>
  <c r="U71" i="47"/>
  <c r="CW114" i="39"/>
  <c r="T67" i="47"/>
  <c r="DQ177" i="6"/>
  <c r="D26" i="27"/>
  <c r="CV125" i="39"/>
  <c r="D65" i="84"/>
  <c r="D13" i="27"/>
  <c r="DQ169" i="6"/>
  <c r="T59" i="47"/>
  <c r="CW131" i="39"/>
  <c r="DS164" i="6"/>
  <c r="DW164" i="6" s="1"/>
  <c r="DS214" i="6"/>
  <c r="DW214" i="6" s="1"/>
  <c r="D65" i="27"/>
  <c r="D13" i="41"/>
  <c r="CV97" i="39"/>
  <c r="CW123" i="39"/>
  <c r="DS238" i="6"/>
  <c r="DW238" i="6" s="1"/>
  <c r="DR227" i="6"/>
  <c r="DV227" i="6" s="1"/>
  <c r="D26" i="84"/>
  <c r="DQ221" i="6"/>
  <c r="DU221" i="6" s="1"/>
  <c r="CV86" i="39"/>
  <c r="D37" i="27"/>
  <c r="CV126" i="39"/>
  <c r="D34" i="41"/>
  <c r="DR208" i="6"/>
  <c r="DV208" i="6" s="1"/>
  <c r="D34" i="27"/>
  <c r="DS172" i="6"/>
  <c r="DW172" i="6" s="1"/>
  <c r="DQ190" i="6"/>
  <c r="DU190" i="6" s="1"/>
  <c r="D66" i="27"/>
  <c r="DT164" i="6"/>
  <c r="D8" i="30"/>
  <c r="U52" i="47"/>
  <c r="CV94" i="39"/>
  <c r="CW118" i="39"/>
  <c r="DS176" i="6"/>
  <c r="DW176" i="6" s="1"/>
  <c r="DQ165" i="6"/>
  <c r="DS239" i="6"/>
  <c r="DW239" i="6" s="1"/>
  <c r="U28" i="47"/>
  <c r="D31" i="41"/>
  <c r="CV91" i="39"/>
  <c r="DS227" i="6"/>
  <c r="DW227" i="6" s="1"/>
  <c r="CW120" i="39"/>
  <c r="DS179" i="6"/>
  <c r="DW179" i="6" s="1"/>
  <c r="DS210" i="6"/>
  <c r="DW210" i="6" s="1"/>
  <c r="DS225" i="6"/>
  <c r="DW225" i="6" s="1"/>
  <c r="D9" i="41"/>
  <c r="DT161" i="6"/>
  <c r="Z11" i="91"/>
  <c r="AD11" i="91" s="1"/>
  <c r="D72" i="27"/>
  <c r="CV128" i="39"/>
  <c r="DQ164" i="6"/>
  <c r="D5" i="30"/>
  <c r="DT168" i="6"/>
  <c r="DS219" i="6"/>
  <c r="DW219" i="6" s="1"/>
  <c r="CV96" i="39"/>
  <c r="DQ225" i="6"/>
  <c r="DU225" i="6" s="1"/>
  <c r="Z11" i="33"/>
  <c r="AD11" i="33" s="1"/>
  <c r="DR216" i="6"/>
  <c r="DV216" i="6" s="1"/>
  <c r="CV95" i="39"/>
  <c r="D12" i="30"/>
  <c r="D54" i="30"/>
  <c r="DR186" i="6"/>
  <c r="DV186" i="6" s="1"/>
  <c r="DS208" i="6"/>
  <c r="DW208" i="6" s="1"/>
  <c r="DS160" i="6"/>
  <c r="DW160" i="6" s="1"/>
  <c r="U30" i="47"/>
  <c r="Z7" i="33"/>
  <c r="AD7" i="33" s="1"/>
  <c r="CV124" i="39"/>
  <c r="DS187" i="6"/>
  <c r="DW187" i="6" s="1"/>
  <c r="DQ220" i="6"/>
  <c r="DU220" i="6" s="1"/>
  <c r="D14" i="27"/>
  <c r="D33" i="84"/>
  <c r="DS166" i="6"/>
  <c r="DW166" i="6" s="1"/>
  <c r="D64" i="84"/>
  <c r="DQ228" i="6"/>
  <c r="DU228" i="6" s="1"/>
  <c r="DQ226" i="6"/>
  <c r="DU226" i="6" s="1"/>
  <c r="DS235" i="6"/>
  <c r="DW235" i="6" s="1"/>
  <c r="DS228" i="6"/>
  <c r="DW228" i="6" s="1"/>
  <c r="DQ180" i="6"/>
  <c r="M122" i="39"/>
  <c r="AA10" i="91" s="1"/>
  <c r="DS220" i="6"/>
  <c r="DW220" i="6" s="1"/>
  <c r="D15" i="41"/>
  <c r="D8" i="41"/>
  <c r="DQ191" i="6"/>
  <c r="DU191" i="6" s="1"/>
  <c r="D24" i="27"/>
  <c r="CW138" i="39"/>
  <c r="D33" i="41"/>
  <c r="T81" i="47"/>
  <c r="DS168" i="6"/>
  <c r="DW168" i="6" s="1"/>
  <c r="D33" i="27"/>
  <c r="CV93" i="39"/>
  <c r="D64" i="41"/>
  <c r="DQ171" i="6"/>
  <c r="D8" i="27"/>
  <c r="D35" i="41"/>
  <c r="DS230" i="6"/>
  <c r="DW230" i="6" s="1"/>
  <c r="DR215" i="6"/>
  <c r="DV215" i="6" s="1"/>
  <c r="T60" i="47"/>
  <c r="D14" i="41"/>
  <c r="D66" i="41"/>
  <c r="DR210" i="6"/>
  <c r="DV210" i="6" s="1"/>
  <c r="U34" i="47"/>
  <c r="Z7" i="91"/>
  <c r="DR232" i="6"/>
  <c r="DV232" i="6" s="1"/>
  <c r="CW90" i="39"/>
  <c r="U76" i="47"/>
  <c r="D72" i="41"/>
  <c r="CV130" i="39"/>
  <c r="D70" i="41"/>
  <c r="T83" i="47"/>
  <c r="DQ189" i="6"/>
  <c r="DU189" i="6" s="1"/>
  <c r="D68" i="41"/>
  <c r="D31" i="84"/>
  <c r="D31" i="27"/>
  <c r="DS171" i="6"/>
  <c r="DW171" i="6" s="1"/>
  <c r="CW119" i="39"/>
  <c r="D11" i="33"/>
  <c r="H11" i="33" s="1"/>
  <c r="D24" i="41"/>
  <c r="Z6" i="33"/>
  <c r="AD6" i="33" s="1"/>
  <c r="D64" i="27"/>
  <c r="CV132" i="39"/>
  <c r="D70" i="27"/>
  <c r="U7" i="47"/>
  <c r="D15" i="27"/>
  <c r="CW121" i="39"/>
  <c r="D35" i="27"/>
  <c r="DQ170" i="6"/>
  <c r="DQ222" i="6"/>
  <c r="DU222" i="6" s="1"/>
  <c r="U54" i="47"/>
  <c r="DQ192" i="6"/>
  <c r="DU192" i="6" s="1"/>
  <c r="Z10" i="91"/>
  <c r="AD10" i="91" s="1"/>
  <c r="D11" i="91"/>
  <c r="H11" i="91" s="1"/>
  <c r="DS167" i="6"/>
  <c r="DW167" i="6" s="1"/>
  <c r="D37" i="84"/>
  <c r="D37" i="41"/>
  <c r="D2" i="30"/>
  <c r="O8" i="33"/>
  <c r="S8" i="33" s="1"/>
  <c r="AA6" i="33"/>
  <c r="DS159" i="6"/>
  <c r="DW159" i="6" s="1"/>
  <c r="D56" i="30"/>
  <c r="DT212" i="6"/>
  <c r="DX212" i="6" s="1"/>
  <c r="CW88" i="39"/>
  <c r="DS213" i="6"/>
  <c r="DW213" i="6" s="1"/>
  <c r="D30" i="84"/>
  <c r="CV90" i="39"/>
  <c r="D30" i="41"/>
  <c r="DQ186" i="6"/>
  <c r="DU186" i="6" s="1"/>
  <c r="D30" i="27"/>
  <c r="O11" i="33"/>
  <c r="S11" i="33" s="1"/>
  <c r="Z10" i="33"/>
  <c r="AD10" i="33" s="1"/>
  <c r="O11" i="91"/>
  <c r="O8" i="91"/>
  <c r="S8" i="91" s="1"/>
  <c r="D8" i="91"/>
  <c r="Z6" i="91"/>
  <c r="DS163" i="6"/>
  <c r="DW163" i="6" s="1"/>
  <c r="D68" i="84"/>
  <c r="D68" i="27"/>
  <c r="DT158" i="6"/>
  <c r="D8" i="33"/>
  <c r="H8" i="33" s="1"/>
  <c r="AA6" i="91"/>
  <c r="DS165" i="6"/>
  <c r="DW165" i="6" s="1"/>
  <c r="D69" i="84"/>
  <c r="D69" i="27"/>
  <c r="CV129" i="39"/>
  <c r="D36" i="84"/>
  <c r="D36" i="41"/>
  <c r="D7" i="91"/>
  <c r="H7" i="91" s="1"/>
  <c r="CW129" i="39"/>
  <c r="DR225" i="6"/>
  <c r="DV225" i="6" s="1"/>
  <c r="D52" i="30"/>
  <c r="U58" i="47"/>
  <c r="DQ176" i="6"/>
  <c r="DS185" i="6"/>
  <c r="DW185" i="6" s="1"/>
  <c r="DR234" i="6"/>
  <c r="DV234" i="6" s="1"/>
  <c r="D22" i="41"/>
  <c r="D22" i="84"/>
  <c r="U79" i="47"/>
  <c r="D10" i="41"/>
  <c r="DQ178" i="6"/>
  <c r="D22" i="27"/>
  <c r="D10" i="27"/>
  <c r="DR214" i="6"/>
  <c r="DV214" i="6" s="1"/>
  <c r="CW112" i="39"/>
  <c r="D20" i="41"/>
  <c r="U77" i="47"/>
  <c r="D10" i="84"/>
  <c r="CW139" i="39"/>
  <c r="D7" i="33"/>
  <c r="H7" i="33" s="1"/>
  <c r="D50" i="30"/>
  <c r="DT206" i="6"/>
  <c r="DX206" i="6" s="1"/>
  <c r="D6" i="33"/>
  <c r="H6" i="33" s="1"/>
  <c r="T69" i="47"/>
  <c r="DQ160" i="6"/>
  <c r="DR168" i="6"/>
  <c r="DV168" i="6" s="1"/>
  <c r="T12" i="47"/>
  <c r="DR179" i="6"/>
  <c r="DV179" i="6" s="1"/>
  <c r="E85" i="39"/>
  <c r="D25" i="84" s="1"/>
  <c r="DA110" i="39"/>
  <c r="U6" i="47"/>
  <c r="DR162" i="6"/>
  <c r="DV162" i="6" s="1"/>
  <c r="CY110" i="39"/>
  <c r="CW143" i="39"/>
  <c r="D6" i="30"/>
  <c r="D21" i="27"/>
  <c r="D21" i="41"/>
  <c r="Z8" i="33"/>
  <c r="AD8" i="33" s="1"/>
  <c r="O6" i="91"/>
  <c r="S6" i="91" s="1"/>
  <c r="DR237" i="6"/>
  <c r="DV237" i="6" s="1"/>
  <c r="CW141" i="39"/>
  <c r="DA116" i="39"/>
  <c r="T75" i="47"/>
  <c r="CW135" i="39"/>
  <c r="DR231" i="6"/>
  <c r="DV231" i="6" s="1"/>
  <c r="DR213" i="6"/>
  <c r="DV213" i="6" s="1"/>
  <c r="T57" i="47"/>
  <c r="T61" i="47"/>
  <c r="CY114" i="39"/>
  <c r="O10" i="33"/>
  <c r="S10" i="33" s="1"/>
  <c r="DA114" i="39"/>
  <c r="O10" i="91"/>
  <c r="T78" i="47"/>
  <c r="D4" i="41"/>
  <c r="CY116" i="39"/>
  <c r="T8" i="47"/>
  <c r="Z5" i="91"/>
  <c r="DR217" i="6"/>
  <c r="DV217" i="6" s="1"/>
  <c r="I134" i="39"/>
  <c r="P11" i="91" s="1"/>
  <c r="DT210" i="6"/>
  <c r="DX210" i="6" s="1"/>
  <c r="Z8" i="91"/>
  <c r="D4" i="27"/>
  <c r="DR164" i="6"/>
  <c r="DV164" i="6" s="1"/>
  <c r="CW117" i="39"/>
  <c r="DS183" i="6"/>
  <c r="DW183" i="6" s="1"/>
  <c r="E66" i="39"/>
  <c r="D6" i="84" s="1"/>
  <c r="Z5" i="33"/>
  <c r="AD5" i="33" s="1"/>
  <c r="O6" i="33"/>
  <c r="S6" i="33" s="1"/>
  <c r="DR163" i="6"/>
  <c r="DV163" i="6" s="1"/>
  <c r="D6" i="91"/>
  <c r="DA144" i="39"/>
  <c r="CY112" i="39"/>
  <c r="DA112" i="39"/>
  <c r="DT208" i="6"/>
  <c r="DX208" i="6" s="1"/>
  <c r="DT240" i="6"/>
  <c r="DX240" i="6" s="1"/>
  <c r="CY144" i="39"/>
  <c r="D84" i="30"/>
  <c r="U62" i="47"/>
  <c r="CM161" i="39"/>
  <c r="CO161" i="39"/>
  <c r="CP161" i="39"/>
  <c r="CD162" i="39"/>
  <c r="U50" i="47"/>
  <c r="T49" i="47"/>
  <c r="T22" i="47"/>
  <c r="T77" i="47"/>
  <c r="U32" i="47"/>
  <c r="DT202" i="6"/>
  <c r="DX202" i="6" s="1"/>
  <c r="DA106" i="39"/>
  <c r="D46" i="30"/>
  <c r="D73" i="84"/>
  <c r="H50" i="70"/>
  <c r="K64" i="70" s="1"/>
  <c r="H49" i="70"/>
  <c r="K63" i="70" s="1"/>
  <c r="U19" i="47"/>
  <c r="U10" i="47"/>
  <c r="C47" i="70"/>
  <c r="AV8" i="91"/>
  <c r="AW8" i="91" s="1"/>
  <c r="CU161" i="39"/>
  <c r="CT161" i="39"/>
  <c r="CS161" i="39"/>
  <c r="T50" i="47"/>
  <c r="U69" i="47"/>
  <c r="T19" i="47"/>
  <c r="CL161" i="39"/>
  <c r="CQ161" i="39"/>
  <c r="CI161" i="39"/>
  <c r="CN161" i="39"/>
  <c r="CH161" i="39"/>
  <c r="BY108" i="39"/>
  <c r="T23" i="47"/>
  <c r="T70" i="47"/>
  <c r="DS188" i="6"/>
  <c r="DW188" i="6" s="1"/>
  <c r="DT233" i="6"/>
  <c r="DX233" i="6" s="1"/>
  <c r="D77" i="30"/>
  <c r="CY137" i="39"/>
  <c r="T34" i="47"/>
  <c r="U70" i="47"/>
  <c r="DA139" i="39"/>
  <c r="CY139" i="39"/>
  <c r="DT235" i="6"/>
  <c r="DX235" i="6" s="1"/>
  <c r="D79" i="30"/>
  <c r="DR158" i="6"/>
  <c r="DV158" i="6" s="1"/>
  <c r="DR172" i="6"/>
  <c r="DV172" i="6" s="1"/>
  <c r="CA74" i="39"/>
  <c r="DA137" i="39"/>
  <c r="CA96" i="39"/>
  <c r="D83" i="84"/>
  <c r="CV143" i="39"/>
  <c r="D83" i="41"/>
  <c r="D83" i="27"/>
  <c r="DQ239" i="6"/>
  <c r="DU239" i="6" s="1"/>
  <c r="D32" i="84"/>
  <c r="DQ188" i="6"/>
  <c r="DU188" i="6" s="1"/>
  <c r="D32" i="41"/>
  <c r="D32" i="27"/>
  <c r="CV92" i="39"/>
  <c r="CW98" i="39"/>
  <c r="DR194" i="6"/>
  <c r="DV194" i="6" s="1"/>
  <c r="AA8" i="91"/>
  <c r="AP9" i="91"/>
  <c r="AQ9" i="91" s="1"/>
  <c r="AA9" i="91"/>
  <c r="DT167" i="6"/>
  <c r="D11" i="30"/>
  <c r="N5" i="35"/>
  <c r="AU9" i="91"/>
  <c r="BY133" i="39"/>
  <c r="DR228" i="6"/>
  <c r="DV228" i="6" s="1"/>
  <c r="T72" i="47"/>
  <c r="CW132" i="39"/>
  <c r="DA111" i="39"/>
  <c r="CY111" i="39"/>
  <c r="DT207" i="6"/>
  <c r="DX207" i="6" s="1"/>
  <c r="D51" i="30"/>
  <c r="P7" i="91"/>
  <c r="T10" i="47"/>
  <c r="Q32" i="35"/>
  <c r="S32" i="35" s="1"/>
  <c r="P9" i="91"/>
  <c r="D2" i="84"/>
  <c r="CA88" i="39"/>
  <c r="DR224" i="6"/>
  <c r="DV224" i="6" s="1"/>
  <c r="CW128" i="39"/>
  <c r="T68" i="47"/>
  <c r="DS224" i="6"/>
  <c r="DW224" i="6" s="1"/>
  <c r="BB8" i="91"/>
  <c r="BC8" i="91" s="1"/>
  <c r="Q33" i="35"/>
  <c r="S33" i="35" s="1"/>
  <c r="D74" i="84"/>
  <c r="D27" i="84"/>
  <c r="E8" i="91"/>
  <c r="D50" i="84"/>
  <c r="AA5" i="91"/>
  <c r="P8" i="91"/>
  <c r="E11" i="91"/>
  <c r="P10" i="91"/>
  <c r="P5" i="91"/>
  <c r="AP8" i="91"/>
  <c r="AQ8" i="91" s="1"/>
  <c r="D81" i="30"/>
  <c r="DT237" i="6"/>
  <c r="DX237" i="6" s="1"/>
  <c r="CY141" i="39"/>
  <c r="DA141" i="39"/>
  <c r="P6" i="91"/>
  <c r="CA92" i="39"/>
  <c r="D38" i="84"/>
  <c r="E9" i="91"/>
  <c r="AA7" i="91"/>
  <c r="DS175" i="6"/>
  <c r="DW175" i="6" s="1"/>
  <c r="CY105" i="39"/>
  <c r="DT201" i="6"/>
  <c r="DX201" i="6" s="1"/>
  <c r="D45" i="30"/>
  <c r="DA105" i="39"/>
  <c r="N10" i="35"/>
  <c r="F13" i="35"/>
  <c r="BY113" i="39"/>
  <c r="CA101" i="39"/>
  <c r="CA87" i="39"/>
  <c r="BY99" i="39"/>
  <c r="DR241" i="6"/>
  <c r="DV241" i="6" s="1"/>
  <c r="CW145" i="39"/>
  <c r="DT241" i="6"/>
  <c r="DX241" i="6" s="1"/>
  <c r="DA145" i="39"/>
  <c r="CY145" i="39"/>
  <c r="D85" i="30"/>
  <c r="CY123" i="39"/>
  <c r="DA123" i="39"/>
  <c r="DT219" i="6"/>
  <c r="DX219" i="6" s="1"/>
  <c r="D63" i="30"/>
  <c r="AA7" i="33"/>
  <c r="BY107" i="39"/>
  <c r="BY103" i="39"/>
  <c r="BY100" i="39"/>
  <c r="B10" i="32"/>
  <c r="H45" i="36"/>
  <c r="H47" i="36"/>
  <c r="H41" i="36"/>
  <c r="H46" i="36"/>
  <c r="H44" i="36"/>
  <c r="AW9" i="33"/>
  <c r="AX9" i="33" s="1"/>
  <c r="AY9" i="33" s="1"/>
  <c r="T8" i="32"/>
  <c r="AA12" i="35"/>
  <c r="BA14" i="33"/>
  <c r="BB13" i="33"/>
  <c r="K9" i="36" s="1"/>
  <c r="F10" i="35"/>
  <c r="M14" i="33"/>
  <c r="N13" i="33"/>
  <c r="K4" i="36" s="1"/>
  <c r="U49" i="47"/>
  <c r="AA11" i="35"/>
  <c r="DS190" i="6"/>
  <c r="DW190" i="6" s="1"/>
  <c r="D2" i="27"/>
  <c r="D2" i="41"/>
  <c r="DQ158" i="6"/>
  <c r="DS216" i="6"/>
  <c r="DW216" i="6" s="1"/>
  <c r="DR198" i="6"/>
  <c r="DV198" i="6" s="1"/>
  <c r="CW102" i="39"/>
  <c r="T42" i="47"/>
  <c r="DS184" i="6"/>
  <c r="DW184" i="6" s="1"/>
  <c r="DS170" i="6"/>
  <c r="DW170" i="6" s="1"/>
  <c r="D58" i="41"/>
  <c r="CV118" i="39"/>
  <c r="D58" i="27"/>
  <c r="DQ214" i="6"/>
  <c r="DU214" i="6" s="1"/>
  <c r="D82" i="30"/>
  <c r="DT238" i="6"/>
  <c r="DX238" i="6" s="1"/>
  <c r="CY142" i="39"/>
  <c r="DA142" i="39"/>
  <c r="D58" i="30"/>
  <c r="DA118" i="39"/>
  <c r="DT214" i="6"/>
  <c r="DX214" i="6" s="1"/>
  <c r="CY118" i="39"/>
  <c r="DQ172" i="6"/>
  <c r="D16" i="27"/>
  <c r="D16" i="41"/>
  <c r="DR176" i="6"/>
  <c r="DV176" i="6" s="1"/>
  <c r="CY120" i="39"/>
  <c r="D60" i="30"/>
  <c r="DA120" i="39"/>
  <c r="DT216" i="6"/>
  <c r="DX216" i="6" s="1"/>
  <c r="DR180" i="6"/>
  <c r="DV180" i="6" s="1"/>
  <c r="DQ156" i="6"/>
  <c r="CV110" i="39"/>
  <c r="D50" i="27"/>
  <c r="DQ206" i="6"/>
  <c r="DU206" i="6" s="1"/>
  <c r="D50" i="41"/>
  <c r="DR160" i="6"/>
  <c r="DV160" i="6" s="1"/>
  <c r="DA86" i="39"/>
  <c r="DT182" i="6"/>
  <c r="DX182" i="6" s="1"/>
  <c r="CY86" i="39"/>
  <c r="D26" i="30"/>
  <c r="D30" i="30"/>
  <c r="CY90" i="39"/>
  <c r="DA90" i="39"/>
  <c r="DT186" i="6"/>
  <c r="DX186" i="6" s="1"/>
  <c r="DQ154" i="6"/>
  <c r="DT194" i="6"/>
  <c r="DX194" i="6" s="1"/>
  <c r="DA98" i="39"/>
  <c r="D38" i="30"/>
  <c r="CY98" i="39"/>
  <c r="DR212" i="6"/>
  <c r="DV212" i="6" s="1"/>
  <c r="CW116" i="39"/>
  <c r="D38" i="41"/>
  <c r="CV98" i="39"/>
  <c r="D38" i="27"/>
  <c r="DQ194" i="6"/>
  <c r="DU194" i="6" s="1"/>
  <c r="DT180" i="6"/>
  <c r="D24" i="30"/>
  <c r="DQ146" i="6"/>
  <c r="CV106" i="39"/>
  <c r="D46" i="27"/>
  <c r="D46" i="41"/>
  <c r="DQ202" i="6"/>
  <c r="DU202" i="6" s="1"/>
  <c r="D32" i="30"/>
  <c r="CY92" i="39"/>
  <c r="DT188" i="6"/>
  <c r="DX188" i="6" s="1"/>
  <c r="DA92" i="39"/>
  <c r="DS226" i="6"/>
  <c r="DW226" i="6" s="1"/>
  <c r="CW142" i="39"/>
  <c r="DR238" i="6"/>
  <c r="DV238" i="6" s="1"/>
  <c r="DS186" i="6"/>
  <c r="DW186" i="6" s="1"/>
  <c r="D42" i="30"/>
  <c r="CY102" i="39"/>
  <c r="DA102" i="39"/>
  <c r="DT198" i="6"/>
  <c r="DX198" i="6" s="1"/>
  <c r="D28" i="27"/>
  <c r="CV88" i="39"/>
  <c r="DQ184" i="6"/>
  <c r="DU184" i="6" s="1"/>
  <c r="D28" i="41"/>
  <c r="DA126" i="39"/>
  <c r="D66" i="30"/>
  <c r="CY126" i="39"/>
  <c r="DT222" i="6"/>
  <c r="DX222" i="6" s="1"/>
  <c r="DS212" i="6"/>
  <c r="DW212" i="6" s="1"/>
  <c r="DQ174" i="6"/>
  <c r="D18" i="41"/>
  <c r="D18" i="27"/>
  <c r="DS192" i="6"/>
  <c r="DW192" i="6" s="1"/>
  <c r="DR192" i="6"/>
  <c r="DV192" i="6" s="1"/>
  <c r="CW96" i="39"/>
  <c r="DS178" i="6"/>
  <c r="DW178" i="6" s="1"/>
  <c r="D4" i="30"/>
  <c r="DT160" i="6"/>
  <c r="DQ204" i="6"/>
  <c r="DU204" i="6" s="1"/>
  <c r="D48" i="27"/>
  <c r="D48" i="41"/>
  <c r="CV108" i="39"/>
  <c r="BZ121" i="39"/>
  <c r="CA109" i="39"/>
  <c r="BY116" i="39"/>
  <c r="CA104" i="39"/>
  <c r="CF53" i="39"/>
  <c r="DD52" i="39"/>
  <c r="DH52" i="39"/>
  <c r="DL52" i="39"/>
  <c r="DE52" i="39"/>
  <c r="DI52" i="39"/>
  <c r="DM52" i="39"/>
  <c r="DF52" i="39"/>
  <c r="DJ52" i="39"/>
  <c r="DN52" i="39"/>
  <c r="DC52" i="39"/>
  <c r="DG52" i="39"/>
  <c r="DK52" i="39"/>
  <c r="DO52" i="39"/>
  <c r="DB52" i="39"/>
  <c r="F11" i="35"/>
  <c r="F48" i="36"/>
  <c r="H10" i="36"/>
  <c r="G29" i="36"/>
  <c r="F10" i="36"/>
  <c r="H29" i="36"/>
  <c r="L29" i="36"/>
  <c r="T7" i="35"/>
  <c r="T5" i="35"/>
  <c r="T27" i="35" s="1" a="1"/>
  <c r="T27" i="35" s="1"/>
  <c r="T6" i="35"/>
  <c r="F7" i="35"/>
  <c r="F6" i="35"/>
  <c r="F5" i="35"/>
  <c r="F8" i="35"/>
  <c r="AA7" i="35"/>
  <c r="AA5" i="35"/>
  <c r="AA6" i="35"/>
  <c r="X33" i="35"/>
  <c r="Z33" i="35" s="1"/>
  <c r="D7" i="27"/>
  <c r="D7" i="41"/>
  <c r="DQ163" i="6"/>
  <c r="DR193" i="6"/>
  <c r="DV193" i="6" s="1"/>
  <c r="CW97" i="39"/>
  <c r="CA93" i="39"/>
  <c r="BY105" i="39"/>
  <c r="D80" i="30"/>
  <c r="DA140" i="39"/>
  <c r="DT236" i="6"/>
  <c r="DX236" i="6" s="1"/>
  <c r="CY140" i="39"/>
  <c r="N9" i="35"/>
  <c r="DS201" i="6"/>
  <c r="DW201" i="6" s="1"/>
  <c r="D75" i="30"/>
  <c r="DT231" i="6"/>
  <c r="DX231" i="6" s="1"/>
  <c r="CY135" i="39"/>
  <c r="DA135" i="39"/>
  <c r="AA10" i="35"/>
  <c r="AA9" i="35"/>
  <c r="F9" i="35"/>
  <c r="BZ95" i="39"/>
  <c r="CA83" i="39"/>
  <c r="BY98" i="39"/>
  <c r="CA86" i="39"/>
  <c r="N13" i="35"/>
  <c r="DR236" i="6"/>
  <c r="DV236" i="6" s="1"/>
  <c r="CW140" i="39"/>
  <c r="D11" i="27"/>
  <c r="DQ167" i="6"/>
  <c r="D11" i="41"/>
  <c r="D23" i="30"/>
  <c r="DT179" i="6"/>
  <c r="D61" i="30"/>
  <c r="DT217" i="6"/>
  <c r="DX217" i="6" s="1"/>
  <c r="CY121" i="39"/>
  <c r="DA121" i="39"/>
  <c r="AA8" i="35"/>
  <c r="D74" i="27"/>
  <c r="DQ230" i="6"/>
  <c r="DU230" i="6" s="1"/>
  <c r="CV134" i="39"/>
  <c r="D74" i="41"/>
  <c r="DS240" i="6"/>
  <c r="DW240" i="6" s="1"/>
  <c r="CE161" i="39"/>
  <c r="D31" i="30"/>
  <c r="DT187" i="6"/>
  <c r="DX187" i="6" s="1"/>
  <c r="DA91" i="39"/>
  <c r="CY91" i="39"/>
  <c r="D41" i="30"/>
  <c r="DA101" i="39"/>
  <c r="CY101" i="39"/>
  <c r="DT197" i="6"/>
  <c r="DX197" i="6" s="1"/>
  <c r="C33" i="35"/>
  <c r="E33" i="35" s="1"/>
  <c r="D15" i="30"/>
  <c r="DT171" i="6"/>
  <c r="CW87" i="39"/>
  <c r="DR183" i="6"/>
  <c r="DV183" i="6" s="1"/>
  <c r="P8" i="33"/>
  <c r="N12" i="35"/>
  <c r="BY114" i="39"/>
  <c r="CA102" i="39"/>
  <c r="G10" i="36"/>
  <c r="CW101" i="39"/>
  <c r="DR197" i="6"/>
  <c r="DV197" i="6" s="1"/>
  <c r="D57" i="30"/>
  <c r="CY117" i="39"/>
  <c r="DT213" i="6"/>
  <c r="DX213" i="6" s="1"/>
  <c r="DA117" i="39"/>
  <c r="BZ91" i="39"/>
  <c r="CA79" i="39"/>
  <c r="E14" i="35"/>
  <c r="U31" i="47"/>
  <c r="DR187" i="6"/>
  <c r="DV187" i="6" s="1"/>
  <c r="CW91" i="39"/>
  <c r="T55" i="47"/>
  <c r="CW115" i="39"/>
  <c r="DR211" i="6"/>
  <c r="DV211" i="6" s="1"/>
  <c r="D35" i="30"/>
  <c r="DT191" i="6"/>
  <c r="DX191" i="6" s="1"/>
  <c r="CY95" i="39"/>
  <c r="DA95" i="39"/>
  <c r="D59" i="30"/>
  <c r="DT215" i="6"/>
  <c r="DX215" i="6" s="1"/>
  <c r="CY119" i="39"/>
  <c r="DA119" i="39"/>
  <c r="D76" i="30"/>
  <c r="DT232" i="6"/>
  <c r="DX232" i="6" s="1"/>
  <c r="DA136" i="39"/>
  <c r="CY136" i="39"/>
  <c r="D29" i="30"/>
  <c r="DT185" i="6"/>
  <c r="DX185" i="6" s="1"/>
  <c r="CY89" i="39"/>
  <c r="DA89" i="39"/>
  <c r="P5" i="33"/>
  <c r="E29" i="36"/>
  <c r="I10" i="36"/>
  <c r="U26" i="35"/>
  <c r="U28" i="35" s="1"/>
  <c r="U29" i="35" s="1"/>
  <c r="DR185" i="6"/>
  <c r="DV185" i="6" s="1"/>
  <c r="CW89" i="39"/>
  <c r="F29" i="36"/>
  <c r="DR229" i="6"/>
  <c r="DV229" i="6" s="1"/>
  <c r="CW133" i="39"/>
  <c r="D10" i="36"/>
  <c r="E10" i="36"/>
  <c r="AA5" i="33"/>
  <c r="D7" i="30"/>
  <c r="DT163" i="6"/>
  <c r="DR173" i="6"/>
  <c r="DV173" i="6" s="1"/>
  <c r="D19" i="27"/>
  <c r="D19" i="41"/>
  <c r="DQ175" i="6"/>
  <c r="D23" i="27"/>
  <c r="D23" i="41"/>
  <c r="DQ179" i="6"/>
  <c r="DR207" i="6"/>
  <c r="DV207" i="6" s="1"/>
  <c r="CW111" i="39"/>
  <c r="P10" i="33"/>
  <c r="D57" i="27"/>
  <c r="CV117" i="39"/>
  <c r="D57" i="41"/>
  <c r="DQ213" i="6"/>
  <c r="DU213" i="6" s="1"/>
  <c r="C29" i="36"/>
  <c r="D19" i="30"/>
  <c r="DT175" i="6"/>
  <c r="DS191" i="6"/>
  <c r="DW191" i="6" s="1"/>
  <c r="DS195" i="6"/>
  <c r="DW195" i="6" s="1"/>
  <c r="AA9" i="33"/>
  <c r="U47" i="47"/>
  <c r="DR203" i="6"/>
  <c r="DV203" i="6" s="1"/>
  <c r="CW107" i="39"/>
  <c r="DS207" i="6"/>
  <c r="DW207" i="6" s="1"/>
  <c r="DS217" i="6"/>
  <c r="DW217" i="6" s="1"/>
  <c r="K29" i="36"/>
  <c r="N14" i="35"/>
  <c r="D73" i="27"/>
  <c r="DQ229" i="6"/>
  <c r="DU229" i="6" s="1"/>
  <c r="CV133" i="39"/>
  <c r="D73" i="41"/>
  <c r="DQ149" i="6"/>
  <c r="D17" i="30"/>
  <c r="DT173" i="6"/>
  <c r="DS189" i="6"/>
  <c r="DW189" i="6" s="1"/>
  <c r="AA8" i="33"/>
  <c r="D49" i="30"/>
  <c r="CY109" i="39"/>
  <c r="DT205" i="6"/>
  <c r="DX205" i="6" s="1"/>
  <c r="DA109" i="39"/>
  <c r="D80" i="27"/>
  <c r="D80" i="41"/>
  <c r="DQ236" i="6"/>
  <c r="DU236" i="6" s="1"/>
  <c r="CV140" i="39"/>
  <c r="Z14" i="35"/>
  <c r="Z29" i="35" s="1"/>
  <c r="C10" i="36"/>
  <c r="DS231" i="6"/>
  <c r="DW231" i="6" s="1"/>
  <c r="D3" i="27"/>
  <c r="DQ159" i="6"/>
  <c r="D3" i="41"/>
  <c r="I29" i="36"/>
  <c r="BY106" i="39"/>
  <c r="CA94" i="39"/>
  <c r="DR165" i="6"/>
  <c r="DV165" i="6" s="1"/>
  <c r="DR167" i="6"/>
  <c r="DV167" i="6" s="1"/>
  <c r="DR177" i="6"/>
  <c r="DV177" i="6" s="1"/>
  <c r="CW113" i="39"/>
  <c r="DR209" i="6"/>
  <c r="DV209" i="6" s="1"/>
  <c r="DS215" i="6"/>
  <c r="DW215" i="6" s="1"/>
  <c r="D73" i="30"/>
  <c r="DT229" i="6"/>
  <c r="DX229" i="6" s="1"/>
  <c r="CY133" i="39"/>
  <c r="DA133" i="39"/>
  <c r="AA13" i="35"/>
  <c r="CA108" i="39"/>
  <c r="BY120" i="39"/>
  <c r="K32" i="35"/>
  <c r="M32" i="35" s="1"/>
  <c r="K33" i="35"/>
  <c r="M33" i="35" s="1"/>
  <c r="DR161" i="6"/>
  <c r="DV161" i="6" s="1"/>
  <c r="DR169" i="6"/>
  <c r="DV169" i="6" s="1"/>
  <c r="DS177" i="6"/>
  <c r="DW177" i="6" s="1"/>
  <c r="DR201" i="6"/>
  <c r="DV201" i="6" s="1"/>
  <c r="CW105" i="39"/>
  <c r="N7" i="35"/>
  <c r="DS233" i="6"/>
  <c r="DW233" i="6" s="1"/>
  <c r="DS229" i="6"/>
  <c r="DW229" i="6" s="1"/>
  <c r="F12" i="35"/>
  <c r="DS236" i="6"/>
  <c r="DW236" i="6" s="1"/>
  <c r="J29" i="36"/>
  <c r="D13" i="30"/>
  <c r="DT169" i="6"/>
  <c r="D27" i="27"/>
  <c r="D27" i="41"/>
  <c r="DQ183" i="6"/>
  <c r="DU183" i="6" s="1"/>
  <c r="CV87" i="39"/>
  <c r="E8" i="33"/>
  <c r="DR189" i="6"/>
  <c r="DV189" i="6" s="1"/>
  <c r="CW93" i="39"/>
  <c r="DR199" i="6"/>
  <c r="DV199" i="6" s="1"/>
  <c r="CW103" i="39"/>
  <c r="DS205" i="6"/>
  <c r="DW205" i="6" s="1"/>
  <c r="D55" i="30"/>
  <c r="DT211" i="6"/>
  <c r="DX211" i="6" s="1"/>
  <c r="CY115" i="39"/>
  <c r="DA115" i="39"/>
  <c r="N11" i="35"/>
  <c r="D5" i="27"/>
  <c r="D5" i="41"/>
  <c r="DQ161" i="6"/>
  <c r="DS193" i="6"/>
  <c r="DW193" i="6" s="1"/>
  <c r="CL162" i="39"/>
  <c r="CH162" i="39"/>
  <c r="CD163" i="39"/>
  <c r="CQ162" i="39"/>
  <c r="CM162" i="39"/>
  <c r="CT162" i="39"/>
  <c r="CP162" i="39"/>
  <c r="CN162" i="39"/>
  <c r="CR162" i="39"/>
  <c r="CJ162" i="39"/>
  <c r="CU162" i="39"/>
  <c r="CO162" i="39"/>
  <c r="CI162" i="39"/>
  <c r="CK162" i="39"/>
  <c r="CS162" i="39"/>
  <c r="N8" i="35"/>
  <c r="CW144" i="39"/>
  <c r="DR240" i="6"/>
  <c r="DV240" i="6" s="1"/>
  <c r="D29" i="36"/>
  <c r="U3" i="47"/>
  <c r="DR159" i="6"/>
  <c r="DV159" i="6" s="1"/>
  <c r="P6" i="33"/>
  <c r="D9" i="30"/>
  <c r="DT165" i="6"/>
  <c r="DR171" i="6"/>
  <c r="DV171" i="6" s="1"/>
  <c r="U15" i="47"/>
  <c r="P7" i="33"/>
  <c r="DS181" i="6"/>
  <c r="DW181" i="6" s="1"/>
  <c r="CW99" i="39"/>
  <c r="DR195" i="6"/>
  <c r="DV195" i="6" s="1"/>
  <c r="T39" i="47"/>
  <c r="P9" i="33"/>
  <c r="D47" i="30"/>
  <c r="DA107" i="39"/>
  <c r="DT203" i="6"/>
  <c r="DX203" i="6" s="1"/>
  <c r="CY107" i="39"/>
  <c r="N6" i="35"/>
  <c r="AY8" i="6"/>
  <c r="W8" i="6"/>
  <c r="AA8" i="6"/>
  <c r="BM8" i="6"/>
  <c r="CP8" i="6"/>
  <c r="CD8" i="6"/>
  <c r="Y8" i="6"/>
  <c r="DC8" i="6"/>
  <c r="V9" i="6"/>
  <c r="BP8" i="6"/>
  <c r="CQ8" i="6"/>
  <c r="CO8" i="6"/>
  <c r="Z8" i="6"/>
  <c r="AZ8" i="6"/>
  <c r="CG8" i="6"/>
  <c r="CC8" i="6"/>
  <c r="AL8" i="6"/>
  <c r="X8" i="6"/>
  <c r="DE8" i="6"/>
  <c r="BN8" i="6"/>
  <c r="AB8" i="6"/>
  <c r="CA8" i="6"/>
  <c r="BA8" i="6"/>
  <c r="CE8" i="6"/>
  <c r="AK8" i="6"/>
  <c r="DF8" i="6"/>
  <c r="CB8" i="6"/>
  <c r="BO8" i="6"/>
  <c r="AM8" i="6"/>
  <c r="DD8" i="6"/>
  <c r="AN8" i="6"/>
  <c r="CF8" i="6"/>
  <c r="AN23" i="6"/>
  <c r="AN21" i="6"/>
  <c r="AO4" i="6"/>
  <c r="AN22" i="6"/>
  <c r="AN5" i="6"/>
  <c r="AN6" i="6"/>
  <c r="DF25" i="6"/>
  <c r="BO25" i="6"/>
  <c r="DE25" i="6"/>
  <c r="BN25" i="6"/>
  <c r="DD25" i="6"/>
  <c r="AZ25" i="6"/>
  <c r="AL25" i="6"/>
  <c r="V26" i="6"/>
  <c r="CO25" i="6"/>
  <c r="X25" i="6"/>
  <c r="AN25" i="6"/>
  <c r="DC25" i="6"/>
  <c r="AY25" i="6"/>
  <c r="CF25" i="6"/>
  <c r="CE25" i="6"/>
  <c r="W25" i="6"/>
  <c r="BM25" i="6"/>
  <c r="CC25" i="6"/>
  <c r="BP25" i="6"/>
  <c r="CA25" i="6"/>
  <c r="AM25" i="6"/>
  <c r="AK25" i="6"/>
  <c r="Y25" i="6"/>
  <c r="Z25" i="6"/>
  <c r="CB25" i="6"/>
  <c r="CP25" i="6"/>
  <c r="CD25" i="6"/>
  <c r="BA25" i="6"/>
  <c r="AA25" i="6"/>
  <c r="CQ25" i="6"/>
  <c r="CG25" i="6"/>
  <c r="BP22" i="6"/>
  <c r="BQ4" i="6"/>
  <c r="BP21" i="6"/>
  <c r="BP5" i="6"/>
  <c r="BP23" i="6"/>
  <c r="BP6" i="6"/>
  <c r="AN24" i="6"/>
  <c r="CR8" i="6"/>
  <c r="DF22" i="6"/>
  <c r="DF21" i="6"/>
  <c r="DG4" i="6"/>
  <c r="DG8" i="6" s="1"/>
  <c r="DF5" i="6"/>
  <c r="DF6" i="6"/>
  <c r="DF23" i="6"/>
  <c r="CI6" i="6"/>
  <c r="CI24" i="6"/>
  <c r="CI5" i="6"/>
  <c r="CJ4" i="6"/>
  <c r="CI22" i="6"/>
  <c r="CI25" i="6"/>
  <c r="CI26" i="6"/>
  <c r="CI21" i="6"/>
  <c r="CI7" i="6"/>
  <c r="CI23" i="6"/>
  <c r="CI8" i="6"/>
  <c r="T63" i="47"/>
  <c r="U63" i="47"/>
  <c r="BC5" i="6"/>
  <c r="BC7" i="6"/>
  <c r="BC24" i="6"/>
  <c r="BC21" i="6"/>
  <c r="BC23" i="6"/>
  <c r="BC6" i="6"/>
  <c r="BC22" i="6"/>
  <c r="BD4" i="6"/>
  <c r="BC25" i="6"/>
  <c r="BC26" i="6"/>
  <c r="BC8" i="6"/>
  <c r="CS24" i="6"/>
  <c r="CS25" i="6"/>
  <c r="CS21" i="6"/>
  <c r="CS7" i="6"/>
  <c r="CS6" i="6"/>
  <c r="CS22" i="6"/>
  <c r="CT4" i="6"/>
  <c r="CS23" i="6"/>
  <c r="CS5" i="6"/>
  <c r="CS26" i="6"/>
  <c r="CS8" i="6"/>
  <c r="CS9" i="6"/>
  <c r="AC7" i="6"/>
  <c r="AC23" i="6"/>
  <c r="AC25" i="6"/>
  <c r="AD4" i="6"/>
  <c r="AC5" i="6"/>
  <c r="AC24" i="6"/>
  <c r="AC21" i="6"/>
  <c r="AC6" i="6"/>
  <c r="AC22" i="6"/>
  <c r="AC26" i="6"/>
  <c r="AC8" i="6"/>
  <c r="F66" i="111" l="1"/>
  <c r="I61" i="111"/>
  <c r="K61" i="111" s="1"/>
  <c r="Q37" i="110"/>
  <c r="P37" i="110"/>
  <c r="Q34" i="110"/>
  <c r="F33" i="110"/>
  <c r="P33" i="110" s="1"/>
  <c r="G35" i="110"/>
  <c r="G61" i="110" s="1"/>
  <c r="Q61" i="110" s="1"/>
  <c r="F30" i="110"/>
  <c r="P30" i="110" s="1"/>
  <c r="J22" i="103"/>
  <c r="J25" i="103" s="1"/>
  <c r="J81" i="103"/>
  <c r="H22" i="103"/>
  <c r="H25" i="103" s="1"/>
  <c r="H81" i="103"/>
  <c r="J12" i="103"/>
  <c r="J15" i="103" s="1"/>
  <c r="J17" i="103"/>
  <c r="J20" i="103" s="1"/>
  <c r="H12" i="103"/>
  <c r="H15" i="103" s="1"/>
  <c r="H17" i="103"/>
  <c r="H20" i="103" s="1"/>
  <c r="G9" i="103"/>
  <c r="G81" i="103" s="1"/>
  <c r="K9" i="103"/>
  <c r="K22" i="103" s="1"/>
  <c r="K25" i="103" s="1"/>
  <c r="I9" i="103"/>
  <c r="X11" i="98"/>
  <c r="X12" i="98" s="1"/>
  <c r="X13" i="98" s="1"/>
  <c r="X14" i="98" s="1"/>
  <c r="X15" i="98" s="1"/>
  <c r="X16" i="98" s="1"/>
  <c r="X17" i="98" s="1"/>
  <c r="X18" i="98" s="1"/>
  <c r="X19" i="98" s="1"/>
  <c r="X20" i="98" s="1"/>
  <c r="X21" i="98" s="1"/>
  <c r="X22" i="98" s="1"/>
  <c r="X23" i="98" s="1"/>
  <c r="X24" i="98" s="1"/>
  <c r="X25" i="98" s="1"/>
  <c r="X26" i="98" s="1"/>
  <c r="X27" i="98" s="1"/>
  <c r="X28" i="98" s="1"/>
  <c r="X29" i="98" s="1"/>
  <c r="X30" i="98" s="1"/>
  <c r="X31" i="98" s="1"/>
  <c r="X32" i="98" s="1"/>
  <c r="X33" i="98" s="1"/>
  <c r="X34" i="98" s="1"/>
  <c r="X35" i="98" s="1"/>
  <c r="X36" i="98" s="1"/>
  <c r="X37" i="98" s="1"/>
  <c r="X38" i="98" s="1"/>
  <c r="X39" i="98" s="1"/>
  <c r="X40" i="98" s="1"/>
  <c r="X41" i="98" s="1"/>
  <c r="X42" i="98" s="1"/>
  <c r="X43" i="98" s="1"/>
  <c r="X44" i="98" s="1"/>
  <c r="X45" i="98" s="1"/>
  <c r="X46" i="98" s="1"/>
  <c r="X47" i="98" s="1"/>
  <c r="X48" i="98" s="1"/>
  <c r="X49" i="98" s="1"/>
  <c r="X50" i="98" s="1"/>
  <c r="X51" i="98" s="1"/>
  <c r="X52" i="98" s="1"/>
  <c r="X53" i="98" s="1"/>
  <c r="X54" i="98" s="1"/>
  <c r="X55" i="98" s="1"/>
  <c r="X56" i="98" s="1"/>
  <c r="X57" i="98" s="1"/>
  <c r="X58" i="98" s="1"/>
  <c r="X59" i="98" s="1"/>
  <c r="X60" i="98" s="1"/>
  <c r="X61" i="98" s="1"/>
  <c r="X62" i="98" s="1"/>
  <c r="X63" i="98" s="1"/>
  <c r="X64" i="98" s="1"/>
  <c r="X65" i="98" s="1"/>
  <c r="X66" i="98" s="1"/>
  <c r="X67" i="98" s="1"/>
  <c r="X68" i="98" s="1"/>
  <c r="X69" i="98" s="1"/>
  <c r="X70" i="98" s="1"/>
  <c r="X71" i="98" s="1"/>
  <c r="X72" i="98" s="1"/>
  <c r="X73" i="98" s="1"/>
  <c r="X74" i="98" s="1"/>
  <c r="X75" i="98" s="1"/>
  <c r="X76" i="98" s="1"/>
  <c r="X77" i="98" s="1"/>
  <c r="X78" i="98" s="1"/>
  <c r="X79" i="98" s="1"/>
  <c r="X80" i="98" s="1"/>
  <c r="X81" i="98" s="1"/>
  <c r="E46" i="111"/>
  <c r="J46" i="111" s="1"/>
  <c r="G14" i="67"/>
  <c r="I14" i="67" s="1"/>
  <c r="C60" i="111"/>
  <c r="E86" i="111"/>
  <c r="J86" i="111" s="1"/>
  <c r="D51" i="111"/>
  <c r="D53" i="111" s="1"/>
  <c r="H27" i="111"/>
  <c r="C24" i="110"/>
  <c r="M24" i="110" s="1"/>
  <c r="H29" i="111"/>
  <c r="D64" i="111" s="1"/>
  <c r="C77" i="111" s="1"/>
  <c r="C21" i="110"/>
  <c r="M21" i="110" s="1"/>
  <c r="H24" i="111"/>
  <c r="C16" i="110"/>
  <c r="M16" i="110" s="1"/>
  <c r="H30" i="111"/>
  <c r="D65" i="111" s="1"/>
  <c r="C78" i="111" s="1"/>
  <c r="C20" i="110"/>
  <c r="M20" i="110" s="1"/>
  <c r="H28" i="111"/>
  <c r="D63" i="111" s="1"/>
  <c r="C76" i="111" s="1"/>
  <c r="C22" i="110"/>
  <c r="M22" i="110" s="1"/>
  <c r="P50" i="110"/>
  <c r="F101" i="111"/>
  <c r="I101" i="111" s="1"/>
  <c r="K101" i="111" s="1"/>
  <c r="F102" i="111"/>
  <c r="I102" i="111" s="1"/>
  <c r="K102" i="111" s="1"/>
  <c r="Q48" i="110"/>
  <c r="I115" i="111"/>
  <c r="K115" i="111" s="1"/>
  <c r="G92" i="111"/>
  <c r="F103" i="111"/>
  <c r="I103" i="111" s="1"/>
  <c r="K103" i="111" s="1"/>
  <c r="F118" i="111"/>
  <c r="G114" i="111"/>
  <c r="F127" i="111" s="1"/>
  <c r="G50" i="110"/>
  <c r="Q50" i="110" s="1"/>
  <c r="G105" i="111"/>
  <c r="G47" i="110"/>
  <c r="O48" i="110"/>
  <c r="O74" i="110"/>
  <c r="P48" i="110"/>
  <c r="O47" i="110"/>
  <c r="O73" i="110"/>
  <c r="P47" i="110"/>
  <c r="J10" i="36"/>
  <c r="E35" i="110"/>
  <c r="E61" i="110" s="1"/>
  <c r="G116" i="111"/>
  <c r="F129" i="111" s="1"/>
  <c r="L20" i="111"/>
  <c r="M27" i="35"/>
  <c r="M26" i="35" s="1"/>
  <c r="M29" i="35"/>
  <c r="E27" i="35"/>
  <c r="E26" i="35" s="1"/>
  <c r="E25" i="35" s="1"/>
  <c r="N27" i="35" a="1"/>
  <c r="N27" i="35" s="1"/>
  <c r="X32" i="35"/>
  <c r="Z32" i="35" s="1"/>
  <c r="S29" i="35"/>
  <c r="S27" i="35"/>
  <c r="S26" i="35" s="1"/>
  <c r="N13" i="26"/>
  <c r="I13" i="26"/>
  <c r="Z27" i="35"/>
  <c r="Z26" i="35" s="1"/>
  <c r="E5" i="91"/>
  <c r="BG99" i="39"/>
  <c r="BG40" i="99"/>
  <c r="T29" i="35" a="1"/>
  <c r="T29" i="35" s="1"/>
  <c r="T26" i="35" a="1"/>
  <c r="T26" i="35" s="1"/>
  <c r="T28" i="35" a="1"/>
  <c r="T28" i="35" s="1"/>
  <c r="N28" i="35" a="1"/>
  <c r="N28" i="35" s="1"/>
  <c r="N26" i="35" a="1"/>
  <c r="N26" i="35" s="1"/>
  <c r="N29" i="35" a="1"/>
  <c r="N29" i="35" s="1"/>
  <c r="V6" i="98"/>
  <c r="V7" i="98" s="1"/>
  <c r="I144" i="85"/>
  <c r="P144" i="85" s="1"/>
  <c r="G144" i="28"/>
  <c r="I140" i="85"/>
  <c r="P140" i="85" s="1"/>
  <c r="G140" i="28"/>
  <c r="I131" i="85"/>
  <c r="G131" i="28"/>
  <c r="G141" i="28"/>
  <c r="I141" i="85"/>
  <c r="P141" i="85" s="1"/>
  <c r="G145" i="28"/>
  <c r="I145" i="85"/>
  <c r="P145" i="85" s="1"/>
  <c r="G130" i="28"/>
  <c r="I130" i="85"/>
  <c r="G144" i="29"/>
  <c r="O144" i="29" s="1"/>
  <c r="I144" i="86"/>
  <c r="Q144" i="86" s="1"/>
  <c r="I141" i="86"/>
  <c r="Q141" i="86" s="1"/>
  <c r="G141" i="29"/>
  <c r="O141" i="29" s="1"/>
  <c r="G140" i="29"/>
  <c r="O140" i="29" s="1"/>
  <c r="I140" i="86"/>
  <c r="Q140" i="86" s="1"/>
  <c r="I145" i="86"/>
  <c r="Q145" i="86" s="1"/>
  <c r="G145" i="29"/>
  <c r="O145" i="29" s="1"/>
  <c r="I131" i="86"/>
  <c r="Q131" i="86" s="1"/>
  <c r="G131" i="29"/>
  <c r="O131" i="29" s="1"/>
  <c r="I130" i="86"/>
  <c r="Q130" i="86" s="1"/>
  <c r="G130" i="29"/>
  <c r="O130" i="29" s="1"/>
  <c r="W5" i="98"/>
  <c r="BI39" i="99"/>
  <c r="BI99" i="39"/>
  <c r="T12" i="26"/>
  <c r="D129" i="9"/>
  <c r="K129" i="9" s="1"/>
  <c r="C8" i="67"/>
  <c r="E8" i="67" s="1"/>
  <c r="C129" i="9"/>
  <c r="E7" i="67"/>
  <c r="E129" i="9"/>
  <c r="C9" i="67"/>
  <c r="E9" i="67" s="1"/>
  <c r="W73" i="41"/>
  <c r="V73" i="41"/>
  <c r="V19" i="41"/>
  <c r="W19" i="41"/>
  <c r="V83" i="41"/>
  <c r="W83" i="41"/>
  <c r="W21" i="41"/>
  <c r="V21" i="41"/>
  <c r="V20" i="41"/>
  <c r="W20" i="41"/>
  <c r="V68" i="41"/>
  <c r="W68" i="41"/>
  <c r="V60" i="41"/>
  <c r="W60" i="41"/>
  <c r="V56" i="41"/>
  <c r="W56" i="41"/>
  <c r="V5" i="41"/>
  <c r="W5" i="41"/>
  <c r="V27" i="41"/>
  <c r="W27" i="41"/>
  <c r="W23" i="41"/>
  <c r="V23" i="41"/>
  <c r="W11" i="41"/>
  <c r="V11" i="41"/>
  <c r="W48" i="41"/>
  <c r="V48" i="41"/>
  <c r="W18" i="41"/>
  <c r="V18" i="41"/>
  <c r="W32" i="41"/>
  <c r="V32" i="41"/>
  <c r="W36" i="41"/>
  <c r="V36" i="41"/>
  <c r="V13" i="41"/>
  <c r="W13" i="41"/>
  <c r="W69" i="41"/>
  <c r="V69" i="41"/>
  <c r="V54" i="41"/>
  <c r="W54" i="41"/>
  <c r="W59" i="41"/>
  <c r="V59" i="41"/>
  <c r="V57" i="41"/>
  <c r="W57" i="41"/>
  <c r="V38" i="41"/>
  <c r="W38" i="41"/>
  <c r="W50" i="41"/>
  <c r="V50" i="41"/>
  <c r="V58" i="41"/>
  <c r="W58" i="41"/>
  <c r="W3" i="41"/>
  <c r="V3" i="41"/>
  <c r="W28" i="41"/>
  <c r="V28" i="41"/>
  <c r="V46" i="41"/>
  <c r="W46" i="41"/>
  <c r="W16" i="41"/>
  <c r="V16" i="41"/>
  <c r="W22" i="41"/>
  <c r="V22" i="41"/>
  <c r="W37" i="41"/>
  <c r="V37" i="41"/>
  <c r="W70" i="41"/>
  <c r="V70" i="41"/>
  <c r="W66" i="41"/>
  <c r="V66" i="41"/>
  <c r="W64" i="41"/>
  <c r="V64" i="41"/>
  <c r="W8" i="41"/>
  <c r="V8" i="41"/>
  <c r="W31" i="41"/>
  <c r="V31" i="41"/>
  <c r="W34" i="41"/>
  <c r="V34" i="41"/>
  <c r="V65" i="41"/>
  <c r="W65" i="41"/>
  <c r="V81" i="41"/>
  <c r="W81" i="41"/>
  <c r="W39" i="41"/>
  <c r="V39" i="41"/>
  <c r="W85" i="41"/>
  <c r="V85" i="41"/>
  <c r="W40" i="41"/>
  <c r="V40" i="41"/>
  <c r="V41" i="41"/>
  <c r="W41" i="41"/>
  <c r="W76" i="41"/>
  <c r="V76" i="41"/>
  <c r="V49" i="41"/>
  <c r="W49" i="41"/>
  <c r="V7" i="41"/>
  <c r="W7" i="41"/>
  <c r="W30" i="41"/>
  <c r="V30" i="41"/>
  <c r="W24" i="41"/>
  <c r="V24" i="41"/>
  <c r="W72" i="41"/>
  <c r="V72" i="41"/>
  <c r="V47" i="41"/>
  <c r="W47" i="41"/>
  <c r="V55" i="41"/>
  <c r="W55" i="41"/>
  <c r="V80" i="41"/>
  <c r="W80" i="41"/>
  <c r="W74" i="41"/>
  <c r="V74" i="41"/>
  <c r="V2" i="41"/>
  <c r="W2" i="41"/>
  <c r="V4" i="41"/>
  <c r="W4" i="41"/>
  <c r="W10" i="41"/>
  <c r="V10" i="41"/>
  <c r="W14" i="41"/>
  <c r="V14" i="41"/>
  <c r="V35" i="41"/>
  <c r="W35" i="41"/>
  <c r="V33" i="41"/>
  <c r="W33" i="41"/>
  <c r="W15" i="41"/>
  <c r="V15" i="41"/>
  <c r="W9" i="41"/>
  <c r="V9" i="41"/>
  <c r="W62" i="41"/>
  <c r="V62" i="41"/>
  <c r="W26" i="41"/>
  <c r="V26" i="41"/>
  <c r="V63" i="41"/>
  <c r="W63" i="41"/>
  <c r="W71" i="41"/>
  <c r="V71" i="41"/>
  <c r="W43" i="41"/>
  <c r="V43" i="41"/>
  <c r="W61" i="41"/>
  <c r="V61" i="41"/>
  <c r="AA11" i="91"/>
  <c r="CX122" i="39"/>
  <c r="CZ122" i="39"/>
  <c r="Z3" i="98"/>
  <c r="Z4" i="98" s="1"/>
  <c r="Z5" i="98" s="1"/>
  <c r="Z6" i="98" s="1"/>
  <c r="Z7" i="98" s="1"/>
  <c r="Z8" i="98" s="1"/>
  <c r="Z9" i="98" s="1"/>
  <c r="Z10" i="98" s="1"/>
  <c r="Z11" i="98" s="1"/>
  <c r="Z12" i="98" s="1"/>
  <c r="Z13" i="98" s="1"/>
  <c r="Z14" i="98" s="1"/>
  <c r="Z15" i="98" s="1"/>
  <c r="Z16" i="98" s="1"/>
  <c r="Z17" i="98" s="1"/>
  <c r="Z18" i="98" s="1"/>
  <c r="Z19" i="98" s="1"/>
  <c r="Z20" i="98" s="1"/>
  <c r="Z21" i="98" s="1"/>
  <c r="Z22" i="98" s="1"/>
  <c r="Z23" i="98" s="1"/>
  <c r="Z24" i="98" s="1"/>
  <c r="Z25" i="98" s="1"/>
  <c r="Z26" i="98" s="1"/>
  <c r="Z27" i="98" s="1"/>
  <c r="Z28" i="98" s="1"/>
  <c r="Z29" i="98" s="1"/>
  <c r="Z30" i="98" s="1"/>
  <c r="Z31" i="98" s="1"/>
  <c r="Z32" i="98" s="1"/>
  <c r="Z33" i="98" s="1"/>
  <c r="Z34" i="98" s="1"/>
  <c r="Z35" i="98" s="1"/>
  <c r="Z36" i="98" s="1"/>
  <c r="Z37" i="98" s="1"/>
  <c r="Z38" i="98" s="1"/>
  <c r="Z39" i="98" s="1"/>
  <c r="Z40" i="98" s="1"/>
  <c r="Z41" i="98" s="1"/>
  <c r="Z42" i="98" s="1"/>
  <c r="Z43" i="98" s="1"/>
  <c r="Z44" i="98" s="1"/>
  <c r="Z45" i="98" s="1"/>
  <c r="Z46" i="98" s="1"/>
  <c r="Z47" i="98" s="1"/>
  <c r="Z48" i="98" s="1"/>
  <c r="Z49" i="98" s="1"/>
  <c r="Z50" i="98" s="1"/>
  <c r="Z51" i="98" s="1"/>
  <c r="Z52" i="98" s="1"/>
  <c r="Z53" i="98" s="1"/>
  <c r="Z54" i="98" s="1"/>
  <c r="Z55" i="98" s="1"/>
  <c r="Z56" i="98" s="1"/>
  <c r="Z57" i="98" s="1"/>
  <c r="Z58" i="98" s="1"/>
  <c r="Z59" i="98" s="1"/>
  <c r="Z60" i="98" s="1"/>
  <c r="Z61" i="98" s="1"/>
  <c r="Z62" i="98" s="1"/>
  <c r="Z63" i="98" s="1"/>
  <c r="Z64" i="98" s="1"/>
  <c r="Z65" i="98" s="1"/>
  <c r="Z66" i="98" s="1"/>
  <c r="Z67" i="98" s="1"/>
  <c r="Z68" i="98" s="1"/>
  <c r="Z69" i="98" s="1"/>
  <c r="Z70" i="98" s="1"/>
  <c r="Z71" i="98" s="1"/>
  <c r="Z72" i="98" s="1"/>
  <c r="Z73" i="98" s="1"/>
  <c r="Z74" i="98" s="1"/>
  <c r="Z75" i="98" s="1"/>
  <c r="Z76" i="98" s="1"/>
  <c r="Z77" i="98" s="1"/>
  <c r="Z78" i="98" s="1"/>
  <c r="Z79" i="98" s="1"/>
  <c r="Z80" i="98" s="1"/>
  <c r="Z81" i="98" s="1"/>
  <c r="Z82" i="98" s="1"/>
  <c r="Z83" i="98" s="1"/>
  <c r="Z84" i="98" s="1"/>
  <c r="Z85" i="98" s="1"/>
  <c r="Z86" i="98" s="1"/>
  <c r="N30" i="70"/>
  <c r="N31" i="70"/>
  <c r="N32" i="70"/>
  <c r="E126" i="9"/>
  <c r="E127" i="9"/>
  <c r="E120" i="9"/>
  <c r="E121" i="9"/>
  <c r="E122" i="9"/>
  <c r="E119" i="9"/>
  <c r="E149" i="9" s="1"/>
  <c r="E145" i="9"/>
  <c r="C131" i="9"/>
  <c r="D127" i="9"/>
  <c r="D125" i="9"/>
  <c r="D126" i="9"/>
  <c r="L31" i="70"/>
  <c r="L30" i="70"/>
  <c r="L32" i="70"/>
  <c r="M30" i="70"/>
  <c r="M31" i="70"/>
  <c r="M32" i="70"/>
  <c r="C121" i="9"/>
  <c r="C122" i="9"/>
  <c r="C119" i="9"/>
  <c r="C120" i="9"/>
  <c r="O30" i="70"/>
  <c r="O31" i="70"/>
  <c r="O32" i="70"/>
  <c r="D131" i="9"/>
  <c r="C124" i="9"/>
  <c r="D118" i="9"/>
  <c r="K118" i="9" s="1"/>
  <c r="P11" i="33"/>
  <c r="U46" i="47"/>
  <c r="Z144" i="47" s="1"/>
  <c r="AA10" i="33"/>
  <c r="E11" i="33"/>
  <c r="N22" i="70"/>
  <c r="O22" i="70"/>
  <c r="P22" i="70"/>
  <c r="P28" i="70" s="1"/>
  <c r="C51" i="70"/>
  <c r="L22" i="70"/>
  <c r="P40" i="70"/>
  <c r="H52" i="70"/>
  <c r="K66" i="70" s="1"/>
  <c r="M62" i="70"/>
  <c r="L62" i="70"/>
  <c r="N14" i="70"/>
  <c r="E9" i="33"/>
  <c r="E5" i="33"/>
  <c r="A31" i="32"/>
  <c r="A42" i="32"/>
  <c r="A54" i="32" s="1"/>
  <c r="T25" i="47"/>
  <c r="T44" i="47"/>
  <c r="U40" i="47"/>
  <c r="T35" i="47"/>
  <c r="T18" i="47"/>
  <c r="DT199" i="6"/>
  <c r="DX199" i="6" s="1"/>
  <c r="D77" i="41"/>
  <c r="D77" i="27"/>
  <c r="U48" i="47"/>
  <c r="H9" i="91"/>
  <c r="DQ208" i="6"/>
  <c r="DU208" i="6" s="1"/>
  <c r="CV112" i="39"/>
  <c r="D52" i="41"/>
  <c r="D52" i="27"/>
  <c r="T14" i="47"/>
  <c r="CV137" i="39"/>
  <c r="CY103" i="39"/>
  <c r="DQ233" i="6"/>
  <c r="DU233" i="6" s="1"/>
  <c r="DA103" i="39"/>
  <c r="D43" i="30"/>
  <c r="E10" i="91"/>
  <c r="CV113" i="39"/>
  <c r="D53" i="41"/>
  <c r="E10" i="33"/>
  <c r="D53" i="27"/>
  <c r="DQ209" i="6"/>
  <c r="DU209" i="6" s="1"/>
  <c r="T58" i="47"/>
  <c r="T52" i="47"/>
  <c r="U66" i="47"/>
  <c r="D62" i="30"/>
  <c r="CY122" i="39"/>
  <c r="T71" i="47"/>
  <c r="DT218" i="6"/>
  <c r="DX218" i="6" s="1"/>
  <c r="DA122" i="39"/>
  <c r="DS218" i="6"/>
  <c r="DW218" i="6" s="1"/>
  <c r="T65" i="47"/>
  <c r="U67" i="47"/>
  <c r="U83" i="47"/>
  <c r="U26" i="47"/>
  <c r="T64" i="47"/>
  <c r="DQ162" i="6"/>
  <c r="T28" i="47"/>
  <c r="T30" i="47"/>
  <c r="M9" i="26"/>
  <c r="S11" i="91"/>
  <c r="U59" i="47"/>
  <c r="AA11" i="33"/>
  <c r="D6" i="27"/>
  <c r="E6" i="33"/>
  <c r="D6" i="41"/>
  <c r="E6" i="91"/>
  <c r="U60" i="47"/>
  <c r="U12" i="47"/>
  <c r="T76" i="47"/>
  <c r="D25" i="27"/>
  <c r="T7" i="47"/>
  <c r="E7" i="33"/>
  <c r="E7" i="91"/>
  <c r="U75" i="47"/>
  <c r="U61" i="47"/>
  <c r="U8" i="47"/>
  <c r="J10" i="26"/>
  <c r="AD6" i="91"/>
  <c r="U78" i="47"/>
  <c r="M4" i="26"/>
  <c r="H6" i="91"/>
  <c r="DT166" i="6"/>
  <c r="H8" i="91"/>
  <c r="U81" i="47"/>
  <c r="DR230" i="6"/>
  <c r="DV230" i="6" s="1"/>
  <c r="D25" i="41"/>
  <c r="D10" i="30"/>
  <c r="AD7" i="91"/>
  <c r="T54" i="47"/>
  <c r="T6" i="47"/>
  <c r="C9" i="26"/>
  <c r="CW134" i="39"/>
  <c r="DQ181" i="6"/>
  <c r="T79" i="47"/>
  <c r="AD8" i="91"/>
  <c r="S10" i="91"/>
  <c r="U57" i="47"/>
  <c r="AD5" i="91"/>
  <c r="T31" i="47"/>
  <c r="U23" i="47"/>
  <c r="J10" i="67"/>
  <c r="M64" i="70"/>
  <c r="L64" i="70"/>
  <c r="Q64" i="70" s="1"/>
  <c r="C53" i="70"/>
  <c r="C58" i="70" s="1"/>
  <c r="M14" i="70"/>
  <c r="U72" i="47"/>
  <c r="O24" i="70"/>
  <c r="O28" i="70" s="1"/>
  <c r="L14" i="70"/>
  <c r="M24" i="70"/>
  <c r="O14" i="70"/>
  <c r="N24" i="70"/>
  <c r="H47" i="70"/>
  <c r="M63" i="70"/>
  <c r="J9" i="26"/>
  <c r="U68" i="47"/>
  <c r="U42" i="47"/>
  <c r="U55" i="47"/>
  <c r="T2" i="47"/>
  <c r="U2" i="47"/>
  <c r="U39" i="47"/>
  <c r="T38" i="47"/>
  <c r="U38" i="47"/>
  <c r="T16" i="47"/>
  <c r="U16" i="47"/>
  <c r="AO10" i="91"/>
  <c r="AV9" i="91"/>
  <c r="AW9" i="91" s="1"/>
  <c r="AA14" i="35"/>
  <c r="AA27" i="35" s="1" a="1"/>
  <c r="AA27" i="35" s="1"/>
  <c r="F14" i="35"/>
  <c r="F18" i="35" s="1" a="1"/>
  <c r="F18" i="35" s="1"/>
  <c r="BY145" i="39"/>
  <c r="AU10" i="91"/>
  <c r="BA10" i="91"/>
  <c r="BY115" i="39"/>
  <c r="BY119" i="39"/>
  <c r="G48" i="36"/>
  <c r="BY111" i="39"/>
  <c r="CA99" i="39"/>
  <c r="BY112" i="39"/>
  <c r="CA100" i="39"/>
  <c r="T15" i="47"/>
  <c r="C7" i="26"/>
  <c r="U85" i="47"/>
  <c r="T85" i="47"/>
  <c r="BY125" i="39"/>
  <c r="CA113" i="39"/>
  <c r="AB9" i="32"/>
  <c r="D9" i="32"/>
  <c r="T9" i="32"/>
  <c r="AW10" i="33"/>
  <c r="AX10" i="33" s="1"/>
  <c r="AY10" i="33" s="1"/>
  <c r="X9" i="32"/>
  <c r="BC10" i="33"/>
  <c r="BD10" i="33" s="1"/>
  <c r="BE10" i="33" s="1"/>
  <c r="B11" i="32"/>
  <c r="I46" i="36"/>
  <c r="I45" i="36"/>
  <c r="I44" i="36"/>
  <c r="I47" i="36"/>
  <c r="I41" i="36"/>
  <c r="P9" i="32"/>
  <c r="AQ10" i="33"/>
  <c r="AR10" i="33" s="1"/>
  <c r="AS10" i="33" s="1"/>
  <c r="M5" i="26"/>
  <c r="BA15" i="33"/>
  <c r="BA16" i="33" s="1"/>
  <c r="BB14" i="33"/>
  <c r="N14" i="33"/>
  <c r="L4" i="36" s="1"/>
  <c r="T8" i="26"/>
  <c r="U36" i="47"/>
  <c r="T36" i="47"/>
  <c r="T56" i="47"/>
  <c r="U56" i="47"/>
  <c r="U4" i="47"/>
  <c r="T4" i="47"/>
  <c r="M10" i="26"/>
  <c r="M7" i="26"/>
  <c r="M6" i="26"/>
  <c r="T82" i="47"/>
  <c r="U82" i="47"/>
  <c r="U20" i="47"/>
  <c r="T20" i="47"/>
  <c r="M8" i="26"/>
  <c r="T24" i="47"/>
  <c r="U24" i="47"/>
  <c r="CF54" i="39"/>
  <c r="DD53" i="39"/>
  <c r="DH53" i="39"/>
  <c r="DL53" i="39"/>
  <c r="DE53" i="39"/>
  <c r="DI53" i="39"/>
  <c r="DM53" i="39"/>
  <c r="DF53" i="39"/>
  <c r="DJ53" i="39"/>
  <c r="DN53" i="39"/>
  <c r="DC53" i="39"/>
  <c r="DG53" i="39"/>
  <c r="DK53" i="39"/>
  <c r="DO53" i="39"/>
  <c r="DB53" i="39"/>
  <c r="BZ133" i="39"/>
  <c r="CA121" i="39"/>
  <c r="BY128" i="39"/>
  <c r="CA116" i="39"/>
  <c r="U29" i="47"/>
  <c r="T29" i="47"/>
  <c r="BZ103" i="39"/>
  <c r="CA91" i="39"/>
  <c r="T37" i="47"/>
  <c r="U37" i="47"/>
  <c r="CU163" i="39"/>
  <c r="CI163" i="39"/>
  <c r="CN163" i="39"/>
  <c r="CJ163" i="39"/>
  <c r="CQ163" i="39"/>
  <c r="CT163" i="39"/>
  <c r="CD164" i="39"/>
  <c r="CM163" i="39"/>
  <c r="CO163" i="39"/>
  <c r="CK163" i="39"/>
  <c r="CS163" i="39"/>
  <c r="CL163" i="39"/>
  <c r="CR163" i="39"/>
  <c r="CH163" i="39"/>
  <c r="CP163" i="39"/>
  <c r="U53" i="47"/>
  <c r="T53" i="47"/>
  <c r="T21" i="47"/>
  <c r="U21" i="47"/>
  <c r="U9" i="47"/>
  <c r="T9" i="47"/>
  <c r="U17" i="47"/>
  <c r="T17" i="47"/>
  <c r="T41" i="47"/>
  <c r="U41" i="47"/>
  <c r="J6" i="26"/>
  <c r="BY110" i="39"/>
  <c r="CA98" i="39"/>
  <c r="T27" i="47"/>
  <c r="BY117" i="39"/>
  <c r="CA105" i="39"/>
  <c r="T47" i="47"/>
  <c r="J5" i="26"/>
  <c r="U84" i="47"/>
  <c r="T84" i="47"/>
  <c r="C6" i="26"/>
  <c r="T5" i="47"/>
  <c r="U5" i="47"/>
  <c r="T6" i="26"/>
  <c r="J4" i="26"/>
  <c r="T73" i="47"/>
  <c r="U73" i="47"/>
  <c r="T33" i="47"/>
  <c r="U33" i="47"/>
  <c r="T3" i="47"/>
  <c r="J7" i="26"/>
  <c r="U43" i="47"/>
  <c r="T43" i="47"/>
  <c r="U45" i="47"/>
  <c r="T45" i="47"/>
  <c r="T13" i="47"/>
  <c r="U13" i="47"/>
  <c r="CA120" i="39"/>
  <c r="BY132" i="39"/>
  <c r="U11" i="47"/>
  <c r="T11" i="47"/>
  <c r="BY118" i="39"/>
  <c r="CA106" i="39"/>
  <c r="J8" i="26"/>
  <c r="U51" i="47"/>
  <c r="T51" i="47"/>
  <c r="BY126" i="39"/>
  <c r="CA114" i="39"/>
  <c r="T10" i="26"/>
  <c r="CE162" i="39"/>
  <c r="T80" i="47"/>
  <c r="U80" i="47"/>
  <c r="CA95" i="39"/>
  <c r="BZ107" i="39"/>
  <c r="U27" i="47"/>
  <c r="BQ21" i="6"/>
  <c r="BQ5" i="6"/>
  <c r="BQ22" i="6"/>
  <c r="BR4" i="6"/>
  <c r="BQ23" i="6"/>
  <c r="BQ6" i="6"/>
  <c r="BQ24" i="6"/>
  <c r="BQ7" i="6"/>
  <c r="DE9" i="6"/>
  <c r="AM9" i="6"/>
  <c r="CA9" i="6"/>
  <c r="BP9" i="6"/>
  <c r="Y9" i="6"/>
  <c r="CB9" i="6"/>
  <c r="BB9" i="6"/>
  <c r="CF9" i="6"/>
  <c r="DF9" i="6"/>
  <c r="CH9" i="6"/>
  <c r="DD9" i="6"/>
  <c r="DC9" i="6"/>
  <c r="AK9" i="6"/>
  <c r="BM9" i="6"/>
  <c r="CD9" i="6"/>
  <c r="CQ9" i="6"/>
  <c r="CG9" i="6"/>
  <c r="BR9" i="6"/>
  <c r="AB9" i="6"/>
  <c r="CE9" i="6"/>
  <c r="CR9" i="6"/>
  <c r="AL9" i="6"/>
  <c r="W9" i="6"/>
  <c r="AZ9" i="6"/>
  <c r="AO9" i="6"/>
  <c r="Z9" i="6"/>
  <c r="AY9" i="6"/>
  <c r="CP9" i="6"/>
  <c r="AC9" i="6"/>
  <c r="BQ9" i="6"/>
  <c r="BN9" i="6"/>
  <c r="CO9" i="6"/>
  <c r="BA9" i="6"/>
  <c r="AN9" i="6"/>
  <c r="V10" i="6"/>
  <c r="DG9" i="6"/>
  <c r="AA9" i="6"/>
  <c r="CC9" i="6"/>
  <c r="BO9" i="6"/>
  <c r="X9" i="6"/>
  <c r="BC9" i="6"/>
  <c r="DG25" i="6"/>
  <c r="DC26" i="6"/>
  <c r="CD26" i="6"/>
  <c r="AA26" i="6"/>
  <c r="X26" i="6"/>
  <c r="DE26" i="6"/>
  <c r="V27" i="6"/>
  <c r="CB26" i="6"/>
  <c r="BA26" i="6"/>
  <c r="AK26" i="6"/>
  <c r="Y26" i="6"/>
  <c r="Z26" i="6"/>
  <c r="BQ26" i="6"/>
  <c r="BN26" i="6"/>
  <c r="DF26" i="6"/>
  <c r="AM26" i="6"/>
  <c r="BP26" i="6"/>
  <c r="BR26" i="6"/>
  <c r="CP26" i="6"/>
  <c r="AO26" i="6"/>
  <c r="CC26" i="6"/>
  <c r="CQ26" i="6"/>
  <c r="DD26" i="6"/>
  <c r="CG26" i="6"/>
  <c r="BM26" i="6"/>
  <c r="W26" i="6"/>
  <c r="CA26" i="6"/>
  <c r="CF26" i="6"/>
  <c r="AN26" i="6"/>
  <c r="AY26" i="6"/>
  <c r="AZ26" i="6"/>
  <c r="AL26" i="6"/>
  <c r="DG26" i="6"/>
  <c r="CE26" i="6"/>
  <c r="BO26" i="6"/>
  <c r="CO26" i="6"/>
  <c r="AB26" i="6"/>
  <c r="CR26" i="6"/>
  <c r="CH26" i="6"/>
  <c r="BB26" i="6"/>
  <c r="BQ8" i="6"/>
  <c r="AO21" i="6"/>
  <c r="AO22" i="6"/>
  <c r="AO5" i="6"/>
  <c r="AP4" i="6"/>
  <c r="AP9" i="6" s="1"/>
  <c r="AO6" i="6"/>
  <c r="AO23" i="6"/>
  <c r="AO24" i="6"/>
  <c r="AO7" i="6"/>
  <c r="CI9" i="6"/>
  <c r="AO25" i="6"/>
  <c r="DG23" i="6"/>
  <c r="DG5" i="6"/>
  <c r="DG21" i="6"/>
  <c r="DG22" i="6"/>
  <c r="DH4" i="6"/>
  <c r="DG6" i="6"/>
  <c r="DG7" i="6"/>
  <c r="DG24" i="6"/>
  <c r="BQ25" i="6"/>
  <c r="AO8" i="6"/>
  <c r="CK4" i="6"/>
  <c r="CJ22" i="6"/>
  <c r="CJ24" i="6"/>
  <c r="CJ7" i="6"/>
  <c r="CJ23" i="6"/>
  <c r="CJ21" i="6"/>
  <c r="CJ5" i="6"/>
  <c r="CJ8" i="6"/>
  <c r="CJ26" i="6"/>
  <c r="CJ25" i="6"/>
  <c r="CJ6" i="6"/>
  <c r="CJ27" i="6"/>
  <c r="CJ9" i="6"/>
  <c r="AE4" i="6"/>
  <c r="AD22" i="6"/>
  <c r="AD5" i="6"/>
  <c r="AD23" i="6"/>
  <c r="AD6" i="6"/>
  <c r="AD24" i="6"/>
  <c r="AD8" i="6"/>
  <c r="AD25" i="6"/>
  <c r="AD26" i="6"/>
  <c r="AD21" i="6"/>
  <c r="AD7" i="6"/>
  <c r="AD9" i="6"/>
  <c r="AD27" i="6"/>
  <c r="AD10" i="6"/>
  <c r="CT25" i="6"/>
  <c r="CT5" i="6"/>
  <c r="CT24" i="6"/>
  <c r="CT7" i="6"/>
  <c r="CT21" i="6"/>
  <c r="CT22" i="6"/>
  <c r="CU4" i="6"/>
  <c r="CT23" i="6"/>
  <c r="CT6" i="6"/>
  <c r="CT26" i="6"/>
  <c r="CT8" i="6"/>
  <c r="CT9" i="6"/>
  <c r="CT27" i="6"/>
  <c r="BD5" i="6"/>
  <c r="BD22" i="6"/>
  <c r="BD24" i="6"/>
  <c r="BD25" i="6"/>
  <c r="BE4" i="6"/>
  <c r="BD7" i="6"/>
  <c r="BD8" i="6"/>
  <c r="BD23" i="6"/>
  <c r="BD6" i="6"/>
  <c r="BD21" i="6"/>
  <c r="BD26" i="6"/>
  <c r="BD27" i="6"/>
  <c r="BD9" i="6"/>
  <c r="F59" i="110" l="1"/>
  <c r="P59" i="110" s="1"/>
  <c r="Q35" i="110"/>
  <c r="G30" i="110"/>
  <c r="Q30" i="110" s="1"/>
  <c r="I22" i="103"/>
  <c r="I25" i="103" s="1"/>
  <c r="I81" i="103"/>
  <c r="K81" i="103"/>
  <c r="H83" i="103"/>
  <c r="H82" i="103"/>
  <c r="J83" i="103"/>
  <c r="J82" i="103"/>
  <c r="H84" i="103"/>
  <c r="J84" i="103"/>
  <c r="G22" i="103"/>
  <c r="G10" i="103"/>
  <c r="H10" i="103" s="1"/>
  <c r="I10" i="103" s="1"/>
  <c r="J10" i="103" s="1"/>
  <c r="K10" i="103" s="1"/>
  <c r="L10" i="103" s="1"/>
  <c r="I12" i="103"/>
  <c r="I15" i="103" s="1"/>
  <c r="I17" i="103"/>
  <c r="I20" i="103" s="1"/>
  <c r="K12" i="103"/>
  <c r="K15" i="103" s="1"/>
  <c r="K17" i="103"/>
  <c r="K20" i="103" s="1"/>
  <c r="G12" i="103"/>
  <c r="G17" i="103"/>
  <c r="G20" i="103" s="1"/>
  <c r="BG41" i="99"/>
  <c r="BG101" i="39"/>
  <c r="C64" i="111"/>
  <c r="C66" i="111" s="1"/>
  <c r="E51" i="111"/>
  <c r="J51" i="111" s="1"/>
  <c r="D130" i="9"/>
  <c r="Q63" i="70"/>
  <c r="Q62" i="70"/>
  <c r="K61" i="70"/>
  <c r="M61" i="70"/>
  <c r="L61" i="70"/>
  <c r="D62" i="111"/>
  <c r="C75" i="111" s="1"/>
  <c r="H32" i="111"/>
  <c r="D59" i="111"/>
  <c r="C72" i="111" s="1"/>
  <c r="H31" i="111"/>
  <c r="I24" i="111"/>
  <c r="D16" i="110"/>
  <c r="N16" i="110" s="1"/>
  <c r="I30" i="111"/>
  <c r="D78" i="111" s="1"/>
  <c r="D20" i="110"/>
  <c r="N20" i="110" s="1"/>
  <c r="I27" i="111"/>
  <c r="D24" i="110"/>
  <c r="N24" i="110" s="1"/>
  <c r="I28" i="111"/>
  <c r="D76" i="111" s="1"/>
  <c r="D22" i="110"/>
  <c r="N22" i="110" s="1"/>
  <c r="I29" i="111"/>
  <c r="D77" i="111" s="1"/>
  <c r="D21" i="110"/>
  <c r="N21" i="110" s="1"/>
  <c r="Q47" i="110"/>
  <c r="G73" i="110"/>
  <c r="Q73" i="110" s="1"/>
  <c r="F105" i="111"/>
  <c r="O61" i="110"/>
  <c r="P61" i="110"/>
  <c r="F131" i="111"/>
  <c r="I114" i="111"/>
  <c r="K114" i="111" s="1"/>
  <c r="P74" i="110"/>
  <c r="Q74" i="110"/>
  <c r="P73" i="110"/>
  <c r="O35" i="110"/>
  <c r="P35" i="110"/>
  <c r="I116" i="111"/>
  <c r="K116" i="111" s="1"/>
  <c r="G118" i="111"/>
  <c r="F27" i="35" a="1"/>
  <c r="F27" i="35" s="1"/>
  <c r="P32" i="70"/>
  <c r="P31" i="70"/>
  <c r="P34" i="70" s="1"/>
  <c r="P30" i="70"/>
  <c r="C146" i="9"/>
  <c r="AA26" i="35" a="1"/>
  <c r="AA26" i="35" s="1"/>
  <c r="AA18" i="35" a="1"/>
  <c r="AA18" i="35" s="1"/>
  <c r="AA23" i="35" a="1"/>
  <c r="AA23" i="35" s="1"/>
  <c r="F23" i="35" a="1"/>
  <c r="F23" i="35" s="1"/>
  <c r="F22" i="35" a="1"/>
  <c r="F22" i="35" s="1"/>
  <c r="AA24" i="35" a="1"/>
  <c r="AA24" i="35" s="1"/>
  <c r="AA29" i="35" a="1"/>
  <c r="AA29" i="35" s="1"/>
  <c r="AA21" i="35" a="1"/>
  <c r="AA21" i="35" s="1"/>
  <c r="F20" i="35" a="1"/>
  <c r="F20" i="35" s="1"/>
  <c r="F28" i="35" a="1"/>
  <c r="F28" i="35" s="1"/>
  <c r="F26" i="35" a="1"/>
  <c r="F26" i="35" s="1"/>
  <c r="L9" i="36"/>
  <c r="AA22" i="35" a="1"/>
  <c r="AA22" i="35" s="1"/>
  <c r="AA28" i="35" a="1"/>
  <c r="AA28" i="35" s="1"/>
  <c r="AA19" i="35" a="1"/>
  <c r="AA19" i="35" s="1"/>
  <c r="F29" i="35" a="1"/>
  <c r="F29" i="35" s="1"/>
  <c r="F24" i="35" a="1"/>
  <c r="F24" i="35" s="1"/>
  <c r="F21" i="35" a="1"/>
  <c r="F21" i="35" s="1"/>
  <c r="AA20" i="35" a="1"/>
  <c r="AA20" i="35" s="1"/>
  <c r="AA25" i="35" a="1"/>
  <c r="AA25" i="35" s="1"/>
  <c r="F25" i="35" a="1"/>
  <c r="F25" i="35" s="1"/>
  <c r="F19" i="35" a="1"/>
  <c r="F19" i="35" s="1"/>
  <c r="V8" i="98"/>
  <c r="BG42" i="99"/>
  <c r="BG102" i="39"/>
  <c r="G142" i="28"/>
  <c r="I142" i="85"/>
  <c r="P142" i="85" s="1"/>
  <c r="I143" i="85"/>
  <c r="P143" i="85" s="1"/>
  <c r="G143" i="28"/>
  <c r="I142" i="86"/>
  <c r="Q142" i="86" s="1"/>
  <c r="G142" i="29"/>
  <c r="O142" i="29" s="1"/>
  <c r="I143" i="86"/>
  <c r="Q143" i="86" s="1"/>
  <c r="G143" i="29"/>
  <c r="O143" i="29" s="1"/>
  <c r="Z149" i="47"/>
  <c r="Y149" i="47"/>
  <c r="Y136" i="47"/>
  <c r="Y144" i="47"/>
  <c r="W6" i="98"/>
  <c r="BI40" i="99"/>
  <c r="BI100" i="39"/>
  <c r="D94" i="99"/>
  <c r="E94" i="99" s="1"/>
  <c r="CV94" i="99" s="1"/>
  <c r="D91" i="99"/>
  <c r="E91" i="99" s="1"/>
  <c r="CV91" i="99" s="1"/>
  <c r="D95" i="99"/>
  <c r="E95" i="99" s="1"/>
  <c r="CV95" i="99" s="1"/>
  <c r="D86" i="99"/>
  <c r="E86" i="99" s="1"/>
  <c r="CV86" i="99" s="1"/>
  <c r="D97" i="99"/>
  <c r="E97" i="99" s="1"/>
  <c r="CV97" i="99" s="1"/>
  <c r="D93" i="99"/>
  <c r="E93" i="99" s="1"/>
  <c r="CV93" i="99" s="1"/>
  <c r="D90" i="99"/>
  <c r="E90" i="99" s="1"/>
  <c r="CV90" i="99" s="1"/>
  <c r="D96" i="99"/>
  <c r="E96" i="99" s="1"/>
  <c r="CV96" i="99" s="1"/>
  <c r="D87" i="99"/>
  <c r="E87" i="99" s="1"/>
  <c r="CV87" i="99" s="1"/>
  <c r="D88" i="99"/>
  <c r="E88" i="99" s="1"/>
  <c r="CV88" i="99" s="1"/>
  <c r="D92" i="99"/>
  <c r="E92" i="99" s="1"/>
  <c r="CV92" i="99" s="1"/>
  <c r="D89" i="99"/>
  <c r="E89" i="99" s="1"/>
  <c r="CV89" i="99" s="1"/>
  <c r="L93" i="99"/>
  <c r="M93" i="99" s="1"/>
  <c r="L97" i="99"/>
  <c r="M97" i="99" s="1"/>
  <c r="L87" i="99"/>
  <c r="M87" i="99" s="1"/>
  <c r="L94" i="99"/>
  <c r="M94" i="99" s="1"/>
  <c r="L88" i="99"/>
  <c r="M88" i="99" s="1"/>
  <c r="L90" i="99"/>
  <c r="M90" i="99" s="1"/>
  <c r="L96" i="99"/>
  <c r="M96" i="99" s="1"/>
  <c r="L91" i="99"/>
  <c r="M91" i="99" s="1"/>
  <c r="L95" i="99"/>
  <c r="M95" i="99" s="1"/>
  <c r="L92" i="99"/>
  <c r="M92" i="99" s="1"/>
  <c r="L89" i="99"/>
  <c r="M89" i="99" s="1"/>
  <c r="L86" i="99"/>
  <c r="M86" i="99" s="1"/>
  <c r="E131" i="9"/>
  <c r="E130" i="9"/>
  <c r="AA153" i="41"/>
  <c r="AA156" i="41"/>
  <c r="AA154" i="41"/>
  <c r="C5" i="26"/>
  <c r="V25" i="41"/>
  <c r="W25" i="41"/>
  <c r="AA152" i="41" s="1"/>
  <c r="C10" i="26"/>
  <c r="W77" i="41"/>
  <c r="AA157" i="41" s="1"/>
  <c r="V77" i="41"/>
  <c r="C4" i="26"/>
  <c r="W6" i="41"/>
  <c r="V6" i="41"/>
  <c r="W53" i="41"/>
  <c r="V53" i="41"/>
  <c r="W52" i="41"/>
  <c r="V52" i="41"/>
  <c r="AA3" i="98"/>
  <c r="AA4" i="98" s="1"/>
  <c r="AA5" i="98" s="1"/>
  <c r="AA6" i="98" s="1"/>
  <c r="AA7" i="98" s="1"/>
  <c r="AA8" i="98" s="1"/>
  <c r="AA9" i="98" s="1"/>
  <c r="AA10" i="98" s="1"/>
  <c r="AA11" i="98" s="1"/>
  <c r="AA12" i="98" s="1"/>
  <c r="AA13" i="98" s="1"/>
  <c r="AA14" i="98" s="1"/>
  <c r="AA15" i="98" s="1"/>
  <c r="AA16" i="98" s="1"/>
  <c r="AA17" i="98" s="1"/>
  <c r="AA18" i="98" s="1"/>
  <c r="AA19" i="98" s="1"/>
  <c r="AA20" i="98" s="1"/>
  <c r="AA21" i="98" s="1"/>
  <c r="AA22" i="98" s="1"/>
  <c r="AA23" i="98" s="1"/>
  <c r="AA24" i="98" s="1"/>
  <c r="AA25" i="98" s="1"/>
  <c r="AA26" i="98" s="1"/>
  <c r="AA27" i="98" s="1"/>
  <c r="AA28" i="98" s="1"/>
  <c r="AA29" i="98" s="1"/>
  <c r="AA30" i="98" s="1"/>
  <c r="AA31" i="98" s="1"/>
  <c r="AA32" i="98" s="1"/>
  <c r="AA33" i="98" s="1"/>
  <c r="AA34" i="98" s="1"/>
  <c r="AA35" i="98" s="1"/>
  <c r="AA36" i="98" s="1"/>
  <c r="AA37" i="98" s="1"/>
  <c r="AA38" i="98" s="1"/>
  <c r="AA39" i="98" s="1"/>
  <c r="AA40" i="98" s="1"/>
  <c r="AA41" i="98" s="1"/>
  <c r="AA42" i="98" s="1"/>
  <c r="AA43" i="98" s="1"/>
  <c r="AA44" i="98" s="1"/>
  <c r="AA45" i="98" s="1"/>
  <c r="AA46" i="98" s="1"/>
  <c r="AA47" i="98" s="1"/>
  <c r="AA48" i="98" s="1"/>
  <c r="AA49" i="98" s="1"/>
  <c r="AA50" i="98" s="1"/>
  <c r="AA51" i="98" s="1"/>
  <c r="AA52" i="98" s="1"/>
  <c r="AA53" i="98" s="1"/>
  <c r="AA54" i="98" s="1"/>
  <c r="AA55" i="98" s="1"/>
  <c r="AA56" i="98" s="1"/>
  <c r="AA57" i="98" s="1"/>
  <c r="AA58" i="98" s="1"/>
  <c r="AA59" i="98" s="1"/>
  <c r="AA60" i="98" s="1"/>
  <c r="AA61" i="98" s="1"/>
  <c r="AA62" i="98" s="1"/>
  <c r="AA63" i="98" s="1"/>
  <c r="AA64" i="98" s="1"/>
  <c r="AA65" i="98" s="1"/>
  <c r="AA66" i="98" s="1"/>
  <c r="AA67" i="98" s="1"/>
  <c r="AA68" i="98" s="1"/>
  <c r="AA69" i="98" s="1"/>
  <c r="AA70" i="98" s="1"/>
  <c r="AA71" i="98" s="1"/>
  <c r="AA72" i="98" s="1"/>
  <c r="AA73" i="98" s="1"/>
  <c r="AA74" i="98" s="1"/>
  <c r="AA75" i="98" s="1"/>
  <c r="AA76" i="98" s="1"/>
  <c r="AA77" i="98" s="1"/>
  <c r="AA78" i="98" s="1"/>
  <c r="AA79" i="98" s="1"/>
  <c r="AA80" i="98" s="1"/>
  <c r="AA81" i="98" s="1"/>
  <c r="AA82" i="98" s="1"/>
  <c r="AA83" i="98" s="1"/>
  <c r="AA84" i="98" s="1"/>
  <c r="AA85" i="98" s="1"/>
  <c r="AA86" i="98" s="1"/>
  <c r="U3" i="98"/>
  <c r="K131" i="9"/>
  <c r="D120" i="9"/>
  <c r="D149" i="9" s="1"/>
  <c r="D121" i="9"/>
  <c r="D150" i="9" s="1"/>
  <c r="D122" i="9"/>
  <c r="K122" i="9" s="1"/>
  <c r="D119" i="9"/>
  <c r="D145" i="9"/>
  <c r="L148" i="39"/>
  <c r="L153" i="39"/>
  <c r="L150" i="39"/>
  <c r="L151" i="39"/>
  <c r="L156" i="39"/>
  <c r="L152" i="39"/>
  <c r="L157" i="39"/>
  <c r="L149" i="39"/>
  <c r="L154" i="39"/>
  <c r="L146" i="39"/>
  <c r="L155" i="39"/>
  <c r="L147" i="39"/>
  <c r="E147" i="9"/>
  <c r="C126" i="9"/>
  <c r="K126" i="9" s="1"/>
  <c r="C127" i="9"/>
  <c r="K127" i="9" s="1"/>
  <c r="C125" i="9"/>
  <c r="K125" i="9" s="1"/>
  <c r="K124" i="9"/>
  <c r="E146" i="9"/>
  <c r="K119" i="9"/>
  <c r="K130" i="9"/>
  <c r="H51" i="70"/>
  <c r="K65" i="70" s="1"/>
  <c r="L66" i="70"/>
  <c r="M66" i="70"/>
  <c r="L28" i="70"/>
  <c r="N28" i="70"/>
  <c r="T9" i="26"/>
  <c r="A32" i="32"/>
  <c r="A43" i="32"/>
  <c r="A55" i="32" s="1"/>
  <c r="T7" i="26"/>
  <c r="C8" i="26"/>
  <c r="T74" i="47"/>
  <c r="Y156" i="47" s="1"/>
  <c r="U74" i="47"/>
  <c r="Z140" i="47"/>
  <c r="Y140" i="47"/>
  <c r="Y155" i="47"/>
  <c r="Z137" i="47"/>
  <c r="Y141" i="47"/>
  <c r="Y138" i="47"/>
  <c r="Z145" i="47"/>
  <c r="Y145" i="47"/>
  <c r="M40" i="70"/>
  <c r="M28" i="70"/>
  <c r="O40" i="70"/>
  <c r="H53" i="70"/>
  <c r="K67" i="70" s="1"/>
  <c r="D23" i="67"/>
  <c r="D17" i="36"/>
  <c r="L40" i="70"/>
  <c r="N40" i="70"/>
  <c r="Z156" i="47"/>
  <c r="Y146" i="47"/>
  <c r="Z142" i="47"/>
  <c r="BY127" i="39"/>
  <c r="Z138" i="47"/>
  <c r="Y152" i="47"/>
  <c r="Z146" i="47"/>
  <c r="Y142" i="47"/>
  <c r="Z155" i="47"/>
  <c r="E24" i="35"/>
  <c r="E23" i="35" s="1"/>
  <c r="E22" i="35" s="1"/>
  <c r="E21" i="35" s="1"/>
  <c r="E20" i="35" s="1"/>
  <c r="E19" i="35" s="1"/>
  <c r="E18" i="35" s="1"/>
  <c r="BY131" i="39"/>
  <c r="Z136" i="47"/>
  <c r="Y147" i="47"/>
  <c r="AU11" i="91"/>
  <c r="BB10" i="91"/>
  <c r="BC10" i="91" s="1"/>
  <c r="BY157" i="39"/>
  <c r="BA11" i="91"/>
  <c r="AO11" i="91"/>
  <c r="AV10" i="91"/>
  <c r="AW10" i="91" s="1"/>
  <c r="AP10" i="91"/>
  <c r="AQ10" i="91" s="1"/>
  <c r="K10" i="36"/>
  <c r="Y153" i="47"/>
  <c r="Z152" i="47"/>
  <c r="BY139" i="39"/>
  <c r="BY124" i="39"/>
  <c r="CA112" i="39"/>
  <c r="CA111" i="39"/>
  <c r="BY123" i="39"/>
  <c r="BY137" i="39"/>
  <c r="CA125" i="39"/>
  <c r="Z139" i="47"/>
  <c r="AB10" i="32"/>
  <c r="T10" i="32"/>
  <c r="AW11" i="33"/>
  <c r="AX11" i="33" s="1"/>
  <c r="AY11" i="33" s="1"/>
  <c r="H48" i="36"/>
  <c r="D10" i="32"/>
  <c r="J41" i="36"/>
  <c r="B12" i="32"/>
  <c r="J46" i="36"/>
  <c r="J45" i="36"/>
  <c r="J44" i="36"/>
  <c r="J47" i="36"/>
  <c r="X10" i="32"/>
  <c r="BC11" i="33"/>
  <c r="BD11" i="33" s="1"/>
  <c r="BE11" i="33" s="1"/>
  <c r="AQ11" i="33"/>
  <c r="AR11" i="33" s="1"/>
  <c r="AS11" i="33" s="1"/>
  <c r="P10" i="32"/>
  <c r="Y137" i="47"/>
  <c r="Y139" i="47"/>
  <c r="Z147" i="47"/>
  <c r="Y154" i="47"/>
  <c r="Z150" i="47"/>
  <c r="Y150" i="47"/>
  <c r="Z154" i="47"/>
  <c r="BZ145" i="39"/>
  <c r="BZ157" i="39" s="1"/>
  <c r="BZ169" i="39" s="1"/>
  <c r="CA133" i="39"/>
  <c r="CF55" i="39"/>
  <c r="DD54" i="39"/>
  <c r="DH54" i="39"/>
  <c r="DL54" i="39"/>
  <c r="DE54" i="39"/>
  <c r="DI54" i="39"/>
  <c r="DM54" i="39"/>
  <c r="DF54" i="39"/>
  <c r="DJ54" i="39"/>
  <c r="DN54" i="39"/>
  <c r="DC54" i="39"/>
  <c r="DG54" i="39"/>
  <c r="DK54" i="39"/>
  <c r="DO54" i="39"/>
  <c r="DB54" i="39"/>
  <c r="CA128" i="39"/>
  <c r="BY140" i="39"/>
  <c r="BY122" i="39"/>
  <c r="CA110" i="39"/>
  <c r="BZ115" i="39"/>
  <c r="CA103" i="39"/>
  <c r="Z143" i="47"/>
  <c r="Z25" i="35"/>
  <c r="Z141" i="47"/>
  <c r="Z153" i="47"/>
  <c r="BZ119" i="39"/>
  <c r="CA107" i="39"/>
  <c r="BY138" i="39"/>
  <c r="CA126" i="39"/>
  <c r="BY144" i="39"/>
  <c r="CA132" i="39"/>
  <c r="Y143" i="47"/>
  <c r="BY129" i="39"/>
  <c r="CA117" i="39"/>
  <c r="Z151" i="47"/>
  <c r="CE163" i="39"/>
  <c r="CA118" i="39"/>
  <c r="BY130" i="39"/>
  <c r="Y151" i="47"/>
  <c r="CM164" i="39"/>
  <c r="CU164" i="39"/>
  <c r="CI164" i="39"/>
  <c r="CD165" i="39"/>
  <c r="CH164" i="39"/>
  <c r="CP164" i="39"/>
  <c r="CT164" i="39"/>
  <c r="CQ164" i="39"/>
  <c r="CL164" i="39"/>
  <c r="CR164" i="39"/>
  <c r="CO164" i="39"/>
  <c r="CN164" i="39"/>
  <c r="CS164" i="39"/>
  <c r="CJ164" i="39"/>
  <c r="CK164" i="39"/>
  <c r="DH24" i="6"/>
  <c r="DH21" i="6"/>
  <c r="DI4" i="6"/>
  <c r="DH5" i="6"/>
  <c r="DH22" i="6"/>
  <c r="DH6" i="6"/>
  <c r="DH23" i="6"/>
  <c r="DH7" i="6"/>
  <c r="DH25" i="6"/>
  <c r="DH8" i="6"/>
  <c r="DH27" i="6"/>
  <c r="CC27" i="6"/>
  <c r="AB27" i="6"/>
  <c r="CP27" i="6"/>
  <c r="AA27" i="6"/>
  <c r="CG27" i="6"/>
  <c r="AN27" i="6"/>
  <c r="CB27" i="6"/>
  <c r="CQ27" i="6"/>
  <c r="CD27" i="6"/>
  <c r="DC27" i="6"/>
  <c r="CF27" i="6"/>
  <c r="CA27" i="6"/>
  <c r="Z27" i="6"/>
  <c r="AK27" i="6"/>
  <c r="V28" i="6"/>
  <c r="X27" i="6"/>
  <c r="AZ27" i="6"/>
  <c r="BP27" i="6"/>
  <c r="AO27" i="6"/>
  <c r="AC27" i="6"/>
  <c r="BM27" i="6"/>
  <c r="AY27" i="6"/>
  <c r="DE27" i="6"/>
  <c r="DI27" i="6"/>
  <c r="DF27" i="6"/>
  <c r="AP27" i="6"/>
  <c r="BA27" i="6"/>
  <c r="CO27" i="6"/>
  <c r="BN27" i="6"/>
  <c r="AL27" i="6"/>
  <c r="CR27" i="6"/>
  <c r="DG27" i="6"/>
  <c r="AM27" i="6"/>
  <c r="Y27" i="6"/>
  <c r="BR27" i="6"/>
  <c r="BQ27" i="6"/>
  <c r="BS27" i="6"/>
  <c r="DD27" i="6"/>
  <c r="BO27" i="6"/>
  <c r="CE27" i="6"/>
  <c r="CH27" i="6"/>
  <c r="W27" i="6"/>
  <c r="BB27" i="6"/>
  <c r="CS27" i="6"/>
  <c r="BC27" i="6"/>
  <c r="CI27" i="6"/>
  <c r="CQ10" i="6"/>
  <c r="BA10" i="6"/>
  <c r="DG10" i="6"/>
  <c r="AN10" i="6"/>
  <c r="AZ10" i="6"/>
  <c r="CG10" i="6"/>
  <c r="CP10" i="6"/>
  <c r="DI10" i="6"/>
  <c r="BR10" i="6"/>
  <c r="CI10" i="6"/>
  <c r="BO10" i="6"/>
  <c r="BS10" i="6"/>
  <c r="Z10" i="6"/>
  <c r="DE10" i="6"/>
  <c r="Y10" i="6"/>
  <c r="BB10" i="6"/>
  <c r="AL10" i="6"/>
  <c r="CF10" i="6"/>
  <c r="BP10" i="6"/>
  <c r="BM10" i="6"/>
  <c r="CO10" i="6"/>
  <c r="DC10" i="6"/>
  <c r="DF10" i="6"/>
  <c r="CB10" i="6"/>
  <c r="AP10" i="6"/>
  <c r="AM10" i="6"/>
  <c r="W10" i="6"/>
  <c r="CA10" i="6"/>
  <c r="BD10" i="6"/>
  <c r="DH10" i="6"/>
  <c r="AK10" i="6"/>
  <c r="CT10" i="6"/>
  <c r="X10" i="6"/>
  <c r="DD10" i="6"/>
  <c r="AC10" i="6"/>
  <c r="AO10" i="6"/>
  <c r="AB10" i="6"/>
  <c r="CE10" i="6"/>
  <c r="V11" i="6"/>
  <c r="CU11" i="6" s="1"/>
  <c r="CS10" i="6"/>
  <c r="CC10" i="6"/>
  <c r="CR10" i="6"/>
  <c r="CH10" i="6"/>
  <c r="AA10" i="6"/>
  <c r="BC10" i="6"/>
  <c r="CD10" i="6"/>
  <c r="BN10" i="6"/>
  <c r="BQ10" i="6"/>
  <c r="AY10" i="6"/>
  <c r="CJ10" i="6"/>
  <c r="AE11" i="6"/>
  <c r="DH26" i="6"/>
  <c r="DH9" i="6"/>
  <c r="AQ4" i="6"/>
  <c r="AP6" i="6"/>
  <c r="AP21" i="6"/>
  <c r="AP5" i="6"/>
  <c r="AP22" i="6"/>
  <c r="AP23" i="6"/>
  <c r="AP7" i="6"/>
  <c r="AP24" i="6"/>
  <c r="AP8" i="6"/>
  <c r="AP25" i="6"/>
  <c r="AP26" i="6"/>
  <c r="BS4" i="6"/>
  <c r="BR22" i="6"/>
  <c r="BR21" i="6"/>
  <c r="BR23" i="6"/>
  <c r="BR5" i="6"/>
  <c r="BR6" i="6"/>
  <c r="BR7" i="6"/>
  <c r="BR24" i="6"/>
  <c r="BR25" i="6"/>
  <c r="BR8" i="6"/>
  <c r="BE6" i="6"/>
  <c r="BE23" i="6"/>
  <c r="BE25" i="6"/>
  <c r="BE21" i="6"/>
  <c r="BE22" i="6"/>
  <c r="BF4" i="6"/>
  <c r="BE8" i="6"/>
  <c r="BE24" i="6"/>
  <c r="BE7" i="6"/>
  <c r="BE5" i="6"/>
  <c r="BE26" i="6"/>
  <c r="BE27" i="6"/>
  <c r="BE9" i="6"/>
  <c r="BE10" i="6"/>
  <c r="BE28" i="6"/>
  <c r="CL4" i="6"/>
  <c r="CK22" i="6"/>
  <c r="CK5" i="6"/>
  <c r="CK23" i="6"/>
  <c r="CK25" i="6"/>
  <c r="CK6" i="6"/>
  <c r="CK24" i="6"/>
  <c r="CK7" i="6"/>
  <c r="CK26" i="6"/>
  <c r="CK21" i="6"/>
  <c r="CK8" i="6"/>
  <c r="CK9" i="6"/>
  <c r="CK27" i="6"/>
  <c r="CK28" i="6"/>
  <c r="CK10" i="6"/>
  <c r="BE11" i="6"/>
  <c r="CU24" i="6"/>
  <c r="CU21" i="6"/>
  <c r="CU22" i="6"/>
  <c r="CV4" i="6"/>
  <c r="CU6" i="6"/>
  <c r="CU25" i="6"/>
  <c r="CU23" i="6"/>
  <c r="CU5" i="6"/>
  <c r="CU7" i="6"/>
  <c r="CU26" i="6"/>
  <c r="CU8" i="6"/>
  <c r="CU9" i="6"/>
  <c r="CU27" i="6"/>
  <c r="CU28" i="6"/>
  <c r="CU10" i="6"/>
  <c r="AE5" i="6"/>
  <c r="AE6" i="6"/>
  <c r="AE23" i="6"/>
  <c r="AE7" i="6"/>
  <c r="AE21" i="6"/>
  <c r="AF4" i="6"/>
  <c r="AE22" i="6"/>
  <c r="AE24" i="6"/>
  <c r="AE25" i="6"/>
  <c r="AE26" i="6"/>
  <c r="AE8" i="6"/>
  <c r="AE9" i="6"/>
  <c r="AE27" i="6"/>
  <c r="AE10" i="6"/>
  <c r="AE28" i="6"/>
  <c r="G84" i="103" l="1"/>
  <c r="G25" i="103"/>
  <c r="G33" i="110"/>
  <c r="G59" i="110" s="1"/>
  <c r="Q59" i="110" s="1"/>
  <c r="G15" i="103"/>
  <c r="G82" i="103"/>
  <c r="K82" i="103"/>
  <c r="G83" i="103"/>
  <c r="K83" i="103"/>
  <c r="I83" i="103"/>
  <c r="I82" i="103"/>
  <c r="K84" i="103"/>
  <c r="I84" i="103"/>
  <c r="G13" i="103"/>
  <c r="G16" i="103" s="1"/>
  <c r="G23" i="103"/>
  <c r="G26" i="103" s="1"/>
  <c r="G18" i="103"/>
  <c r="G21" i="103" s="1"/>
  <c r="E53" i="111"/>
  <c r="C79" i="111"/>
  <c r="Q61" i="70"/>
  <c r="D75" i="111"/>
  <c r="E75" i="111" s="1"/>
  <c r="J75" i="111" s="1"/>
  <c r="I32" i="111"/>
  <c r="D72" i="111"/>
  <c r="I31" i="111"/>
  <c r="J30" i="111"/>
  <c r="D91" i="111" s="1"/>
  <c r="C104" i="111" s="1"/>
  <c r="E20" i="110"/>
  <c r="O20" i="110" s="1"/>
  <c r="J27" i="111"/>
  <c r="E24" i="110"/>
  <c r="O24" i="110" s="1"/>
  <c r="J28" i="111"/>
  <c r="D89" i="111" s="1"/>
  <c r="C102" i="111" s="1"/>
  <c r="E22" i="110"/>
  <c r="O22" i="110" s="1"/>
  <c r="J29" i="111"/>
  <c r="D90" i="111" s="1"/>
  <c r="C103" i="111" s="1"/>
  <c r="E21" i="110"/>
  <c r="O21" i="110" s="1"/>
  <c r="J24" i="111"/>
  <c r="E16" i="110"/>
  <c r="O16" i="110" s="1"/>
  <c r="E77" i="111"/>
  <c r="J77" i="111" s="1"/>
  <c r="C90" i="111"/>
  <c r="E76" i="111"/>
  <c r="J76" i="111" s="1"/>
  <c r="C89" i="111"/>
  <c r="E78" i="111"/>
  <c r="J78" i="111" s="1"/>
  <c r="C91" i="111"/>
  <c r="L176" i="39"/>
  <c r="M176" i="39" s="1"/>
  <c r="L178" i="39"/>
  <c r="M178" i="39" s="1"/>
  <c r="L180" i="39"/>
  <c r="M180" i="39" s="1"/>
  <c r="L177" i="39"/>
  <c r="M177" i="39" s="1"/>
  <c r="L179" i="39"/>
  <c r="M179" i="39" s="1"/>
  <c r="L181" i="39"/>
  <c r="M181" i="39" s="1"/>
  <c r="L118" i="99"/>
  <c r="M118" i="99" s="1"/>
  <c r="L113" i="99"/>
  <c r="M113" i="99" s="1"/>
  <c r="L117" i="99"/>
  <c r="M117" i="99" s="1"/>
  <c r="L116" i="99"/>
  <c r="M116" i="99" s="1"/>
  <c r="L111" i="99"/>
  <c r="M111" i="99" s="1"/>
  <c r="L119" i="99"/>
  <c r="M119" i="99" s="1"/>
  <c r="L115" i="99"/>
  <c r="M115" i="99" s="1"/>
  <c r="D115" i="29" s="1"/>
  <c r="L110" i="99"/>
  <c r="M110" i="99" s="1"/>
  <c r="L121" i="99"/>
  <c r="M121" i="99" s="1"/>
  <c r="L120" i="99"/>
  <c r="M120" i="99" s="1"/>
  <c r="L114" i="99"/>
  <c r="M114" i="99" s="1"/>
  <c r="D114" i="29" s="1"/>
  <c r="L112" i="99"/>
  <c r="M112" i="99" s="1"/>
  <c r="AB3" i="98"/>
  <c r="BH38" i="99" s="1"/>
  <c r="K120" i="9"/>
  <c r="C147" i="9"/>
  <c r="E151" i="9"/>
  <c r="E150" i="9"/>
  <c r="C151" i="9"/>
  <c r="H16" i="33" s="1"/>
  <c r="C149" i="9"/>
  <c r="C150" i="9"/>
  <c r="H15" i="33" s="1"/>
  <c r="D151" i="9"/>
  <c r="V9" i="98"/>
  <c r="BG43" i="99"/>
  <c r="BG103" i="39"/>
  <c r="D95" i="86"/>
  <c r="D95" i="29"/>
  <c r="D95" i="58"/>
  <c r="D88" i="29"/>
  <c r="D88" i="86"/>
  <c r="D88" i="58"/>
  <c r="D93" i="86"/>
  <c r="D93" i="29"/>
  <c r="D93" i="58"/>
  <c r="D86" i="86"/>
  <c r="D86" i="29"/>
  <c r="D86" i="58"/>
  <c r="D91" i="86"/>
  <c r="D91" i="58"/>
  <c r="D91" i="29"/>
  <c r="D94" i="86"/>
  <c r="D94" i="29"/>
  <c r="D94" i="58"/>
  <c r="Z12" i="91"/>
  <c r="AD12" i="91" s="1"/>
  <c r="D89" i="86"/>
  <c r="D89" i="29"/>
  <c r="D89" i="58"/>
  <c r="D96" i="29"/>
  <c r="D96" i="86"/>
  <c r="D96" i="58"/>
  <c r="D87" i="86"/>
  <c r="D87" i="29"/>
  <c r="D87" i="58"/>
  <c r="D92" i="29"/>
  <c r="D92" i="86"/>
  <c r="D92" i="58"/>
  <c r="D90" i="86"/>
  <c r="D90" i="29"/>
  <c r="D90" i="58"/>
  <c r="D97" i="86"/>
  <c r="D97" i="29"/>
  <c r="D97" i="58"/>
  <c r="W7" i="98"/>
  <c r="BI41" i="99"/>
  <c r="BI101" i="39"/>
  <c r="D98" i="99"/>
  <c r="E98" i="99" s="1"/>
  <c r="CV98" i="99" s="1"/>
  <c r="D102" i="99"/>
  <c r="E102" i="99" s="1"/>
  <c r="CV102" i="99" s="1"/>
  <c r="D106" i="99"/>
  <c r="E106" i="99" s="1"/>
  <c r="CV106" i="99" s="1"/>
  <c r="D108" i="99"/>
  <c r="E108" i="99" s="1"/>
  <c r="CV108" i="99" s="1"/>
  <c r="D103" i="99"/>
  <c r="E103" i="99" s="1"/>
  <c r="CV103" i="99" s="1"/>
  <c r="D105" i="99"/>
  <c r="E105" i="99" s="1"/>
  <c r="CV105" i="99" s="1"/>
  <c r="D109" i="99"/>
  <c r="E109" i="99" s="1"/>
  <c r="CV109" i="99" s="1"/>
  <c r="D107" i="99"/>
  <c r="E107" i="99" s="1"/>
  <c r="CV107" i="99" s="1"/>
  <c r="D99" i="99"/>
  <c r="E99" i="99" s="1"/>
  <c r="CV99" i="99" s="1"/>
  <c r="D101" i="99"/>
  <c r="E101" i="99" s="1"/>
  <c r="CV101" i="99" s="1"/>
  <c r="D100" i="99"/>
  <c r="E100" i="99" s="1"/>
  <c r="CV100" i="99" s="1"/>
  <c r="D104" i="99"/>
  <c r="E104" i="99" s="1"/>
  <c r="CV104" i="99" s="1"/>
  <c r="K145" i="9"/>
  <c r="H97" i="99"/>
  <c r="I97" i="99" s="1"/>
  <c r="D97" i="47" s="1"/>
  <c r="H95" i="99"/>
  <c r="I95" i="99" s="1"/>
  <c r="D95" i="47" s="1"/>
  <c r="H90" i="99"/>
  <c r="I90" i="99" s="1"/>
  <c r="D90" i="47" s="1"/>
  <c r="H89" i="99"/>
  <c r="I89" i="99" s="1"/>
  <c r="D89" i="47" s="1"/>
  <c r="H93" i="99"/>
  <c r="I93" i="99" s="1"/>
  <c r="D93" i="47" s="1"/>
  <c r="H87" i="99"/>
  <c r="I87" i="99" s="1"/>
  <c r="D87" i="47" s="1"/>
  <c r="H92" i="99"/>
  <c r="I92" i="99" s="1"/>
  <c r="D92" i="47" s="1"/>
  <c r="H91" i="99"/>
  <c r="I91" i="99" s="1"/>
  <c r="D91" i="47" s="1"/>
  <c r="H94" i="99"/>
  <c r="I94" i="99" s="1"/>
  <c r="D94" i="47" s="1"/>
  <c r="H86" i="99"/>
  <c r="I86" i="99" s="1"/>
  <c r="D86" i="47" s="1"/>
  <c r="H88" i="99"/>
  <c r="I88" i="99" s="1"/>
  <c r="D88" i="47" s="1"/>
  <c r="H96" i="99"/>
  <c r="I96" i="99" s="1"/>
  <c r="D96" i="47" s="1"/>
  <c r="H15" i="91"/>
  <c r="CX92" i="99"/>
  <c r="CZ92" i="99"/>
  <c r="CZ90" i="99"/>
  <c r="CX90" i="99"/>
  <c r="CX97" i="99"/>
  <c r="CZ97" i="99"/>
  <c r="L105" i="99"/>
  <c r="M105" i="99" s="1"/>
  <c r="L109" i="99"/>
  <c r="M109" i="99" s="1"/>
  <c r="L106" i="99"/>
  <c r="M106" i="99" s="1"/>
  <c r="L98" i="99"/>
  <c r="M98" i="99" s="1"/>
  <c r="L107" i="99"/>
  <c r="M107" i="99" s="1"/>
  <c r="L100" i="99"/>
  <c r="M100" i="99" s="1"/>
  <c r="L102" i="99"/>
  <c r="M102" i="99" s="1"/>
  <c r="L99" i="99"/>
  <c r="M99" i="99" s="1"/>
  <c r="L103" i="99"/>
  <c r="M103" i="99" s="1"/>
  <c r="L104" i="99"/>
  <c r="M104" i="99" s="1"/>
  <c r="L101" i="99"/>
  <c r="M101" i="99" s="1"/>
  <c r="L108" i="99"/>
  <c r="M108" i="99" s="1"/>
  <c r="CZ95" i="99"/>
  <c r="CX95" i="99"/>
  <c r="CX88" i="99"/>
  <c r="CZ88" i="99"/>
  <c r="CZ93" i="99"/>
  <c r="CX93" i="99"/>
  <c r="Q66" i="70"/>
  <c r="CX86" i="99"/>
  <c r="CZ86" i="99"/>
  <c r="CZ91" i="99"/>
  <c r="CX91" i="99"/>
  <c r="CZ94" i="99"/>
  <c r="CX94" i="99"/>
  <c r="H16" i="91"/>
  <c r="CZ89" i="99"/>
  <c r="CX89" i="99"/>
  <c r="CX96" i="99"/>
  <c r="CZ96" i="99"/>
  <c r="CZ87" i="99"/>
  <c r="CX87" i="99"/>
  <c r="AA151" i="41"/>
  <c r="AA155" i="41"/>
  <c r="Z12" i="33"/>
  <c r="AD12" i="33" s="1"/>
  <c r="L169" i="39"/>
  <c r="L161" i="39"/>
  <c r="L165" i="39"/>
  <c r="L163" i="39"/>
  <c r="L158" i="39"/>
  <c r="L159" i="39"/>
  <c r="L162" i="39"/>
  <c r="L168" i="39"/>
  <c r="L160" i="39"/>
  <c r="L167" i="39"/>
  <c r="L164" i="39"/>
  <c r="L166" i="39"/>
  <c r="L170" i="39"/>
  <c r="M170" i="39" s="1"/>
  <c r="L171" i="39"/>
  <c r="M171" i="39" s="1"/>
  <c r="L175" i="39"/>
  <c r="M175" i="39" s="1"/>
  <c r="L172" i="39"/>
  <c r="M172" i="39" s="1"/>
  <c r="L173" i="39"/>
  <c r="M173" i="39" s="1"/>
  <c r="L174" i="39"/>
  <c r="M174" i="39" s="1"/>
  <c r="D162" i="39"/>
  <c r="D167" i="39"/>
  <c r="D166" i="39"/>
  <c r="D163" i="39"/>
  <c r="D168" i="39"/>
  <c r="D164" i="39"/>
  <c r="D161" i="39"/>
  <c r="D165" i="39"/>
  <c r="D169" i="39"/>
  <c r="E169" i="39" s="1"/>
  <c r="H156" i="39"/>
  <c r="I156" i="39" s="1"/>
  <c r="H152" i="39"/>
  <c r="I152" i="39" s="1"/>
  <c r="H146" i="39"/>
  <c r="H155" i="39"/>
  <c r="I155" i="39" s="1"/>
  <c r="H147" i="39"/>
  <c r="I147" i="39" s="1"/>
  <c r="H148" i="39"/>
  <c r="H153" i="39"/>
  <c r="I153" i="39" s="1"/>
  <c r="H150" i="39"/>
  <c r="I150" i="39" s="1"/>
  <c r="H151" i="39"/>
  <c r="I151" i="39" s="1"/>
  <c r="H157" i="39"/>
  <c r="I157" i="39" s="1"/>
  <c r="H149" i="39"/>
  <c r="I149" i="39" s="1"/>
  <c r="H154" i="39"/>
  <c r="I154" i="39" s="1"/>
  <c r="D147" i="9"/>
  <c r="K121" i="9"/>
  <c r="D146" i="9"/>
  <c r="L65" i="70"/>
  <c r="M65" i="70"/>
  <c r="M34" i="70"/>
  <c r="L34" i="70"/>
  <c r="N34" i="70"/>
  <c r="A33" i="32"/>
  <c r="A44" i="32"/>
  <c r="A56" i="32" s="1"/>
  <c r="CK11" i="6"/>
  <c r="M148" i="39"/>
  <c r="M151" i="39"/>
  <c r="M150" i="39"/>
  <c r="M156" i="39"/>
  <c r="M149" i="39"/>
  <c r="M157" i="39"/>
  <c r="M154" i="39"/>
  <c r="M147" i="39"/>
  <c r="M152" i="39"/>
  <c r="M153" i="39"/>
  <c r="M155" i="39"/>
  <c r="M67" i="70"/>
  <c r="L67" i="70"/>
  <c r="O34" i="70"/>
  <c r="I148" i="39"/>
  <c r="D150" i="39"/>
  <c r="E150" i="39" s="1"/>
  <c r="D155" i="39"/>
  <c r="E155" i="39" s="1"/>
  <c r="D149" i="39"/>
  <c r="E149" i="39" s="1"/>
  <c r="D147" i="39"/>
  <c r="E147" i="39" s="1"/>
  <c r="D156" i="39"/>
  <c r="E156" i="39" s="1"/>
  <c r="D157" i="39"/>
  <c r="E157" i="39" s="1"/>
  <c r="D151" i="39"/>
  <c r="E151" i="39" s="1"/>
  <c r="D146" i="39"/>
  <c r="D153" i="39"/>
  <c r="E153" i="39" s="1"/>
  <c r="D152" i="39"/>
  <c r="E152" i="39" s="1"/>
  <c r="D154" i="39"/>
  <c r="E154" i="39" s="1"/>
  <c r="D148" i="39"/>
  <c r="E148" i="39" s="1"/>
  <c r="BY143" i="39"/>
  <c r="BY155" i="39" s="1"/>
  <c r="BB11" i="91"/>
  <c r="BC11" i="91" s="1"/>
  <c r="AV11" i="91"/>
  <c r="AW11" i="91" s="1"/>
  <c r="AO12" i="91"/>
  <c r="AU12" i="91"/>
  <c r="BA12" i="91"/>
  <c r="AP11" i="91"/>
  <c r="AQ11" i="91" s="1"/>
  <c r="BY169" i="39"/>
  <c r="CA123" i="39"/>
  <c r="BY135" i="39"/>
  <c r="CA137" i="39"/>
  <c r="BY149" i="39"/>
  <c r="BY151" i="39"/>
  <c r="BY136" i="39"/>
  <c r="CA124" i="39"/>
  <c r="BY156" i="39"/>
  <c r="BY150" i="39"/>
  <c r="BY152" i="39"/>
  <c r="I48" i="36"/>
  <c r="X11" i="32"/>
  <c r="BC12" i="33"/>
  <c r="BD12" i="33" s="1"/>
  <c r="BE12" i="33" s="1"/>
  <c r="B13" i="32"/>
  <c r="K47" i="36"/>
  <c r="K44" i="36"/>
  <c r="F24" i="110" s="1"/>
  <c r="K41" i="36"/>
  <c r="K45" i="36"/>
  <c r="K46" i="36"/>
  <c r="D11" i="32"/>
  <c r="AB11" i="32"/>
  <c r="AQ12" i="33"/>
  <c r="AR12" i="33" s="1"/>
  <c r="AS12" i="33" s="1"/>
  <c r="P11" i="32"/>
  <c r="AW12" i="33"/>
  <c r="AX12" i="33" s="1"/>
  <c r="AY12" i="33" s="1"/>
  <c r="T11" i="32"/>
  <c r="L10" i="36"/>
  <c r="CF56" i="39"/>
  <c r="DD55" i="39"/>
  <c r="DH55" i="39"/>
  <c r="DL55" i="39"/>
  <c r="DE55" i="39"/>
  <c r="DI55" i="39"/>
  <c r="DM55" i="39"/>
  <c r="DF55" i="39"/>
  <c r="DJ55" i="39"/>
  <c r="DN55" i="39"/>
  <c r="DC55" i="39"/>
  <c r="DG55" i="39"/>
  <c r="DK55" i="39"/>
  <c r="DO55" i="39"/>
  <c r="DB55" i="39"/>
  <c r="CA145" i="39"/>
  <c r="CA140" i="39"/>
  <c r="CA130" i="39"/>
  <c r="BY142" i="39"/>
  <c r="CA138" i="39"/>
  <c r="BZ131" i="39"/>
  <c r="CA119" i="39"/>
  <c r="CA144" i="39"/>
  <c r="CD166" i="39"/>
  <c r="CN165" i="39"/>
  <c r="CJ165" i="39"/>
  <c r="CK165" i="39"/>
  <c r="CR165" i="39"/>
  <c r="CM165" i="39"/>
  <c r="CT165" i="39"/>
  <c r="CP165" i="39"/>
  <c r="CU165" i="39"/>
  <c r="CQ165" i="39"/>
  <c r="CI165" i="39"/>
  <c r="CH165" i="39"/>
  <c r="CO165" i="39"/>
  <c r="CL165" i="39"/>
  <c r="CS165" i="39"/>
  <c r="CE164" i="39"/>
  <c r="BY141" i="39"/>
  <c r="CA129" i="39"/>
  <c r="Z24" i="35"/>
  <c r="BY134" i="39"/>
  <c r="CA122" i="39"/>
  <c r="BZ127" i="39"/>
  <c r="CA115" i="39"/>
  <c r="CA11" i="6"/>
  <c r="CB11" i="6"/>
  <c r="DH11" i="6"/>
  <c r="AN11" i="6"/>
  <c r="BQ11" i="6"/>
  <c r="CR11" i="6"/>
  <c r="BM11" i="6"/>
  <c r="Y11" i="6"/>
  <c r="DF11" i="6"/>
  <c r="AO11" i="6"/>
  <c r="DI11" i="6"/>
  <c r="CJ11" i="6"/>
  <c r="CS11" i="6"/>
  <c r="V12" i="6"/>
  <c r="CC11" i="6"/>
  <c r="AY11" i="6"/>
  <c r="X11" i="6"/>
  <c r="AD11" i="6"/>
  <c r="AP11" i="6"/>
  <c r="CD11" i="6"/>
  <c r="AQ11" i="6"/>
  <c r="CQ11" i="6"/>
  <c r="DG11" i="6"/>
  <c r="CO11" i="6"/>
  <c r="BO11" i="6"/>
  <c r="CH11" i="6"/>
  <c r="DE11" i="6"/>
  <c r="BN11" i="6"/>
  <c r="BS11" i="6"/>
  <c r="CP11" i="6"/>
  <c r="BP11" i="6"/>
  <c r="CE11" i="6"/>
  <c r="W11" i="6"/>
  <c r="CI11" i="6"/>
  <c r="CT11" i="6"/>
  <c r="BB11" i="6"/>
  <c r="AC11" i="6"/>
  <c r="AL11" i="6"/>
  <c r="BD11" i="6"/>
  <c r="AM11" i="6"/>
  <c r="AR11" i="6"/>
  <c r="AZ11" i="6"/>
  <c r="AA11" i="6"/>
  <c r="BT11" i="6"/>
  <c r="DC11" i="6"/>
  <c r="BA11" i="6"/>
  <c r="DD11" i="6"/>
  <c r="BR11" i="6"/>
  <c r="CF11" i="6"/>
  <c r="AB11" i="6"/>
  <c r="AK11" i="6"/>
  <c r="BC11" i="6"/>
  <c r="CG11" i="6"/>
  <c r="Z11" i="6"/>
  <c r="DI5" i="6"/>
  <c r="DI22" i="6"/>
  <c r="DI21" i="6"/>
  <c r="DJ4" i="6"/>
  <c r="DJ11" i="6" s="1"/>
  <c r="DI6" i="6"/>
  <c r="DI23" i="6"/>
  <c r="DI24" i="6"/>
  <c r="DI7" i="6"/>
  <c r="DI8" i="6"/>
  <c r="DI25" i="6"/>
  <c r="DI9" i="6"/>
  <c r="DI26" i="6"/>
  <c r="DD28" i="6"/>
  <c r="AY28" i="6"/>
  <c r="BB28" i="6"/>
  <c r="BN28" i="6"/>
  <c r="CP28" i="6"/>
  <c r="Z28" i="6"/>
  <c r="DG28" i="6"/>
  <c r="AB28" i="6"/>
  <c r="W28" i="6"/>
  <c r="CO28" i="6"/>
  <c r="BS28" i="6"/>
  <c r="BQ28" i="6"/>
  <c r="CJ28" i="6"/>
  <c r="DE28" i="6"/>
  <c r="CD28" i="6"/>
  <c r="Y28" i="6"/>
  <c r="CS28" i="6"/>
  <c r="AA28" i="6"/>
  <c r="AC28" i="6"/>
  <c r="CA28" i="6"/>
  <c r="BP28" i="6"/>
  <c r="AQ28" i="6"/>
  <c r="AZ28" i="6"/>
  <c r="AP28" i="6"/>
  <c r="AR28" i="6"/>
  <c r="AK28" i="6"/>
  <c r="CG28" i="6"/>
  <c r="CC28" i="6"/>
  <c r="DI28" i="6"/>
  <c r="V29" i="6"/>
  <c r="AF29" i="6" s="1"/>
  <c r="AO28" i="6"/>
  <c r="CQ28" i="6"/>
  <c r="X28" i="6"/>
  <c r="AN28" i="6"/>
  <c r="DF28" i="6"/>
  <c r="DC28" i="6"/>
  <c r="CR28" i="6"/>
  <c r="BO28" i="6"/>
  <c r="AL28" i="6"/>
  <c r="DH28" i="6"/>
  <c r="CB28" i="6"/>
  <c r="CE28" i="6"/>
  <c r="AM28" i="6"/>
  <c r="BM28" i="6"/>
  <c r="CF28" i="6"/>
  <c r="CH28" i="6"/>
  <c r="BD28" i="6"/>
  <c r="BR28" i="6"/>
  <c r="BC28" i="6"/>
  <c r="BA28" i="6"/>
  <c r="CI28" i="6"/>
  <c r="CT28" i="6"/>
  <c r="AD28" i="6"/>
  <c r="BS25" i="6"/>
  <c r="BS21" i="6"/>
  <c r="BT4" i="6"/>
  <c r="BS5" i="6"/>
  <c r="BS6" i="6"/>
  <c r="BS22" i="6"/>
  <c r="BS24" i="6"/>
  <c r="BS23" i="6"/>
  <c r="BS7" i="6"/>
  <c r="BS8" i="6"/>
  <c r="BS26" i="6"/>
  <c r="BS9" i="6"/>
  <c r="AQ21" i="6"/>
  <c r="AQ23" i="6"/>
  <c r="AR4" i="6"/>
  <c r="AQ5" i="6"/>
  <c r="AQ22" i="6"/>
  <c r="AQ24" i="6"/>
  <c r="AQ6" i="6"/>
  <c r="AQ7" i="6"/>
  <c r="AQ8" i="6"/>
  <c r="AQ25" i="6"/>
  <c r="AQ26" i="6"/>
  <c r="AQ9" i="6"/>
  <c r="AQ10" i="6"/>
  <c r="AQ27" i="6"/>
  <c r="AF6" i="6"/>
  <c r="AF25" i="6"/>
  <c r="AF5" i="6"/>
  <c r="AF23" i="6"/>
  <c r="AG4" i="6"/>
  <c r="AF7" i="6"/>
  <c r="AF22" i="6"/>
  <c r="AF8" i="6"/>
  <c r="AF24" i="6"/>
  <c r="AF21" i="6"/>
  <c r="AF26" i="6"/>
  <c r="AF27" i="6"/>
  <c r="AF9" i="6"/>
  <c r="AF28" i="6"/>
  <c r="AF10" i="6"/>
  <c r="AF11" i="6"/>
  <c r="CW4" i="6"/>
  <c r="CV22" i="6"/>
  <c r="CV6" i="6"/>
  <c r="CV21" i="6"/>
  <c r="CV23" i="6"/>
  <c r="CV5" i="6"/>
  <c r="CV24" i="6"/>
  <c r="CV7" i="6"/>
  <c r="CV25" i="6"/>
  <c r="CV8" i="6"/>
  <c r="CV26" i="6"/>
  <c r="CV9" i="6"/>
  <c r="CV27" i="6"/>
  <c r="CV28" i="6"/>
  <c r="CV10" i="6"/>
  <c r="CV11" i="6"/>
  <c r="CL5" i="6"/>
  <c r="CL6" i="6"/>
  <c r="CL8" i="6"/>
  <c r="CL23" i="6"/>
  <c r="CL21" i="6"/>
  <c r="CL24" i="6"/>
  <c r="CL7" i="6"/>
  <c r="CL22" i="6"/>
  <c r="CL25" i="6"/>
  <c r="CL26" i="6"/>
  <c r="CL27" i="6"/>
  <c r="CL9" i="6"/>
  <c r="CL28" i="6"/>
  <c r="CL10" i="6"/>
  <c r="CL11" i="6"/>
  <c r="BG4" i="6"/>
  <c r="BF22" i="6"/>
  <c r="BF25" i="6"/>
  <c r="BF5" i="6"/>
  <c r="BF23" i="6"/>
  <c r="BF21" i="6"/>
  <c r="BF24" i="6"/>
  <c r="BF7" i="6"/>
  <c r="BF6" i="6"/>
  <c r="BF26" i="6"/>
  <c r="BF8" i="6"/>
  <c r="BF9" i="6"/>
  <c r="BF27" i="6"/>
  <c r="BF10" i="6"/>
  <c r="BF28" i="6"/>
  <c r="BF11" i="6"/>
  <c r="BF29" i="6"/>
  <c r="Q33" i="110" l="1"/>
  <c r="H18" i="103"/>
  <c r="H21" i="103" s="1"/>
  <c r="H23" i="103"/>
  <c r="H26" i="103" s="1"/>
  <c r="H13" i="103"/>
  <c r="H16" i="103" s="1"/>
  <c r="G53" i="103"/>
  <c r="G54" i="103"/>
  <c r="I18" i="103"/>
  <c r="I21" i="103" s="1"/>
  <c r="BH98" i="39"/>
  <c r="AB4" i="98"/>
  <c r="C88" i="111"/>
  <c r="Q65" i="70"/>
  <c r="D79" i="111"/>
  <c r="D88" i="111"/>
  <c r="C101" i="111" s="1"/>
  <c r="J32" i="111"/>
  <c r="D85" i="111"/>
  <c r="C98" i="111" s="1"/>
  <c r="C85" i="111"/>
  <c r="E72" i="111"/>
  <c r="J72" i="111" s="1"/>
  <c r="J31" i="111"/>
  <c r="K29" i="111"/>
  <c r="D103" i="111" s="1"/>
  <c r="C116" i="111" s="1"/>
  <c r="F21" i="110"/>
  <c r="K28" i="111"/>
  <c r="D102" i="111" s="1"/>
  <c r="C115" i="111" s="1"/>
  <c r="F22" i="110"/>
  <c r="K24" i="111"/>
  <c r="F16" i="110"/>
  <c r="K27" i="111"/>
  <c r="K30" i="111"/>
  <c r="D104" i="111" s="1"/>
  <c r="C117" i="111" s="1"/>
  <c r="F20" i="110"/>
  <c r="E90" i="111"/>
  <c r="J90" i="111" s="1"/>
  <c r="E89" i="111"/>
  <c r="J89" i="111" s="1"/>
  <c r="E91" i="111"/>
  <c r="J91" i="111" s="1"/>
  <c r="D120" i="86"/>
  <c r="D120" i="29"/>
  <c r="CX120" i="99"/>
  <c r="D120" i="58"/>
  <c r="CZ120" i="99"/>
  <c r="CX119" i="99"/>
  <c r="D119" i="86"/>
  <c r="D119" i="29"/>
  <c r="D119" i="58"/>
  <c r="CZ119" i="99"/>
  <c r="CX177" i="39"/>
  <c r="CZ177" i="39"/>
  <c r="DS273" i="6"/>
  <c r="DW273" i="6" s="1"/>
  <c r="D176" i="39"/>
  <c r="E176" i="39" s="1"/>
  <c r="D180" i="39"/>
  <c r="E180" i="39" s="1"/>
  <c r="D177" i="39"/>
  <c r="E177" i="39" s="1"/>
  <c r="D181" i="39"/>
  <c r="E181" i="39" s="1"/>
  <c r="D179" i="39"/>
  <c r="E179" i="39" s="1"/>
  <c r="D178" i="39"/>
  <c r="E178" i="39" s="1"/>
  <c r="D121" i="99"/>
  <c r="E121" i="99" s="1"/>
  <c r="CV121" i="99" s="1"/>
  <c r="D111" i="99"/>
  <c r="E111" i="99" s="1"/>
  <c r="CV111" i="99" s="1"/>
  <c r="D119" i="99"/>
  <c r="E119" i="99" s="1"/>
  <c r="CV119" i="99" s="1"/>
  <c r="D118" i="99"/>
  <c r="E118" i="99" s="1"/>
  <c r="CV118" i="99" s="1"/>
  <c r="D116" i="99"/>
  <c r="E116" i="99" s="1"/>
  <c r="CV116" i="99" s="1"/>
  <c r="D110" i="99"/>
  <c r="E110" i="99" s="1"/>
  <c r="D117" i="99"/>
  <c r="E117" i="99" s="1"/>
  <c r="CV117" i="99" s="1"/>
  <c r="D115" i="99"/>
  <c r="E115" i="99" s="1"/>
  <c r="D113" i="99"/>
  <c r="E113" i="99" s="1"/>
  <c r="D112" i="99"/>
  <c r="E112" i="99" s="1"/>
  <c r="D120" i="99"/>
  <c r="E120" i="99" s="1"/>
  <c r="CV120" i="99" s="1"/>
  <c r="D114" i="99"/>
  <c r="E114" i="99" s="1"/>
  <c r="D121" i="29"/>
  <c r="CX121" i="99"/>
  <c r="D121" i="86"/>
  <c r="D121" i="58"/>
  <c r="CZ121" i="99"/>
  <c r="D118" i="86"/>
  <c r="D118" i="29"/>
  <c r="CX118" i="99"/>
  <c r="D118" i="58"/>
  <c r="CZ118" i="99"/>
  <c r="CZ180" i="39"/>
  <c r="CX180" i="39"/>
  <c r="DS276" i="6"/>
  <c r="DW276" i="6" s="1"/>
  <c r="H178" i="39"/>
  <c r="I178" i="39" s="1"/>
  <c r="H179" i="39"/>
  <c r="I179" i="39" s="1"/>
  <c r="H177" i="39"/>
  <c r="I177" i="39" s="1"/>
  <c r="H181" i="39"/>
  <c r="I181" i="39" s="1"/>
  <c r="H176" i="39"/>
  <c r="I176" i="39" s="1"/>
  <c r="H180" i="39"/>
  <c r="I180" i="39" s="1"/>
  <c r="H112" i="99"/>
  <c r="I112" i="99" s="1"/>
  <c r="D112" i="28" s="1"/>
  <c r="H117" i="99"/>
  <c r="I117" i="99" s="1"/>
  <c r="H114" i="99"/>
  <c r="I114" i="99" s="1"/>
  <c r="D114" i="28" s="1"/>
  <c r="H116" i="99"/>
  <c r="I116" i="99" s="1"/>
  <c r="H121" i="99"/>
  <c r="I121" i="99" s="1"/>
  <c r="H111" i="99"/>
  <c r="I111" i="99" s="1"/>
  <c r="H120" i="99"/>
  <c r="I120" i="99" s="1"/>
  <c r="H115" i="99"/>
  <c r="I115" i="99" s="1"/>
  <c r="D115" i="47" s="1"/>
  <c r="H110" i="99"/>
  <c r="I110" i="99" s="1"/>
  <c r="D110" i="47" s="1"/>
  <c r="H118" i="99"/>
  <c r="I118" i="99" s="1"/>
  <c r="H113" i="99"/>
  <c r="I113" i="99" s="1"/>
  <c r="D113" i="28" s="1"/>
  <c r="H119" i="99"/>
  <c r="I119" i="99" s="1"/>
  <c r="H11" i="26"/>
  <c r="D116" i="86"/>
  <c r="D116" i="29"/>
  <c r="CX116" i="99"/>
  <c r="D116" i="58"/>
  <c r="CZ116" i="99"/>
  <c r="CZ181" i="39"/>
  <c r="CX181" i="39"/>
  <c r="DS277" i="6"/>
  <c r="DW277" i="6" s="1"/>
  <c r="CX178" i="39"/>
  <c r="CZ178" i="39"/>
  <c r="DS274" i="6"/>
  <c r="DW274" i="6" s="1"/>
  <c r="D117" i="29"/>
  <c r="D117" i="86"/>
  <c r="CX117" i="99"/>
  <c r="D117" i="58"/>
  <c r="CZ117" i="99"/>
  <c r="CX179" i="39"/>
  <c r="CZ179" i="39"/>
  <c r="DS275" i="6"/>
  <c r="DW275" i="6" s="1"/>
  <c r="CX176" i="39"/>
  <c r="CZ176" i="39"/>
  <c r="DS272" i="6"/>
  <c r="DW272" i="6" s="1"/>
  <c r="V10" i="98"/>
  <c r="BG44" i="99"/>
  <c r="BG104" i="39"/>
  <c r="D12" i="91"/>
  <c r="H12" i="91" s="1"/>
  <c r="D103" i="86"/>
  <c r="D103" i="58"/>
  <c r="D103" i="29"/>
  <c r="D107" i="86"/>
  <c r="D107" i="58"/>
  <c r="D107" i="29"/>
  <c r="D105" i="86"/>
  <c r="D105" i="29"/>
  <c r="D105" i="58"/>
  <c r="U87" i="58"/>
  <c r="T87" i="58"/>
  <c r="U86" i="58"/>
  <c r="T86" i="58"/>
  <c r="D108" i="29"/>
  <c r="D108" i="86"/>
  <c r="D108" i="58"/>
  <c r="D99" i="86"/>
  <c r="D99" i="29"/>
  <c r="D99" i="58"/>
  <c r="D98" i="86"/>
  <c r="D98" i="29"/>
  <c r="D98" i="58"/>
  <c r="U92" i="58"/>
  <c r="T92" i="58"/>
  <c r="T95" i="58"/>
  <c r="U95" i="58"/>
  <c r="D101" i="86"/>
  <c r="D101" i="29"/>
  <c r="D101" i="58"/>
  <c r="D102" i="86"/>
  <c r="D102" i="29"/>
  <c r="D102" i="58"/>
  <c r="D106" i="86"/>
  <c r="D106" i="29"/>
  <c r="D106" i="58"/>
  <c r="U90" i="58"/>
  <c r="T90" i="58"/>
  <c r="U89" i="58"/>
  <c r="T89" i="58"/>
  <c r="T94" i="58"/>
  <c r="U94" i="58"/>
  <c r="T91" i="58"/>
  <c r="U91" i="58"/>
  <c r="U88" i="58"/>
  <c r="T88" i="58"/>
  <c r="D104" i="29"/>
  <c r="D104" i="86"/>
  <c r="D104" i="58"/>
  <c r="D100" i="29"/>
  <c r="D100" i="86"/>
  <c r="D100" i="58"/>
  <c r="U97" i="58"/>
  <c r="T97" i="58"/>
  <c r="U96" i="58"/>
  <c r="T96" i="58"/>
  <c r="U93" i="58"/>
  <c r="T93" i="58"/>
  <c r="D113" i="86"/>
  <c r="D113" i="29"/>
  <c r="D113" i="58"/>
  <c r="D109" i="86"/>
  <c r="D109" i="29"/>
  <c r="D109" i="58"/>
  <c r="CW94" i="99"/>
  <c r="D94" i="85"/>
  <c r="D94" i="28"/>
  <c r="CW93" i="99"/>
  <c r="D93" i="85"/>
  <c r="D93" i="28"/>
  <c r="CW97" i="99"/>
  <c r="D97" i="85"/>
  <c r="D97" i="28"/>
  <c r="D115" i="58"/>
  <c r="D115" i="86"/>
  <c r="D114" i="58"/>
  <c r="D114" i="86"/>
  <c r="CW96" i="99"/>
  <c r="D96" i="85"/>
  <c r="D96" i="28"/>
  <c r="CW91" i="99"/>
  <c r="D91" i="85"/>
  <c r="D91" i="28"/>
  <c r="CW89" i="99"/>
  <c r="D89" i="85"/>
  <c r="D89" i="28"/>
  <c r="O12" i="91"/>
  <c r="S12" i="91" s="1"/>
  <c r="D112" i="86"/>
  <c r="D112" i="29"/>
  <c r="D112" i="58"/>
  <c r="D110" i="58"/>
  <c r="D110" i="86"/>
  <c r="D110" i="29"/>
  <c r="CW88" i="99"/>
  <c r="D88" i="85"/>
  <c r="D88" i="28"/>
  <c r="CW92" i="99"/>
  <c r="D92" i="85"/>
  <c r="D92" i="28"/>
  <c r="CW90" i="99"/>
  <c r="D90" i="85"/>
  <c r="D90" i="28"/>
  <c r="D111" i="58"/>
  <c r="D111" i="86"/>
  <c r="D111" i="29"/>
  <c r="CW86" i="99"/>
  <c r="D86" i="85"/>
  <c r="D86" i="28"/>
  <c r="CW87" i="99"/>
  <c r="D87" i="85"/>
  <c r="D87" i="28"/>
  <c r="CW95" i="99"/>
  <c r="D95" i="85"/>
  <c r="D95" i="28"/>
  <c r="W8" i="98"/>
  <c r="BI42" i="99"/>
  <c r="BI102" i="39"/>
  <c r="AB5" i="98"/>
  <c r="BH99" i="39"/>
  <c r="BH39" i="99"/>
  <c r="D112" i="47"/>
  <c r="D111" i="47"/>
  <c r="D113" i="47"/>
  <c r="D114" i="47"/>
  <c r="CZ173" i="39"/>
  <c r="CX173" i="39"/>
  <c r="CX170" i="39"/>
  <c r="CZ170" i="39"/>
  <c r="CX112" i="99"/>
  <c r="CZ112" i="99"/>
  <c r="CZ110" i="99"/>
  <c r="CX110" i="99"/>
  <c r="CZ108" i="99"/>
  <c r="CX108" i="99"/>
  <c r="CZ99" i="99"/>
  <c r="CX99" i="99"/>
  <c r="CZ98" i="99"/>
  <c r="CX98" i="99"/>
  <c r="K146" i="9"/>
  <c r="H101" i="99"/>
  <c r="I101" i="99" s="1"/>
  <c r="D101" i="47" s="1"/>
  <c r="H100" i="99"/>
  <c r="I100" i="99" s="1"/>
  <c r="D100" i="47" s="1"/>
  <c r="H107" i="99"/>
  <c r="I107" i="99" s="1"/>
  <c r="D107" i="47" s="1"/>
  <c r="H99" i="99"/>
  <c r="I99" i="99" s="1"/>
  <c r="D99" i="47" s="1"/>
  <c r="H104" i="99"/>
  <c r="I104" i="99" s="1"/>
  <c r="D104" i="47" s="1"/>
  <c r="H109" i="99"/>
  <c r="I109" i="99" s="1"/>
  <c r="D109" i="47" s="1"/>
  <c r="H102" i="99"/>
  <c r="I102" i="99" s="1"/>
  <c r="D102" i="47" s="1"/>
  <c r="H105" i="99"/>
  <c r="I105" i="99" s="1"/>
  <c r="D105" i="47" s="1"/>
  <c r="H98" i="99"/>
  <c r="I98" i="99" s="1"/>
  <c r="D98" i="47" s="1"/>
  <c r="H108" i="99"/>
  <c r="I108" i="99" s="1"/>
  <c r="D108" i="47" s="1"/>
  <c r="H106" i="99"/>
  <c r="I106" i="99" s="1"/>
  <c r="D106" i="47" s="1"/>
  <c r="H103" i="99"/>
  <c r="I103" i="99" s="1"/>
  <c r="D103" i="47" s="1"/>
  <c r="CZ172" i="39"/>
  <c r="CX172" i="39"/>
  <c r="CZ111" i="99"/>
  <c r="CX111" i="99"/>
  <c r="CX101" i="99"/>
  <c r="CZ101" i="99"/>
  <c r="CX102" i="99"/>
  <c r="CZ102" i="99"/>
  <c r="CX106" i="99"/>
  <c r="CZ106" i="99"/>
  <c r="CZ175" i="39"/>
  <c r="CX175" i="39"/>
  <c r="CV110" i="99"/>
  <c r="CV115" i="99"/>
  <c r="CV112" i="99"/>
  <c r="CV113" i="99"/>
  <c r="CV114" i="99"/>
  <c r="CZ113" i="99"/>
  <c r="CX113" i="99"/>
  <c r="CZ104" i="99"/>
  <c r="CX104" i="99"/>
  <c r="CX100" i="99"/>
  <c r="CZ100" i="99"/>
  <c r="CZ109" i="99"/>
  <c r="CX109" i="99"/>
  <c r="CX174" i="39"/>
  <c r="CZ174" i="39"/>
  <c r="CZ171" i="39"/>
  <c r="CX171" i="39"/>
  <c r="CZ115" i="99"/>
  <c r="CX115" i="99"/>
  <c r="CX114" i="99"/>
  <c r="CZ114" i="99"/>
  <c r="CX103" i="99"/>
  <c r="CZ103" i="99"/>
  <c r="CX107" i="99"/>
  <c r="CZ107" i="99"/>
  <c r="CX105" i="99"/>
  <c r="CZ105" i="99"/>
  <c r="CZ147" i="39"/>
  <c r="CX147" i="39"/>
  <c r="CZ155" i="39"/>
  <c r="CX155" i="39"/>
  <c r="CZ154" i="39"/>
  <c r="CX154" i="39"/>
  <c r="CZ150" i="39"/>
  <c r="CX150" i="39"/>
  <c r="CZ156" i="39"/>
  <c r="CX156" i="39"/>
  <c r="CZ153" i="39"/>
  <c r="CX153" i="39"/>
  <c r="CZ157" i="39"/>
  <c r="CX157" i="39"/>
  <c r="CZ151" i="39"/>
  <c r="CX151" i="39"/>
  <c r="CZ152" i="39"/>
  <c r="CX152" i="39"/>
  <c r="CZ149" i="39"/>
  <c r="CX149" i="39"/>
  <c r="CZ148" i="39"/>
  <c r="CX148" i="39"/>
  <c r="DS268" i="6"/>
  <c r="DW268" i="6" s="1"/>
  <c r="D172" i="39"/>
  <c r="E172" i="39" s="1"/>
  <c r="D112" i="27" s="1"/>
  <c r="D175" i="39"/>
  <c r="E175" i="39" s="1"/>
  <c r="D173" i="39"/>
  <c r="E173" i="39" s="1"/>
  <c r="D113" i="27" s="1"/>
  <c r="D174" i="39"/>
  <c r="E174" i="39" s="1"/>
  <c r="D170" i="39"/>
  <c r="E170" i="39" s="1"/>
  <c r="D110" i="27" s="1"/>
  <c r="D171" i="39"/>
  <c r="E171" i="39" s="1"/>
  <c r="D111" i="27" s="1"/>
  <c r="K147" i="9"/>
  <c r="O12" i="33"/>
  <c r="S12" i="33" s="1"/>
  <c r="DS271" i="6"/>
  <c r="DW271" i="6" s="1"/>
  <c r="H164" i="39"/>
  <c r="I164" i="39" s="1"/>
  <c r="H168" i="39"/>
  <c r="H160" i="39"/>
  <c r="I160" i="39" s="1"/>
  <c r="H167" i="39"/>
  <c r="I167" i="39" s="1"/>
  <c r="H161" i="39"/>
  <c r="I161" i="39" s="1"/>
  <c r="H166" i="39"/>
  <c r="I166" i="39" s="1"/>
  <c r="H163" i="39"/>
  <c r="I163" i="39" s="1"/>
  <c r="H165" i="39"/>
  <c r="I165" i="39" s="1"/>
  <c r="H158" i="39"/>
  <c r="H169" i="39"/>
  <c r="I169" i="39" s="1"/>
  <c r="H159" i="39"/>
  <c r="H162" i="39"/>
  <c r="I162" i="39" s="1"/>
  <c r="H173" i="39"/>
  <c r="I173" i="39" s="1"/>
  <c r="CW173" i="39" s="1"/>
  <c r="H174" i="39"/>
  <c r="I174" i="39" s="1"/>
  <c r="CW174" i="39" s="1"/>
  <c r="H170" i="39"/>
  <c r="I170" i="39" s="1"/>
  <c r="CW170" i="39" s="1"/>
  <c r="H171" i="39"/>
  <c r="I171" i="39" s="1"/>
  <c r="CW171" i="39" s="1"/>
  <c r="H175" i="39"/>
  <c r="I175" i="39" s="1"/>
  <c r="CW175" i="39" s="1"/>
  <c r="H172" i="39"/>
  <c r="I172" i="39" s="1"/>
  <c r="CW172" i="39" s="1"/>
  <c r="DS270" i="6"/>
  <c r="DW270" i="6" s="1"/>
  <c r="DS267" i="6"/>
  <c r="DW267" i="6" s="1"/>
  <c r="DS269" i="6"/>
  <c r="DW269" i="6" s="1"/>
  <c r="DS266" i="6"/>
  <c r="DW266" i="6" s="1"/>
  <c r="D12" i="33"/>
  <c r="H12" i="33" s="1"/>
  <c r="A34" i="32"/>
  <c r="A45" i="32"/>
  <c r="A57" i="32" s="1"/>
  <c r="K149" i="9"/>
  <c r="CL29" i="6"/>
  <c r="CV29" i="6"/>
  <c r="D94" i="84"/>
  <c r="CV154" i="39"/>
  <c r="D94" i="27"/>
  <c r="D94" i="41"/>
  <c r="DQ250" i="6"/>
  <c r="DU250" i="6" s="1"/>
  <c r="D89" i="84"/>
  <c r="CV149" i="39"/>
  <c r="DQ245" i="6"/>
  <c r="DU245" i="6" s="1"/>
  <c r="D89" i="27"/>
  <c r="D89" i="41"/>
  <c r="DR253" i="6"/>
  <c r="DV253" i="6" s="1"/>
  <c r="CW157" i="39"/>
  <c r="DA154" i="39"/>
  <c r="CY154" i="39"/>
  <c r="D94" i="30"/>
  <c r="DT250" i="6"/>
  <c r="DX250" i="6" s="1"/>
  <c r="Z13" i="91"/>
  <c r="M146" i="39"/>
  <c r="AA12" i="91" s="1"/>
  <c r="Z13" i="33"/>
  <c r="AD13" i="33" s="1"/>
  <c r="D92" i="84"/>
  <c r="DQ248" i="6"/>
  <c r="DU248" i="6" s="1"/>
  <c r="D92" i="41"/>
  <c r="CV152" i="39"/>
  <c r="D92" i="27"/>
  <c r="D97" i="84"/>
  <c r="DQ253" i="6"/>
  <c r="DU253" i="6" s="1"/>
  <c r="D97" i="27"/>
  <c r="D97" i="41"/>
  <c r="CV157" i="39"/>
  <c r="D95" i="84"/>
  <c r="D95" i="27"/>
  <c r="DQ251" i="6"/>
  <c r="DU251" i="6" s="1"/>
  <c r="CV155" i="39"/>
  <c r="D95" i="41"/>
  <c r="CW147" i="39"/>
  <c r="DR243" i="6"/>
  <c r="DV243" i="6" s="1"/>
  <c r="DR250" i="6"/>
  <c r="DV250" i="6" s="1"/>
  <c r="CW154" i="39"/>
  <c r="I146" i="39"/>
  <c r="D87" i="30"/>
  <c r="DA147" i="39"/>
  <c r="DT243" i="6"/>
  <c r="DX243" i="6" s="1"/>
  <c r="CY147" i="39"/>
  <c r="CY153" i="39"/>
  <c r="D93" i="30"/>
  <c r="DT249" i="6"/>
  <c r="DX249" i="6" s="1"/>
  <c r="DA153" i="39"/>
  <c r="DT245" i="6"/>
  <c r="DX245" i="6" s="1"/>
  <c r="CY149" i="39"/>
  <c r="D89" i="30"/>
  <c r="DA149" i="39"/>
  <c r="I168" i="39"/>
  <c r="DS251" i="6"/>
  <c r="DW251" i="6" s="1"/>
  <c r="DS250" i="6"/>
  <c r="DW250" i="6" s="1"/>
  <c r="DS252" i="6"/>
  <c r="DW252" i="6" s="1"/>
  <c r="D91" i="84"/>
  <c r="DQ247" i="6"/>
  <c r="DU247" i="6" s="1"/>
  <c r="D91" i="27"/>
  <c r="D91" i="41"/>
  <c r="CV151" i="39"/>
  <c r="CW153" i="39"/>
  <c r="DR249" i="6"/>
  <c r="DV249" i="6" s="1"/>
  <c r="CW155" i="39"/>
  <c r="DR251" i="6"/>
  <c r="DV251" i="6" s="1"/>
  <c r="DS244" i="6"/>
  <c r="DW244" i="6" s="1"/>
  <c r="D93" i="41"/>
  <c r="D93" i="27"/>
  <c r="DQ249" i="6"/>
  <c r="DU249" i="6" s="1"/>
  <c r="D93" i="84"/>
  <c r="CV153" i="39"/>
  <c r="D96" i="84"/>
  <c r="D96" i="41"/>
  <c r="D96" i="27"/>
  <c r="CV156" i="39"/>
  <c r="DQ252" i="6"/>
  <c r="DU252" i="6" s="1"/>
  <c r="D90" i="84"/>
  <c r="D90" i="27"/>
  <c r="DQ246" i="6"/>
  <c r="DU246" i="6" s="1"/>
  <c r="D90" i="41"/>
  <c r="CV150" i="39"/>
  <c r="DR252" i="6"/>
  <c r="DV252" i="6" s="1"/>
  <c r="CW156" i="39"/>
  <c r="DR244" i="6"/>
  <c r="DV244" i="6" s="1"/>
  <c r="CW148" i="39"/>
  <c r="DR247" i="6"/>
  <c r="DV247" i="6" s="1"/>
  <c r="CW151" i="39"/>
  <c r="DT251" i="6"/>
  <c r="DX251" i="6" s="1"/>
  <c r="CY155" i="39"/>
  <c r="DA155" i="39"/>
  <c r="D95" i="30"/>
  <c r="CY150" i="39"/>
  <c r="DA150" i="39"/>
  <c r="D90" i="30"/>
  <c r="DT246" i="6"/>
  <c r="DX246" i="6" s="1"/>
  <c r="D92" i="30"/>
  <c r="CY152" i="39"/>
  <c r="DA152" i="39"/>
  <c r="DT248" i="6"/>
  <c r="DX248" i="6" s="1"/>
  <c r="DS249" i="6"/>
  <c r="DW249" i="6" s="1"/>
  <c r="DS253" i="6"/>
  <c r="DW253" i="6" s="1"/>
  <c r="DS246" i="6"/>
  <c r="DW246" i="6" s="1"/>
  <c r="M165" i="39"/>
  <c r="M163" i="39"/>
  <c r="M164" i="39"/>
  <c r="M166" i="39"/>
  <c r="M160" i="39"/>
  <c r="M167" i="39"/>
  <c r="M161" i="39"/>
  <c r="M162" i="39"/>
  <c r="M159" i="39"/>
  <c r="M169" i="39"/>
  <c r="M168" i="39"/>
  <c r="D97" i="30"/>
  <c r="DA157" i="39"/>
  <c r="CY157" i="39"/>
  <c r="DT253" i="6"/>
  <c r="DX253" i="6" s="1"/>
  <c r="DS243" i="6"/>
  <c r="DW243" i="6" s="1"/>
  <c r="E165" i="39"/>
  <c r="D159" i="39"/>
  <c r="E159" i="39" s="1"/>
  <c r="E164" i="39"/>
  <c r="E161" i="39"/>
  <c r="E163" i="39"/>
  <c r="D160" i="39"/>
  <c r="E160" i="39" s="1"/>
  <c r="E167" i="39"/>
  <c r="D158" i="39"/>
  <c r="E168" i="39"/>
  <c r="E162" i="39"/>
  <c r="E166" i="39"/>
  <c r="D88" i="84"/>
  <c r="DQ244" i="6"/>
  <c r="DU244" i="6" s="1"/>
  <c r="D88" i="41"/>
  <c r="D88" i="27"/>
  <c r="CV148" i="39"/>
  <c r="E146" i="39"/>
  <c r="D87" i="84"/>
  <c r="D87" i="27"/>
  <c r="CV147" i="39"/>
  <c r="D87" i="41"/>
  <c r="DQ243" i="6"/>
  <c r="DU243" i="6" s="1"/>
  <c r="DR248" i="6"/>
  <c r="DV248" i="6" s="1"/>
  <c r="CW152" i="39"/>
  <c r="CW150" i="39"/>
  <c r="DR246" i="6"/>
  <c r="DV246" i="6" s="1"/>
  <c r="DR245" i="6"/>
  <c r="DV245" i="6" s="1"/>
  <c r="CW149" i="39"/>
  <c r="DA156" i="39"/>
  <c r="D96" i="30"/>
  <c r="CY156" i="39"/>
  <c r="DT252" i="6"/>
  <c r="DX252" i="6" s="1"/>
  <c r="DT247" i="6"/>
  <c r="DX247" i="6" s="1"/>
  <c r="CY151" i="39"/>
  <c r="DA151" i="39"/>
  <c r="D91" i="30"/>
  <c r="CY148" i="39"/>
  <c r="DA148" i="39"/>
  <c r="D88" i="30"/>
  <c r="DT244" i="6"/>
  <c r="DX244" i="6" s="1"/>
  <c r="DS248" i="6"/>
  <c r="DW248" i="6" s="1"/>
  <c r="DS245" i="6"/>
  <c r="DW245" i="6" s="1"/>
  <c r="DS247" i="6"/>
  <c r="DW247" i="6" s="1"/>
  <c r="AP12" i="91"/>
  <c r="AQ12" i="91" s="1"/>
  <c r="BB12" i="91"/>
  <c r="BC12" i="91" s="1"/>
  <c r="AV12" i="91"/>
  <c r="AW12" i="91" s="1"/>
  <c r="BA13" i="91"/>
  <c r="AO13" i="91"/>
  <c r="AU13" i="91"/>
  <c r="BY167" i="39"/>
  <c r="BY163" i="39"/>
  <c r="BY161" i="39"/>
  <c r="BY148" i="39"/>
  <c r="BY147" i="39"/>
  <c r="CA136" i="39"/>
  <c r="CA135" i="39"/>
  <c r="CA149" i="39"/>
  <c r="BY146" i="39"/>
  <c r="BY153" i="39"/>
  <c r="BY154" i="39"/>
  <c r="BY164" i="39"/>
  <c r="BY162" i="39"/>
  <c r="BY168" i="39"/>
  <c r="J48" i="36"/>
  <c r="AQ13" i="33"/>
  <c r="AR13" i="33" s="1"/>
  <c r="AS13" i="33" s="1"/>
  <c r="K26" i="35" s="1"/>
  <c r="L26" i="35" s="1"/>
  <c r="P12" i="32"/>
  <c r="BC13" i="33"/>
  <c r="BD13" i="33" s="1"/>
  <c r="BE13" i="33" s="1"/>
  <c r="X12" i="32"/>
  <c r="B14" i="32"/>
  <c r="B15" i="32" s="1"/>
  <c r="L45" i="36"/>
  <c r="L46" i="36"/>
  <c r="L41" i="36"/>
  <c r="L47" i="36"/>
  <c r="D12" i="32"/>
  <c r="AW13" i="33"/>
  <c r="AX13" i="33" s="1"/>
  <c r="AY13" i="33" s="1"/>
  <c r="Q26" i="35" s="1"/>
  <c r="R26" i="35" s="1"/>
  <c r="T12" i="32"/>
  <c r="AB12" i="32"/>
  <c r="CA152" i="39"/>
  <c r="CF57" i="39"/>
  <c r="DD56" i="39"/>
  <c r="DH56" i="39"/>
  <c r="DL56" i="39"/>
  <c r="DE56" i="39"/>
  <c r="DI56" i="39"/>
  <c r="DM56" i="39"/>
  <c r="DF56" i="39"/>
  <c r="DJ56" i="39"/>
  <c r="DN56" i="39"/>
  <c r="DC56" i="39"/>
  <c r="DG56" i="39"/>
  <c r="DK56" i="39"/>
  <c r="DO56" i="39"/>
  <c r="DB56" i="39"/>
  <c r="CA157" i="39"/>
  <c r="CA134" i="39"/>
  <c r="Z23" i="35"/>
  <c r="CE165" i="39"/>
  <c r="CD167" i="39"/>
  <c r="CK166" i="39"/>
  <c r="CP166" i="39"/>
  <c r="CS166" i="39"/>
  <c r="CH166" i="39"/>
  <c r="CM166" i="39"/>
  <c r="CU166" i="39"/>
  <c r="CL166" i="39"/>
  <c r="CO166" i="39"/>
  <c r="CR166" i="39"/>
  <c r="CT166" i="39"/>
  <c r="CJ166" i="39"/>
  <c r="CI166" i="39"/>
  <c r="CN166" i="39"/>
  <c r="CQ166" i="39"/>
  <c r="CA150" i="39"/>
  <c r="BZ139" i="39"/>
  <c r="BZ151" i="39" s="1"/>
  <c r="BZ163" i="39" s="1"/>
  <c r="CA127" i="39"/>
  <c r="CA156" i="39"/>
  <c r="CA141" i="39"/>
  <c r="BZ143" i="39"/>
  <c r="BZ155" i="39" s="1"/>
  <c r="BZ167" i="39" s="1"/>
  <c r="CA131" i="39"/>
  <c r="CA142" i="39"/>
  <c r="BF12" i="6"/>
  <c r="BT12" i="6"/>
  <c r="CC12" i="6"/>
  <c r="BN12" i="6"/>
  <c r="BC12" i="6"/>
  <c r="AB12" i="6"/>
  <c r="AD12" i="6"/>
  <c r="BS12" i="6"/>
  <c r="BR12" i="6"/>
  <c r="AE12" i="6"/>
  <c r="CQ12" i="6"/>
  <c r="AC12" i="6"/>
  <c r="Y12" i="6"/>
  <c r="AM12" i="6"/>
  <c r="BP12" i="6"/>
  <c r="X12" i="6"/>
  <c r="DF12" i="6"/>
  <c r="CT12" i="6"/>
  <c r="CD12" i="6"/>
  <c r="CA12" i="6"/>
  <c r="CG12" i="6"/>
  <c r="BD12" i="6"/>
  <c r="AA12" i="6"/>
  <c r="CH12" i="6"/>
  <c r="AQ12" i="6"/>
  <c r="AR12" i="6"/>
  <c r="CJ12" i="6"/>
  <c r="AO12" i="6"/>
  <c r="CP12" i="6"/>
  <c r="AS12" i="6"/>
  <c r="BA12" i="6"/>
  <c r="AP12" i="6"/>
  <c r="CO12" i="6"/>
  <c r="AY12" i="6"/>
  <c r="Z12" i="6"/>
  <c r="BQ12" i="6"/>
  <c r="CB12" i="6"/>
  <c r="CE12" i="6"/>
  <c r="V13" i="6"/>
  <c r="DH12" i="6"/>
  <c r="BM12" i="6"/>
  <c r="DK12" i="6"/>
  <c r="AK12" i="6"/>
  <c r="DI12" i="6"/>
  <c r="BO12" i="6"/>
  <c r="DD12" i="6"/>
  <c r="W12" i="6"/>
  <c r="AL12" i="6"/>
  <c r="BE12" i="6"/>
  <c r="CR12" i="6"/>
  <c r="DG12" i="6"/>
  <c r="CI12" i="6"/>
  <c r="CU12" i="6"/>
  <c r="AZ12" i="6"/>
  <c r="BB12" i="6"/>
  <c r="CV12" i="6"/>
  <c r="AN12" i="6"/>
  <c r="CK12" i="6"/>
  <c r="DC12" i="6"/>
  <c r="CF12" i="6"/>
  <c r="CS12" i="6"/>
  <c r="DE12" i="6"/>
  <c r="DJ12" i="6"/>
  <c r="CL12" i="6"/>
  <c r="AF12" i="6"/>
  <c r="DJ28" i="6"/>
  <c r="CW13" i="6"/>
  <c r="AR25" i="6"/>
  <c r="AS4" i="6"/>
  <c r="AR8" i="6"/>
  <c r="AR21" i="6"/>
  <c r="AR23" i="6"/>
  <c r="AR7" i="6"/>
  <c r="AR5" i="6"/>
  <c r="AR22" i="6"/>
  <c r="AR6" i="6"/>
  <c r="AR24" i="6"/>
  <c r="AR26" i="6"/>
  <c r="AR9" i="6"/>
  <c r="AR27" i="6"/>
  <c r="AR10" i="6"/>
  <c r="DJ21" i="6"/>
  <c r="DJ5" i="6"/>
  <c r="DK4" i="6"/>
  <c r="DJ22" i="6"/>
  <c r="DJ23" i="6"/>
  <c r="DJ6" i="6"/>
  <c r="DJ24" i="6"/>
  <c r="DJ7" i="6"/>
  <c r="DJ8" i="6"/>
  <c r="DJ25" i="6"/>
  <c r="DJ9" i="6"/>
  <c r="DJ26" i="6"/>
  <c r="DJ10" i="6"/>
  <c r="DJ27" i="6"/>
  <c r="BG13" i="6"/>
  <c r="BT21" i="6"/>
  <c r="BT22" i="6"/>
  <c r="BT5" i="6"/>
  <c r="BT23" i="6"/>
  <c r="BT6" i="6"/>
  <c r="BU4" i="6"/>
  <c r="BT7" i="6"/>
  <c r="BT24" i="6"/>
  <c r="BT8" i="6"/>
  <c r="BT25" i="6"/>
  <c r="BT26" i="6"/>
  <c r="BT9" i="6"/>
  <c r="BT10" i="6"/>
  <c r="BT27" i="6"/>
  <c r="BT28" i="6"/>
  <c r="CS29" i="6"/>
  <c r="CI29" i="6"/>
  <c r="DD29" i="6"/>
  <c r="CP29" i="6"/>
  <c r="DF29" i="6"/>
  <c r="CR29" i="6"/>
  <c r="BU29" i="6"/>
  <c r="CG29" i="6"/>
  <c r="AL29" i="6"/>
  <c r="AR29" i="6"/>
  <c r="BP29" i="6"/>
  <c r="BD29" i="6"/>
  <c r="W29" i="6"/>
  <c r="AC29" i="6"/>
  <c r="CB29" i="6"/>
  <c r="BR29" i="6"/>
  <c r="CD29" i="6"/>
  <c r="DC29" i="6"/>
  <c r="CF29" i="6"/>
  <c r="BN29" i="6"/>
  <c r="AZ29" i="6"/>
  <c r="BO29" i="6"/>
  <c r="BQ29" i="6"/>
  <c r="CO29" i="6"/>
  <c r="BM29" i="6"/>
  <c r="CJ29" i="6"/>
  <c r="Y29" i="6"/>
  <c r="AQ29" i="6"/>
  <c r="AK29" i="6"/>
  <c r="AO29" i="6"/>
  <c r="DI29" i="6"/>
  <c r="AA29" i="6"/>
  <c r="CT29" i="6"/>
  <c r="X29" i="6"/>
  <c r="DH29" i="6"/>
  <c r="BC29" i="6"/>
  <c r="CE29" i="6"/>
  <c r="DG29" i="6"/>
  <c r="CA29" i="6"/>
  <c r="AP29" i="6"/>
  <c r="AE29" i="6"/>
  <c r="BS29" i="6"/>
  <c r="CK29" i="6"/>
  <c r="DJ29" i="6"/>
  <c r="V30" i="6"/>
  <c r="BB29" i="6"/>
  <c r="BA29" i="6"/>
  <c r="AM29" i="6"/>
  <c r="AY29" i="6"/>
  <c r="AS29" i="6"/>
  <c r="AN29" i="6"/>
  <c r="DK29" i="6"/>
  <c r="AB29" i="6"/>
  <c r="AD29" i="6"/>
  <c r="Z29" i="6"/>
  <c r="DE29" i="6"/>
  <c r="BT29" i="6"/>
  <c r="CH29" i="6"/>
  <c r="CC29" i="6"/>
  <c r="CQ29" i="6"/>
  <c r="BE29" i="6"/>
  <c r="CU29" i="6"/>
  <c r="BG7" i="6"/>
  <c r="BG23" i="6"/>
  <c r="BG21" i="6"/>
  <c r="BG22" i="6"/>
  <c r="BG24" i="6"/>
  <c r="BG8" i="6"/>
  <c r="BG5" i="6"/>
  <c r="BH4" i="6"/>
  <c r="BG25" i="6"/>
  <c r="BG6" i="6"/>
  <c r="BG26" i="6"/>
  <c r="BG9" i="6"/>
  <c r="BG27" i="6"/>
  <c r="BG28" i="6"/>
  <c r="BG10" i="6"/>
  <c r="BG11" i="6"/>
  <c r="BG29" i="6"/>
  <c r="BG30" i="6"/>
  <c r="BG12" i="6"/>
  <c r="AG7" i="6"/>
  <c r="AG25" i="6"/>
  <c r="AG21" i="6"/>
  <c r="AG5" i="6"/>
  <c r="AG23" i="6"/>
  <c r="AG22" i="6"/>
  <c r="AG6" i="6"/>
  <c r="AG24" i="6"/>
  <c r="AH4" i="6"/>
  <c r="AG26" i="6"/>
  <c r="AG8" i="6"/>
  <c r="AG27" i="6"/>
  <c r="AG9" i="6"/>
  <c r="AG28" i="6"/>
  <c r="AG10" i="6"/>
  <c r="AG11" i="6"/>
  <c r="AG29" i="6"/>
  <c r="AG12" i="6"/>
  <c r="AG30" i="6"/>
  <c r="CW6" i="6"/>
  <c r="CW23" i="6"/>
  <c r="CW25" i="6"/>
  <c r="CW7" i="6"/>
  <c r="CW22" i="6"/>
  <c r="CW21" i="6"/>
  <c r="CW8" i="6"/>
  <c r="CW5" i="6"/>
  <c r="CX4" i="6"/>
  <c r="CW24" i="6"/>
  <c r="CW26" i="6"/>
  <c r="CW27" i="6"/>
  <c r="CW9" i="6"/>
  <c r="CW28" i="6"/>
  <c r="CW10" i="6"/>
  <c r="CW11" i="6"/>
  <c r="CW29" i="6"/>
  <c r="CW30" i="6"/>
  <c r="CW12" i="6"/>
  <c r="G55" i="103" l="1"/>
  <c r="G60" i="103" s="1"/>
  <c r="I13" i="103"/>
  <c r="I16" i="103" s="1"/>
  <c r="I23" i="103"/>
  <c r="I26" i="103" s="1"/>
  <c r="H53" i="103"/>
  <c r="H54" i="103"/>
  <c r="H55" i="103"/>
  <c r="H60" i="103" s="1"/>
  <c r="J18" i="103"/>
  <c r="J21" i="103" s="1"/>
  <c r="E85" i="111"/>
  <c r="J85" i="111" s="1"/>
  <c r="C92" i="111"/>
  <c r="E88" i="111"/>
  <c r="J88" i="111" s="1"/>
  <c r="C105" i="111"/>
  <c r="E79" i="111"/>
  <c r="D101" i="111"/>
  <c r="C114" i="111" s="1"/>
  <c r="K32" i="111"/>
  <c r="D92" i="111"/>
  <c r="D98" i="111"/>
  <c r="C111" i="111" s="1"/>
  <c r="K31" i="111"/>
  <c r="L30" i="111"/>
  <c r="D117" i="111" s="1"/>
  <c r="C130" i="111" s="1"/>
  <c r="G20" i="110"/>
  <c r="Q20" i="110" s="1"/>
  <c r="L24" i="111"/>
  <c r="G16" i="110"/>
  <c r="Q16" i="110" s="1"/>
  <c r="L29" i="111"/>
  <c r="D116" i="111" s="1"/>
  <c r="C129" i="111" s="1"/>
  <c r="G21" i="110"/>
  <c r="Q21" i="110" s="1"/>
  <c r="L28" i="111"/>
  <c r="D115" i="111" s="1"/>
  <c r="C128" i="111" s="1"/>
  <c r="G22" i="110"/>
  <c r="Q22" i="110" s="1"/>
  <c r="P20" i="110"/>
  <c r="P24" i="110"/>
  <c r="P16" i="110"/>
  <c r="P22" i="110"/>
  <c r="P21" i="110"/>
  <c r="E104" i="111"/>
  <c r="J104" i="111" s="1"/>
  <c r="E102" i="111"/>
  <c r="J102" i="111" s="1"/>
  <c r="E103" i="111"/>
  <c r="J103" i="111" s="1"/>
  <c r="D115" i="84"/>
  <c r="D115" i="27"/>
  <c r="H12" i="26"/>
  <c r="D118" i="85"/>
  <c r="D118" i="28"/>
  <c r="D118" i="47"/>
  <c r="CW118" i="99"/>
  <c r="D117" i="85"/>
  <c r="D117" i="28"/>
  <c r="D117" i="47"/>
  <c r="CW117" i="99"/>
  <c r="CW181" i="39"/>
  <c r="DR277" i="6"/>
  <c r="DV277" i="6" s="1"/>
  <c r="U118" i="58"/>
  <c r="T118" i="58"/>
  <c r="D117" i="84"/>
  <c r="D117" i="27"/>
  <c r="CV177" i="39"/>
  <c r="D117" i="41"/>
  <c r="DQ273" i="6"/>
  <c r="DU273" i="6" s="1"/>
  <c r="T120" i="58"/>
  <c r="U120" i="58"/>
  <c r="T116" i="58"/>
  <c r="U116" i="58"/>
  <c r="D121" i="85"/>
  <c r="D121" i="28"/>
  <c r="D121" i="47"/>
  <c r="CW121" i="99"/>
  <c r="CW177" i="39"/>
  <c r="DR273" i="6"/>
  <c r="DV273" i="6" s="1"/>
  <c r="T121" i="58"/>
  <c r="U121" i="58"/>
  <c r="D118" i="84"/>
  <c r="D118" i="27"/>
  <c r="CV178" i="39"/>
  <c r="D118" i="41"/>
  <c r="DQ274" i="6"/>
  <c r="DU274" i="6" s="1"/>
  <c r="D120" i="27"/>
  <c r="D120" i="84"/>
  <c r="CV180" i="39"/>
  <c r="D120" i="41"/>
  <c r="DQ276" i="6"/>
  <c r="DU276" i="6" s="1"/>
  <c r="D114" i="84"/>
  <c r="D114" i="27"/>
  <c r="T117" i="58"/>
  <c r="U117" i="58"/>
  <c r="D119" i="85"/>
  <c r="D119" i="28"/>
  <c r="D119" i="47"/>
  <c r="CW119" i="99"/>
  <c r="D115" i="85"/>
  <c r="D115" i="28"/>
  <c r="D116" i="85"/>
  <c r="D116" i="28"/>
  <c r="D116" i="47"/>
  <c r="CW116" i="99"/>
  <c r="CW180" i="39"/>
  <c r="DR276" i="6"/>
  <c r="DV276" i="6" s="1"/>
  <c r="CW179" i="39"/>
  <c r="DR275" i="6"/>
  <c r="DV275" i="6" s="1"/>
  <c r="D119" i="84"/>
  <c r="D119" i="27"/>
  <c r="CV179" i="39"/>
  <c r="D119" i="41"/>
  <c r="DQ275" i="6"/>
  <c r="DU275" i="6" s="1"/>
  <c r="D116" i="27"/>
  <c r="D116" i="84"/>
  <c r="CV176" i="39"/>
  <c r="D116" i="41"/>
  <c r="DQ272" i="6"/>
  <c r="DU272" i="6" s="1"/>
  <c r="D120" i="85"/>
  <c r="D120" i="28"/>
  <c r="D120" i="47"/>
  <c r="CW120" i="99"/>
  <c r="CW176" i="39"/>
  <c r="DR272" i="6"/>
  <c r="DV272" i="6" s="1"/>
  <c r="CW178" i="39"/>
  <c r="DR274" i="6"/>
  <c r="DV274" i="6" s="1"/>
  <c r="D121" i="27"/>
  <c r="CV181" i="39"/>
  <c r="D121" i="84"/>
  <c r="D121" i="41"/>
  <c r="DQ277" i="6"/>
  <c r="DU277" i="6" s="1"/>
  <c r="U119" i="58"/>
  <c r="T119" i="58"/>
  <c r="AA14" i="32"/>
  <c r="AA15" i="32" s="1"/>
  <c r="L44" i="36"/>
  <c r="O13" i="91"/>
  <c r="S13" i="91" s="1"/>
  <c r="V11" i="98"/>
  <c r="BG45" i="99"/>
  <c r="BG105" i="39"/>
  <c r="I159" i="39"/>
  <c r="DR255" i="6" s="1"/>
  <c r="DV255" i="6" s="1"/>
  <c r="D13" i="91"/>
  <c r="H13" i="91" s="1"/>
  <c r="U104" i="58"/>
  <c r="T104" i="58"/>
  <c r="T102" i="58"/>
  <c r="U102" i="58"/>
  <c r="U108" i="58"/>
  <c r="T108" i="58"/>
  <c r="U100" i="58"/>
  <c r="T100" i="58"/>
  <c r="T106" i="58"/>
  <c r="U106" i="58"/>
  <c r="T99" i="58"/>
  <c r="U99" i="58"/>
  <c r="T98" i="58"/>
  <c r="U98" i="58"/>
  <c r="T103" i="58"/>
  <c r="U103" i="58"/>
  <c r="E12" i="33"/>
  <c r="E12" i="91"/>
  <c r="U101" i="58"/>
  <c r="T101" i="58"/>
  <c r="U105" i="58"/>
  <c r="T105" i="58"/>
  <c r="T107" i="58"/>
  <c r="U107" i="58"/>
  <c r="CW106" i="99"/>
  <c r="D106" i="85"/>
  <c r="D106" i="28"/>
  <c r="CW102" i="99"/>
  <c r="D102" i="85"/>
  <c r="D102" i="28"/>
  <c r="CW107" i="99"/>
  <c r="D107" i="85"/>
  <c r="D107" i="28"/>
  <c r="CW113" i="99"/>
  <c r="D113" i="85"/>
  <c r="T111" i="58"/>
  <c r="U111" i="58"/>
  <c r="U112" i="58"/>
  <c r="T112" i="58"/>
  <c r="CW108" i="99"/>
  <c r="D108" i="85"/>
  <c r="D108" i="28"/>
  <c r="CW109" i="99"/>
  <c r="D109" i="85"/>
  <c r="D109" i="28"/>
  <c r="CW100" i="99"/>
  <c r="D100" i="85"/>
  <c r="D100" i="28"/>
  <c r="CW111" i="99"/>
  <c r="D111" i="85"/>
  <c r="D111" i="28"/>
  <c r="T115" i="58"/>
  <c r="U115" i="58"/>
  <c r="U113" i="58"/>
  <c r="T113" i="58"/>
  <c r="P12" i="33"/>
  <c r="P12" i="91"/>
  <c r="CW98" i="99"/>
  <c r="D98" i="85"/>
  <c r="D98" i="28"/>
  <c r="CW104" i="99"/>
  <c r="D104" i="85"/>
  <c r="D104" i="28"/>
  <c r="CW101" i="99"/>
  <c r="D101" i="85"/>
  <c r="D101" i="28"/>
  <c r="CW110" i="99"/>
  <c r="D110" i="85"/>
  <c r="D110" i="28"/>
  <c r="CW115" i="99"/>
  <c r="U114" i="58"/>
  <c r="T114" i="58"/>
  <c r="U109" i="58"/>
  <c r="T109" i="58"/>
  <c r="M12" i="26"/>
  <c r="O12" i="26" s="1"/>
  <c r="CW103" i="99"/>
  <c r="D103" i="85"/>
  <c r="D103" i="28"/>
  <c r="CW105" i="99"/>
  <c r="D105" i="85"/>
  <c r="D105" i="28"/>
  <c r="CW99" i="99"/>
  <c r="D99" i="85"/>
  <c r="D99" i="28"/>
  <c r="CW114" i="99"/>
  <c r="D114" i="85"/>
  <c r="CW112" i="99"/>
  <c r="D112" i="85"/>
  <c r="M13" i="26"/>
  <c r="O13" i="26" s="1"/>
  <c r="U110" i="58"/>
  <c r="T110" i="58"/>
  <c r="W9" i="98"/>
  <c r="BI43" i="99"/>
  <c r="BI103" i="39"/>
  <c r="AB6" i="98"/>
  <c r="BH40" i="99"/>
  <c r="BH100" i="39"/>
  <c r="CV171" i="39"/>
  <c r="D111" i="84"/>
  <c r="CV175" i="39"/>
  <c r="D110" i="84"/>
  <c r="CV170" i="39"/>
  <c r="CV172" i="39"/>
  <c r="D112" i="84"/>
  <c r="CV174" i="39"/>
  <c r="CV173" i="39"/>
  <c r="D113" i="84"/>
  <c r="V87" i="41"/>
  <c r="W87" i="41"/>
  <c r="W88" i="41"/>
  <c r="V88" i="41"/>
  <c r="V95" i="41"/>
  <c r="W95" i="41"/>
  <c r="W94" i="41"/>
  <c r="V94" i="41"/>
  <c r="W96" i="41"/>
  <c r="V96" i="41"/>
  <c r="V91" i="41"/>
  <c r="W91" i="41"/>
  <c r="V97" i="41"/>
  <c r="W97" i="41"/>
  <c r="W90" i="41"/>
  <c r="V90" i="41"/>
  <c r="V89" i="41"/>
  <c r="W89" i="41"/>
  <c r="W93" i="41"/>
  <c r="V93" i="41"/>
  <c r="W92" i="41"/>
  <c r="V92" i="41"/>
  <c r="CZ167" i="39"/>
  <c r="CX167" i="39"/>
  <c r="CZ159" i="39"/>
  <c r="CX159" i="39"/>
  <c r="CZ160" i="39"/>
  <c r="CX160" i="39"/>
  <c r="CZ165" i="39"/>
  <c r="CX165" i="39"/>
  <c r="CZ169" i="39"/>
  <c r="CX169" i="39"/>
  <c r="CZ163" i="39"/>
  <c r="CX163" i="39"/>
  <c r="CX162" i="39"/>
  <c r="CZ162" i="39"/>
  <c r="CZ166" i="39"/>
  <c r="CX166" i="39"/>
  <c r="CZ168" i="39"/>
  <c r="CX168" i="39"/>
  <c r="CZ161" i="39"/>
  <c r="CX161" i="39"/>
  <c r="CZ164" i="39"/>
  <c r="CX164" i="39"/>
  <c r="AA12" i="33"/>
  <c r="CZ146" i="39"/>
  <c r="CX146" i="39"/>
  <c r="O13" i="33"/>
  <c r="S13" i="33" s="1"/>
  <c r="DR268" i="6"/>
  <c r="DV268" i="6" s="1"/>
  <c r="DR270" i="6"/>
  <c r="DV270" i="6" s="1"/>
  <c r="DQ266" i="6"/>
  <c r="DU266" i="6" s="1"/>
  <c r="D110" i="41"/>
  <c r="D112" i="41"/>
  <c r="DQ268" i="6"/>
  <c r="DU268" i="6" s="1"/>
  <c r="DR271" i="6"/>
  <c r="DV271" i="6" s="1"/>
  <c r="DR269" i="6"/>
  <c r="DV269" i="6" s="1"/>
  <c r="DQ270" i="6"/>
  <c r="DU270" i="6" s="1"/>
  <c r="D114" i="41"/>
  <c r="DR267" i="6"/>
  <c r="DV267" i="6" s="1"/>
  <c r="DQ269" i="6"/>
  <c r="DU269" i="6" s="1"/>
  <c r="D113" i="41"/>
  <c r="DR266" i="6"/>
  <c r="DV266" i="6" s="1"/>
  <c r="D111" i="41"/>
  <c r="DQ267" i="6"/>
  <c r="DU267" i="6" s="1"/>
  <c r="DQ271" i="6"/>
  <c r="DU271" i="6" s="1"/>
  <c r="D115" i="41"/>
  <c r="D13" i="33"/>
  <c r="H13" i="33" s="1"/>
  <c r="A35" i="32"/>
  <c r="A46" i="32"/>
  <c r="A58" i="32" s="1"/>
  <c r="K150" i="9"/>
  <c r="AH30" i="6"/>
  <c r="CL30" i="6"/>
  <c r="D103" i="84"/>
  <c r="DQ259" i="6"/>
  <c r="DU259" i="6" s="1"/>
  <c r="CV163" i="39"/>
  <c r="D103" i="27"/>
  <c r="D103" i="41"/>
  <c r="M158" i="39"/>
  <c r="Z14" i="91"/>
  <c r="Z14" i="33"/>
  <c r="AD14" i="33" s="1"/>
  <c r="CW167" i="39"/>
  <c r="DR263" i="6"/>
  <c r="DV263" i="6" s="1"/>
  <c r="DR260" i="6"/>
  <c r="DV260" i="6" s="1"/>
  <c r="CW164" i="39"/>
  <c r="T104" i="47"/>
  <c r="DA146" i="39"/>
  <c r="DT242" i="6"/>
  <c r="DX242" i="6" s="1"/>
  <c r="D86" i="30"/>
  <c r="CY146" i="39"/>
  <c r="U97" i="47"/>
  <c r="T97" i="47"/>
  <c r="CY163" i="39"/>
  <c r="DT259" i="6"/>
  <c r="DX259" i="6" s="1"/>
  <c r="D103" i="30"/>
  <c r="DA163" i="39"/>
  <c r="D105" i="30"/>
  <c r="DA165" i="39"/>
  <c r="CY165" i="39"/>
  <c r="DT261" i="6"/>
  <c r="DX261" i="6" s="1"/>
  <c r="D14" i="91"/>
  <c r="E158" i="39"/>
  <c r="E13" i="91" s="1"/>
  <c r="D14" i="33"/>
  <c r="H14" i="33" s="1"/>
  <c r="D101" i="84"/>
  <c r="DQ257" i="6"/>
  <c r="DU257" i="6" s="1"/>
  <c r="D101" i="27"/>
  <c r="CV161" i="39"/>
  <c r="D101" i="41"/>
  <c r="D105" i="84"/>
  <c r="D105" i="41"/>
  <c r="D105" i="27"/>
  <c r="DQ261" i="6"/>
  <c r="DU261" i="6" s="1"/>
  <c r="CV165" i="39"/>
  <c r="DS255" i="6"/>
  <c r="DW255" i="6" s="1"/>
  <c r="DS263" i="6"/>
  <c r="DW263" i="6" s="1"/>
  <c r="DS259" i="6"/>
  <c r="DW259" i="6" s="1"/>
  <c r="T93" i="47"/>
  <c r="U93" i="47"/>
  <c r="CW163" i="39"/>
  <c r="DR259" i="6"/>
  <c r="DV259" i="6" s="1"/>
  <c r="DR257" i="6"/>
  <c r="DV257" i="6" s="1"/>
  <c r="CW161" i="39"/>
  <c r="CW160" i="39"/>
  <c r="DR256" i="6"/>
  <c r="DV256" i="6" s="1"/>
  <c r="CW146" i="39"/>
  <c r="DR242" i="6"/>
  <c r="DV242" i="6" s="1"/>
  <c r="DA161" i="39"/>
  <c r="CY161" i="39"/>
  <c r="D101" i="30"/>
  <c r="DT257" i="6"/>
  <c r="DX257" i="6" s="1"/>
  <c r="CY159" i="39"/>
  <c r="D99" i="30"/>
  <c r="DA159" i="39"/>
  <c r="DT255" i="6"/>
  <c r="DX255" i="6" s="1"/>
  <c r="D108" i="84"/>
  <c r="CV168" i="39"/>
  <c r="D108" i="27"/>
  <c r="DQ264" i="6"/>
  <c r="DU264" i="6" s="1"/>
  <c r="D108" i="41"/>
  <c r="DS265" i="6"/>
  <c r="DW265" i="6" s="1"/>
  <c r="U95" i="47"/>
  <c r="T95" i="47"/>
  <c r="S15" i="91"/>
  <c r="S15" i="33"/>
  <c r="AD13" i="91"/>
  <c r="DA164" i="39"/>
  <c r="D104" i="30"/>
  <c r="CY164" i="39"/>
  <c r="DT260" i="6"/>
  <c r="DX260" i="6" s="1"/>
  <c r="T89" i="47"/>
  <c r="U89" i="47"/>
  <c r="D86" i="27"/>
  <c r="D86" i="41"/>
  <c r="D86" i="84"/>
  <c r="DQ242" i="6"/>
  <c r="DU242" i="6" s="1"/>
  <c r="CV146" i="39"/>
  <c r="CV166" i="39"/>
  <c r="D106" i="27"/>
  <c r="D106" i="84"/>
  <c r="DQ262" i="6"/>
  <c r="DU262" i="6" s="1"/>
  <c r="D106" i="41"/>
  <c r="CV167" i="39"/>
  <c r="D107" i="41"/>
  <c r="D107" i="84"/>
  <c r="D107" i="27"/>
  <c r="DQ263" i="6"/>
  <c r="DU263" i="6" s="1"/>
  <c r="DQ260" i="6"/>
  <c r="DU260" i="6" s="1"/>
  <c r="D104" i="84"/>
  <c r="CV164" i="39"/>
  <c r="D104" i="41"/>
  <c r="D104" i="27"/>
  <c r="DS258" i="6"/>
  <c r="DW258" i="6" s="1"/>
  <c r="DS256" i="6"/>
  <c r="DW256" i="6" s="1"/>
  <c r="DS261" i="6"/>
  <c r="DW261" i="6" s="1"/>
  <c r="U91" i="47"/>
  <c r="T91" i="47"/>
  <c r="K151" i="9"/>
  <c r="O14" i="91"/>
  <c r="I158" i="39"/>
  <c r="P13" i="33" s="1"/>
  <c r="O14" i="33"/>
  <c r="S14" i="33" s="1"/>
  <c r="DR258" i="6"/>
  <c r="DV258" i="6" s="1"/>
  <c r="CW162" i="39"/>
  <c r="CW165" i="39"/>
  <c r="DR261" i="6"/>
  <c r="DV261" i="6" s="1"/>
  <c r="T87" i="47"/>
  <c r="U87" i="47"/>
  <c r="DT262" i="6"/>
  <c r="DX262" i="6" s="1"/>
  <c r="D106" i="30"/>
  <c r="CY166" i="39"/>
  <c r="DA166" i="39"/>
  <c r="CY169" i="39"/>
  <c r="DA169" i="39"/>
  <c r="DT265" i="6"/>
  <c r="DX265" i="6" s="1"/>
  <c r="D109" i="30"/>
  <c r="CY162" i="39"/>
  <c r="DT258" i="6"/>
  <c r="DX258" i="6" s="1"/>
  <c r="DA162" i="39"/>
  <c r="D102" i="30"/>
  <c r="CV169" i="39"/>
  <c r="D109" i="84"/>
  <c r="DQ265" i="6"/>
  <c r="DU265" i="6" s="1"/>
  <c r="D109" i="27"/>
  <c r="D109" i="41"/>
  <c r="DS260" i="6"/>
  <c r="DW260" i="6" s="1"/>
  <c r="T90" i="47"/>
  <c r="U90" i="47"/>
  <c r="U92" i="47"/>
  <c r="T92" i="47"/>
  <c r="DQ258" i="6"/>
  <c r="DU258" i="6" s="1"/>
  <c r="D102" i="84"/>
  <c r="CV162" i="39"/>
  <c r="D102" i="27"/>
  <c r="D102" i="41"/>
  <c r="D100" i="84"/>
  <c r="D100" i="27"/>
  <c r="CV160" i="39"/>
  <c r="D100" i="41"/>
  <c r="DQ256" i="6"/>
  <c r="DU256" i="6" s="1"/>
  <c r="CV159" i="39"/>
  <c r="D99" i="41"/>
  <c r="D99" i="84"/>
  <c r="D99" i="27"/>
  <c r="DQ255" i="6"/>
  <c r="DU255" i="6" s="1"/>
  <c r="DS264" i="6"/>
  <c r="DW264" i="6" s="1"/>
  <c r="DS257" i="6"/>
  <c r="DW257" i="6" s="1"/>
  <c r="DS262" i="6"/>
  <c r="DW262" i="6" s="1"/>
  <c r="U88" i="47"/>
  <c r="T88" i="47"/>
  <c r="T96" i="47"/>
  <c r="U96" i="47"/>
  <c r="AD15" i="91"/>
  <c r="AD15" i="33"/>
  <c r="DR265" i="6"/>
  <c r="DV265" i="6" s="1"/>
  <c r="CW169" i="39"/>
  <c r="DR262" i="6"/>
  <c r="DV262" i="6" s="1"/>
  <c r="CW166" i="39"/>
  <c r="CW168" i="39"/>
  <c r="DR264" i="6"/>
  <c r="DV264" i="6" s="1"/>
  <c r="S16" i="91"/>
  <c r="S16" i="33"/>
  <c r="U94" i="47"/>
  <c r="T94" i="47"/>
  <c r="AA13" i="91"/>
  <c r="AA13" i="33"/>
  <c r="DS242" i="6"/>
  <c r="DW242" i="6" s="1"/>
  <c r="M11" i="26"/>
  <c r="D100" i="30"/>
  <c r="DA160" i="39"/>
  <c r="DT256" i="6"/>
  <c r="DX256" i="6" s="1"/>
  <c r="CY160" i="39"/>
  <c r="D108" i="30"/>
  <c r="CY168" i="39"/>
  <c r="DT264" i="6"/>
  <c r="DX264" i="6" s="1"/>
  <c r="DA168" i="39"/>
  <c r="D107" i="30"/>
  <c r="CY167" i="39"/>
  <c r="DA167" i="39"/>
  <c r="DT263" i="6"/>
  <c r="DX263" i="6" s="1"/>
  <c r="AO14" i="91"/>
  <c r="AP14" i="91" s="1"/>
  <c r="AV13" i="91"/>
  <c r="AW13" i="91" s="1"/>
  <c r="BA14" i="91"/>
  <c r="BB14" i="91" s="1"/>
  <c r="AU14" i="91"/>
  <c r="AV14" i="91" s="1"/>
  <c r="AP13" i="91"/>
  <c r="AQ13" i="91" s="1"/>
  <c r="BB13" i="91"/>
  <c r="BC13" i="91" s="1"/>
  <c r="CA147" i="39"/>
  <c r="CA148" i="39"/>
  <c r="CA161" i="39"/>
  <c r="BY159" i="39"/>
  <c r="BY160" i="39"/>
  <c r="BY166" i="39"/>
  <c r="BY165" i="39"/>
  <c r="BY158" i="39"/>
  <c r="BC14" i="33"/>
  <c r="X13" i="32"/>
  <c r="AW14" i="33"/>
  <c r="T13" i="32"/>
  <c r="T14" i="32" s="1"/>
  <c r="K48" i="36"/>
  <c r="AB13" i="32"/>
  <c r="AQ14" i="33"/>
  <c r="P13" i="32"/>
  <c r="D13" i="32"/>
  <c r="CF58" i="39"/>
  <c r="DD57" i="39"/>
  <c r="DH57" i="39"/>
  <c r="DL57" i="39"/>
  <c r="DE57" i="39"/>
  <c r="DI57" i="39"/>
  <c r="DM57" i="39"/>
  <c r="DF57" i="39"/>
  <c r="DJ57" i="39"/>
  <c r="DN57" i="39"/>
  <c r="DC57" i="39"/>
  <c r="DG57" i="39"/>
  <c r="DK57" i="39"/>
  <c r="DO57" i="39"/>
  <c r="DB57" i="39"/>
  <c r="CA164" i="39"/>
  <c r="CA169" i="39"/>
  <c r="CA154" i="39"/>
  <c r="CA143" i="39"/>
  <c r="Z22" i="35"/>
  <c r="CA146" i="39"/>
  <c r="CE166" i="39"/>
  <c r="CQ167" i="39"/>
  <c r="CD168" i="39"/>
  <c r="CK167" i="39"/>
  <c r="CJ167" i="39"/>
  <c r="CU167" i="39"/>
  <c r="CP167" i="39"/>
  <c r="CL167" i="39"/>
  <c r="CO167" i="39"/>
  <c r="CN167" i="39"/>
  <c r="CM167" i="39"/>
  <c r="CR167" i="39"/>
  <c r="CH167" i="39"/>
  <c r="CI167" i="39"/>
  <c r="CT167" i="39"/>
  <c r="CS167" i="39"/>
  <c r="CA153" i="39"/>
  <c r="CA168" i="39"/>
  <c r="CA139" i="39"/>
  <c r="CA162" i="39"/>
  <c r="CV50" i="39"/>
  <c r="V31" i="6"/>
  <c r="CX31" i="6" s="1"/>
  <c r="DF30" i="6"/>
  <c r="AB30" i="6"/>
  <c r="AR30" i="6"/>
  <c r="AQ30" i="6"/>
  <c r="CV30" i="6"/>
  <c r="CD30" i="6"/>
  <c r="BP30" i="6"/>
  <c r="X30" i="6"/>
  <c r="BQ30" i="6"/>
  <c r="AY30" i="6"/>
  <c r="AA30" i="6"/>
  <c r="AC30" i="6"/>
  <c r="BU30" i="6"/>
  <c r="DD30" i="6"/>
  <c r="CK30" i="6"/>
  <c r="CU30" i="6"/>
  <c r="CI30" i="6"/>
  <c r="CC30" i="6"/>
  <c r="CJ30" i="6"/>
  <c r="DE30" i="6"/>
  <c r="W30" i="6"/>
  <c r="AM30" i="6"/>
  <c r="DJ30" i="6"/>
  <c r="BD30" i="6"/>
  <c r="AP30" i="6"/>
  <c r="CR30" i="6"/>
  <c r="BM30" i="6"/>
  <c r="CO30" i="6"/>
  <c r="CQ30" i="6"/>
  <c r="CG30" i="6"/>
  <c r="AO30" i="6"/>
  <c r="DH30" i="6"/>
  <c r="AL30" i="6"/>
  <c r="AS30" i="6"/>
  <c r="BN30" i="6"/>
  <c r="AD30" i="6"/>
  <c r="BT30" i="6"/>
  <c r="BF30" i="6"/>
  <c r="CH30" i="6"/>
  <c r="CT30" i="6"/>
  <c r="BB30" i="6"/>
  <c r="AN30" i="6"/>
  <c r="DG30" i="6"/>
  <c r="CA30" i="6"/>
  <c r="CP30" i="6"/>
  <c r="AZ30" i="6"/>
  <c r="BE30" i="6"/>
  <c r="DI30" i="6"/>
  <c r="CS30" i="6"/>
  <c r="BC30" i="6"/>
  <c r="BS30" i="6"/>
  <c r="CE30" i="6"/>
  <c r="DC30" i="6"/>
  <c r="CF30" i="6"/>
  <c r="BA30" i="6"/>
  <c r="CB30" i="6"/>
  <c r="BR30" i="6"/>
  <c r="Z30" i="6"/>
  <c r="AK30" i="6"/>
  <c r="BO30" i="6"/>
  <c r="Y30" i="6"/>
  <c r="AE30" i="6"/>
  <c r="DK30" i="6"/>
  <c r="AF30" i="6"/>
  <c r="BU23" i="6"/>
  <c r="BU24" i="6"/>
  <c r="BU8" i="6"/>
  <c r="BU25" i="6"/>
  <c r="BU6" i="6"/>
  <c r="BU5" i="6"/>
  <c r="BV4" i="6"/>
  <c r="BU21" i="6"/>
  <c r="BU22" i="6"/>
  <c r="BU7" i="6"/>
  <c r="BU26" i="6"/>
  <c r="BU9" i="6"/>
  <c r="BU27" i="6"/>
  <c r="BU10" i="6"/>
  <c r="BU11" i="6"/>
  <c r="BU28" i="6"/>
  <c r="AS5" i="6"/>
  <c r="AS24" i="6"/>
  <c r="AS26" i="6"/>
  <c r="AS8" i="6"/>
  <c r="AS22" i="6"/>
  <c r="AS21" i="6"/>
  <c r="AS25" i="6"/>
  <c r="AS7" i="6"/>
  <c r="AT4" i="6"/>
  <c r="AT30" i="6" s="1"/>
  <c r="AS6" i="6"/>
  <c r="AS23" i="6"/>
  <c r="AS9" i="6"/>
  <c r="AS27" i="6"/>
  <c r="AS10" i="6"/>
  <c r="AS28" i="6"/>
  <c r="AS11" i="6"/>
  <c r="BU12" i="6"/>
  <c r="DL4" i="6"/>
  <c r="DK5" i="6"/>
  <c r="DK22" i="6"/>
  <c r="DK6" i="6"/>
  <c r="DK21" i="6"/>
  <c r="DK23" i="6"/>
  <c r="DK24" i="6"/>
  <c r="DK7" i="6"/>
  <c r="DK8" i="6"/>
  <c r="DK25" i="6"/>
  <c r="DK9" i="6"/>
  <c r="DK26" i="6"/>
  <c r="DK27" i="6"/>
  <c r="DK10" i="6"/>
  <c r="DK11" i="6"/>
  <c r="DK28" i="6"/>
  <c r="W13" i="6"/>
  <c r="DI13" i="6"/>
  <c r="V14" i="6"/>
  <c r="CF13" i="6"/>
  <c r="AC13" i="6"/>
  <c r="CV13" i="6"/>
  <c r="BP13" i="6"/>
  <c r="BS13" i="6"/>
  <c r="AO13" i="6"/>
  <c r="AG13" i="6"/>
  <c r="AY13" i="6"/>
  <c r="CP13" i="6"/>
  <c r="BF13" i="6"/>
  <c r="AE13" i="6"/>
  <c r="CL13" i="6"/>
  <c r="DJ13" i="6"/>
  <c r="AR13" i="6"/>
  <c r="BE13" i="6"/>
  <c r="BC13" i="6"/>
  <c r="CH13" i="6"/>
  <c r="AK13" i="6"/>
  <c r="CO13" i="6"/>
  <c r="AF13" i="6"/>
  <c r="AZ13" i="6"/>
  <c r="DH13" i="6"/>
  <c r="DC13" i="6"/>
  <c r="DG13" i="6"/>
  <c r="CI13" i="6"/>
  <c r="BO13" i="6"/>
  <c r="CE13" i="6"/>
  <c r="AM13" i="6"/>
  <c r="DE13" i="6"/>
  <c r="BB13" i="6"/>
  <c r="CK13" i="6"/>
  <c r="DD13" i="6"/>
  <c r="AA13" i="6"/>
  <c r="AP13" i="6"/>
  <c r="DL13" i="6"/>
  <c r="Z13" i="6"/>
  <c r="CG13" i="6"/>
  <c r="BD13" i="6"/>
  <c r="BT13" i="6"/>
  <c r="AN13" i="6"/>
  <c r="BA13" i="6"/>
  <c r="CU13" i="6"/>
  <c r="BU13" i="6"/>
  <c r="AT13" i="6"/>
  <c r="CS13" i="6"/>
  <c r="AS13" i="6"/>
  <c r="BR13" i="6"/>
  <c r="BQ13" i="6"/>
  <c r="CB13" i="6"/>
  <c r="CT13" i="6"/>
  <c r="AB13" i="6"/>
  <c r="CQ13" i="6"/>
  <c r="CD13" i="6"/>
  <c r="CA13" i="6"/>
  <c r="BN13" i="6"/>
  <c r="BM13" i="6"/>
  <c r="AQ13" i="6"/>
  <c r="CC13" i="6"/>
  <c r="AL13" i="6"/>
  <c r="DK13" i="6"/>
  <c r="CR13" i="6"/>
  <c r="CJ13" i="6"/>
  <c r="Y13" i="6"/>
  <c r="AD13" i="6"/>
  <c r="X13" i="6"/>
  <c r="BV13" i="6"/>
  <c r="DF13" i="6"/>
  <c r="BH21" i="6"/>
  <c r="BH22" i="6"/>
  <c r="BH24" i="6"/>
  <c r="BH5" i="6"/>
  <c r="BH6" i="6"/>
  <c r="BI4" i="6"/>
  <c r="BH23" i="6"/>
  <c r="BH25" i="6"/>
  <c r="BH8" i="6"/>
  <c r="BH7" i="6"/>
  <c r="BH26" i="6"/>
  <c r="BH9" i="6"/>
  <c r="BH27" i="6"/>
  <c r="BH28" i="6"/>
  <c r="BH10" i="6"/>
  <c r="BH11" i="6"/>
  <c r="BH29" i="6"/>
  <c r="BH30" i="6"/>
  <c r="BH12" i="6"/>
  <c r="BH13" i="6"/>
  <c r="CY4" i="6"/>
  <c r="CX23" i="6"/>
  <c r="CX25" i="6"/>
  <c r="CX21" i="6"/>
  <c r="CX7" i="6"/>
  <c r="CX8" i="6"/>
  <c r="CX22" i="6"/>
  <c r="CX26" i="6"/>
  <c r="CX5" i="6"/>
  <c r="CX24" i="6"/>
  <c r="CX6" i="6"/>
  <c r="CX9" i="6"/>
  <c r="CX27" i="6"/>
  <c r="CX28" i="6"/>
  <c r="CX10" i="6"/>
  <c r="CX29" i="6"/>
  <c r="CX11" i="6"/>
  <c r="CX30" i="6"/>
  <c r="CX12" i="6"/>
  <c r="CX13" i="6"/>
  <c r="AH22" i="6"/>
  <c r="AH21" i="6"/>
  <c r="AH6" i="6"/>
  <c r="AH8" i="6"/>
  <c r="AH26" i="6"/>
  <c r="AH23" i="6"/>
  <c r="AH24" i="6"/>
  <c r="AH25" i="6"/>
  <c r="AH5" i="6"/>
  <c r="AH7" i="6"/>
  <c r="AH27" i="6"/>
  <c r="AH9" i="6"/>
  <c r="AH28" i="6"/>
  <c r="AH10" i="6"/>
  <c r="AH11" i="6"/>
  <c r="AH29" i="6"/>
  <c r="AH12" i="6"/>
  <c r="AH13" i="6"/>
  <c r="J23" i="103" l="1"/>
  <c r="J26" i="103" s="1"/>
  <c r="J13" i="103"/>
  <c r="I55" i="103"/>
  <c r="I60" i="103" s="1"/>
  <c r="I53" i="103"/>
  <c r="I54" i="103"/>
  <c r="K18" i="103"/>
  <c r="CW159" i="39"/>
  <c r="E13" i="33"/>
  <c r="E92" i="111"/>
  <c r="E101" i="111"/>
  <c r="J101" i="111" s="1"/>
  <c r="C118" i="111"/>
  <c r="D105" i="111"/>
  <c r="E98" i="111"/>
  <c r="J98" i="111" s="1"/>
  <c r="D111" i="111"/>
  <c r="C124" i="111" s="1"/>
  <c r="L27" i="111"/>
  <c r="L32" i="111" s="1"/>
  <c r="G24" i="110"/>
  <c r="Q24" i="110" s="1"/>
  <c r="E115" i="111"/>
  <c r="J115" i="111" s="1"/>
  <c r="E116" i="111"/>
  <c r="J116" i="111" s="1"/>
  <c r="E117" i="111"/>
  <c r="J117" i="111" s="1"/>
  <c r="Y135" i="58"/>
  <c r="T116" i="47"/>
  <c r="U116" i="47"/>
  <c r="U121" i="47"/>
  <c r="T121" i="47"/>
  <c r="V117" i="41"/>
  <c r="W117" i="41"/>
  <c r="H13" i="26"/>
  <c r="J13" i="26" s="1"/>
  <c r="V121" i="41"/>
  <c r="W121" i="41"/>
  <c r="U117" i="47"/>
  <c r="T117" i="47"/>
  <c r="T118" i="47"/>
  <c r="U118" i="47"/>
  <c r="U120" i="47"/>
  <c r="T120" i="47"/>
  <c r="V116" i="41"/>
  <c r="W116" i="41"/>
  <c r="U119" i="47"/>
  <c r="T119" i="47"/>
  <c r="V120" i="41"/>
  <c r="W120" i="41"/>
  <c r="V119" i="41"/>
  <c r="W119" i="41"/>
  <c r="W118" i="41"/>
  <c r="V118" i="41"/>
  <c r="M44" i="36"/>
  <c r="AR14" i="33"/>
  <c r="AR15" i="33" s="1"/>
  <c r="AR16" i="33" s="1"/>
  <c r="AX14" i="33"/>
  <c r="AX15" i="33" s="1"/>
  <c r="AX16" i="33" s="1"/>
  <c r="BD14" i="33"/>
  <c r="BD15" i="33" s="1"/>
  <c r="BD16" i="33" s="1"/>
  <c r="N44" i="36"/>
  <c r="I24" i="110" s="1"/>
  <c r="V12" i="98"/>
  <c r="BG46" i="99"/>
  <c r="BG106" i="39"/>
  <c r="Z148" i="58"/>
  <c r="Y148" i="58"/>
  <c r="P13" i="91"/>
  <c r="C13" i="26"/>
  <c r="E13" i="26" s="1"/>
  <c r="J12" i="26"/>
  <c r="W10" i="98"/>
  <c r="BI44" i="99"/>
  <c r="BI104" i="39"/>
  <c r="AB7" i="98"/>
  <c r="BH41" i="99"/>
  <c r="BH101" i="39"/>
  <c r="V101" i="41"/>
  <c r="W101" i="41"/>
  <c r="AA139" i="41" s="1"/>
  <c r="V115" i="41"/>
  <c r="W115" i="41"/>
  <c r="V113" i="41"/>
  <c r="W113" i="41"/>
  <c r="V106" i="41"/>
  <c r="W106" i="41"/>
  <c r="W109" i="41"/>
  <c r="V109" i="41"/>
  <c r="W104" i="41"/>
  <c r="AA142" i="41" s="1"/>
  <c r="V104" i="41"/>
  <c r="C11" i="26"/>
  <c r="V86" i="41"/>
  <c r="W86" i="41"/>
  <c r="AA158" i="41" s="1"/>
  <c r="W108" i="41"/>
  <c r="AA146" i="41" s="1"/>
  <c r="V108" i="41"/>
  <c r="W111" i="41"/>
  <c r="V111" i="41"/>
  <c r="V107" i="41"/>
  <c r="W107" i="41"/>
  <c r="V102" i="41"/>
  <c r="W102" i="41"/>
  <c r="W112" i="41"/>
  <c r="V112" i="41"/>
  <c r="W99" i="41"/>
  <c r="V99" i="41"/>
  <c r="V100" i="41"/>
  <c r="W100" i="41"/>
  <c r="W105" i="41"/>
  <c r="AA143" i="41" s="1"/>
  <c r="V105" i="41"/>
  <c r="V103" i="41"/>
  <c r="W103" i="41"/>
  <c r="V114" i="41"/>
  <c r="W114" i="41"/>
  <c r="V110" i="41"/>
  <c r="W110" i="41"/>
  <c r="CZ158" i="39"/>
  <c r="CX158" i="39"/>
  <c r="T111" i="47"/>
  <c r="U111" i="47"/>
  <c r="T114" i="47"/>
  <c r="U114" i="47"/>
  <c r="U110" i="47"/>
  <c r="T110" i="47"/>
  <c r="T115" i="47"/>
  <c r="U115" i="47"/>
  <c r="U113" i="47"/>
  <c r="T113" i="47"/>
  <c r="U112" i="47"/>
  <c r="T112" i="47"/>
  <c r="A36" i="32"/>
  <c r="A48" i="32" s="1"/>
  <c r="A60" i="32" s="1"/>
  <c r="A47" i="32"/>
  <c r="A59" i="32" s="1"/>
  <c r="U104" i="47"/>
  <c r="CL31" i="6"/>
  <c r="CE49" i="6" s="1"/>
  <c r="CZ31" i="6"/>
  <c r="AV31" i="6"/>
  <c r="DN31" i="6"/>
  <c r="BX31" i="6"/>
  <c r="AH31" i="6"/>
  <c r="AA49" i="6" s="1"/>
  <c r="BJ31" i="6"/>
  <c r="BH31" i="6"/>
  <c r="CX14" i="6"/>
  <c r="CZ14" i="6"/>
  <c r="U86" i="47"/>
  <c r="T86" i="47"/>
  <c r="T99" i="47"/>
  <c r="U99" i="47"/>
  <c r="P14" i="33"/>
  <c r="DR254" i="6"/>
  <c r="DV254" i="6" s="1"/>
  <c r="P14" i="91"/>
  <c r="CW158" i="39"/>
  <c r="U103" i="47"/>
  <c r="T103" i="47"/>
  <c r="AD14" i="91"/>
  <c r="U102" i="47"/>
  <c r="T102" i="47"/>
  <c r="S14" i="91"/>
  <c r="AD16" i="91"/>
  <c r="AD16" i="33"/>
  <c r="CY158" i="39"/>
  <c r="DA158" i="39"/>
  <c r="DT254" i="6"/>
  <c r="DX254" i="6" s="1"/>
  <c r="D98" i="30"/>
  <c r="E14" i="91"/>
  <c r="DQ254" i="6"/>
  <c r="DU254" i="6" s="1"/>
  <c r="E14" i="33"/>
  <c r="D98" i="27"/>
  <c r="D98" i="84"/>
  <c r="CV158" i="39"/>
  <c r="D98" i="41"/>
  <c r="C12" i="26" s="1"/>
  <c r="E12" i="26" s="1"/>
  <c r="U100" i="47"/>
  <c r="T100" i="47"/>
  <c r="U101" i="47"/>
  <c r="T101" i="47"/>
  <c r="H14" i="91"/>
  <c r="AA14" i="91"/>
  <c r="M14" i="26"/>
  <c r="DS254" i="6"/>
  <c r="DW254" i="6" s="1"/>
  <c r="AA14" i="33"/>
  <c r="X14" i="32"/>
  <c r="CA159" i="39"/>
  <c r="CA160" i="39"/>
  <c r="L48" i="36"/>
  <c r="CF59" i="39"/>
  <c r="DD58" i="39"/>
  <c r="DH58" i="39"/>
  <c r="DL58" i="39"/>
  <c r="DE58" i="39"/>
  <c r="DI58" i="39"/>
  <c r="DM58" i="39"/>
  <c r="DF58" i="39"/>
  <c r="DJ58" i="39"/>
  <c r="DN58" i="39"/>
  <c r="DC58" i="39"/>
  <c r="DG58" i="39"/>
  <c r="DK58" i="39"/>
  <c r="DO58" i="39"/>
  <c r="DB58" i="39"/>
  <c r="CE167" i="39"/>
  <c r="CA158" i="39"/>
  <c r="CA166" i="39"/>
  <c r="T105" i="47"/>
  <c r="U105" i="47"/>
  <c r="CA165" i="39"/>
  <c r="CT168" i="39"/>
  <c r="CL168" i="39"/>
  <c r="CR168" i="39"/>
  <c r="CD169" i="39"/>
  <c r="CH168" i="39"/>
  <c r="CI168" i="39"/>
  <c r="CS168" i="39"/>
  <c r="CU168" i="39"/>
  <c r="CK168" i="39"/>
  <c r="CO168" i="39"/>
  <c r="CP168" i="39"/>
  <c r="CN168" i="39"/>
  <c r="CQ168" i="39"/>
  <c r="CJ168" i="39"/>
  <c r="CM168" i="39"/>
  <c r="Z21" i="35"/>
  <c r="CA155" i="39"/>
  <c r="CA151" i="39"/>
  <c r="CV51" i="39"/>
  <c r="DM4" i="6"/>
  <c r="DL5" i="6"/>
  <c r="DL6" i="6"/>
  <c r="DL22" i="6"/>
  <c r="DL21" i="6"/>
  <c r="DL23" i="6"/>
  <c r="DL7" i="6"/>
  <c r="DL24" i="6"/>
  <c r="DL8" i="6"/>
  <c r="DL25" i="6"/>
  <c r="DL26" i="6"/>
  <c r="DL9" i="6"/>
  <c r="DL27" i="6"/>
  <c r="DL10" i="6"/>
  <c r="DL28" i="6"/>
  <c r="DL11" i="6"/>
  <c r="DL12" i="6"/>
  <c r="DL29" i="6"/>
  <c r="DL30" i="6"/>
  <c r="AH14" i="6"/>
  <c r="BV6" i="6"/>
  <c r="BV7" i="6"/>
  <c r="BV5" i="6"/>
  <c r="BV23" i="6"/>
  <c r="BV22" i="6"/>
  <c r="BV8" i="6"/>
  <c r="BV24" i="6"/>
  <c r="BW4" i="6"/>
  <c r="BV25" i="6"/>
  <c r="BV26" i="6"/>
  <c r="BV21" i="6"/>
  <c r="BV9" i="6"/>
  <c r="BV27" i="6"/>
  <c r="BV10" i="6"/>
  <c r="BV28" i="6"/>
  <c r="BV11" i="6"/>
  <c r="BV12" i="6"/>
  <c r="BV29" i="6"/>
  <c r="BV30" i="6"/>
  <c r="DF14" i="6"/>
  <c r="CP14" i="6"/>
  <c r="AC14" i="6"/>
  <c r="BF14" i="6"/>
  <c r="BP14" i="6"/>
  <c r="AL14" i="6"/>
  <c r="BV14" i="6"/>
  <c r="CO14" i="6"/>
  <c r="DK14" i="6"/>
  <c r="CL14" i="6"/>
  <c r="CD49" i="6" s="1"/>
  <c r="CS14" i="6"/>
  <c r="CG14" i="6"/>
  <c r="BW14" i="6"/>
  <c r="BQ14" i="6"/>
  <c r="AP14" i="6"/>
  <c r="CA14" i="6"/>
  <c r="AE14" i="6"/>
  <c r="CV14" i="6"/>
  <c r="DG14" i="6"/>
  <c r="BG14" i="6"/>
  <c r="DH14" i="6"/>
  <c r="V15" i="6"/>
  <c r="DL14" i="6"/>
  <c r="BB14" i="6"/>
  <c r="CH14" i="6"/>
  <c r="DE14" i="6"/>
  <c r="BM14" i="6"/>
  <c r="BA14" i="6"/>
  <c r="BH14" i="6"/>
  <c r="BC14" i="6"/>
  <c r="CF14" i="6"/>
  <c r="AT14" i="6"/>
  <c r="BD14" i="6"/>
  <c r="AO14" i="6"/>
  <c r="W14" i="6"/>
  <c r="AG14" i="6"/>
  <c r="AR14" i="6"/>
  <c r="CR14" i="6"/>
  <c r="CC14" i="6"/>
  <c r="AZ14" i="6"/>
  <c r="DI14" i="6"/>
  <c r="AS14" i="6"/>
  <c r="CT14" i="6"/>
  <c r="AY14" i="6"/>
  <c r="AF14" i="6"/>
  <c r="AD14" i="6"/>
  <c r="Z14" i="6"/>
  <c r="DJ14" i="6"/>
  <c r="BN14" i="6"/>
  <c r="DM14" i="6"/>
  <c r="CU14" i="6"/>
  <c r="AN14" i="6"/>
  <c r="BS14" i="6"/>
  <c r="BR14" i="6"/>
  <c r="CW14" i="6"/>
  <c r="AB14" i="6"/>
  <c r="AM14" i="6"/>
  <c r="BO14" i="6"/>
  <c r="BU14" i="6"/>
  <c r="CK14" i="6"/>
  <c r="CB14" i="6"/>
  <c r="CD14" i="6"/>
  <c r="CQ14" i="6"/>
  <c r="AK14" i="6"/>
  <c r="BT14" i="6"/>
  <c r="DC14" i="6"/>
  <c r="CI14" i="6"/>
  <c r="DD14" i="6"/>
  <c r="BE14" i="6"/>
  <c r="Y14" i="6"/>
  <c r="AQ14" i="6"/>
  <c r="CJ14" i="6"/>
  <c r="X14" i="6"/>
  <c r="CE14" i="6"/>
  <c r="AA14" i="6"/>
  <c r="DC31" i="6"/>
  <c r="DG38" i="6" s="1"/>
  <c r="DJ31" i="6"/>
  <c r="DG45" i="6" s="1"/>
  <c r="CC31" i="6"/>
  <c r="CE40" i="6" s="1"/>
  <c r="AM31" i="6"/>
  <c r="AO40" i="6" s="1"/>
  <c r="AC31" i="6"/>
  <c r="AA44" i="6" s="1"/>
  <c r="AE31" i="6"/>
  <c r="AA46" i="6" s="1"/>
  <c r="BC31" i="6"/>
  <c r="BC42" i="6" s="1"/>
  <c r="CQ31" i="6"/>
  <c r="CS40" i="6" s="1"/>
  <c r="BD31" i="6"/>
  <c r="BC43" i="6" s="1"/>
  <c r="AP31" i="6"/>
  <c r="AO43" i="6" s="1"/>
  <c r="DF31" i="6"/>
  <c r="DG41" i="6" s="1"/>
  <c r="CS31" i="6"/>
  <c r="CS42" i="6" s="1"/>
  <c r="AZ31" i="6"/>
  <c r="BC39" i="6" s="1"/>
  <c r="BF31" i="6"/>
  <c r="BC45" i="6" s="1"/>
  <c r="CJ31" i="6"/>
  <c r="CE47" i="6" s="1"/>
  <c r="AO31" i="6"/>
  <c r="AO42" i="6" s="1"/>
  <c r="BR31" i="6"/>
  <c r="BQ43" i="6" s="1"/>
  <c r="H7" i="85" s="1"/>
  <c r="Z31" i="6"/>
  <c r="AA41" i="6" s="1"/>
  <c r="AY31" i="6"/>
  <c r="BC38" i="6" s="1"/>
  <c r="CK31" i="6"/>
  <c r="CE48" i="6" s="1"/>
  <c r="CF31" i="6"/>
  <c r="CE43" i="6" s="1"/>
  <c r="W31" i="6"/>
  <c r="AA38" i="6" s="1"/>
  <c r="BU31" i="6"/>
  <c r="BQ46" i="6" s="1"/>
  <c r="H10" i="85" s="1"/>
  <c r="BP31" i="6"/>
  <c r="BQ41" i="6" s="1"/>
  <c r="H5" i="85" s="1"/>
  <c r="AQ31" i="6"/>
  <c r="AO44" i="6" s="1"/>
  <c r="CT31" i="6"/>
  <c r="CS43" i="6" s="1"/>
  <c r="BM31" i="6"/>
  <c r="BQ38" i="6" s="1"/>
  <c r="CP31" i="6"/>
  <c r="CS39" i="6" s="1"/>
  <c r="BB31" i="6"/>
  <c r="BC41" i="6" s="1"/>
  <c r="Y31" i="6"/>
  <c r="AA40" i="6" s="1"/>
  <c r="BW31" i="6"/>
  <c r="DK31" i="6"/>
  <c r="DG46" i="6" s="1"/>
  <c r="BT31" i="6"/>
  <c r="BQ45" i="6" s="1"/>
  <c r="H9" i="85" s="1"/>
  <c r="CU31" i="6"/>
  <c r="CS44" i="6" s="1"/>
  <c r="CI31" i="6"/>
  <c r="CE46" i="6" s="1"/>
  <c r="CH31" i="6"/>
  <c r="CE45" i="6" s="1"/>
  <c r="BE31" i="6"/>
  <c r="BC44" i="6" s="1"/>
  <c r="DD31" i="6"/>
  <c r="DG39" i="6" s="1"/>
  <c r="CB31" i="6"/>
  <c r="CE39" i="6" s="1"/>
  <c r="DG31" i="6"/>
  <c r="DG42" i="6" s="1"/>
  <c r="AK31" i="6"/>
  <c r="CG31" i="6"/>
  <c r="CE44" i="6" s="1"/>
  <c r="AT31" i="6"/>
  <c r="DH31" i="6"/>
  <c r="DG43" i="6" s="1"/>
  <c r="DI31" i="6"/>
  <c r="DG44" i="6" s="1"/>
  <c r="CV31" i="6"/>
  <c r="CS45" i="6" s="1"/>
  <c r="AN31" i="6"/>
  <c r="AO41" i="6" s="1"/>
  <c r="CE31" i="6"/>
  <c r="CE42" i="6" s="1"/>
  <c r="AD31" i="6"/>
  <c r="AA45" i="6" s="1"/>
  <c r="DL31" i="6"/>
  <c r="X31" i="6"/>
  <c r="AA39" i="6" s="1"/>
  <c r="BS31" i="6"/>
  <c r="BQ44" i="6" s="1"/>
  <c r="H8" i="85" s="1"/>
  <c r="BQ31" i="6"/>
  <c r="BQ42" i="6" s="1"/>
  <c r="H6" i="85" s="1"/>
  <c r="DM31" i="6"/>
  <c r="BA31" i="6"/>
  <c r="BC40" i="6" s="1"/>
  <c r="AL31" i="6"/>
  <c r="AO39" i="6" s="1"/>
  <c r="AF31" i="6"/>
  <c r="AA47" i="6" s="1"/>
  <c r="CO31" i="6"/>
  <c r="CS38" i="6" s="1"/>
  <c r="CR31" i="6"/>
  <c r="CS41" i="6" s="1"/>
  <c r="BO31" i="6"/>
  <c r="BQ40" i="6" s="1"/>
  <c r="H4" i="85" s="1"/>
  <c r="AR31" i="6"/>
  <c r="AO45" i="6" s="1"/>
  <c r="BV31" i="6"/>
  <c r="BN31" i="6"/>
  <c r="BQ39" i="6" s="1"/>
  <c r="H3" i="85" s="1"/>
  <c r="DE31" i="6"/>
  <c r="DG40" i="6" s="1"/>
  <c r="AS31" i="6"/>
  <c r="AO46" i="6" s="1"/>
  <c r="CD31" i="6"/>
  <c r="CE41" i="6" s="1"/>
  <c r="AB31" i="6"/>
  <c r="AA43" i="6" s="1"/>
  <c r="AA31" i="6"/>
  <c r="AA42" i="6" s="1"/>
  <c r="CA31" i="6"/>
  <c r="CE38" i="6" s="1"/>
  <c r="CW31" i="6"/>
  <c r="CS46" i="6" s="1"/>
  <c r="BG31" i="6"/>
  <c r="BC46" i="6" s="1"/>
  <c r="AG31" i="6"/>
  <c r="AA48" i="6" s="1"/>
  <c r="AU4" i="6"/>
  <c r="AT21" i="6"/>
  <c r="AT26" i="6"/>
  <c r="AT8" i="6"/>
  <c r="AT25" i="6"/>
  <c r="AT22" i="6"/>
  <c r="AT5" i="6"/>
  <c r="AT9" i="6"/>
  <c r="AT23" i="6"/>
  <c r="AT6" i="6"/>
  <c r="AT24" i="6"/>
  <c r="AT7" i="6"/>
  <c r="AT27" i="6"/>
  <c r="AT10" i="6"/>
  <c r="AT11" i="6"/>
  <c r="AT28" i="6"/>
  <c r="AT29" i="6"/>
  <c r="AT12" i="6"/>
  <c r="CY21" i="6"/>
  <c r="CY22" i="6"/>
  <c r="CZ4" i="6"/>
  <c r="CY8" i="6"/>
  <c r="CY6" i="6"/>
  <c r="CY25" i="6"/>
  <c r="CY7" i="6"/>
  <c r="CY23" i="6"/>
  <c r="CY24" i="6"/>
  <c r="CY5" i="6"/>
  <c r="CY26" i="6"/>
  <c r="CY9" i="6"/>
  <c r="CY27" i="6"/>
  <c r="CY28" i="6"/>
  <c r="CY10" i="6"/>
  <c r="CY29" i="6"/>
  <c r="CY11" i="6"/>
  <c r="CY30" i="6"/>
  <c r="CY12" i="6"/>
  <c r="CY13" i="6"/>
  <c r="CY31" i="6"/>
  <c r="CY14" i="6"/>
  <c r="BI22" i="6"/>
  <c r="BI6" i="6"/>
  <c r="BI7" i="6"/>
  <c r="BI24" i="6"/>
  <c r="BI5" i="6"/>
  <c r="BI8" i="6"/>
  <c r="BI25" i="6"/>
  <c r="BI23" i="6"/>
  <c r="BJ4" i="6"/>
  <c r="BI21" i="6"/>
  <c r="BI26" i="6"/>
  <c r="BI27" i="6"/>
  <c r="BI9" i="6"/>
  <c r="BI28" i="6"/>
  <c r="BI10" i="6"/>
  <c r="BI29" i="6"/>
  <c r="BI11" i="6"/>
  <c r="BI30" i="6"/>
  <c r="BI12" i="6"/>
  <c r="BI13" i="6"/>
  <c r="BI31" i="6"/>
  <c r="BI14" i="6"/>
  <c r="BC47" i="6"/>
  <c r="CS47" i="6"/>
  <c r="CY15" i="6"/>
  <c r="BI15" i="6"/>
  <c r="L18" i="103" l="1"/>
  <c r="K21" i="103"/>
  <c r="J16" i="103"/>
  <c r="J53" i="103" s="1"/>
  <c r="K13" i="103"/>
  <c r="K16" i="103" s="1"/>
  <c r="K23" i="103"/>
  <c r="K26" i="103" s="1"/>
  <c r="K53" i="103" s="1"/>
  <c r="J54" i="103"/>
  <c r="J55" i="103"/>
  <c r="J60" i="103" s="1"/>
  <c r="F102" i="103"/>
  <c r="AA144" i="41"/>
  <c r="D114" i="111"/>
  <c r="C127" i="111" s="1"/>
  <c r="C131" i="111" s="1"/>
  <c r="E105" i="111"/>
  <c r="L31" i="111"/>
  <c r="E111" i="111"/>
  <c r="J111" i="111" s="1"/>
  <c r="M27" i="111"/>
  <c r="D127" i="111" s="1"/>
  <c r="C140" i="111" s="1"/>
  <c r="H24" i="110"/>
  <c r="R24" i="110" s="1"/>
  <c r="E56" i="36"/>
  <c r="N27" i="111"/>
  <c r="D140" i="111" s="1"/>
  <c r="AS14" i="33"/>
  <c r="F6" i="27"/>
  <c r="H6" i="84"/>
  <c r="F2" i="27"/>
  <c r="H2" i="84"/>
  <c r="F4" i="27"/>
  <c r="H4" i="84"/>
  <c r="F3" i="27"/>
  <c r="H3" i="84"/>
  <c r="F11" i="27"/>
  <c r="H11" i="84"/>
  <c r="F8" i="27"/>
  <c r="H8" i="84"/>
  <c r="F9" i="27"/>
  <c r="H9" i="84"/>
  <c r="F10" i="27"/>
  <c r="H10" i="84"/>
  <c r="F5" i="27"/>
  <c r="H5" i="84"/>
  <c r="F7" i="27"/>
  <c r="H7" i="84"/>
  <c r="AA137" i="41"/>
  <c r="AA145" i="41"/>
  <c r="BE14" i="33"/>
  <c r="M9" i="36" s="1"/>
  <c r="AY14" i="33"/>
  <c r="Q27" i="35" s="1"/>
  <c r="R27" i="35" s="1"/>
  <c r="M28" i="36" s="1"/>
  <c r="H4" i="87"/>
  <c r="F4" i="106"/>
  <c r="H2" i="87"/>
  <c r="F2" i="106"/>
  <c r="H6" i="87"/>
  <c r="F6" i="106"/>
  <c r="H11" i="87"/>
  <c r="F11" i="106"/>
  <c r="H10" i="87"/>
  <c r="F10" i="106"/>
  <c r="H9" i="87"/>
  <c r="F9" i="106"/>
  <c r="H8" i="87"/>
  <c r="F8" i="106"/>
  <c r="H5" i="87"/>
  <c r="F5" i="106"/>
  <c r="H3" i="87"/>
  <c r="F3" i="106"/>
  <c r="H7" i="87"/>
  <c r="F7" i="106"/>
  <c r="M7" i="36"/>
  <c r="K27" i="35"/>
  <c r="L27" i="35" s="1"/>
  <c r="M27" i="36" s="1"/>
  <c r="F3" i="29"/>
  <c r="H3" i="86"/>
  <c r="F10" i="29"/>
  <c r="H10" i="86"/>
  <c r="F11" i="29"/>
  <c r="H11" i="86"/>
  <c r="F4" i="29"/>
  <c r="H4" i="86"/>
  <c r="F5" i="29"/>
  <c r="H5" i="86"/>
  <c r="F8" i="29"/>
  <c r="H8" i="86"/>
  <c r="F13" i="29"/>
  <c r="H13" i="86"/>
  <c r="F7" i="29"/>
  <c r="H7" i="86"/>
  <c r="F6" i="29"/>
  <c r="H6" i="86"/>
  <c r="F9" i="29"/>
  <c r="H9" i="86"/>
  <c r="F12" i="29"/>
  <c r="H12" i="86"/>
  <c r="H2" i="86"/>
  <c r="H2" i="85"/>
  <c r="F10" i="28"/>
  <c r="F3" i="28"/>
  <c r="F6" i="28"/>
  <c r="F9" i="28"/>
  <c r="F7" i="28"/>
  <c r="F4" i="28"/>
  <c r="F8" i="28"/>
  <c r="F5" i="28"/>
  <c r="F11" i="30"/>
  <c r="F6" i="30"/>
  <c r="F9" i="30"/>
  <c r="F10" i="30"/>
  <c r="F4" i="30"/>
  <c r="F8" i="30"/>
  <c r="F5" i="30"/>
  <c r="F3" i="30"/>
  <c r="F7" i="30"/>
  <c r="F2" i="30"/>
  <c r="F2" i="29"/>
  <c r="F2" i="28"/>
  <c r="M2" i="28" s="1"/>
  <c r="V13" i="98"/>
  <c r="BG107" i="39"/>
  <c r="BG47" i="99"/>
  <c r="Z157" i="47"/>
  <c r="Y157" i="47"/>
  <c r="AA141" i="41"/>
  <c r="W11" i="98"/>
  <c r="BI105" i="39"/>
  <c r="BI45" i="99"/>
  <c r="AB8" i="98"/>
  <c r="BH42" i="99"/>
  <c r="BH102" i="39"/>
  <c r="AA160" i="41"/>
  <c r="AA150" i="41"/>
  <c r="Z160" i="41"/>
  <c r="C14" i="26"/>
  <c r="V98" i="41"/>
  <c r="Z136" i="41" s="1"/>
  <c r="W98" i="41"/>
  <c r="AA136" i="41" s="1"/>
  <c r="BJ15" i="6"/>
  <c r="CL15" i="6"/>
  <c r="AV15" i="6"/>
  <c r="CZ15" i="6"/>
  <c r="DN15" i="6"/>
  <c r="BX15" i="6"/>
  <c r="AH15" i="6"/>
  <c r="Z49" i="6" s="1"/>
  <c r="BQ47" i="6"/>
  <c r="H11" i="85" s="1"/>
  <c r="BC48" i="6"/>
  <c r="DG47" i="6"/>
  <c r="T11" i="26"/>
  <c r="T98" i="47"/>
  <c r="U98" i="47"/>
  <c r="H14" i="26"/>
  <c r="J11" i="26"/>
  <c r="BC14" i="91"/>
  <c r="BB15" i="91"/>
  <c r="AV15" i="91"/>
  <c r="AW14" i="91"/>
  <c r="AQ14" i="91"/>
  <c r="AP15" i="91"/>
  <c r="CF60" i="39"/>
  <c r="DD59" i="39"/>
  <c r="DH59" i="39"/>
  <c r="DL59" i="39"/>
  <c r="DE59" i="39"/>
  <c r="DI59" i="39"/>
  <c r="DM59" i="39"/>
  <c r="DF59" i="39"/>
  <c r="DJ59" i="39"/>
  <c r="DN59" i="39"/>
  <c r="DC59" i="39"/>
  <c r="DG59" i="39"/>
  <c r="DK59" i="39"/>
  <c r="DO59" i="39"/>
  <c r="DB59" i="39"/>
  <c r="CA167" i="39"/>
  <c r="T106" i="47"/>
  <c r="U106" i="47"/>
  <c r="CA163" i="39"/>
  <c r="CE168" i="39"/>
  <c r="Z20" i="35"/>
  <c r="Z19" i="35" s="1"/>
  <c r="Z18" i="35" s="1"/>
  <c r="CK169" i="39"/>
  <c r="CI169" i="39"/>
  <c r="CQ169" i="39"/>
  <c r="CH169" i="39"/>
  <c r="CL169" i="39"/>
  <c r="CO169" i="39"/>
  <c r="CU169" i="39"/>
  <c r="CM169" i="39"/>
  <c r="CT169" i="39"/>
  <c r="CP169" i="39"/>
  <c r="CJ169" i="39"/>
  <c r="CR169" i="39"/>
  <c r="CS169" i="39"/>
  <c r="CN169" i="39"/>
  <c r="CV52" i="39"/>
  <c r="AO47" i="6"/>
  <c r="BQ15" i="6"/>
  <c r="BP42" i="6" s="1"/>
  <c r="DI15" i="6"/>
  <c r="DF44" i="6" s="1"/>
  <c r="BO15" i="6"/>
  <c r="BP40" i="6" s="1"/>
  <c r="W15" i="6"/>
  <c r="W17" i="6" s="1"/>
  <c r="Z38" i="6" s="1"/>
  <c r="CJ15" i="6"/>
  <c r="CD47" i="6" s="1"/>
  <c r="AC15" i="6"/>
  <c r="Z44" i="6" s="1"/>
  <c r="AF15" i="6"/>
  <c r="Z47" i="6" s="1"/>
  <c r="BH15" i="6"/>
  <c r="BB47" i="6" s="1"/>
  <c r="P12" i="108" s="1"/>
  <c r="DD15" i="6"/>
  <c r="DF39" i="6" s="1"/>
  <c r="DH15" i="6"/>
  <c r="DF43" i="6" s="1"/>
  <c r="BC15" i="6"/>
  <c r="BB42" i="6" s="1"/>
  <c r="P7" i="108" s="1"/>
  <c r="AE15" i="6"/>
  <c r="Z46" i="6" s="1"/>
  <c r="CO15" i="6"/>
  <c r="CR38" i="6" s="1"/>
  <c r="AS15" i="6"/>
  <c r="AN46" i="6" s="1"/>
  <c r="G10" i="85" s="1"/>
  <c r="CC15" i="6"/>
  <c r="CD40" i="6" s="1"/>
  <c r="CU15" i="6"/>
  <c r="CR44" i="6" s="1"/>
  <c r="DJ15" i="6"/>
  <c r="DF45" i="6" s="1"/>
  <c r="BE15" i="6"/>
  <c r="BB44" i="6" s="1"/>
  <c r="P9" i="108" s="1"/>
  <c r="BF15" i="6"/>
  <c r="BB45" i="6" s="1"/>
  <c r="P10" i="108" s="1"/>
  <c r="AY15" i="6"/>
  <c r="BB38" i="6" s="1"/>
  <c r="P3" i="108" s="1"/>
  <c r="CE15" i="6"/>
  <c r="CD42" i="6" s="1"/>
  <c r="DM15" i="6"/>
  <c r="BR15" i="6"/>
  <c r="BP43" i="6" s="1"/>
  <c r="DG15" i="6"/>
  <c r="DF42" i="6" s="1"/>
  <c r="BP15" i="6"/>
  <c r="BP41" i="6" s="1"/>
  <c r="CI15" i="6"/>
  <c r="CD46" i="6" s="1"/>
  <c r="CW15" i="6"/>
  <c r="CR46" i="6" s="1"/>
  <c r="CG15" i="6"/>
  <c r="CD44" i="6" s="1"/>
  <c r="DF15" i="6"/>
  <c r="DF41" i="6" s="1"/>
  <c r="BA15" i="6"/>
  <c r="BB40" i="6" s="1"/>
  <c r="P5" i="108" s="1"/>
  <c r="Y15" i="6"/>
  <c r="Y17" i="6" s="1"/>
  <c r="Z40" i="6" s="1"/>
  <c r="DC15" i="6"/>
  <c r="DF38" i="6" s="1"/>
  <c r="BG15" i="6"/>
  <c r="BB46" i="6" s="1"/>
  <c r="P11" i="108" s="1"/>
  <c r="AT15" i="6"/>
  <c r="X15" i="6"/>
  <c r="X17" i="6" s="1"/>
  <c r="Z39" i="6" s="1"/>
  <c r="CD15" i="6"/>
  <c r="CD41" i="6" s="1"/>
  <c r="AD15" i="6"/>
  <c r="Z45" i="6" s="1"/>
  <c r="AP15" i="6"/>
  <c r="AN43" i="6" s="1"/>
  <c r="G7" i="85" s="1"/>
  <c r="CS15" i="6"/>
  <c r="CR42" i="6" s="1"/>
  <c r="CQ15" i="6"/>
  <c r="CR40" i="6" s="1"/>
  <c r="DL15" i="6"/>
  <c r="DF47" i="6" s="1"/>
  <c r="AO15" i="6"/>
  <c r="AN42" i="6" s="1"/>
  <c r="G6" i="85" s="1"/>
  <c r="CK15" i="6"/>
  <c r="CD48" i="6" s="1"/>
  <c r="CP15" i="6"/>
  <c r="CR39" i="6" s="1"/>
  <c r="CR15" i="6"/>
  <c r="CR41" i="6" s="1"/>
  <c r="AB15" i="6"/>
  <c r="Z43" i="6" s="1"/>
  <c r="AN15" i="6"/>
  <c r="AN41" i="6" s="1"/>
  <c r="G5" i="85" s="1"/>
  <c r="CX15" i="6"/>
  <c r="CR47" i="6" s="1"/>
  <c r="AZ15" i="6"/>
  <c r="BB39" i="6" s="1"/>
  <c r="P4" i="108" s="1"/>
  <c r="AL15" i="6"/>
  <c r="AN39" i="6" s="1"/>
  <c r="G3" i="85" s="1"/>
  <c r="AK15" i="6"/>
  <c r="Z15" i="6"/>
  <c r="Z41" i="6" s="1"/>
  <c r="BS15" i="6"/>
  <c r="BP44" i="6" s="1"/>
  <c r="AA15" i="6"/>
  <c r="Z42" i="6" s="1"/>
  <c r="DK15" i="6"/>
  <c r="DF46" i="6" s="1"/>
  <c r="AQ15" i="6"/>
  <c r="AN44" i="6" s="1"/>
  <c r="G8" i="85" s="1"/>
  <c r="CV15" i="6"/>
  <c r="CR45" i="6" s="1"/>
  <c r="BM15" i="6"/>
  <c r="BP38" i="6" s="1"/>
  <c r="E2" i="106" s="1"/>
  <c r="DE15" i="6"/>
  <c r="DF40" i="6" s="1"/>
  <c r="BU15" i="6"/>
  <c r="BP46" i="6" s="1"/>
  <c r="BN15" i="6"/>
  <c r="BP39" i="6" s="1"/>
  <c r="AM15" i="6"/>
  <c r="AN40" i="6" s="1"/>
  <c r="G4" i="85" s="1"/>
  <c r="BD15" i="6"/>
  <c r="BB43" i="6" s="1"/>
  <c r="P8" i="108" s="1"/>
  <c r="BB15" i="6"/>
  <c r="BB41" i="6" s="1"/>
  <c r="P6" i="108" s="1"/>
  <c r="AU15" i="6"/>
  <c r="BV15" i="6"/>
  <c r="BP47" i="6" s="1"/>
  <c r="AR15" i="6"/>
  <c r="AN45" i="6" s="1"/>
  <c r="G9" i="85" s="1"/>
  <c r="BW15" i="6"/>
  <c r="AG15" i="6"/>
  <c r="AG17" i="6" s="1"/>
  <c r="Z48" i="6" s="1"/>
  <c r="CB15" i="6"/>
  <c r="CD39" i="6" s="1"/>
  <c r="CT15" i="6"/>
  <c r="CR43" i="6" s="1"/>
  <c r="CA15" i="6"/>
  <c r="CD38" i="6" s="1"/>
  <c r="BT15" i="6"/>
  <c r="BP45" i="6" s="1"/>
  <c r="CH15" i="6"/>
  <c r="CD45" i="6" s="1"/>
  <c r="CF15" i="6"/>
  <c r="CD43" i="6" s="1"/>
  <c r="DN4" i="6"/>
  <c r="DM21" i="6"/>
  <c r="DM5" i="6"/>
  <c r="DM6" i="6"/>
  <c r="DM23" i="6"/>
  <c r="DM22" i="6"/>
  <c r="DM24" i="6"/>
  <c r="DM7" i="6"/>
  <c r="DM8" i="6"/>
  <c r="DM25" i="6"/>
  <c r="DM9" i="6"/>
  <c r="DM26" i="6"/>
  <c r="DM10" i="6"/>
  <c r="DM27" i="6"/>
  <c r="DM11" i="6"/>
  <c r="DM28" i="6"/>
  <c r="DM12" i="6"/>
  <c r="DM29" i="6"/>
  <c r="DM30" i="6"/>
  <c r="DM13" i="6"/>
  <c r="BW5" i="6"/>
  <c r="BW7" i="6"/>
  <c r="BW8" i="6"/>
  <c r="BW21" i="6"/>
  <c r="BW6" i="6"/>
  <c r="BX4" i="6"/>
  <c r="BW23" i="6"/>
  <c r="BW26" i="6"/>
  <c r="BW25" i="6"/>
  <c r="BW27" i="6"/>
  <c r="BW22" i="6"/>
  <c r="BW24" i="6"/>
  <c r="BW9" i="6"/>
  <c r="BW10" i="6"/>
  <c r="BW11" i="6"/>
  <c r="BW28" i="6"/>
  <c r="BW12" i="6"/>
  <c r="BW29" i="6"/>
  <c r="BW30" i="6"/>
  <c r="BW13" i="6"/>
  <c r="AU11" i="6"/>
  <c r="AU7" i="6"/>
  <c r="AU6" i="6"/>
  <c r="AU8" i="6"/>
  <c r="AU10" i="6"/>
  <c r="AU5" i="6"/>
  <c r="AU25" i="6"/>
  <c r="AU26" i="6"/>
  <c r="AU28" i="6"/>
  <c r="AV4" i="6"/>
  <c r="AU24" i="6"/>
  <c r="AU21" i="6"/>
  <c r="AU27" i="6"/>
  <c r="AU22" i="6"/>
  <c r="AU23" i="6"/>
  <c r="AU9" i="6"/>
  <c r="AU12" i="6"/>
  <c r="AU29" i="6"/>
  <c r="AU13" i="6"/>
  <c r="AU30" i="6"/>
  <c r="AU31" i="6"/>
  <c r="AW31" i="6" s="1"/>
  <c r="AU14" i="6"/>
  <c r="CZ7" i="6"/>
  <c r="CZ23" i="6"/>
  <c r="CZ25" i="6"/>
  <c r="CZ21" i="6"/>
  <c r="CZ22" i="6"/>
  <c r="CZ24" i="6"/>
  <c r="CZ5" i="6"/>
  <c r="CZ6" i="6"/>
  <c r="CZ8" i="6"/>
  <c r="CZ26" i="6"/>
  <c r="CZ27" i="6"/>
  <c r="CZ9" i="6"/>
  <c r="CZ10" i="6"/>
  <c r="CZ28" i="6"/>
  <c r="CZ11" i="6"/>
  <c r="CZ29" i="6"/>
  <c r="CZ30" i="6"/>
  <c r="CZ12" i="6"/>
  <c r="CZ13" i="6"/>
  <c r="BB48" i="6"/>
  <c r="P13" i="108" s="1"/>
  <c r="CS48" i="6"/>
  <c r="BJ7" i="6"/>
  <c r="BJ5" i="6"/>
  <c r="BJ8" i="6"/>
  <c r="BJ23" i="6"/>
  <c r="BJ21" i="6"/>
  <c r="BJ24" i="6"/>
  <c r="BJ6" i="6"/>
  <c r="BJ25" i="6"/>
  <c r="BJ22" i="6"/>
  <c r="BJ26" i="6"/>
  <c r="BJ27" i="6"/>
  <c r="BJ9" i="6"/>
  <c r="BJ28" i="6"/>
  <c r="BJ10" i="6"/>
  <c r="BJ11" i="6"/>
  <c r="BJ29" i="6"/>
  <c r="BJ12" i="6"/>
  <c r="BJ30" i="6"/>
  <c r="BJ13" i="6"/>
  <c r="BJ14" i="6"/>
  <c r="CR48" i="6"/>
  <c r="M18" i="103" l="1"/>
  <c r="L21" i="103"/>
  <c r="F103" i="103" s="1"/>
  <c r="L13" i="103"/>
  <c r="L16" i="103" s="1"/>
  <c r="M13" i="103"/>
  <c r="F98" i="103"/>
  <c r="F90" i="103"/>
  <c r="L23" i="103"/>
  <c r="K54" i="103"/>
  <c r="K55" i="103"/>
  <c r="K60" i="103" s="1"/>
  <c r="F99" i="103"/>
  <c r="D118" i="111"/>
  <c r="E114" i="111"/>
  <c r="J114" i="111" s="1"/>
  <c r="S24" i="110"/>
  <c r="E140" i="111"/>
  <c r="J140" i="111" s="1"/>
  <c r="E127" i="111"/>
  <c r="J127" i="111" s="1"/>
  <c r="M8" i="36"/>
  <c r="F12" i="27"/>
  <c r="H12" i="84"/>
  <c r="G11" i="87"/>
  <c r="E11" i="106"/>
  <c r="E14" i="106"/>
  <c r="K2" i="106"/>
  <c r="F19" i="106"/>
  <c r="L7" i="106"/>
  <c r="F17" i="106"/>
  <c r="L5" i="106"/>
  <c r="F21" i="106"/>
  <c r="L9" i="106"/>
  <c r="F23" i="106"/>
  <c r="L11" i="106"/>
  <c r="F14" i="106"/>
  <c r="L2" i="106"/>
  <c r="G9" i="87"/>
  <c r="E9" i="106"/>
  <c r="G3" i="87"/>
  <c r="E3" i="106"/>
  <c r="G8" i="87"/>
  <c r="E8" i="106"/>
  <c r="G5" i="87"/>
  <c r="E5" i="106"/>
  <c r="G6" i="87"/>
  <c r="E6" i="106"/>
  <c r="H12" i="87"/>
  <c r="F12" i="106"/>
  <c r="G10" i="87"/>
  <c r="E10" i="106"/>
  <c r="F15" i="106"/>
  <c r="L3" i="106"/>
  <c r="L8" i="106"/>
  <c r="F20" i="106"/>
  <c r="F22" i="106"/>
  <c r="L10" i="106"/>
  <c r="F18" i="106"/>
  <c r="L6" i="106"/>
  <c r="L4" i="106"/>
  <c r="F16" i="106"/>
  <c r="G7" i="87"/>
  <c r="E7" i="106"/>
  <c r="G4" i="87"/>
  <c r="E4" i="106"/>
  <c r="E2" i="30"/>
  <c r="G2" i="87"/>
  <c r="E5" i="29"/>
  <c r="M5" i="29" s="1"/>
  <c r="G5" i="86"/>
  <c r="E11" i="29"/>
  <c r="G11" i="86"/>
  <c r="E7" i="29"/>
  <c r="G7" i="86"/>
  <c r="E9" i="29"/>
  <c r="G9" i="86"/>
  <c r="E6" i="29"/>
  <c r="G6" i="86"/>
  <c r="E4" i="29"/>
  <c r="G4" i="86"/>
  <c r="E8" i="29"/>
  <c r="G8" i="86"/>
  <c r="E12" i="29"/>
  <c r="G12" i="86"/>
  <c r="E3" i="29"/>
  <c r="G3" i="86"/>
  <c r="E10" i="29"/>
  <c r="G10" i="86"/>
  <c r="G2" i="86"/>
  <c r="E4" i="28"/>
  <c r="G4" i="84"/>
  <c r="E3" i="28"/>
  <c r="G3" i="84"/>
  <c r="R3" i="84" s="1"/>
  <c r="E6" i="28"/>
  <c r="G6" i="84"/>
  <c r="E7" i="28"/>
  <c r="G7" i="84"/>
  <c r="E10" i="28"/>
  <c r="G10" i="84"/>
  <c r="F11" i="28"/>
  <c r="E8" i="28"/>
  <c r="G8" i="84"/>
  <c r="E9" i="28"/>
  <c r="G9" i="84"/>
  <c r="E5" i="28"/>
  <c r="G5" i="84"/>
  <c r="E9" i="30"/>
  <c r="E3" i="30"/>
  <c r="E8" i="30"/>
  <c r="E5" i="30"/>
  <c r="E6" i="30"/>
  <c r="E11" i="30"/>
  <c r="E10" i="30"/>
  <c r="E7" i="30"/>
  <c r="E4" i="30"/>
  <c r="F12" i="30"/>
  <c r="E2" i="29"/>
  <c r="E4" i="27"/>
  <c r="E3" i="27"/>
  <c r="E6" i="27"/>
  <c r="E7" i="27"/>
  <c r="E10" i="27"/>
  <c r="E8" i="27"/>
  <c r="E9" i="27"/>
  <c r="E5" i="27"/>
  <c r="W122" i="41"/>
  <c r="V14" i="98"/>
  <c r="BG108" i="39"/>
  <c r="BG48" i="99"/>
  <c r="W12" i="98"/>
  <c r="BI106" i="39"/>
  <c r="BI46" i="99"/>
  <c r="AB9" i="98"/>
  <c r="BH43" i="99"/>
  <c r="BH103" i="39"/>
  <c r="H22" i="87"/>
  <c r="N10" i="87"/>
  <c r="H18" i="87"/>
  <c r="N6" i="87"/>
  <c r="H23" i="87"/>
  <c r="N11" i="87"/>
  <c r="H19" i="87"/>
  <c r="N7" i="87"/>
  <c r="H21" i="87"/>
  <c r="N9" i="87"/>
  <c r="H15" i="87"/>
  <c r="N3" i="87"/>
  <c r="H16" i="87"/>
  <c r="N4" i="87"/>
  <c r="H20" i="87"/>
  <c r="N8" i="87"/>
  <c r="H17" i="87"/>
  <c r="N5" i="87"/>
  <c r="F14" i="30"/>
  <c r="F15" i="30"/>
  <c r="F21" i="30"/>
  <c r="F16" i="30"/>
  <c r="F23" i="30"/>
  <c r="F19" i="30"/>
  <c r="F20" i="30"/>
  <c r="F18" i="30"/>
  <c r="F22" i="30"/>
  <c r="F17" i="30"/>
  <c r="AA159" i="41"/>
  <c r="BC49" i="6"/>
  <c r="AW15" i="6"/>
  <c r="BB49" i="6"/>
  <c r="P14" i="108" s="1"/>
  <c r="DG48" i="6"/>
  <c r="AN47" i="6"/>
  <c r="G11" i="85" s="1"/>
  <c r="AO38" i="6"/>
  <c r="CS49" i="6"/>
  <c r="AO48" i="6"/>
  <c r="AN48" i="6"/>
  <c r="G12" i="85" s="1"/>
  <c r="BQ48" i="6"/>
  <c r="H12" i="85" s="1"/>
  <c r="R14" i="26"/>
  <c r="AV16" i="91"/>
  <c r="AP16" i="91"/>
  <c r="BB16" i="91"/>
  <c r="S7" i="84"/>
  <c r="S3" i="84"/>
  <c r="P5" i="86"/>
  <c r="O9" i="85"/>
  <c r="O2" i="85"/>
  <c r="S4" i="84"/>
  <c r="S10" i="84"/>
  <c r="S5" i="84"/>
  <c r="P11" i="86"/>
  <c r="S6" i="84"/>
  <c r="O10" i="85"/>
  <c r="O7" i="85"/>
  <c r="O3" i="85"/>
  <c r="S8" i="84"/>
  <c r="P9" i="86"/>
  <c r="O6" i="85"/>
  <c r="P2" i="86"/>
  <c r="O4" i="85"/>
  <c r="P10" i="86"/>
  <c r="P3" i="86"/>
  <c r="O8" i="85"/>
  <c r="S9" i="84"/>
  <c r="P7" i="86"/>
  <c r="O5" i="85"/>
  <c r="P8" i="86"/>
  <c r="P6" i="86"/>
  <c r="S2" i="84"/>
  <c r="P4" i="86"/>
  <c r="P5" i="27"/>
  <c r="P9" i="27"/>
  <c r="P8" i="27"/>
  <c r="P7" i="27"/>
  <c r="P4" i="27"/>
  <c r="P3" i="27"/>
  <c r="P6" i="27"/>
  <c r="F15" i="28"/>
  <c r="F27" i="28" s="1"/>
  <c r="F39" i="28" s="1"/>
  <c r="F51" i="28" s="1"/>
  <c r="F63" i="28" s="1"/>
  <c r="F75" i="28" s="1"/>
  <c r="F87" i="28" s="1"/>
  <c r="F99" i="28" s="1"/>
  <c r="F111" i="28" s="1"/>
  <c r="F123" i="28" s="1"/>
  <c r="F135" i="28" s="1"/>
  <c r="M135" i="28" s="1"/>
  <c r="F20" i="28"/>
  <c r="F32" i="28" s="1"/>
  <c r="F44" i="28" s="1"/>
  <c r="F56" i="28" s="1"/>
  <c r="F68" i="28" s="1"/>
  <c r="F80" i="28" s="1"/>
  <c r="F92" i="28" s="1"/>
  <c r="F104" i="28" s="1"/>
  <c r="F19" i="28"/>
  <c r="F31" i="28" s="1"/>
  <c r="F43" i="28" s="1"/>
  <c r="F55" i="28" s="1"/>
  <c r="F67" i="28" s="1"/>
  <c r="F79" i="28" s="1"/>
  <c r="F91" i="28" s="1"/>
  <c r="F103" i="28" s="1"/>
  <c r="F21" i="28"/>
  <c r="F33" i="28" s="1"/>
  <c r="F45" i="28" s="1"/>
  <c r="F57" i="28" s="1"/>
  <c r="F69" i="28" s="1"/>
  <c r="F81" i="28" s="1"/>
  <c r="F93" i="28" s="1"/>
  <c r="F105" i="28" s="1"/>
  <c r="F17" i="28"/>
  <c r="F29" i="28" s="1"/>
  <c r="F41" i="28" s="1"/>
  <c r="F53" i="28" s="1"/>
  <c r="F65" i="28" s="1"/>
  <c r="F77" i="28" s="1"/>
  <c r="F89" i="28" s="1"/>
  <c r="F101" i="28" s="1"/>
  <c r="F18" i="28"/>
  <c r="F30" i="28" s="1"/>
  <c r="F42" i="28" s="1"/>
  <c r="F54" i="28" s="1"/>
  <c r="F66" i="28" s="1"/>
  <c r="F78" i="28" s="1"/>
  <c r="F90" i="28" s="1"/>
  <c r="F102" i="28" s="1"/>
  <c r="F16" i="28"/>
  <c r="F28" i="28" s="1"/>
  <c r="F40" i="28" s="1"/>
  <c r="F52" i="28" s="1"/>
  <c r="F64" i="28" s="1"/>
  <c r="F76" i="28" s="1"/>
  <c r="F88" i="28" s="1"/>
  <c r="F100" i="28" s="1"/>
  <c r="P10" i="27"/>
  <c r="CF61" i="39"/>
  <c r="DD60" i="39"/>
  <c r="DH60" i="39"/>
  <c r="DL60" i="39"/>
  <c r="DE60" i="39"/>
  <c r="DI60" i="39"/>
  <c r="DM60" i="39"/>
  <c r="DF60" i="39"/>
  <c r="DJ60" i="39"/>
  <c r="DN60" i="39"/>
  <c r="DC60" i="39"/>
  <c r="DG60" i="39"/>
  <c r="DK60" i="39"/>
  <c r="DO60" i="39"/>
  <c r="DB60" i="39"/>
  <c r="U107" i="47"/>
  <c r="T107" i="47"/>
  <c r="CE169" i="39"/>
  <c r="CV53" i="39"/>
  <c r="DF48" i="6"/>
  <c r="AV24" i="6"/>
  <c r="AW24" i="6" s="1"/>
  <c r="AV22" i="6"/>
  <c r="AV9" i="6"/>
  <c r="AW9" i="6" s="1"/>
  <c r="AV29" i="6"/>
  <c r="AW29" i="6" s="1"/>
  <c r="AV8" i="6"/>
  <c r="AW8" i="6" s="1"/>
  <c r="AV25" i="6"/>
  <c r="AW25" i="6" s="1"/>
  <c r="AV27" i="6"/>
  <c r="AW27" i="6" s="1"/>
  <c r="AV11" i="6"/>
  <c r="AW11" i="6" s="1"/>
  <c r="AV7" i="6"/>
  <c r="AW7" i="6" s="1"/>
  <c r="AV6" i="6"/>
  <c r="AV23" i="6"/>
  <c r="AW23" i="6" s="1"/>
  <c r="AV28" i="6"/>
  <c r="AW28" i="6" s="1"/>
  <c r="AV5" i="6"/>
  <c r="AW5" i="6" s="1"/>
  <c r="AV21" i="6"/>
  <c r="AW21" i="6" s="1"/>
  <c r="AV26" i="6"/>
  <c r="AW26" i="6" s="1"/>
  <c r="AV10" i="6"/>
  <c r="AW10" i="6" s="1"/>
  <c r="AV12" i="6"/>
  <c r="AW12" i="6" s="1"/>
  <c r="AV13" i="6"/>
  <c r="AW13" i="6" s="1"/>
  <c r="AV30" i="6"/>
  <c r="AW30" i="6" s="1"/>
  <c r="AV14" i="6"/>
  <c r="AW14" i="6" s="1"/>
  <c r="BX22" i="6"/>
  <c r="BX23" i="6"/>
  <c r="BX9" i="6"/>
  <c r="BX21" i="6"/>
  <c r="BX24" i="6"/>
  <c r="BX5" i="6"/>
  <c r="BX10" i="6"/>
  <c r="BX6" i="6"/>
  <c r="BX25" i="6"/>
  <c r="BX27" i="6"/>
  <c r="BX11" i="6"/>
  <c r="BX8" i="6"/>
  <c r="BX7" i="6"/>
  <c r="BX26" i="6"/>
  <c r="BX28" i="6"/>
  <c r="BX12" i="6"/>
  <c r="BX29" i="6"/>
  <c r="BX30" i="6"/>
  <c r="BX13" i="6"/>
  <c r="BX14" i="6"/>
  <c r="DN24" i="6"/>
  <c r="DN6" i="6"/>
  <c r="DN5" i="6"/>
  <c r="DN22" i="6"/>
  <c r="DN23" i="6"/>
  <c r="DN21" i="6"/>
  <c r="DN7" i="6"/>
  <c r="DN25" i="6"/>
  <c r="DN8" i="6"/>
  <c r="DN9" i="6"/>
  <c r="DN26" i="6"/>
  <c r="DN27" i="6"/>
  <c r="DN10" i="6"/>
  <c r="DN11" i="6"/>
  <c r="DN28" i="6"/>
  <c r="DN12" i="6"/>
  <c r="DN29" i="6"/>
  <c r="DN30" i="6"/>
  <c r="DN13" i="6"/>
  <c r="DN14" i="6"/>
  <c r="BP48" i="6"/>
  <c r="N10" i="29"/>
  <c r="CR49" i="6"/>
  <c r="M16" i="103" l="1"/>
  <c r="G99" i="103" s="1"/>
  <c r="H100" i="103" s="1"/>
  <c r="L115" i="103" s="1"/>
  <c r="N18" i="103"/>
  <c r="M21" i="103"/>
  <c r="F106" i="103"/>
  <c r="L26" i="103"/>
  <c r="L55" i="103" s="1"/>
  <c r="L60" i="103" s="1"/>
  <c r="K56" i="103"/>
  <c r="N13" i="103"/>
  <c r="N16" i="103" s="1"/>
  <c r="H99" i="103" s="1"/>
  <c r="G98" i="103"/>
  <c r="M23" i="103"/>
  <c r="M26" i="103" s="1"/>
  <c r="E118" i="111"/>
  <c r="O2" i="106"/>
  <c r="R2" i="106" s="1"/>
  <c r="F13" i="27"/>
  <c r="H13" i="84"/>
  <c r="P2" i="27"/>
  <c r="P15" i="108"/>
  <c r="H13" i="87"/>
  <c r="F13" i="106"/>
  <c r="E19" i="106"/>
  <c r="K7" i="106"/>
  <c r="O7" i="106" s="1"/>
  <c r="R7" i="106" s="1"/>
  <c r="L20" i="106"/>
  <c r="F32" i="106"/>
  <c r="E22" i="106"/>
  <c r="K10" i="106"/>
  <c r="O10" i="106" s="1"/>
  <c r="R10" i="106" s="1"/>
  <c r="E18" i="106"/>
  <c r="K6" i="106"/>
  <c r="O6" i="106" s="1"/>
  <c r="R6" i="106" s="1"/>
  <c r="E20" i="106"/>
  <c r="K8" i="106"/>
  <c r="O8" i="106" s="1"/>
  <c r="R8" i="106" s="1"/>
  <c r="K9" i="106"/>
  <c r="O9" i="106" s="1"/>
  <c r="R9" i="106" s="1"/>
  <c r="E21" i="106"/>
  <c r="G12" i="87"/>
  <c r="E12" i="106"/>
  <c r="L18" i="106"/>
  <c r="F30" i="106"/>
  <c r="F35" i="106"/>
  <c r="L23" i="106"/>
  <c r="F29" i="106"/>
  <c r="L17" i="106"/>
  <c r="E26" i="106"/>
  <c r="K14" i="106"/>
  <c r="E16" i="106"/>
  <c r="K4" i="106"/>
  <c r="O4" i="106" s="1"/>
  <c r="R4" i="106" s="1"/>
  <c r="L16" i="106"/>
  <c r="F28" i="106"/>
  <c r="L12" i="106"/>
  <c r="F24" i="106"/>
  <c r="K5" i="106"/>
  <c r="O5" i="106" s="1"/>
  <c r="R5" i="106" s="1"/>
  <c r="E17" i="106"/>
  <c r="E15" i="106"/>
  <c r="K3" i="106"/>
  <c r="O3" i="106" s="1"/>
  <c r="R3" i="106" s="1"/>
  <c r="E23" i="106"/>
  <c r="K11" i="106"/>
  <c r="O11" i="106" s="1"/>
  <c r="R11" i="106" s="1"/>
  <c r="L22" i="106"/>
  <c r="F34" i="106"/>
  <c r="F27" i="106"/>
  <c r="L15" i="106"/>
  <c r="L14" i="106"/>
  <c r="F26" i="106"/>
  <c r="F33" i="106"/>
  <c r="L21" i="106"/>
  <c r="F31" i="106"/>
  <c r="L19" i="106"/>
  <c r="E13" i="29"/>
  <c r="G13" i="86"/>
  <c r="E12" i="28"/>
  <c r="G12" i="84"/>
  <c r="E11" i="28"/>
  <c r="G11" i="84"/>
  <c r="F12" i="28"/>
  <c r="F24" i="28" s="1"/>
  <c r="F36" i="28" s="1"/>
  <c r="F48" i="28" s="1"/>
  <c r="F60" i="28" s="1"/>
  <c r="F72" i="28" s="1"/>
  <c r="F84" i="28" s="1"/>
  <c r="F96" i="28" s="1"/>
  <c r="F108" i="28" s="1"/>
  <c r="F13" i="30"/>
  <c r="E12" i="30"/>
  <c r="M2" i="87"/>
  <c r="E12" i="27"/>
  <c r="E11" i="27"/>
  <c r="F113" i="28"/>
  <c r="M113" i="28" s="1"/>
  <c r="F114" i="28"/>
  <c r="M114" i="28" s="1"/>
  <c r="F115" i="28"/>
  <c r="M115" i="28" s="1"/>
  <c r="F117" i="28"/>
  <c r="M117" i="28" s="1"/>
  <c r="F116" i="28"/>
  <c r="M116" i="28" s="1"/>
  <c r="F112" i="28"/>
  <c r="M112" i="28" s="1"/>
  <c r="V15" i="98"/>
  <c r="BG49" i="99"/>
  <c r="BG109" i="39"/>
  <c r="M3" i="29"/>
  <c r="M7" i="29"/>
  <c r="M10" i="29"/>
  <c r="S10" i="29" s="1"/>
  <c r="M12" i="29"/>
  <c r="M6" i="29"/>
  <c r="M8" i="29"/>
  <c r="M9" i="29"/>
  <c r="M4" i="29"/>
  <c r="M2" i="29"/>
  <c r="M11" i="29"/>
  <c r="E23" i="29"/>
  <c r="M23" i="29" s="1"/>
  <c r="E17" i="29"/>
  <c r="M17" i="29" s="1"/>
  <c r="F23" i="28"/>
  <c r="F35" i="28" s="1"/>
  <c r="F47" i="28" s="1"/>
  <c r="F59" i="28" s="1"/>
  <c r="F71" i="28" s="1"/>
  <c r="F83" i="28" s="1"/>
  <c r="F95" i="28" s="1"/>
  <c r="F107" i="28" s="1"/>
  <c r="O11" i="85"/>
  <c r="W13" i="98"/>
  <c r="BI107" i="39"/>
  <c r="BI47" i="99"/>
  <c r="AB10" i="98"/>
  <c r="BH104" i="39"/>
  <c r="BH44" i="99"/>
  <c r="H29" i="87"/>
  <c r="N17" i="87"/>
  <c r="H28" i="87"/>
  <c r="N16" i="87"/>
  <c r="H33" i="87"/>
  <c r="N21" i="87"/>
  <c r="H35" i="87"/>
  <c r="N23" i="87"/>
  <c r="H34" i="87"/>
  <c r="N22" i="87"/>
  <c r="H14" i="87"/>
  <c r="N2" i="87"/>
  <c r="H32" i="87"/>
  <c r="N20" i="87"/>
  <c r="H27" i="87"/>
  <c r="N15" i="87"/>
  <c r="H31" i="87"/>
  <c r="N19" i="87"/>
  <c r="H30" i="87"/>
  <c r="N18" i="87"/>
  <c r="H24" i="87"/>
  <c r="N12" i="87"/>
  <c r="G14" i="87"/>
  <c r="M14" i="87" s="1"/>
  <c r="M4" i="87"/>
  <c r="Q4" i="87" s="1"/>
  <c r="M10" i="87"/>
  <c r="Q10" i="87" s="1"/>
  <c r="M5" i="87"/>
  <c r="Q5" i="87" s="1"/>
  <c r="M3" i="87"/>
  <c r="Q3" i="87" s="1"/>
  <c r="M11" i="87"/>
  <c r="Q11" i="87" s="1"/>
  <c r="M7" i="87"/>
  <c r="Q7" i="87" s="1"/>
  <c r="M6" i="87"/>
  <c r="Q6" i="87" s="1"/>
  <c r="M8" i="87"/>
  <c r="Q8" i="87" s="1"/>
  <c r="M9" i="87"/>
  <c r="Q9" i="87" s="1"/>
  <c r="F34" i="30"/>
  <c r="F32" i="30"/>
  <c r="F35" i="30"/>
  <c r="F33" i="30"/>
  <c r="F26" i="30"/>
  <c r="F29" i="30"/>
  <c r="F30" i="30"/>
  <c r="F31" i="30"/>
  <c r="F28" i="30"/>
  <c r="F27" i="30"/>
  <c r="F24" i="30"/>
  <c r="E14" i="30"/>
  <c r="E16" i="30"/>
  <c r="E22" i="30"/>
  <c r="E21" i="30"/>
  <c r="E17" i="30"/>
  <c r="E23" i="30"/>
  <c r="E19" i="30"/>
  <c r="E20" i="30"/>
  <c r="E18" i="30"/>
  <c r="E15" i="30"/>
  <c r="S11" i="84"/>
  <c r="P11" i="27"/>
  <c r="AA147" i="41"/>
  <c r="AA140" i="41"/>
  <c r="AA138" i="41"/>
  <c r="O7" i="27"/>
  <c r="V7" i="27" s="1"/>
  <c r="DF49" i="6"/>
  <c r="AW17" i="6"/>
  <c r="AW6" i="6"/>
  <c r="AW33" i="6"/>
  <c r="AW22" i="6"/>
  <c r="DG49" i="6"/>
  <c r="AN38" i="6"/>
  <c r="H16" i="86"/>
  <c r="P16" i="86" s="1"/>
  <c r="H19" i="86"/>
  <c r="P19" i="86" s="1"/>
  <c r="H17" i="86"/>
  <c r="P17" i="86" s="1"/>
  <c r="H18" i="86"/>
  <c r="P18" i="86" s="1"/>
  <c r="H17" i="85"/>
  <c r="O17" i="85" s="1"/>
  <c r="H21" i="84"/>
  <c r="S21" i="84" s="1"/>
  <c r="H21" i="86"/>
  <c r="P21" i="86" s="1"/>
  <c r="H20" i="84"/>
  <c r="S20" i="84" s="1"/>
  <c r="H22" i="84"/>
  <c r="S22" i="84" s="1"/>
  <c r="H14" i="85"/>
  <c r="O14" i="85" s="1"/>
  <c r="H21" i="85"/>
  <c r="O21" i="85" s="1"/>
  <c r="H15" i="86"/>
  <c r="P15" i="86" s="1"/>
  <c r="H22" i="86"/>
  <c r="P22" i="86" s="1"/>
  <c r="H14" i="86"/>
  <c r="P14" i="86" s="1"/>
  <c r="H15" i="85"/>
  <c r="O15" i="85" s="1"/>
  <c r="H18" i="84"/>
  <c r="S18" i="84" s="1"/>
  <c r="H16" i="84"/>
  <c r="S16" i="84" s="1"/>
  <c r="H15" i="84"/>
  <c r="S15" i="84" s="1"/>
  <c r="H20" i="85"/>
  <c r="O20" i="85" s="1"/>
  <c r="H16" i="85"/>
  <c r="O16" i="85" s="1"/>
  <c r="H19" i="85"/>
  <c r="O19" i="85" s="1"/>
  <c r="H17" i="84"/>
  <c r="S17" i="84" s="1"/>
  <c r="H19" i="84"/>
  <c r="S19" i="84" s="1"/>
  <c r="H14" i="84"/>
  <c r="S14" i="84" s="1"/>
  <c r="H20" i="86"/>
  <c r="P20" i="86" s="1"/>
  <c r="H18" i="85"/>
  <c r="O18" i="85" s="1"/>
  <c r="H22" i="85"/>
  <c r="O22" i="85" s="1"/>
  <c r="H23" i="86"/>
  <c r="P23" i="86" s="1"/>
  <c r="P12" i="86"/>
  <c r="M8" i="28"/>
  <c r="O3" i="27"/>
  <c r="V3" i="27" s="1"/>
  <c r="O10" i="27"/>
  <c r="V10" i="27" s="1"/>
  <c r="O5" i="27"/>
  <c r="V5" i="27" s="1"/>
  <c r="O8" i="27"/>
  <c r="V8" i="27" s="1"/>
  <c r="O4" i="27"/>
  <c r="V4" i="27" s="1"/>
  <c r="O6" i="27"/>
  <c r="V6" i="27" s="1"/>
  <c r="O9" i="27"/>
  <c r="V9" i="27" s="1"/>
  <c r="M5" i="28"/>
  <c r="M9" i="28"/>
  <c r="M3" i="28"/>
  <c r="M7" i="28"/>
  <c r="M6" i="28"/>
  <c r="E21" i="28"/>
  <c r="E33" i="28" s="1"/>
  <c r="E45" i="28" s="1"/>
  <c r="E57" i="28" s="1"/>
  <c r="E69" i="28" s="1"/>
  <c r="E81" i="28" s="1"/>
  <c r="E93" i="28" s="1"/>
  <c r="E105" i="28" s="1"/>
  <c r="E19" i="28"/>
  <c r="E31" i="28" s="1"/>
  <c r="E43" i="28" s="1"/>
  <c r="E55" i="28" s="1"/>
  <c r="E67" i="28" s="1"/>
  <c r="E79" i="28" s="1"/>
  <c r="E91" i="28" s="1"/>
  <c r="E103" i="28" s="1"/>
  <c r="F22" i="28"/>
  <c r="F34" i="28" s="1"/>
  <c r="F46" i="28" s="1"/>
  <c r="F58" i="28" s="1"/>
  <c r="F70" i="28" s="1"/>
  <c r="F82" i="28" s="1"/>
  <c r="F94" i="28" s="1"/>
  <c r="F106" i="28" s="1"/>
  <c r="M10" i="28"/>
  <c r="E17" i="28"/>
  <c r="E29" i="28" s="1"/>
  <c r="E41" i="28" s="1"/>
  <c r="E53" i="28" s="1"/>
  <c r="E65" i="28" s="1"/>
  <c r="E77" i="28" s="1"/>
  <c r="E89" i="28" s="1"/>
  <c r="E101" i="28" s="1"/>
  <c r="E15" i="28"/>
  <c r="E27" i="28" s="1"/>
  <c r="E39" i="28" s="1"/>
  <c r="E51" i="28" s="1"/>
  <c r="E63" i="28" s="1"/>
  <c r="E75" i="28" s="1"/>
  <c r="E87" i="28" s="1"/>
  <c r="E99" i="28" s="1"/>
  <c r="E111" i="28" s="1"/>
  <c r="E123" i="28" s="1"/>
  <c r="E135" i="28" s="1"/>
  <c r="L135" i="28" s="1"/>
  <c r="M4" i="28"/>
  <c r="E16" i="28"/>
  <c r="E28" i="28" s="1"/>
  <c r="E40" i="28" s="1"/>
  <c r="E52" i="28" s="1"/>
  <c r="E64" i="28" s="1"/>
  <c r="E76" i="28" s="1"/>
  <c r="E88" i="28" s="1"/>
  <c r="E100" i="28" s="1"/>
  <c r="E22" i="28"/>
  <c r="E34" i="28" s="1"/>
  <c r="E46" i="28" s="1"/>
  <c r="E58" i="28" s="1"/>
  <c r="E70" i="28" s="1"/>
  <c r="E82" i="28" s="1"/>
  <c r="E94" i="28" s="1"/>
  <c r="E106" i="28" s="1"/>
  <c r="F14" i="28"/>
  <c r="F26" i="28" s="1"/>
  <c r="F38" i="28" s="1"/>
  <c r="F50" i="28" s="1"/>
  <c r="F62" i="28" s="1"/>
  <c r="F74" i="28" s="1"/>
  <c r="F86" i="28" s="1"/>
  <c r="F98" i="28" s="1"/>
  <c r="F110" i="28" s="1"/>
  <c r="F122" i="28" s="1"/>
  <c r="F134" i="28" s="1"/>
  <c r="M134" i="28" s="1"/>
  <c r="E18" i="28"/>
  <c r="E30" i="28" s="1"/>
  <c r="E42" i="28" s="1"/>
  <c r="E54" i="28" s="1"/>
  <c r="E66" i="28" s="1"/>
  <c r="E78" i="28" s="1"/>
  <c r="E90" i="28" s="1"/>
  <c r="E102" i="28" s="1"/>
  <c r="E20" i="28"/>
  <c r="E32" i="28" s="1"/>
  <c r="E44" i="28" s="1"/>
  <c r="E56" i="28" s="1"/>
  <c r="E68" i="28" s="1"/>
  <c r="E80" i="28" s="1"/>
  <c r="E92" i="28" s="1"/>
  <c r="E104" i="28" s="1"/>
  <c r="CF62" i="39"/>
  <c r="DD61" i="39"/>
  <c r="DH61" i="39"/>
  <c r="DL61" i="39"/>
  <c r="DE61" i="39"/>
  <c r="DI61" i="39"/>
  <c r="DM61" i="39"/>
  <c r="DF61" i="39"/>
  <c r="DJ61" i="39"/>
  <c r="DN61" i="39"/>
  <c r="DC61" i="39"/>
  <c r="DG61" i="39"/>
  <c r="DK61" i="39"/>
  <c r="DO61" i="39"/>
  <c r="DB61" i="39"/>
  <c r="BJ51" i="39"/>
  <c r="U108" i="47"/>
  <c r="T108" i="47"/>
  <c r="CV54" i="39"/>
  <c r="N6" i="29"/>
  <c r="N9" i="29"/>
  <c r="BP49" i="6"/>
  <c r="BQ49" i="6"/>
  <c r="H13" i="85" s="1"/>
  <c r="AN49" i="6"/>
  <c r="G13" i="85" s="1"/>
  <c r="N5" i="29"/>
  <c r="S5" i="29" s="1"/>
  <c r="N8" i="29"/>
  <c r="N2" i="29"/>
  <c r="N4" i="29"/>
  <c r="N3" i="29"/>
  <c r="N7" i="29"/>
  <c r="N11" i="29"/>
  <c r="F22" i="27"/>
  <c r="P22" i="27" s="1"/>
  <c r="F22" i="29"/>
  <c r="N22" i="29" s="1"/>
  <c r="L114" i="103" l="1"/>
  <c r="L112" i="103"/>
  <c r="L113" i="103"/>
  <c r="O18" i="103"/>
  <c r="N21" i="103"/>
  <c r="L54" i="103"/>
  <c r="M53" i="103"/>
  <c r="G107" i="103"/>
  <c r="L53" i="103"/>
  <c r="F107" i="103"/>
  <c r="H98" i="103"/>
  <c r="L99" i="103" s="1"/>
  <c r="N23" i="103"/>
  <c r="N26" i="103" s="1"/>
  <c r="G106" i="103"/>
  <c r="Q13" i="108"/>
  <c r="L43" i="108" s="1"/>
  <c r="Q3" i="108"/>
  <c r="Q7" i="108"/>
  <c r="L37" i="108" s="1"/>
  <c r="Q4" i="108"/>
  <c r="L34" i="108" s="1"/>
  <c r="Q12" i="108"/>
  <c r="L42" i="108" s="1"/>
  <c r="Q5" i="108"/>
  <c r="L35" i="108" s="1"/>
  <c r="Q11" i="108"/>
  <c r="L41" i="108" s="1"/>
  <c r="Q8" i="108"/>
  <c r="L38" i="108" s="1"/>
  <c r="Q9" i="108"/>
  <c r="L39" i="108" s="1"/>
  <c r="Q6" i="108"/>
  <c r="L36" i="108" s="1"/>
  <c r="Q10" i="108"/>
  <c r="Q14" i="108"/>
  <c r="L44" i="108" s="1"/>
  <c r="S11" i="29"/>
  <c r="K17" i="106"/>
  <c r="O17" i="106" s="1"/>
  <c r="R17" i="106" s="1"/>
  <c r="E29" i="106"/>
  <c r="L28" i="106"/>
  <c r="F40" i="106"/>
  <c r="O14" i="106"/>
  <c r="R14" i="106" s="1"/>
  <c r="E24" i="106"/>
  <c r="K12" i="106"/>
  <c r="O12" i="106" s="1"/>
  <c r="R12" i="106" s="1"/>
  <c r="F45" i="106"/>
  <c r="L33" i="106"/>
  <c r="F39" i="106"/>
  <c r="L27" i="106"/>
  <c r="K23" i="106"/>
  <c r="O23" i="106" s="1"/>
  <c r="R23" i="106" s="1"/>
  <c r="E35" i="106"/>
  <c r="E38" i="106"/>
  <c r="K26" i="106"/>
  <c r="L35" i="106"/>
  <c r="F47" i="106"/>
  <c r="E32" i="106"/>
  <c r="K20" i="106"/>
  <c r="O20" i="106" s="1"/>
  <c r="R20" i="106" s="1"/>
  <c r="E34" i="106"/>
  <c r="K22" i="106"/>
  <c r="O22" i="106" s="1"/>
  <c r="R22" i="106" s="1"/>
  <c r="K19" i="106"/>
  <c r="O19" i="106" s="1"/>
  <c r="R19" i="106" s="1"/>
  <c r="E31" i="106"/>
  <c r="L26" i="106"/>
  <c r="F38" i="106"/>
  <c r="L34" i="106"/>
  <c r="F46" i="106"/>
  <c r="L24" i="106"/>
  <c r="F36" i="106"/>
  <c r="L30" i="106"/>
  <c r="F42" i="106"/>
  <c r="K21" i="106"/>
  <c r="O21" i="106" s="1"/>
  <c r="R21" i="106" s="1"/>
  <c r="E33" i="106"/>
  <c r="L32" i="106"/>
  <c r="F44" i="106"/>
  <c r="F25" i="106"/>
  <c r="L13" i="106"/>
  <c r="G13" i="87"/>
  <c r="E13" i="106"/>
  <c r="L31" i="106"/>
  <c r="F43" i="106"/>
  <c r="K15" i="106"/>
  <c r="O15" i="106" s="1"/>
  <c r="R15" i="106" s="1"/>
  <c r="E27" i="106"/>
  <c r="E28" i="106"/>
  <c r="K16" i="106"/>
  <c r="O16" i="106" s="1"/>
  <c r="R16" i="106" s="1"/>
  <c r="F41" i="106"/>
  <c r="L29" i="106"/>
  <c r="E30" i="106"/>
  <c r="K18" i="106"/>
  <c r="O18" i="106" s="1"/>
  <c r="R18" i="106" s="1"/>
  <c r="Q2" i="87"/>
  <c r="G2" i="85"/>
  <c r="F13" i="28"/>
  <c r="E13" i="28"/>
  <c r="G13" i="84"/>
  <c r="G2" i="84"/>
  <c r="E13" i="30"/>
  <c r="E2" i="28"/>
  <c r="L2" i="28" s="1"/>
  <c r="Q2" i="28" s="1"/>
  <c r="E13" i="27"/>
  <c r="E2" i="27"/>
  <c r="S7" i="29"/>
  <c r="S8" i="29"/>
  <c r="E22" i="29"/>
  <c r="M22" i="29" s="1"/>
  <c r="S22" i="29" s="1"/>
  <c r="S9" i="29"/>
  <c r="F129" i="28"/>
  <c r="F141" i="28" s="1"/>
  <c r="M141" i="28" s="1"/>
  <c r="F124" i="28"/>
  <c r="F136" i="28" s="1"/>
  <c r="M136" i="28" s="1"/>
  <c r="E114" i="28"/>
  <c r="L114" i="28" s="1"/>
  <c r="Q114" i="28" s="1"/>
  <c r="E118" i="28"/>
  <c r="L118" i="28" s="1"/>
  <c r="F119" i="28"/>
  <c r="M119" i="28" s="1"/>
  <c r="E117" i="28"/>
  <c r="L117" i="28" s="1"/>
  <c r="Q117" i="28" s="1"/>
  <c r="F126" i="28"/>
  <c r="F138" i="28" s="1"/>
  <c r="M138" i="28" s="1"/>
  <c r="E112" i="28"/>
  <c r="L112" i="28" s="1"/>
  <c r="Q112" i="28" s="1"/>
  <c r="F118" i="28"/>
  <c r="M118" i="28" s="1"/>
  <c r="F120" i="28"/>
  <c r="M120" i="28" s="1"/>
  <c r="E116" i="28"/>
  <c r="L116" i="28" s="1"/>
  <c r="Q116" i="28" s="1"/>
  <c r="E113" i="28"/>
  <c r="L113" i="28" s="1"/>
  <c r="Q113" i="28" s="1"/>
  <c r="E115" i="28"/>
  <c r="L115" i="28" s="1"/>
  <c r="Q115" i="28" s="1"/>
  <c r="F128" i="28"/>
  <c r="F140" i="28" s="1"/>
  <c r="M140" i="28" s="1"/>
  <c r="F127" i="28"/>
  <c r="F139" i="28" s="1"/>
  <c r="M139" i="28" s="1"/>
  <c r="F125" i="28"/>
  <c r="F137" i="28" s="1"/>
  <c r="M137" i="28" s="1"/>
  <c r="M11" i="28"/>
  <c r="E19" i="29"/>
  <c r="M19" i="29" s="1"/>
  <c r="E20" i="29"/>
  <c r="M20" i="29" s="1"/>
  <c r="E21" i="29"/>
  <c r="M21" i="29" s="1"/>
  <c r="H23" i="85"/>
  <c r="O23" i="85" s="1"/>
  <c r="E18" i="29"/>
  <c r="M18" i="29" s="1"/>
  <c r="E24" i="29"/>
  <c r="M24" i="29" s="1"/>
  <c r="E16" i="29"/>
  <c r="M16" i="29" s="1"/>
  <c r="S6" i="29"/>
  <c r="E14" i="29"/>
  <c r="M14" i="29" s="1"/>
  <c r="S3" i="29"/>
  <c r="S2" i="29"/>
  <c r="E15" i="29"/>
  <c r="M15" i="29" s="1"/>
  <c r="V16" i="98"/>
  <c r="BG50" i="99"/>
  <c r="BG110" i="39"/>
  <c r="S4" i="29"/>
  <c r="G14" i="86"/>
  <c r="O2" i="86"/>
  <c r="U2" i="86" s="1"/>
  <c r="G24" i="86"/>
  <c r="O12" i="86"/>
  <c r="U12" i="86" s="1"/>
  <c r="G17" i="86"/>
  <c r="O5" i="86"/>
  <c r="U5" i="86" s="1"/>
  <c r="G19" i="86"/>
  <c r="O7" i="86"/>
  <c r="U7" i="86" s="1"/>
  <c r="G15" i="86"/>
  <c r="O3" i="86"/>
  <c r="U3" i="86" s="1"/>
  <c r="G22" i="86"/>
  <c r="O10" i="86"/>
  <c r="U10" i="86" s="1"/>
  <c r="G16" i="86"/>
  <c r="O4" i="86"/>
  <c r="U4" i="86" s="1"/>
  <c r="G21" i="86"/>
  <c r="O9" i="86"/>
  <c r="U9" i="86" s="1"/>
  <c r="G20" i="86"/>
  <c r="O8" i="86"/>
  <c r="U8" i="86" s="1"/>
  <c r="G18" i="86"/>
  <c r="O6" i="86"/>
  <c r="U6" i="86" s="1"/>
  <c r="G23" i="86"/>
  <c r="O11" i="86"/>
  <c r="U11" i="86" s="1"/>
  <c r="M13" i="29"/>
  <c r="E29" i="29"/>
  <c r="M29" i="29" s="1"/>
  <c r="E35" i="29"/>
  <c r="M35" i="29" s="1"/>
  <c r="O12" i="85"/>
  <c r="E23" i="28"/>
  <c r="E35" i="28" s="1"/>
  <c r="E47" i="28" s="1"/>
  <c r="E59" i="28" s="1"/>
  <c r="E71" i="28" s="1"/>
  <c r="E83" i="28" s="1"/>
  <c r="E95" i="28" s="1"/>
  <c r="E107" i="28" s="1"/>
  <c r="N11" i="85"/>
  <c r="S11" i="85" s="1"/>
  <c r="W14" i="98"/>
  <c r="BI108" i="39"/>
  <c r="BI48" i="99"/>
  <c r="AB11" i="98"/>
  <c r="BH105" i="39"/>
  <c r="BH45" i="99"/>
  <c r="H36" i="87"/>
  <c r="N24" i="87"/>
  <c r="H43" i="87"/>
  <c r="N31" i="87"/>
  <c r="H44" i="87"/>
  <c r="N32" i="87"/>
  <c r="H46" i="87"/>
  <c r="N34" i="87"/>
  <c r="H45" i="87"/>
  <c r="N33" i="87"/>
  <c r="H41" i="87"/>
  <c r="N29" i="87"/>
  <c r="H42" i="87"/>
  <c r="N30" i="87"/>
  <c r="H39" i="87"/>
  <c r="N27" i="87"/>
  <c r="H26" i="87"/>
  <c r="N14" i="87"/>
  <c r="Q14" i="87" s="1"/>
  <c r="H47" i="87"/>
  <c r="N35" i="87"/>
  <c r="H40" i="87"/>
  <c r="N28" i="87"/>
  <c r="H25" i="87"/>
  <c r="N13" i="87"/>
  <c r="G21" i="87"/>
  <c r="M21" i="87" s="1"/>
  <c r="Q21" i="87" s="1"/>
  <c r="G18" i="87"/>
  <c r="M18" i="87" s="1"/>
  <c r="Q18" i="87" s="1"/>
  <c r="G23" i="87"/>
  <c r="M23" i="87" s="1"/>
  <c r="Q23" i="87" s="1"/>
  <c r="G17" i="87"/>
  <c r="M17" i="87" s="1"/>
  <c r="Q17" i="87" s="1"/>
  <c r="G16" i="87"/>
  <c r="M16" i="87" s="1"/>
  <c r="Q16" i="87" s="1"/>
  <c r="G20" i="87"/>
  <c r="M20" i="87" s="1"/>
  <c r="Q20" i="87" s="1"/>
  <c r="G19" i="87"/>
  <c r="M19" i="87" s="1"/>
  <c r="Q19" i="87" s="1"/>
  <c r="G15" i="87"/>
  <c r="M15" i="87" s="1"/>
  <c r="Q15" i="87" s="1"/>
  <c r="G22" i="87"/>
  <c r="M22" i="87" s="1"/>
  <c r="Q22" i="87" s="1"/>
  <c r="G26" i="87"/>
  <c r="M26" i="87" s="1"/>
  <c r="M12" i="87"/>
  <c r="Q12" i="87" s="1"/>
  <c r="F36" i="30"/>
  <c r="L24" i="30"/>
  <c r="F40" i="30"/>
  <c r="L28" i="30"/>
  <c r="F42" i="30"/>
  <c r="L30" i="30"/>
  <c r="F38" i="30"/>
  <c r="L26" i="30"/>
  <c r="F47" i="30"/>
  <c r="L35" i="30"/>
  <c r="F46" i="30"/>
  <c r="L34" i="30"/>
  <c r="F39" i="30"/>
  <c r="L27" i="30"/>
  <c r="F43" i="30"/>
  <c r="L31" i="30"/>
  <c r="F41" i="30"/>
  <c r="L29" i="30"/>
  <c r="F45" i="30"/>
  <c r="L33" i="30"/>
  <c r="F44" i="30"/>
  <c r="L32" i="30"/>
  <c r="F25" i="30"/>
  <c r="E27" i="30"/>
  <c r="K27" i="30" s="1"/>
  <c r="E32" i="30"/>
  <c r="K32" i="30" s="1"/>
  <c r="E35" i="30"/>
  <c r="K35" i="30" s="1"/>
  <c r="E33" i="30"/>
  <c r="K33" i="30" s="1"/>
  <c r="E28" i="30"/>
  <c r="K28" i="30" s="1"/>
  <c r="E24" i="30"/>
  <c r="K24" i="30" s="1"/>
  <c r="E26" i="30"/>
  <c r="K26" i="30" s="1"/>
  <c r="E30" i="30"/>
  <c r="K30" i="30" s="1"/>
  <c r="E31" i="30"/>
  <c r="K31" i="30" s="1"/>
  <c r="E29" i="30"/>
  <c r="K29" i="30" s="1"/>
  <c r="E34" i="30"/>
  <c r="K34" i="30" s="1"/>
  <c r="O11" i="27"/>
  <c r="V11" i="27" s="1"/>
  <c r="P12" i="27"/>
  <c r="H23" i="84"/>
  <c r="S23" i="84" s="1"/>
  <c r="S12" i="84"/>
  <c r="G23" i="84"/>
  <c r="AO49" i="6"/>
  <c r="J16" i="26"/>
  <c r="I14" i="26"/>
  <c r="J14" i="26" s="1"/>
  <c r="N8" i="85"/>
  <c r="S8" i="85" s="1"/>
  <c r="N6" i="85"/>
  <c r="S6" i="85" s="1"/>
  <c r="N10" i="85"/>
  <c r="S10" i="85" s="1"/>
  <c r="N5" i="85"/>
  <c r="S5" i="85" s="1"/>
  <c r="N7" i="85"/>
  <c r="S7" i="85" s="1"/>
  <c r="N9" i="85"/>
  <c r="S9" i="85" s="1"/>
  <c r="N4" i="85"/>
  <c r="S4" i="85" s="1"/>
  <c r="N3" i="85"/>
  <c r="S3" i="85" s="1"/>
  <c r="R8" i="84"/>
  <c r="Y8" i="84" s="1"/>
  <c r="Z8" i="84" s="1"/>
  <c r="R10" i="84"/>
  <c r="Y10" i="84" s="1"/>
  <c r="Z10" i="84" s="1"/>
  <c r="R7" i="84"/>
  <c r="Y7" i="84" s="1"/>
  <c r="Z7" i="84" s="1"/>
  <c r="R9" i="84"/>
  <c r="Y9" i="84" s="1"/>
  <c r="Z9" i="84" s="1"/>
  <c r="R6" i="84"/>
  <c r="Y6" i="84" s="1"/>
  <c r="Z6" i="84" s="1"/>
  <c r="R5" i="84"/>
  <c r="Y5" i="84" s="1"/>
  <c r="Z5" i="84" s="1"/>
  <c r="Y3" i="84"/>
  <c r="Z3" i="84" s="1"/>
  <c r="R4" i="84"/>
  <c r="Y4" i="84" s="1"/>
  <c r="Z4" i="84" s="1"/>
  <c r="H24" i="86"/>
  <c r="P24" i="86" s="1"/>
  <c r="H30" i="85"/>
  <c r="O30" i="85" s="1"/>
  <c r="H32" i="86"/>
  <c r="P32" i="86" s="1"/>
  <c r="H31" i="84"/>
  <c r="S31" i="84" s="1"/>
  <c r="H27" i="85"/>
  <c r="O27" i="85" s="1"/>
  <c r="G22" i="84"/>
  <c r="H26" i="85"/>
  <c r="O26" i="85" s="1"/>
  <c r="G15" i="84"/>
  <c r="G22" i="85"/>
  <c r="H29" i="86"/>
  <c r="P29" i="86" s="1"/>
  <c r="H31" i="86"/>
  <c r="P31" i="86" s="1"/>
  <c r="H33" i="85"/>
  <c r="O33" i="85" s="1"/>
  <c r="H33" i="84"/>
  <c r="S33" i="84" s="1"/>
  <c r="P13" i="86"/>
  <c r="G17" i="85"/>
  <c r="H35" i="86"/>
  <c r="P35" i="86" s="1"/>
  <c r="G19" i="84"/>
  <c r="G20" i="85"/>
  <c r="H26" i="84"/>
  <c r="S26" i="84" s="1"/>
  <c r="H29" i="84"/>
  <c r="S29" i="84" s="1"/>
  <c r="H30" i="84"/>
  <c r="S30" i="84" s="1"/>
  <c r="H34" i="86"/>
  <c r="P34" i="86" s="1"/>
  <c r="G20" i="84"/>
  <c r="G19" i="85"/>
  <c r="G16" i="85"/>
  <c r="H28" i="86"/>
  <c r="P28" i="86" s="1"/>
  <c r="H34" i="85"/>
  <c r="O34" i="85" s="1"/>
  <c r="G18" i="85"/>
  <c r="H31" i="85"/>
  <c r="O31" i="85" s="1"/>
  <c r="H27" i="84"/>
  <c r="S27" i="84" s="1"/>
  <c r="H26" i="86"/>
  <c r="P26" i="86" s="1"/>
  <c r="G15" i="85"/>
  <c r="H27" i="86"/>
  <c r="P27" i="86" s="1"/>
  <c r="H32" i="84"/>
  <c r="S32" i="84" s="1"/>
  <c r="H30" i="86"/>
  <c r="P30" i="86" s="1"/>
  <c r="H28" i="85"/>
  <c r="O28" i="85" s="1"/>
  <c r="G21" i="84"/>
  <c r="H32" i="85"/>
  <c r="O32" i="85" s="1"/>
  <c r="G17" i="84"/>
  <c r="H28" i="84"/>
  <c r="S28" i="84" s="1"/>
  <c r="H34" i="84"/>
  <c r="S34" i="84" s="1"/>
  <c r="H33" i="86"/>
  <c r="P33" i="86" s="1"/>
  <c r="G21" i="85"/>
  <c r="G18" i="84"/>
  <c r="H29" i="85"/>
  <c r="O29" i="85" s="1"/>
  <c r="G16" i="84"/>
  <c r="L9" i="28"/>
  <c r="Q9" i="28" s="1"/>
  <c r="O12" i="27"/>
  <c r="L5" i="28"/>
  <c r="Q5" i="28" s="1"/>
  <c r="L4" i="28"/>
  <c r="Q4" i="28" s="1"/>
  <c r="L8" i="28"/>
  <c r="Q8" i="28" s="1"/>
  <c r="L10" i="28"/>
  <c r="Q10" i="28" s="1"/>
  <c r="M22" i="28"/>
  <c r="L6" i="28"/>
  <c r="Q6" i="28" s="1"/>
  <c r="L7" i="28"/>
  <c r="Q7" i="28" s="1"/>
  <c r="L3" i="28"/>
  <c r="Q3" i="28" s="1"/>
  <c r="E24" i="28"/>
  <c r="E36" i="28" s="1"/>
  <c r="E48" i="28" s="1"/>
  <c r="E60" i="28" s="1"/>
  <c r="E72" i="28" s="1"/>
  <c r="E84" i="28" s="1"/>
  <c r="E96" i="28" s="1"/>
  <c r="E108" i="28" s="1"/>
  <c r="CF63" i="39"/>
  <c r="DD62" i="39"/>
  <c r="DH62" i="39"/>
  <c r="DL62" i="39"/>
  <c r="DE62" i="39"/>
  <c r="DI62" i="39"/>
  <c r="DM62" i="39"/>
  <c r="DF62" i="39"/>
  <c r="DJ62" i="39"/>
  <c r="DC62" i="39"/>
  <c r="DG62" i="39"/>
  <c r="DK62" i="39"/>
  <c r="DO62" i="39"/>
  <c r="DN62" i="39"/>
  <c r="DB62" i="39"/>
  <c r="BJ52" i="39"/>
  <c r="BK51" i="39"/>
  <c r="BL51" i="39"/>
  <c r="U109" i="47"/>
  <c r="U122" i="47" s="1"/>
  <c r="T109" i="47"/>
  <c r="Y158" i="47" s="1"/>
  <c r="CV55" i="39"/>
  <c r="F19" i="29"/>
  <c r="N19" i="29" s="1"/>
  <c r="F15" i="29"/>
  <c r="N15" i="29" s="1"/>
  <c r="F14" i="29"/>
  <c r="N14" i="29" s="1"/>
  <c r="M19" i="28"/>
  <c r="F14" i="27"/>
  <c r="P14" i="27" s="1"/>
  <c r="M17" i="28"/>
  <c r="F16" i="29"/>
  <c r="N16" i="29" s="1"/>
  <c r="M21" i="28"/>
  <c r="M20" i="28"/>
  <c r="F16" i="27"/>
  <c r="P16" i="27" s="1"/>
  <c r="F21" i="29"/>
  <c r="N21" i="29" s="1"/>
  <c r="M18" i="28"/>
  <c r="M16" i="28"/>
  <c r="F19" i="27"/>
  <c r="P19" i="27" s="1"/>
  <c r="F15" i="27"/>
  <c r="P15" i="27" s="1"/>
  <c r="F18" i="27"/>
  <c r="P18" i="27" s="1"/>
  <c r="F20" i="27"/>
  <c r="P20" i="27" s="1"/>
  <c r="F20" i="29"/>
  <c r="N20" i="29" s="1"/>
  <c r="F17" i="29"/>
  <c r="N17" i="29" s="1"/>
  <c r="S17" i="29" s="1"/>
  <c r="M14" i="28"/>
  <c r="F17" i="27"/>
  <c r="P17" i="27" s="1"/>
  <c r="F18" i="29"/>
  <c r="N18" i="29" s="1"/>
  <c r="F21" i="27"/>
  <c r="P21" i="27" s="1"/>
  <c r="M15" i="28"/>
  <c r="F23" i="27"/>
  <c r="P23" i="27" s="1"/>
  <c r="M12" i="28"/>
  <c r="M23" i="28"/>
  <c r="M34" i="28"/>
  <c r="F34" i="29"/>
  <c r="N34" i="29" s="1"/>
  <c r="F34" i="27"/>
  <c r="P34" i="27" s="1"/>
  <c r="N12" i="29"/>
  <c r="S12" i="29" s="1"/>
  <c r="F23" i="29"/>
  <c r="N23" i="29" s="1"/>
  <c r="S23" i="29" s="1"/>
  <c r="L56" i="103" l="1"/>
  <c r="O21" i="103"/>
  <c r="I103" i="103" s="1"/>
  <c r="P18" i="103"/>
  <c r="I102" i="103"/>
  <c r="N53" i="103"/>
  <c r="H107" i="103"/>
  <c r="H108" i="103" s="1"/>
  <c r="N115" i="103" s="1"/>
  <c r="G108" i="103"/>
  <c r="K115" i="103" s="1"/>
  <c r="L33" i="108"/>
  <c r="M35" i="108" s="1"/>
  <c r="G34" i="108"/>
  <c r="H34" i="108" s="1"/>
  <c r="H36" i="108" s="1"/>
  <c r="L40" i="108"/>
  <c r="O23" i="103"/>
  <c r="H106" i="103"/>
  <c r="L107" i="103" s="1"/>
  <c r="R10" i="108"/>
  <c r="R3" i="108"/>
  <c r="Q15" i="108"/>
  <c r="E42" i="106"/>
  <c r="K30" i="106"/>
  <c r="O30" i="106" s="1"/>
  <c r="R30" i="106" s="1"/>
  <c r="K28" i="106"/>
  <c r="O28" i="106" s="1"/>
  <c r="R28" i="106" s="1"/>
  <c r="E40" i="106"/>
  <c r="F37" i="106"/>
  <c r="L25" i="106"/>
  <c r="E46" i="106"/>
  <c r="K34" i="106"/>
  <c r="O34" i="106" s="1"/>
  <c r="R34" i="106" s="1"/>
  <c r="F57" i="106"/>
  <c r="L45" i="106"/>
  <c r="L40" i="106"/>
  <c r="F52" i="106"/>
  <c r="K27" i="106"/>
  <c r="O27" i="106" s="1"/>
  <c r="R27" i="106" s="1"/>
  <c r="E39" i="106"/>
  <c r="K13" i="106"/>
  <c r="O13" i="106" s="1"/>
  <c r="E25" i="106"/>
  <c r="L44" i="106"/>
  <c r="F56" i="106"/>
  <c r="L42" i="106"/>
  <c r="F54" i="106"/>
  <c r="L46" i="106"/>
  <c r="F58" i="106"/>
  <c r="K31" i="106"/>
  <c r="O31" i="106" s="1"/>
  <c r="R31" i="106" s="1"/>
  <c r="E43" i="106"/>
  <c r="O26" i="106"/>
  <c r="R26" i="106" s="1"/>
  <c r="F53" i="106"/>
  <c r="L41" i="106"/>
  <c r="K32" i="106"/>
  <c r="O32" i="106" s="1"/>
  <c r="R32" i="106" s="1"/>
  <c r="E44" i="106"/>
  <c r="E50" i="106"/>
  <c r="K38" i="106"/>
  <c r="L39" i="106"/>
  <c r="F51" i="106"/>
  <c r="E36" i="106"/>
  <c r="K24" i="106"/>
  <c r="O24" i="106" s="1"/>
  <c r="R24" i="106" s="1"/>
  <c r="K29" i="106"/>
  <c r="O29" i="106" s="1"/>
  <c r="R29" i="106" s="1"/>
  <c r="E41" i="106"/>
  <c r="L43" i="106"/>
  <c r="F55" i="106"/>
  <c r="K33" i="106"/>
  <c r="O33" i="106" s="1"/>
  <c r="R33" i="106" s="1"/>
  <c r="E45" i="106"/>
  <c r="L36" i="106"/>
  <c r="F48" i="106"/>
  <c r="L38" i="106"/>
  <c r="F50" i="106"/>
  <c r="L47" i="106"/>
  <c r="F59" i="106"/>
  <c r="K35" i="106"/>
  <c r="O35" i="106" s="1"/>
  <c r="R35" i="106" s="1"/>
  <c r="E47" i="106"/>
  <c r="Z138" i="58"/>
  <c r="U122" i="58"/>
  <c r="E34" i="29"/>
  <c r="M34" i="29" s="1"/>
  <c r="S34" i="29" s="1"/>
  <c r="S19" i="29"/>
  <c r="E32" i="29"/>
  <c r="M32" i="29" s="1"/>
  <c r="S18" i="29"/>
  <c r="E31" i="29"/>
  <c r="M31" i="29" s="1"/>
  <c r="E30" i="29"/>
  <c r="M30" i="29" s="1"/>
  <c r="E125" i="28"/>
  <c r="E137" i="28" s="1"/>
  <c r="L137" i="28" s="1"/>
  <c r="E124" i="28"/>
  <c r="E136" i="28" s="1"/>
  <c r="L136" i="28" s="1"/>
  <c r="F131" i="28"/>
  <c r="F143" i="28" s="1"/>
  <c r="M143" i="28" s="1"/>
  <c r="F132" i="28"/>
  <c r="F144" i="28" s="1"/>
  <c r="M144" i="28" s="1"/>
  <c r="E126" i="28"/>
  <c r="E138" i="28" s="1"/>
  <c r="L138" i="28" s="1"/>
  <c r="Q138" i="28" s="1"/>
  <c r="E119" i="28"/>
  <c r="L119" i="28" s="1"/>
  <c r="Q119" i="28" s="1"/>
  <c r="E127" i="28"/>
  <c r="E139" i="28" s="1"/>
  <c r="L139" i="28" s="1"/>
  <c r="E128" i="28"/>
  <c r="E140" i="28" s="1"/>
  <c r="L140" i="28" s="1"/>
  <c r="F130" i="28"/>
  <c r="F142" i="28" s="1"/>
  <c r="M142" i="28" s="1"/>
  <c r="Q118" i="28"/>
  <c r="E129" i="28"/>
  <c r="E141" i="28" s="1"/>
  <c r="L141" i="28" s="1"/>
  <c r="E130" i="28"/>
  <c r="E142" i="28" s="1"/>
  <c r="L142" i="28" s="1"/>
  <c r="E120" i="28"/>
  <c r="L120" i="28" s="1"/>
  <c r="Q120" i="28" s="1"/>
  <c r="H24" i="85"/>
  <c r="O24" i="85" s="1"/>
  <c r="H35" i="85"/>
  <c r="O35" i="85" s="1"/>
  <c r="S21" i="29"/>
  <c r="E33" i="29"/>
  <c r="M33" i="29" s="1"/>
  <c r="S16" i="29"/>
  <c r="S20" i="29"/>
  <c r="S15" i="29"/>
  <c r="E27" i="29"/>
  <c r="M27" i="29" s="1"/>
  <c r="S14" i="29"/>
  <c r="E25" i="29"/>
  <c r="M25" i="29" s="1"/>
  <c r="E26" i="29"/>
  <c r="M26" i="29" s="1"/>
  <c r="E36" i="29"/>
  <c r="M36" i="29" s="1"/>
  <c r="E28" i="29"/>
  <c r="M28" i="29" s="1"/>
  <c r="V17" i="98"/>
  <c r="BG111" i="39"/>
  <c r="BG51" i="99"/>
  <c r="G35" i="86"/>
  <c r="O23" i="86"/>
  <c r="U23" i="86" s="1"/>
  <c r="G30" i="86"/>
  <c r="O18" i="86"/>
  <c r="U18" i="86" s="1"/>
  <c r="G32" i="86"/>
  <c r="O20" i="86"/>
  <c r="U20" i="86" s="1"/>
  <c r="G33" i="86"/>
  <c r="O21" i="86"/>
  <c r="U21" i="86" s="1"/>
  <c r="G28" i="86"/>
  <c r="O16" i="86"/>
  <c r="U16" i="86" s="1"/>
  <c r="G34" i="86"/>
  <c r="O22" i="86"/>
  <c r="U22" i="86" s="1"/>
  <c r="G27" i="86"/>
  <c r="O15" i="86"/>
  <c r="U15" i="86" s="1"/>
  <c r="G31" i="86"/>
  <c r="O19" i="86"/>
  <c r="U19" i="86" s="1"/>
  <c r="G29" i="86"/>
  <c r="O17" i="86"/>
  <c r="U17" i="86" s="1"/>
  <c r="G36" i="86"/>
  <c r="O24" i="86"/>
  <c r="U24" i="86" s="1"/>
  <c r="G26" i="86"/>
  <c r="O14" i="86"/>
  <c r="U14" i="86" s="1"/>
  <c r="G25" i="86"/>
  <c r="O13" i="86"/>
  <c r="U13" i="86" s="1"/>
  <c r="E47" i="29"/>
  <c r="M47" i="29" s="1"/>
  <c r="E41" i="29"/>
  <c r="M41" i="29" s="1"/>
  <c r="L11" i="28"/>
  <c r="Q11" i="28" s="1"/>
  <c r="V12" i="27"/>
  <c r="G23" i="85"/>
  <c r="N23" i="85" s="1"/>
  <c r="S23" i="85" s="1"/>
  <c r="O13" i="85"/>
  <c r="F25" i="28"/>
  <c r="F37" i="28" s="1"/>
  <c r="F49" i="28" s="1"/>
  <c r="F61" i="28" s="1"/>
  <c r="F73" i="28" s="1"/>
  <c r="F85" i="28" s="1"/>
  <c r="F97" i="28" s="1"/>
  <c r="F109" i="28" s="1"/>
  <c r="W15" i="98"/>
  <c r="BI49" i="99"/>
  <c r="BI109" i="39"/>
  <c r="AB12" i="98"/>
  <c r="BH46" i="99"/>
  <c r="BH106" i="39"/>
  <c r="H37" i="87"/>
  <c r="N25" i="87"/>
  <c r="H59" i="87"/>
  <c r="N47" i="87"/>
  <c r="H51" i="87"/>
  <c r="N39" i="87"/>
  <c r="H53" i="87"/>
  <c r="N41" i="87"/>
  <c r="H58" i="87"/>
  <c r="N46" i="87"/>
  <c r="H55" i="87"/>
  <c r="N43" i="87"/>
  <c r="H52" i="87"/>
  <c r="N40" i="87"/>
  <c r="H38" i="87"/>
  <c r="N26" i="87"/>
  <c r="Q26" i="87" s="1"/>
  <c r="H54" i="87"/>
  <c r="N42" i="87"/>
  <c r="H57" i="87"/>
  <c r="N45" i="87"/>
  <c r="H56" i="87"/>
  <c r="N44" i="87"/>
  <c r="H48" i="87"/>
  <c r="N36" i="87"/>
  <c r="G38" i="87"/>
  <c r="M38" i="87" s="1"/>
  <c r="G24" i="87"/>
  <c r="M24" i="87" s="1"/>
  <c r="Q24" i="87" s="1"/>
  <c r="G27" i="87"/>
  <c r="M27" i="87" s="1"/>
  <c r="Q27" i="87" s="1"/>
  <c r="G32" i="87"/>
  <c r="M32" i="87" s="1"/>
  <c r="Q32" i="87" s="1"/>
  <c r="G29" i="87"/>
  <c r="M29" i="87" s="1"/>
  <c r="Q29" i="87" s="1"/>
  <c r="G30" i="87"/>
  <c r="M30" i="87" s="1"/>
  <c r="Q30" i="87" s="1"/>
  <c r="G34" i="87"/>
  <c r="M34" i="87" s="1"/>
  <c r="Q34" i="87" s="1"/>
  <c r="G31" i="87"/>
  <c r="M31" i="87" s="1"/>
  <c r="Q31" i="87" s="1"/>
  <c r="G28" i="87"/>
  <c r="M28" i="87" s="1"/>
  <c r="Q28" i="87" s="1"/>
  <c r="G35" i="87"/>
  <c r="M35" i="87" s="1"/>
  <c r="Q35" i="87" s="1"/>
  <c r="G33" i="87"/>
  <c r="M33" i="87" s="1"/>
  <c r="Q33" i="87" s="1"/>
  <c r="M13" i="87"/>
  <c r="Q13" i="87" s="1"/>
  <c r="F37" i="30"/>
  <c r="L25" i="30"/>
  <c r="F57" i="30"/>
  <c r="L45" i="30"/>
  <c r="F55" i="30"/>
  <c r="L43" i="30"/>
  <c r="F58" i="30"/>
  <c r="L46" i="30"/>
  <c r="F50" i="30"/>
  <c r="L38" i="30"/>
  <c r="F52" i="30"/>
  <c r="L40" i="30"/>
  <c r="F56" i="30"/>
  <c r="L44" i="30"/>
  <c r="F53" i="30"/>
  <c r="L41" i="30"/>
  <c r="F51" i="30"/>
  <c r="L39" i="30"/>
  <c r="F59" i="30"/>
  <c r="L47" i="30"/>
  <c r="F54" i="30"/>
  <c r="L42" i="30"/>
  <c r="F48" i="30"/>
  <c r="L36" i="30"/>
  <c r="E46" i="30"/>
  <c r="K46" i="30" s="1"/>
  <c r="O34" i="30"/>
  <c r="E43" i="30"/>
  <c r="K43" i="30" s="1"/>
  <c r="O31" i="30"/>
  <c r="E38" i="30"/>
  <c r="K38" i="30" s="1"/>
  <c r="O26" i="30"/>
  <c r="E40" i="30"/>
  <c r="K40" i="30" s="1"/>
  <c r="O28" i="30"/>
  <c r="E47" i="30"/>
  <c r="K47" i="30" s="1"/>
  <c r="O35" i="30"/>
  <c r="E39" i="30"/>
  <c r="K39" i="30" s="1"/>
  <c r="O27" i="30"/>
  <c r="E25" i="30"/>
  <c r="K25" i="30" s="1"/>
  <c r="E41" i="30"/>
  <c r="K41" i="30" s="1"/>
  <c r="O29" i="30"/>
  <c r="E42" i="30"/>
  <c r="K42" i="30" s="1"/>
  <c r="O30" i="30"/>
  <c r="E36" i="30"/>
  <c r="K36" i="30" s="1"/>
  <c r="E45" i="30"/>
  <c r="K45" i="30" s="1"/>
  <c r="O33" i="30"/>
  <c r="E44" i="30"/>
  <c r="K44" i="30" s="1"/>
  <c r="O32" i="30"/>
  <c r="H35" i="84"/>
  <c r="S35" i="84" s="1"/>
  <c r="P13" i="27"/>
  <c r="S13" i="84"/>
  <c r="R11" i="84"/>
  <c r="Y11" i="84" s="1"/>
  <c r="Z11" i="84" s="1"/>
  <c r="H24" i="84"/>
  <c r="S24" i="84" s="1"/>
  <c r="O2" i="27"/>
  <c r="V2" i="27" s="1"/>
  <c r="O13" i="27"/>
  <c r="N16" i="85"/>
  <c r="S16" i="85" s="1"/>
  <c r="N19" i="85"/>
  <c r="S19" i="85" s="1"/>
  <c r="N18" i="85"/>
  <c r="S18" i="85" s="1"/>
  <c r="N22" i="85"/>
  <c r="S22" i="85" s="1"/>
  <c r="N15" i="85"/>
  <c r="S15" i="85" s="1"/>
  <c r="N12" i="85"/>
  <c r="S12" i="85" s="1"/>
  <c r="N17" i="85"/>
  <c r="S17" i="85" s="1"/>
  <c r="N21" i="85"/>
  <c r="S21" i="85" s="1"/>
  <c r="N20" i="85"/>
  <c r="S20" i="85" s="1"/>
  <c r="R21" i="84"/>
  <c r="Y21" i="84" s="1"/>
  <c r="R18" i="84"/>
  <c r="Y18" i="84" s="1"/>
  <c r="R20" i="84"/>
  <c r="Y20" i="84" s="1"/>
  <c r="R17" i="84"/>
  <c r="Y17" i="84" s="1"/>
  <c r="R15" i="84"/>
  <c r="Y15" i="84" s="1"/>
  <c r="R22" i="84"/>
  <c r="Y22" i="84" s="1"/>
  <c r="R23" i="84"/>
  <c r="Y23" i="84" s="1"/>
  <c r="R16" i="84"/>
  <c r="Y16" i="84" s="1"/>
  <c r="R19" i="84"/>
  <c r="Y19" i="84" s="1"/>
  <c r="R12" i="84"/>
  <c r="Y12" i="84" s="1"/>
  <c r="H38" i="84"/>
  <c r="S38" i="84" s="1"/>
  <c r="G31" i="84"/>
  <c r="H45" i="84"/>
  <c r="S45" i="84" s="1"/>
  <c r="H45" i="85"/>
  <c r="O45" i="85" s="1"/>
  <c r="H41" i="86"/>
  <c r="P41" i="86" s="1"/>
  <c r="G34" i="84"/>
  <c r="H44" i="86"/>
  <c r="P44" i="86" s="1"/>
  <c r="H41" i="85"/>
  <c r="O41" i="85" s="1"/>
  <c r="G29" i="84"/>
  <c r="G33" i="84"/>
  <c r="H42" i="86"/>
  <c r="P42" i="86" s="1"/>
  <c r="H40" i="86"/>
  <c r="P40" i="86" s="1"/>
  <c r="G24" i="85"/>
  <c r="G32" i="85"/>
  <c r="G34" i="85"/>
  <c r="H39" i="85"/>
  <c r="O39" i="85" s="1"/>
  <c r="H43" i="84"/>
  <c r="S43" i="84" s="1"/>
  <c r="G28" i="85"/>
  <c r="G28" i="84"/>
  <c r="G33" i="85"/>
  <c r="H40" i="84"/>
  <c r="S40" i="84" s="1"/>
  <c r="H43" i="85"/>
  <c r="O43" i="85" s="1"/>
  <c r="H47" i="86"/>
  <c r="P47" i="86" s="1"/>
  <c r="G29" i="85"/>
  <c r="H25" i="86"/>
  <c r="P25" i="86" s="1"/>
  <c r="G27" i="84"/>
  <c r="H38" i="85"/>
  <c r="O38" i="85" s="1"/>
  <c r="G24" i="84"/>
  <c r="H42" i="85"/>
  <c r="O42" i="85" s="1"/>
  <c r="H36" i="86"/>
  <c r="P36" i="86" s="1"/>
  <c r="G30" i="84"/>
  <c r="H45" i="86"/>
  <c r="P45" i="86" s="1"/>
  <c r="H44" i="84"/>
  <c r="S44" i="84" s="1"/>
  <c r="G27" i="85"/>
  <c r="G30" i="85"/>
  <c r="H46" i="84"/>
  <c r="S46" i="84" s="1"/>
  <c r="H44" i="85"/>
  <c r="O44" i="85" s="1"/>
  <c r="H40" i="85"/>
  <c r="O40" i="85" s="1"/>
  <c r="H39" i="86"/>
  <c r="P39" i="86" s="1"/>
  <c r="H38" i="86"/>
  <c r="P38" i="86" s="1"/>
  <c r="H39" i="84"/>
  <c r="S39" i="84" s="1"/>
  <c r="H46" i="85"/>
  <c r="O46" i="85" s="1"/>
  <c r="G31" i="85"/>
  <c r="G32" i="84"/>
  <c r="H46" i="86"/>
  <c r="P46" i="86" s="1"/>
  <c r="H42" i="84"/>
  <c r="S42" i="84" s="1"/>
  <c r="H41" i="84"/>
  <c r="S41" i="84" s="1"/>
  <c r="H43" i="86"/>
  <c r="P43" i="86" s="1"/>
  <c r="G35" i="84"/>
  <c r="E25" i="28"/>
  <c r="E37" i="28" s="1"/>
  <c r="E49" i="28" s="1"/>
  <c r="E61" i="28" s="1"/>
  <c r="E73" i="28" s="1"/>
  <c r="E85" i="28" s="1"/>
  <c r="E97" i="28" s="1"/>
  <c r="E109" i="28" s="1"/>
  <c r="CF64" i="39"/>
  <c r="DD63" i="39"/>
  <c r="DH63" i="39"/>
  <c r="DL63" i="39"/>
  <c r="DE63" i="39"/>
  <c r="DI63" i="39"/>
  <c r="DM63" i="39"/>
  <c r="DC63" i="39"/>
  <c r="DG63" i="39"/>
  <c r="DK63" i="39"/>
  <c r="DO63" i="39"/>
  <c r="DJ63" i="39"/>
  <c r="DN63" i="39"/>
  <c r="DF63" i="39"/>
  <c r="DB63" i="39"/>
  <c r="BL52" i="39"/>
  <c r="BK52" i="39"/>
  <c r="BJ53" i="39"/>
  <c r="CW50" i="39"/>
  <c r="CV56" i="39"/>
  <c r="DA50" i="39"/>
  <c r="CY50" i="39"/>
  <c r="F33" i="27"/>
  <c r="P33" i="27" s="1"/>
  <c r="L17" i="28"/>
  <c r="Q17" i="28" s="1"/>
  <c r="F27" i="27"/>
  <c r="P27" i="27" s="1"/>
  <c r="L15" i="28"/>
  <c r="Q15" i="28" s="1"/>
  <c r="L20" i="28"/>
  <c r="Q20" i="28" s="1"/>
  <c r="L12" i="28"/>
  <c r="Q12" i="28" s="1"/>
  <c r="L19" i="28"/>
  <c r="Q19" i="28" s="1"/>
  <c r="F26" i="27"/>
  <c r="P26" i="27" s="1"/>
  <c r="F27" i="29"/>
  <c r="N27" i="29" s="1"/>
  <c r="M27" i="28"/>
  <c r="L21" i="28"/>
  <c r="Q21" i="28" s="1"/>
  <c r="F30" i="29"/>
  <c r="N30" i="29" s="1"/>
  <c r="L22" i="28"/>
  <c r="Q22" i="28" s="1"/>
  <c r="F29" i="27"/>
  <c r="P29" i="27" s="1"/>
  <c r="M26" i="28"/>
  <c r="F29" i="29"/>
  <c r="N29" i="29" s="1"/>
  <c r="S29" i="29" s="1"/>
  <c r="E21" i="27"/>
  <c r="O21" i="27" s="1"/>
  <c r="V21" i="27" s="1"/>
  <c r="F30" i="27"/>
  <c r="P30" i="27" s="1"/>
  <c r="M28" i="28"/>
  <c r="M29" i="28"/>
  <c r="F26" i="29"/>
  <c r="N26" i="29" s="1"/>
  <c r="E16" i="27"/>
  <c r="O16" i="27" s="1"/>
  <c r="V16" i="27" s="1"/>
  <c r="L23" i="28"/>
  <c r="Q23" i="28" s="1"/>
  <c r="L16" i="28"/>
  <c r="Q16" i="28" s="1"/>
  <c r="F32" i="29"/>
  <c r="N32" i="29" s="1"/>
  <c r="F31" i="27"/>
  <c r="P31" i="27" s="1"/>
  <c r="F33" i="29"/>
  <c r="N33" i="29" s="1"/>
  <c r="M32" i="28"/>
  <c r="F28" i="29"/>
  <c r="N28" i="29" s="1"/>
  <c r="L18" i="28"/>
  <c r="Q18" i="28" s="1"/>
  <c r="M31" i="28"/>
  <c r="E19" i="27"/>
  <c r="O19" i="27" s="1"/>
  <c r="V19" i="27" s="1"/>
  <c r="E20" i="27"/>
  <c r="O20" i="27" s="1"/>
  <c r="V20" i="27" s="1"/>
  <c r="F31" i="29"/>
  <c r="N31" i="29" s="1"/>
  <c r="E17" i="27"/>
  <c r="O17" i="27" s="1"/>
  <c r="V17" i="27" s="1"/>
  <c r="E22" i="27"/>
  <c r="O22" i="27" s="1"/>
  <c r="V22" i="27" s="1"/>
  <c r="E18" i="27"/>
  <c r="O18" i="27" s="1"/>
  <c r="V18" i="27" s="1"/>
  <c r="F32" i="27"/>
  <c r="P32" i="27" s="1"/>
  <c r="M30" i="28"/>
  <c r="F28" i="27"/>
  <c r="P28" i="27" s="1"/>
  <c r="M33" i="28"/>
  <c r="E23" i="27"/>
  <c r="O23" i="27" s="1"/>
  <c r="V23" i="27" s="1"/>
  <c r="E15" i="27"/>
  <c r="O15" i="27" s="1"/>
  <c r="V15" i="27" s="1"/>
  <c r="F35" i="29"/>
  <c r="N35" i="29" s="1"/>
  <c r="S35" i="29" s="1"/>
  <c r="F35" i="27"/>
  <c r="P35" i="27" s="1"/>
  <c r="F46" i="27"/>
  <c r="P46" i="27" s="1"/>
  <c r="F46" i="29"/>
  <c r="N46" i="29" s="1"/>
  <c r="M46" i="28"/>
  <c r="M24" i="28"/>
  <c r="F24" i="27"/>
  <c r="P24" i="27" s="1"/>
  <c r="F24" i="29"/>
  <c r="N24" i="29" s="1"/>
  <c r="S24" i="29" s="1"/>
  <c r="M35" i="28"/>
  <c r="N13" i="29"/>
  <c r="S13" i="29" s="1"/>
  <c r="Q18" i="103" l="1"/>
  <c r="P21" i="103"/>
  <c r="P23" i="103"/>
  <c r="P26" i="103" s="1"/>
  <c r="O26" i="103"/>
  <c r="I107" i="103" s="1"/>
  <c r="I108" i="103" s="1"/>
  <c r="K113" i="103"/>
  <c r="K112" i="103"/>
  <c r="K114" i="103"/>
  <c r="N113" i="103"/>
  <c r="N114" i="103"/>
  <c r="N112" i="103"/>
  <c r="M37" i="108"/>
  <c r="M43" i="108"/>
  <c r="M39" i="108"/>
  <c r="M42" i="108"/>
  <c r="M41" i="108"/>
  <c r="M36" i="108"/>
  <c r="I34" i="108"/>
  <c r="D48" i="108"/>
  <c r="D44" i="108"/>
  <c r="D43" i="108"/>
  <c r="D47" i="108"/>
  <c r="M40" i="108"/>
  <c r="E44" i="108"/>
  <c r="E48" i="108"/>
  <c r="E47" i="108"/>
  <c r="E43" i="108"/>
  <c r="F47" i="108"/>
  <c r="F43" i="108"/>
  <c r="M38" i="108"/>
  <c r="M44" i="108"/>
  <c r="M34" i="108"/>
  <c r="Q23" i="103"/>
  <c r="I106" i="103"/>
  <c r="R13" i="106"/>
  <c r="K43" i="106"/>
  <c r="O43" i="106" s="1"/>
  <c r="R43" i="106" s="1"/>
  <c r="E55" i="106"/>
  <c r="L54" i="106"/>
  <c r="F66" i="106"/>
  <c r="K25" i="106"/>
  <c r="O25" i="106" s="1"/>
  <c r="E37" i="106"/>
  <c r="L52" i="106"/>
  <c r="F64" i="106"/>
  <c r="K40" i="106"/>
  <c r="O40" i="106" s="1"/>
  <c r="R40" i="106" s="1"/>
  <c r="E52" i="106"/>
  <c r="L59" i="106"/>
  <c r="F71" i="106"/>
  <c r="L48" i="106"/>
  <c r="F60" i="106"/>
  <c r="L55" i="106"/>
  <c r="F67" i="106"/>
  <c r="O38" i="106"/>
  <c r="R38" i="106" s="1"/>
  <c r="E58" i="106"/>
  <c r="K46" i="106"/>
  <c r="O46" i="106" s="1"/>
  <c r="R46" i="106" s="1"/>
  <c r="K36" i="106"/>
  <c r="O36" i="106" s="1"/>
  <c r="R36" i="106" s="1"/>
  <c r="E48" i="106"/>
  <c r="E62" i="106"/>
  <c r="K50" i="106"/>
  <c r="F65" i="106"/>
  <c r="L53" i="106"/>
  <c r="L58" i="106"/>
  <c r="F70" i="106"/>
  <c r="L56" i="106"/>
  <c r="F68" i="106"/>
  <c r="K39" i="106"/>
  <c r="O39" i="106" s="1"/>
  <c r="R39" i="106" s="1"/>
  <c r="E51" i="106"/>
  <c r="K47" i="106"/>
  <c r="O47" i="106" s="1"/>
  <c r="R47" i="106" s="1"/>
  <c r="E59" i="106"/>
  <c r="L50" i="106"/>
  <c r="F62" i="106"/>
  <c r="K45" i="106"/>
  <c r="O45" i="106" s="1"/>
  <c r="R45" i="106" s="1"/>
  <c r="E57" i="106"/>
  <c r="K41" i="106"/>
  <c r="O41" i="106" s="1"/>
  <c r="R41" i="106" s="1"/>
  <c r="E53" i="106"/>
  <c r="L51" i="106"/>
  <c r="F63" i="106"/>
  <c r="K44" i="106"/>
  <c r="O44" i="106" s="1"/>
  <c r="R44" i="106" s="1"/>
  <c r="E56" i="106"/>
  <c r="F69" i="106"/>
  <c r="L57" i="106"/>
  <c r="F49" i="106"/>
  <c r="L37" i="106"/>
  <c r="E54" i="106"/>
  <c r="K42" i="106"/>
  <c r="O42" i="106" s="1"/>
  <c r="R42" i="106" s="1"/>
  <c r="E46" i="29"/>
  <c r="M46" i="29" s="1"/>
  <c r="S46" i="29" s="1"/>
  <c r="S30" i="29"/>
  <c r="E42" i="29"/>
  <c r="M42" i="29" s="1"/>
  <c r="E44" i="29"/>
  <c r="M44" i="29" s="1"/>
  <c r="S32" i="29"/>
  <c r="H36" i="85"/>
  <c r="O36" i="85" s="1"/>
  <c r="Z12" i="84"/>
  <c r="S31" i="29"/>
  <c r="E43" i="29"/>
  <c r="M43" i="29" s="1"/>
  <c r="F121" i="28"/>
  <c r="M121" i="28" s="1"/>
  <c r="E121" i="28"/>
  <c r="L121" i="28" s="1"/>
  <c r="E132" i="28"/>
  <c r="E144" i="28" s="1"/>
  <c r="L144" i="28" s="1"/>
  <c r="E131" i="28"/>
  <c r="E143" i="28" s="1"/>
  <c r="L143" i="28" s="1"/>
  <c r="S26" i="29"/>
  <c r="H47" i="85"/>
  <c r="O47" i="85" s="1"/>
  <c r="S27" i="29"/>
  <c r="E39" i="29"/>
  <c r="M39" i="29" s="1"/>
  <c r="S28" i="29"/>
  <c r="S33" i="29"/>
  <c r="E45" i="29"/>
  <c r="M45" i="29" s="1"/>
  <c r="E40" i="29"/>
  <c r="M40" i="29" s="1"/>
  <c r="H25" i="85"/>
  <c r="O25" i="85" s="1"/>
  <c r="E37" i="29"/>
  <c r="M37" i="29" s="1"/>
  <c r="E38" i="29"/>
  <c r="M38" i="29" s="1"/>
  <c r="E48" i="29"/>
  <c r="M48" i="29" s="1"/>
  <c r="V18" i="98"/>
  <c r="BG52" i="99"/>
  <c r="BG112" i="39"/>
  <c r="G37" i="86"/>
  <c r="O25" i="86"/>
  <c r="U25" i="86" s="1"/>
  <c r="G38" i="86"/>
  <c r="O26" i="86"/>
  <c r="U26" i="86" s="1"/>
  <c r="G48" i="86"/>
  <c r="O36" i="86"/>
  <c r="U36" i="86" s="1"/>
  <c r="G41" i="86"/>
  <c r="O29" i="86"/>
  <c r="U29" i="86" s="1"/>
  <c r="G43" i="86"/>
  <c r="O31" i="86"/>
  <c r="U31" i="86" s="1"/>
  <c r="G39" i="86"/>
  <c r="O27" i="86"/>
  <c r="U27" i="86" s="1"/>
  <c r="G46" i="86"/>
  <c r="O34" i="86"/>
  <c r="U34" i="86" s="1"/>
  <c r="G40" i="86"/>
  <c r="O28" i="86"/>
  <c r="U28" i="86" s="1"/>
  <c r="G45" i="86"/>
  <c r="O33" i="86"/>
  <c r="U33" i="86" s="1"/>
  <c r="G44" i="86"/>
  <c r="O32" i="86"/>
  <c r="U32" i="86" s="1"/>
  <c r="G42" i="86"/>
  <c r="O30" i="86"/>
  <c r="U30" i="86" s="1"/>
  <c r="G47" i="86"/>
  <c r="O35" i="86"/>
  <c r="U35" i="86" s="1"/>
  <c r="E53" i="29"/>
  <c r="M53" i="29" s="1"/>
  <c r="E59" i="29"/>
  <c r="M59" i="29" s="1"/>
  <c r="G35" i="85"/>
  <c r="N35" i="85" s="1"/>
  <c r="S35" i="85" s="1"/>
  <c r="M13" i="28"/>
  <c r="E14" i="28"/>
  <c r="N2" i="85"/>
  <c r="S2" i="85" s="1"/>
  <c r="G14" i="85"/>
  <c r="J17" i="26"/>
  <c r="Z158" i="47"/>
  <c r="W16" i="98"/>
  <c r="BI50" i="99"/>
  <c r="BI110" i="39"/>
  <c r="AB13" i="98"/>
  <c r="BH107" i="39"/>
  <c r="BH47" i="99"/>
  <c r="H60" i="87"/>
  <c r="N48" i="87"/>
  <c r="H69" i="87"/>
  <c r="N57" i="87"/>
  <c r="H50" i="87"/>
  <c r="N38" i="87"/>
  <c r="Q38" i="87" s="1"/>
  <c r="H67" i="87"/>
  <c r="N55" i="87"/>
  <c r="H65" i="87"/>
  <c r="N53" i="87"/>
  <c r="H71" i="87"/>
  <c r="N59" i="87"/>
  <c r="H68" i="87"/>
  <c r="N56" i="87"/>
  <c r="H66" i="87"/>
  <c r="N54" i="87"/>
  <c r="H64" i="87"/>
  <c r="N52" i="87"/>
  <c r="H70" i="87"/>
  <c r="N58" i="87"/>
  <c r="H63" i="87"/>
  <c r="N51" i="87"/>
  <c r="H49" i="87"/>
  <c r="N37" i="87"/>
  <c r="G42" i="87"/>
  <c r="M42" i="87" s="1"/>
  <c r="Q42" i="87" s="1"/>
  <c r="G44" i="87"/>
  <c r="M44" i="87" s="1"/>
  <c r="Q44" i="87" s="1"/>
  <c r="G36" i="87"/>
  <c r="M36" i="87" s="1"/>
  <c r="Q36" i="87" s="1"/>
  <c r="G45" i="87"/>
  <c r="M45" i="87" s="1"/>
  <c r="Q45" i="87" s="1"/>
  <c r="G40" i="87"/>
  <c r="M40" i="87" s="1"/>
  <c r="Q40" i="87" s="1"/>
  <c r="G46" i="87"/>
  <c r="M46" i="87" s="1"/>
  <c r="Q46" i="87" s="1"/>
  <c r="G47" i="87"/>
  <c r="M47" i="87" s="1"/>
  <c r="Q47" i="87" s="1"/>
  <c r="G43" i="87"/>
  <c r="M43" i="87" s="1"/>
  <c r="Q43" i="87" s="1"/>
  <c r="G25" i="87"/>
  <c r="M25" i="87" s="1"/>
  <c r="Q25" i="87" s="1"/>
  <c r="AK5" i="91"/>
  <c r="G41" i="87"/>
  <c r="M41" i="87" s="1"/>
  <c r="Q41" i="87" s="1"/>
  <c r="G39" i="87"/>
  <c r="M39" i="87" s="1"/>
  <c r="Q39" i="87" s="1"/>
  <c r="G50" i="87"/>
  <c r="M50" i="87" s="1"/>
  <c r="F60" i="30"/>
  <c r="L48" i="30"/>
  <c r="F71" i="30"/>
  <c r="L59" i="30"/>
  <c r="F65" i="30"/>
  <c r="L53" i="30"/>
  <c r="F64" i="30"/>
  <c r="L52" i="30"/>
  <c r="F70" i="30"/>
  <c r="L58" i="30"/>
  <c r="F69" i="30"/>
  <c r="L57" i="30"/>
  <c r="F66" i="30"/>
  <c r="L54" i="30"/>
  <c r="F63" i="30"/>
  <c r="L51" i="30"/>
  <c r="F68" i="30"/>
  <c r="L56" i="30"/>
  <c r="F62" i="30"/>
  <c r="L50" i="30"/>
  <c r="F67" i="30"/>
  <c r="L55" i="30"/>
  <c r="F49" i="30"/>
  <c r="L37" i="30"/>
  <c r="V13" i="27"/>
  <c r="E56" i="30"/>
  <c r="K56" i="30" s="1"/>
  <c r="O44" i="30"/>
  <c r="E48" i="30"/>
  <c r="K48" i="30" s="1"/>
  <c r="O36" i="30"/>
  <c r="E53" i="30"/>
  <c r="K53" i="30" s="1"/>
  <c r="O41" i="30"/>
  <c r="E51" i="30"/>
  <c r="K51" i="30" s="1"/>
  <c r="O39" i="30"/>
  <c r="E52" i="30"/>
  <c r="K52" i="30" s="1"/>
  <c r="O40" i="30"/>
  <c r="E55" i="30"/>
  <c r="K55" i="30" s="1"/>
  <c r="O43" i="30"/>
  <c r="E57" i="30"/>
  <c r="K57" i="30" s="1"/>
  <c r="O45" i="30"/>
  <c r="E54" i="30"/>
  <c r="K54" i="30" s="1"/>
  <c r="O42" i="30"/>
  <c r="E37" i="30"/>
  <c r="K37" i="30" s="1"/>
  <c r="E59" i="30"/>
  <c r="K59" i="30" s="1"/>
  <c r="O47" i="30"/>
  <c r="E50" i="30"/>
  <c r="K50" i="30" s="1"/>
  <c r="O38" i="30"/>
  <c r="E58" i="30"/>
  <c r="K58" i="30" s="1"/>
  <c r="O46" i="30"/>
  <c r="H47" i="84"/>
  <c r="S47" i="84" s="1"/>
  <c r="Z16" i="84"/>
  <c r="Z17" i="84"/>
  <c r="Z21" i="84"/>
  <c r="Z23" i="84"/>
  <c r="Z22" i="84"/>
  <c r="Z20" i="84"/>
  <c r="Z19" i="84"/>
  <c r="Z15" i="84"/>
  <c r="Z18" i="84"/>
  <c r="H36" i="84"/>
  <c r="S36" i="84" s="1"/>
  <c r="H25" i="84"/>
  <c r="S25" i="84" s="1"/>
  <c r="E14" i="27"/>
  <c r="O14" i="27" s="1"/>
  <c r="V14" i="27" s="1"/>
  <c r="R2" i="84"/>
  <c r="Y2" i="84" s="1"/>
  <c r="Z2" i="84" s="1"/>
  <c r="G14" i="84"/>
  <c r="N34" i="85"/>
  <c r="S34" i="85" s="1"/>
  <c r="N27" i="85"/>
  <c r="S27" i="85" s="1"/>
  <c r="N28" i="85"/>
  <c r="S28" i="85" s="1"/>
  <c r="N24" i="85"/>
  <c r="S24" i="85" s="1"/>
  <c r="N30" i="85"/>
  <c r="S30" i="85" s="1"/>
  <c r="N29" i="85"/>
  <c r="S29" i="85" s="1"/>
  <c r="N33" i="85"/>
  <c r="S33" i="85" s="1"/>
  <c r="N31" i="85"/>
  <c r="S31" i="85" s="1"/>
  <c r="N32" i="85"/>
  <c r="S32" i="85" s="1"/>
  <c r="N13" i="85"/>
  <c r="S13" i="85" s="1"/>
  <c r="R24" i="84"/>
  <c r="Y24" i="84" s="1"/>
  <c r="R34" i="84"/>
  <c r="Y34" i="84" s="1"/>
  <c r="R31" i="84"/>
  <c r="Y31" i="84" s="1"/>
  <c r="R35" i="84"/>
  <c r="Y35" i="84" s="1"/>
  <c r="R13" i="84"/>
  <c r="Y13" i="84" s="1"/>
  <c r="R33" i="84"/>
  <c r="Y33" i="84" s="1"/>
  <c r="R32" i="84"/>
  <c r="Y32" i="84" s="1"/>
  <c r="R30" i="84"/>
  <c r="Y30" i="84" s="1"/>
  <c r="R29" i="84"/>
  <c r="Y29" i="84" s="1"/>
  <c r="R27" i="84"/>
  <c r="Y27" i="84" s="1"/>
  <c r="R28" i="84"/>
  <c r="Y28" i="84" s="1"/>
  <c r="H54" i="84"/>
  <c r="S54" i="84" s="1"/>
  <c r="H57" i="86"/>
  <c r="P57" i="86" s="1"/>
  <c r="G47" i="84"/>
  <c r="H55" i="86"/>
  <c r="P55" i="86" s="1"/>
  <c r="H53" i="84"/>
  <c r="S53" i="84" s="1"/>
  <c r="H51" i="86"/>
  <c r="P51" i="86" s="1"/>
  <c r="G42" i="85"/>
  <c r="H48" i="86"/>
  <c r="P48" i="86" s="1"/>
  <c r="H55" i="85"/>
  <c r="O55" i="85" s="1"/>
  <c r="H51" i="85"/>
  <c r="O51" i="85" s="1"/>
  <c r="G46" i="85"/>
  <c r="G36" i="85"/>
  <c r="H52" i="86"/>
  <c r="P52" i="86" s="1"/>
  <c r="H53" i="85"/>
  <c r="O53" i="85" s="1"/>
  <c r="H56" i="86"/>
  <c r="P56" i="86" s="1"/>
  <c r="H57" i="85"/>
  <c r="O57" i="85" s="1"/>
  <c r="G25" i="84"/>
  <c r="G44" i="84"/>
  <c r="H50" i="86"/>
  <c r="P50" i="86" s="1"/>
  <c r="H52" i="85"/>
  <c r="O52" i="85" s="1"/>
  <c r="H58" i="84"/>
  <c r="S58" i="84" s="1"/>
  <c r="H54" i="85"/>
  <c r="O54" i="85" s="1"/>
  <c r="H37" i="86"/>
  <c r="P37" i="86" s="1"/>
  <c r="H52" i="84"/>
  <c r="S52" i="84" s="1"/>
  <c r="H55" i="84"/>
  <c r="S55" i="84" s="1"/>
  <c r="G41" i="84"/>
  <c r="G46" i="84"/>
  <c r="H53" i="86"/>
  <c r="P53" i="86" s="1"/>
  <c r="G43" i="84"/>
  <c r="H58" i="86"/>
  <c r="P58" i="86" s="1"/>
  <c r="G43" i="85"/>
  <c r="H51" i="84"/>
  <c r="S51" i="84" s="1"/>
  <c r="H56" i="85"/>
  <c r="O56" i="85" s="1"/>
  <c r="G39" i="85"/>
  <c r="G42" i="84"/>
  <c r="G39" i="84"/>
  <c r="G41" i="85"/>
  <c r="G45" i="85"/>
  <c r="G40" i="84"/>
  <c r="H54" i="86"/>
  <c r="P54" i="86" s="1"/>
  <c r="G45" i="84"/>
  <c r="G25" i="85"/>
  <c r="H50" i="84"/>
  <c r="S50" i="84" s="1"/>
  <c r="H58" i="85"/>
  <c r="O58" i="85" s="1"/>
  <c r="H56" i="84"/>
  <c r="S56" i="84" s="1"/>
  <c r="G36" i="84"/>
  <c r="H50" i="85"/>
  <c r="O50" i="85" s="1"/>
  <c r="H59" i="86"/>
  <c r="P59" i="86" s="1"/>
  <c r="G40" i="85"/>
  <c r="G44" i="85"/>
  <c r="H57" i="84"/>
  <c r="S57" i="84" s="1"/>
  <c r="CF65" i="39"/>
  <c r="DD64" i="39"/>
  <c r="DH64" i="39"/>
  <c r="DL64" i="39"/>
  <c r="DE64" i="39"/>
  <c r="DI64" i="39"/>
  <c r="DM64" i="39"/>
  <c r="DC64" i="39"/>
  <c r="DG64" i="39"/>
  <c r="DK64" i="39"/>
  <c r="DO64" i="39"/>
  <c r="DN64" i="39"/>
  <c r="DF64" i="39"/>
  <c r="DJ64" i="39"/>
  <c r="DB64" i="39"/>
  <c r="BK53" i="39"/>
  <c r="BL53" i="39"/>
  <c r="BJ54" i="39"/>
  <c r="CY51" i="39"/>
  <c r="DA51" i="39"/>
  <c r="CW51" i="39"/>
  <c r="CV57" i="39"/>
  <c r="F40" i="27"/>
  <c r="P40" i="27" s="1"/>
  <c r="E24" i="27"/>
  <c r="O24" i="27" s="1"/>
  <c r="V24" i="27" s="1"/>
  <c r="E34" i="27"/>
  <c r="O34" i="27" s="1"/>
  <c r="V34" i="27" s="1"/>
  <c r="F43" i="27"/>
  <c r="P43" i="27" s="1"/>
  <c r="M40" i="28"/>
  <c r="E33" i="27"/>
  <c r="O33" i="27" s="1"/>
  <c r="V33" i="27" s="1"/>
  <c r="F41" i="29"/>
  <c r="N41" i="29" s="1"/>
  <c r="S41" i="29" s="1"/>
  <c r="M38" i="28"/>
  <c r="L34" i="28"/>
  <c r="Q34" i="28" s="1"/>
  <c r="L33" i="28"/>
  <c r="Q33" i="28" s="1"/>
  <c r="F39" i="27"/>
  <c r="P39" i="27" s="1"/>
  <c r="F45" i="27"/>
  <c r="P45" i="27" s="1"/>
  <c r="E35" i="27"/>
  <c r="O35" i="27" s="1"/>
  <c r="V35" i="27" s="1"/>
  <c r="F44" i="27"/>
  <c r="P44" i="27" s="1"/>
  <c r="F43" i="29"/>
  <c r="N43" i="29" s="1"/>
  <c r="E31" i="27"/>
  <c r="O31" i="27" s="1"/>
  <c r="V31" i="27" s="1"/>
  <c r="F40" i="29"/>
  <c r="N40" i="29" s="1"/>
  <c r="L28" i="28"/>
  <c r="Q28" i="28" s="1"/>
  <c r="L35" i="28"/>
  <c r="Q35" i="28" s="1"/>
  <c r="F38" i="29"/>
  <c r="N38" i="29" s="1"/>
  <c r="L31" i="28"/>
  <c r="Q31" i="28" s="1"/>
  <c r="L32" i="28"/>
  <c r="Q32" i="28" s="1"/>
  <c r="E27" i="27"/>
  <c r="O27" i="27" s="1"/>
  <c r="V27" i="27" s="1"/>
  <c r="M42" i="28"/>
  <c r="E29" i="27"/>
  <c r="O29" i="27" s="1"/>
  <c r="V29" i="27" s="1"/>
  <c r="L30" i="28"/>
  <c r="Q30" i="28" s="1"/>
  <c r="F45" i="29"/>
  <c r="N45" i="29" s="1"/>
  <c r="F44" i="29"/>
  <c r="N44" i="29" s="1"/>
  <c r="E28" i="27"/>
  <c r="O28" i="27" s="1"/>
  <c r="V28" i="27" s="1"/>
  <c r="M41" i="28"/>
  <c r="F41" i="27"/>
  <c r="P41" i="27" s="1"/>
  <c r="F42" i="29"/>
  <c r="N42" i="29" s="1"/>
  <c r="L27" i="28"/>
  <c r="Q27" i="28" s="1"/>
  <c r="L29" i="28"/>
  <c r="Q29" i="28" s="1"/>
  <c r="M45" i="28"/>
  <c r="E30" i="27"/>
  <c r="O30" i="27" s="1"/>
  <c r="V30" i="27" s="1"/>
  <c r="E32" i="27"/>
  <c r="O32" i="27" s="1"/>
  <c r="V32" i="27" s="1"/>
  <c r="M43" i="28"/>
  <c r="M44" i="28"/>
  <c r="F42" i="27"/>
  <c r="P42" i="27" s="1"/>
  <c r="M39" i="28"/>
  <c r="F39" i="29"/>
  <c r="N39" i="29" s="1"/>
  <c r="F38" i="27"/>
  <c r="P38" i="27" s="1"/>
  <c r="L24" i="28"/>
  <c r="Q24" i="28" s="1"/>
  <c r="L13" i="28"/>
  <c r="F25" i="29"/>
  <c r="N25" i="29" s="1"/>
  <c r="S25" i="29" s="1"/>
  <c r="F47" i="27"/>
  <c r="P47" i="27" s="1"/>
  <c r="F36" i="29"/>
  <c r="N36" i="29" s="1"/>
  <c r="S36" i="29" s="1"/>
  <c r="F58" i="27"/>
  <c r="P58" i="27" s="1"/>
  <c r="M36" i="28"/>
  <c r="M25" i="28"/>
  <c r="M47" i="28"/>
  <c r="F36" i="27"/>
  <c r="P36" i="27" s="1"/>
  <c r="F47" i="29"/>
  <c r="N47" i="29" s="1"/>
  <c r="S47" i="29" s="1"/>
  <c r="M58" i="28"/>
  <c r="F58" i="29"/>
  <c r="N58" i="29" s="1"/>
  <c r="F25" i="27"/>
  <c r="P25" i="27" s="1"/>
  <c r="R18" i="103" l="1"/>
  <c r="Q21" i="103"/>
  <c r="R23" i="103"/>
  <c r="Q26" i="103"/>
  <c r="M45" i="108"/>
  <c r="H10" i="109" s="1"/>
  <c r="D45" i="108"/>
  <c r="D49" i="108"/>
  <c r="E45" i="108"/>
  <c r="E49" i="108"/>
  <c r="R25" i="106"/>
  <c r="H48" i="85"/>
  <c r="O48" i="85" s="1"/>
  <c r="S43" i="29"/>
  <c r="E10" i="109"/>
  <c r="E56" i="29"/>
  <c r="M56" i="29" s="1"/>
  <c r="E58" i="29"/>
  <c r="M58" i="29" s="1"/>
  <c r="S58" i="29" s="1"/>
  <c r="O50" i="106"/>
  <c r="R50" i="106" s="1"/>
  <c r="E66" i="106"/>
  <c r="K54" i="106"/>
  <c r="O54" i="106" s="1"/>
  <c r="R54" i="106" s="1"/>
  <c r="F81" i="106"/>
  <c r="L69" i="106"/>
  <c r="F77" i="106"/>
  <c r="L65" i="106"/>
  <c r="F79" i="106"/>
  <c r="L67" i="106"/>
  <c r="F83" i="106"/>
  <c r="L71" i="106"/>
  <c r="L64" i="106"/>
  <c r="F76" i="106"/>
  <c r="F78" i="106"/>
  <c r="L66" i="106"/>
  <c r="K56" i="106"/>
  <c r="O56" i="106" s="1"/>
  <c r="R56" i="106" s="1"/>
  <c r="E68" i="106"/>
  <c r="K53" i="106"/>
  <c r="O53" i="106" s="1"/>
  <c r="R53" i="106" s="1"/>
  <c r="E65" i="106"/>
  <c r="L62" i="106"/>
  <c r="F74" i="106"/>
  <c r="K51" i="106"/>
  <c r="O51" i="106" s="1"/>
  <c r="R51" i="106" s="1"/>
  <c r="E63" i="106"/>
  <c r="F82" i="106"/>
  <c r="L70" i="106"/>
  <c r="F61" i="106"/>
  <c r="L49" i="106"/>
  <c r="E74" i="106"/>
  <c r="K62" i="106"/>
  <c r="E70" i="106"/>
  <c r="K58" i="106"/>
  <c r="O58" i="106" s="1"/>
  <c r="R58" i="106" s="1"/>
  <c r="L60" i="106"/>
  <c r="F72" i="106"/>
  <c r="K52" i="106"/>
  <c r="O52" i="106" s="1"/>
  <c r="R52" i="106" s="1"/>
  <c r="E64" i="106"/>
  <c r="K37" i="106"/>
  <c r="O37" i="106" s="1"/>
  <c r="R37" i="106" s="1"/>
  <c r="E49" i="106"/>
  <c r="K55" i="106"/>
  <c r="O55" i="106" s="1"/>
  <c r="R55" i="106" s="1"/>
  <c r="E67" i="106"/>
  <c r="L63" i="106"/>
  <c r="F75" i="106"/>
  <c r="K57" i="106"/>
  <c r="O57" i="106" s="1"/>
  <c r="R57" i="106" s="1"/>
  <c r="E69" i="106"/>
  <c r="K59" i="106"/>
  <c r="O59" i="106" s="1"/>
  <c r="R59" i="106" s="1"/>
  <c r="E71" i="106"/>
  <c r="L68" i="106"/>
  <c r="F80" i="106"/>
  <c r="K48" i="106"/>
  <c r="O48" i="106" s="1"/>
  <c r="R48" i="106" s="1"/>
  <c r="E60" i="106"/>
  <c r="S42" i="29"/>
  <c r="S44" i="29"/>
  <c r="E54" i="29"/>
  <c r="M54" i="29" s="1"/>
  <c r="H59" i="85"/>
  <c r="O59" i="85" s="1"/>
  <c r="E55" i="29"/>
  <c r="M55" i="29" s="1"/>
  <c r="E133" i="28"/>
  <c r="Q121" i="28"/>
  <c r="F133" i="28"/>
  <c r="F145" i="28" s="1"/>
  <c r="M145" i="28" s="1"/>
  <c r="E51" i="29"/>
  <c r="M51" i="29" s="1"/>
  <c r="S45" i="29"/>
  <c r="S39" i="29"/>
  <c r="Q13" i="28"/>
  <c r="R5" i="33" s="1"/>
  <c r="T5" i="33" s="1"/>
  <c r="V5" i="33" s="1"/>
  <c r="H37" i="85"/>
  <c r="O37" i="85" s="1"/>
  <c r="E49" i="29"/>
  <c r="M49" i="29" s="1"/>
  <c r="S40" i="29"/>
  <c r="E52" i="29"/>
  <c r="M52" i="29" s="1"/>
  <c r="E57" i="29"/>
  <c r="M57" i="29" s="1"/>
  <c r="E50" i="29"/>
  <c r="M50" i="29" s="1"/>
  <c r="S38" i="29"/>
  <c r="E60" i="29"/>
  <c r="M60" i="29" s="1"/>
  <c r="G47" i="85"/>
  <c r="G59" i="85" s="1"/>
  <c r="V19" i="98"/>
  <c r="BG53" i="99"/>
  <c r="BG113" i="39"/>
  <c r="G59" i="86"/>
  <c r="O47" i="86"/>
  <c r="U47" i="86" s="1"/>
  <c r="G54" i="86"/>
  <c r="O42" i="86"/>
  <c r="U42" i="86" s="1"/>
  <c r="G56" i="86"/>
  <c r="O44" i="86"/>
  <c r="U44" i="86" s="1"/>
  <c r="G57" i="86"/>
  <c r="O45" i="86"/>
  <c r="U45" i="86" s="1"/>
  <c r="G52" i="86"/>
  <c r="O40" i="86"/>
  <c r="U40" i="86" s="1"/>
  <c r="G58" i="86"/>
  <c r="O46" i="86"/>
  <c r="U46" i="86" s="1"/>
  <c r="G51" i="86"/>
  <c r="O39" i="86"/>
  <c r="U39" i="86" s="1"/>
  <c r="G55" i="86"/>
  <c r="O43" i="86"/>
  <c r="U43" i="86" s="1"/>
  <c r="G53" i="86"/>
  <c r="O41" i="86"/>
  <c r="U41" i="86" s="1"/>
  <c r="G60" i="86"/>
  <c r="O48" i="86"/>
  <c r="U48" i="86" s="1"/>
  <c r="G50" i="86"/>
  <c r="O38" i="86"/>
  <c r="U38" i="86" s="1"/>
  <c r="G49" i="86"/>
  <c r="O37" i="86"/>
  <c r="U37" i="86" s="1"/>
  <c r="AC7" i="91" s="1"/>
  <c r="E71" i="29"/>
  <c r="M71" i="29" s="1"/>
  <c r="E65" i="29"/>
  <c r="M65" i="29" s="1"/>
  <c r="H37" i="84"/>
  <c r="S37" i="84" s="1"/>
  <c r="R5" i="91"/>
  <c r="T5" i="91" s="1"/>
  <c r="V5" i="91" s="1"/>
  <c r="H59" i="84"/>
  <c r="S59" i="84" s="1"/>
  <c r="E26" i="28"/>
  <c r="L14" i="28"/>
  <c r="Q14" i="28" s="1"/>
  <c r="G26" i="85"/>
  <c r="N14" i="85"/>
  <c r="S14" i="85" s="1"/>
  <c r="W17" i="98"/>
  <c r="BI111" i="39"/>
  <c r="BI51" i="99"/>
  <c r="AB14" i="98"/>
  <c r="BH108" i="39"/>
  <c r="BH48" i="99"/>
  <c r="H61" i="87"/>
  <c r="N49" i="87"/>
  <c r="H82" i="87"/>
  <c r="N70" i="87"/>
  <c r="H78" i="87"/>
  <c r="N66" i="87"/>
  <c r="H83" i="87"/>
  <c r="N71" i="87"/>
  <c r="H79" i="87"/>
  <c r="N67" i="87"/>
  <c r="H81" i="87"/>
  <c r="N69" i="87"/>
  <c r="H75" i="87"/>
  <c r="N63" i="87"/>
  <c r="H76" i="87"/>
  <c r="N64" i="87"/>
  <c r="H80" i="87"/>
  <c r="N68" i="87"/>
  <c r="H77" i="87"/>
  <c r="N65" i="87"/>
  <c r="H62" i="87"/>
  <c r="N50" i="87"/>
  <c r="Q50" i="87" s="1"/>
  <c r="H72" i="87"/>
  <c r="N60" i="87"/>
  <c r="G51" i="87"/>
  <c r="M51" i="87" s="1"/>
  <c r="Q51" i="87" s="1"/>
  <c r="G37" i="87"/>
  <c r="M37" i="87" s="1"/>
  <c r="Q37" i="87" s="1"/>
  <c r="G59" i="87"/>
  <c r="M59" i="87" s="1"/>
  <c r="Q59" i="87" s="1"/>
  <c r="G52" i="87"/>
  <c r="M52" i="87" s="1"/>
  <c r="Q52" i="87" s="1"/>
  <c r="G48" i="87"/>
  <c r="M48" i="87" s="1"/>
  <c r="Q48" i="87" s="1"/>
  <c r="G54" i="87"/>
  <c r="M54" i="87" s="1"/>
  <c r="Q54" i="87" s="1"/>
  <c r="G62" i="87"/>
  <c r="M62" i="87" s="1"/>
  <c r="G53" i="87"/>
  <c r="M53" i="87" s="1"/>
  <c r="Q53" i="87" s="1"/>
  <c r="G55" i="87"/>
  <c r="M55" i="87" s="1"/>
  <c r="Q55" i="87" s="1"/>
  <c r="G58" i="87"/>
  <c r="M58" i="87" s="1"/>
  <c r="Q58" i="87" s="1"/>
  <c r="G57" i="87"/>
  <c r="M57" i="87" s="1"/>
  <c r="Q57" i="87" s="1"/>
  <c r="G56" i="87"/>
  <c r="M56" i="87" s="1"/>
  <c r="Q56" i="87" s="1"/>
  <c r="F61" i="30"/>
  <c r="L49" i="30"/>
  <c r="F74" i="30"/>
  <c r="L62" i="30"/>
  <c r="F75" i="30"/>
  <c r="L63" i="30"/>
  <c r="F81" i="30"/>
  <c r="L69" i="30"/>
  <c r="F76" i="30"/>
  <c r="L64" i="30"/>
  <c r="F83" i="30"/>
  <c r="L71" i="30"/>
  <c r="F79" i="30"/>
  <c r="L67" i="30"/>
  <c r="F80" i="30"/>
  <c r="L68" i="30"/>
  <c r="F78" i="30"/>
  <c r="L66" i="30"/>
  <c r="F82" i="30"/>
  <c r="L70" i="30"/>
  <c r="F77" i="30"/>
  <c r="L65" i="30"/>
  <c r="F72" i="30"/>
  <c r="L60" i="30"/>
  <c r="Z13" i="84"/>
  <c r="E26" i="27"/>
  <c r="O26" i="27" s="1"/>
  <c r="V26" i="27" s="1"/>
  <c r="E70" i="30"/>
  <c r="K70" i="30" s="1"/>
  <c r="O58" i="30"/>
  <c r="E71" i="30"/>
  <c r="K71" i="30" s="1"/>
  <c r="O59" i="30"/>
  <c r="E66" i="30"/>
  <c r="K66" i="30" s="1"/>
  <c r="O54" i="30"/>
  <c r="E67" i="30"/>
  <c r="K67" i="30" s="1"/>
  <c r="O55" i="30"/>
  <c r="E63" i="30"/>
  <c r="K63" i="30" s="1"/>
  <c r="O51" i="30"/>
  <c r="E60" i="30"/>
  <c r="K60" i="30" s="1"/>
  <c r="O48" i="30"/>
  <c r="E62" i="30"/>
  <c r="K62" i="30" s="1"/>
  <c r="O50" i="30"/>
  <c r="E49" i="30"/>
  <c r="K49" i="30" s="1"/>
  <c r="O37" i="30"/>
  <c r="E69" i="30"/>
  <c r="K69" i="30" s="1"/>
  <c r="O57" i="30"/>
  <c r="E64" i="30"/>
  <c r="K64" i="30" s="1"/>
  <c r="O52" i="30"/>
  <c r="E65" i="30"/>
  <c r="K65" i="30" s="1"/>
  <c r="O53" i="30"/>
  <c r="E68" i="30"/>
  <c r="K68" i="30" s="1"/>
  <c r="O56" i="30"/>
  <c r="H48" i="84"/>
  <c r="S48" i="84" s="1"/>
  <c r="Z27" i="84"/>
  <c r="Z33" i="84"/>
  <c r="Z34" i="84"/>
  <c r="Z29" i="84"/>
  <c r="Z24" i="84"/>
  <c r="Z30" i="84"/>
  <c r="Z35" i="84"/>
  <c r="Z28" i="84"/>
  <c r="Z32" i="84"/>
  <c r="Z31" i="84"/>
  <c r="G26" i="84"/>
  <c r="R14" i="84"/>
  <c r="Y14" i="84" s="1"/>
  <c r="Z14" i="84" s="1"/>
  <c r="N41" i="85"/>
  <c r="S41" i="85" s="1"/>
  <c r="N43" i="85"/>
  <c r="S43" i="85" s="1"/>
  <c r="N36" i="85"/>
  <c r="S36" i="85" s="1"/>
  <c r="N44" i="85"/>
  <c r="S44" i="85" s="1"/>
  <c r="N25" i="85"/>
  <c r="N45" i="85"/>
  <c r="S45" i="85" s="1"/>
  <c r="N39" i="85"/>
  <c r="S39" i="85" s="1"/>
  <c r="N46" i="85"/>
  <c r="S46" i="85" s="1"/>
  <c r="N42" i="85"/>
  <c r="S42" i="85" s="1"/>
  <c r="N40" i="85"/>
  <c r="S40" i="85" s="1"/>
  <c r="R25" i="84"/>
  <c r="Y25" i="84" s="1"/>
  <c r="R47" i="84"/>
  <c r="Y47" i="84" s="1"/>
  <c r="R36" i="84"/>
  <c r="Y36" i="84" s="1"/>
  <c r="R39" i="84"/>
  <c r="Y39" i="84" s="1"/>
  <c r="R45" i="84"/>
  <c r="Y45" i="84" s="1"/>
  <c r="R42" i="84"/>
  <c r="Y42" i="84" s="1"/>
  <c r="R46" i="84"/>
  <c r="Y46" i="84" s="1"/>
  <c r="R44" i="84"/>
  <c r="Y44" i="84" s="1"/>
  <c r="R40" i="84"/>
  <c r="Y40" i="84" s="1"/>
  <c r="R43" i="84"/>
  <c r="Y43" i="84" s="1"/>
  <c r="R41" i="84"/>
  <c r="Y41" i="84" s="1"/>
  <c r="G48" i="84"/>
  <c r="G37" i="85"/>
  <c r="H66" i="86"/>
  <c r="P66" i="86" s="1"/>
  <c r="G57" i="85"/>
  <c r="G53" i="85"/>
  <c r="G54" i="84"/>
  <c r="G51" i="85"/>
  <c r="H63" i="84"/>
  <c r="S63" i="84" s="1"/>
  <c r="H70" i="86"/>
  <c r="P70" i="86" s="1"/>
  <c r="G56" i="84"/>
  <c r="H69" i="84"/>
  <c r="S69" i="84" s="1"/>
  <c r="H71" i="86"/>
  <c r="P71" i="86" s="1"/>
  <c r="H62" i="85"/>
  <c r="O62" i="85" s="1"/>
  <c r="H70" i="85"/>
  <c r="O70" i="85" s="1"/>
  <c r="H65" i="86"/>
  <c r="P65" i="86" s="1"/>
  <c r="G53" i="84"/>
  <c r="H64" i="84"/>
  <c r="S64" i="84" s="1"/>
  <c r="H66" i="85"/>
  <c r="O66" i="85" s="1"/>
  <c r="H65" i="85"/>
  <c r="O65" i="85" s="1"/>
  <c r="G58" i="85"/>
  <c r="H67" i="85"/>
  <c r="O67" i="85" s="1"/>
  <c r="G54" i="85"/>
  <c r="G56" i="85"/>
  <c r="H68" i="84"/>
  <c r="S68" i="84" s="1"/>
  <c r="H64" i="85"/>
  <c r="O64" i="85" s="1"/>
  <c r="H69" i="86"/>
  <c r="P69" i="86" s="1"/>
  <c r="H62" i="84"/>
  <c r="S62" i="84" s="1"/>
  <c r="G57" i="84"/>
  <c r="G52" i="84"/>
  <c r="G51" i="84"/>
  <c r="H68" i="85"/>
  <c r="O68" i="85" s="1"/>
  <c r="G55" i="85"/>
  <c r="H70" i="84"/>
  <c r="S70" i="84" s="1"/>
  <c r="H62" i="86"/>
  <c r="P62" i="86" s="1"/>
  <c r="G37" i="84"/>
  <c r="H65" i="84"/>
  <c r="S65" i="84" s="1"/>
  <c r="G59" i="84"/>
  <c r="H66" i="84"/>
  <c r="S66" i="84" s="1"/>
  <c r="G52" i="85"/>
  <c r="G55" i="84"/>
  <c r="G58" i="84"/>
  <c r="H67" i="84"/>
  <c r="S67" i="84" s="1"/>
  <c r="H49" i="86"/>
  <c r="P49" i="86" s="1"/>
  <c r="H69" i="85"/>
  <c r="O69" i="85" s="1"/>
  <c r="H68" i="86"/>
  <c r="P68" i="86" s="1"/>
  <c r="H64" i="86"/>
  <c r="P64" i="86" s="1"/>
  <c r="G48" i="85"/>
  <c r="H63" i="85"/>
  <c r="O63" i="85" s="1"/>
  <c r="H60" i="86"/>
  <c r="P60" i="86" s="1"/>
  <c r="H63" i="86"/>
  <c r="P63" i="86" s="1"/>
  <c r="H67" i="86"/>
  <c r="P67" i="86" s="1"/>
  <c r="CF66" i="39"/>
  <c r="DD65" i="39"/>
  <c r="DH65" i="39"/>
  <c r="DL65" i="39"/>
  <c r="DE65" i="39"/>
  <c r="DI65" i="39"/>
  <c r="DM65" i="39"/>
  <c r="DC65" i="39"/>
  <c r="DG65" i="39"/>
  <c r="DK65" i="39"/>
  <c r="DO65" i="39"/>
  <c r="DF65" i="39"/>
  <c r="DJ65" i="39"/>
  <c r="DN65" i="39"/>
  <c r="DB65" i="39"/>
  <c r="BL54" i="39"/>
  <c r="BK54" i="39"/>
  <c r="BJ55" i="39"/>
  <c r="CV58" i="39"/>
  <c r="DA52" i="39"/>
  <c r="CY52" i="39"/>
  <c r="CW52" i="39"/>
  <c r="M56" i="28"/>
  <c r="E44" i="27"/>
  <c r="O44" i="27" s="1"/>
  <c r="V44" i="27" s="1"/>
  <c r="L39" i="28"/>
  <c r="Q39" i="28" s="1"/>
  <c r="M51" i="28"/>
  <c r="M57" i="28"/>
  <c r="M53" i="28"/>
  <c r="E40" i="27"/>
  <c r="O40" i="27" s="1"/>
  <c r="V40" i="27" s="1"/>
  <c r="F57" i="29"/>
  <c r="N57" i="29" s="1"/>
  <c r="L45" i="28"/>
  <c r="Q45" i="28" s="1"/>
  <c r="E36" i="27"/>
  <c r="O36" i="27" s="1"/>
  <c r="V36" i="27" s="1"/>
  <c r="L25" i="28"/>
  <c r="Q25" i="28" s="1"/>
  <c r="F50" i="27"/>
  <c r="P50" i="27" s="1"/>
  <c r="M55" i="28"/>
  <c r="E42" i="27"/>
  <c r="O42" i="27" s="1"/>
  <c r="V42" i="27" s="1"/>
  <c r="L41" i="28"/>
  <c r="Q41" i="28" s="1"/>
  <c r="F54" i="29"/>
  <c r="N54" i="29" s="1"/>
  <c r="E41" i="27"/>
  <c r="O41" i="27" s="1"/>
  <c r="V41" i="27" s="1"/>
  <c r="E39" i="27"/>
  <c r="O39" i="27" s="1"/>
  <c r="V39" i="27" s="1"/>
  <c r="L44" i="28"/>
  <c r="Q44" i="28" s="1"/>
  <c r="L47" i="28"/>
  <c r="Q47" i="28" s="1"/>
  <c r="E43" i="27"/>
  <c r="O43" i="27" s="1"/>
  <c r="V43" i="27" s="1"/>
  <c r="F56" i="27"/>
  <c r="P56" i="27" s="1"/>
  <c r="M50" i="28"/>
  <c r="E45" i="27"/>
  <c r="O45" i="27" s="1"/>
  <c r="V45" i="27" s="1"/>
  <c r="F55" i="27"/>
  <c r="P55" i="27" s="1"/>
  <c r="L36" i="28"/>
  <c r="Q36" i="28" s="1"/>
  <c r="F51" i="29"/>
  <c r="N51" i="29" s="1"/>
  <c r="E25" i="27"/>
  <c r="O25" i="27" s="1"/>
  <c r="V25" i="27" s="1"/>
  <c r="F54" i="27"/>
  <c r="P54" i="27" s="1"/>
  <c r="F53" i="27"/>
  <c r="P53" i="27" s="1"/>
  <c r="F56" i="29"/>
  <c r="N56" i="29" s="1"/>
  <c r="L42" i="28"/>
  <c r="Q42" i="28" s="1"/>
  <c r="L40" i="28"/>
  <c r="Q40" i="28" s="1"/>
  <c r="E47" i="27"/>
  <c r="O47" i="27" s="1"/>
  <c r="V47" i="27" s="1"/>
  <c r="M54" i="28"/>
  <c r="L43" i="28"/>
  <c r="Q43" i="28" s="1"/>
  <c r="F50" i="29"/>
  <c r="N50" i="29" s="1"/>
  <c r="F52" i="29"/>
  <c r="N52" i="29" s="1"/>
  <c r="F55" i="29"/>
  <c r="N55" i="29" s="1"/>
  <c r="F57" i="27"/>
  <c r="P57" i="27" s="1"/>
  <c r="F51" i="27"/>
  <c r="P51" i="27" s="1"/>
  <c r="L46" i="28"/>
  <c r="Q46" i="28" s="1"/>
  <c r="F53" i="29"/>
  <c r="N53" i="29" s="1"/>
  <c r="S53" i="29" s="1"/>
  <c r="M52" i="28"/>
  <c r="E46" i="27"/>
  <c r="O46" i="27" s="1"/>
  <c r="V46" i="27" s="1"/>
  <c r="F52" i="27"/>
  <c r="P52" i="27" s="1"/>
  <c r="F37" i="29"/>
  <c r="N37" i="29" s="1"/>
  <c r="S37" i="29" s="1"/>
  <c r="M70" i="28"/>
  <c r="F37" i="27"/>
  <c r="P37" i="27" s="1"/>
  <c r="F48" i="27"/>
  <c r="P48" i="27" s="1"/>
  <c r="M59" i="28"/>
  <c r="M37" i="28"/>
  <c r="M48" i="28"/>
  <c r="F59" i="27"/>
  <c r="P59" i="27" s="1"/>
  <c r="F70" i="29"/>
  <c r="N70" i="29" s="1"/>
  <c r="F59" i="29"/>
  <c r="N59" i="29" s="1"/>
  <c r="S59" i="29" s="1"/>
  <c r="F70" i="27"/>
  <c r="P70" i="27" s="1"/>
  <c r="F48" i="29"/>
  <c r="N48" i="29" s="1"/>
  <c r="S48" i="29" s="1"/>
  <c r="S18" i="103" l="1"/>
  <c r="R21" i="103"/>
  <c r="S23" i="103"/>
  <c r="R26" i="103"/>
  <c r="H60" i="85"/>
  <c r="O60" i="85" s="1"/>
  <c r="E145" i="28"/>
  <c r="L145" i="28" s="1"/>
  <c r="H11" i="109"/>
  <c r="E61" i="29"/>
  <c r="M61" i="29" s="1"/>
  <c r="S56" i="29"/>
  <c r="E68" i="29"/>
  <c r="M68" i="29" s="1"/>
  <c r="E70" i="29"/>
  <c r="M70" i="29" s="1"/>
  <c r="S70" i="29" s="1"/>
  <c r="E66" i="29"/>
  <c r="M66" i="29" s="1"/>
  <c r="K60" i="106"/>
  <c r="O60" i="106" s="1"/>
  <c r="R60" i="106" s="1"/>
  <c r="E72" i="106"/>
  <c r="E83" i="106"/>
  <c r="K71" i="106"/>
  <c r="O71" i="106" s="1"/>
  <c r="R71" i="106" s="1"/>
  <c r="F87" i="106"/>
  <c r="L75" i="106"/>
  <c r="K49" i="106"/>
  <c r="O49" i="106" s="1"/>
  <c r="R49" i="106" s="1"/>
  <c r="E61" i="106"/>
  <c r="F84" i="106"/>
  <c r="L72" i="106"/>
  <c r="O62" i="106"/>
  <c r="R62" i="106" s="1"/>
  <c r="F86" i="106"/>
  <c r="L74" i="106"/>
  <c r="E80" i="106"/>
  <c r="K68" i="106"/>
  <c r="O68" i="106" s="1"/>
  <c r="R68" i="106" s="1"/>
  <c r="F88" i="106"/>
  <c r="L76" i="106"/>
  <c r="E86" i="106"/>
  <c r="K74" i="106"/>
  <c r="L82" i="106"/>
  <c r="F94" i="106"/>
  <c r="F91" i="106"/>
  <c r="L79" i="106"/>
  <c r="F93" i="106"/>
  <c r="L81" i="106"/>
  <c r="L80" i="106"/>
  <c r="F92" i="106"/>
  <c r="K69" i="106"/>
  <c r="O69" i="106" s="1"/>
  <c r="R69" i="106" s="1"/>
  <c r="E81" i="106"/>
  <c r="E79" i="106"/>
  <c r="K67" i="106"/>
  <c r="O67" i="106" s="1"/>
  <c r="R67" i="106" s="1"/>
  <c r="K64" i="106"/>
  <c r="O64" i="106" s="1"/>
  <c r="R64" i="106" s="1"/>
  <c r="E76" i="106"/>
  <c r="K63" i="106"/>
  <c r="O63" i="106" s="1"/>
  <c r="R63" i="106" s="1"/>
  <c r="E75" i="106"/>
  <c r="K65" i="106"/>
  <c r="O65" i="106" s="1"/>
  <c r="R65" i="106" s="1"/>
  <c r="E77" i="106"/>
  <c r="E82" i="106"/>
  <c r="K70" i="106"/>
  <c r="O70" i="106" s="1"/>
  <c r="R70" i="106" s="1"/>
  <c r="F73" i="106"/>
  <c r="L61" i="106"/>
  <c r="L78" i="106"/>
  <c r="F90" i="106"/>
  <c r="L83" i="106"/>
  <c r="F95" i="106"/>
  <c r="F89" i="106"/>
  <c r="L77" i="106"/>
  <c r="E78" i="106"/>
  <c r="K66" i="106"/>
  <c r="O66" i="106" s="1"/>
  <c r="R66" i="106" s="1"/>
  <c r="S55" i="29"/>
  <c r="S54" i="29"/>
  <c r="H71" i="85"/>
  <c r="O71" i="85" s="1"/>
  <c r="E67" i="29"/>
  <c r="M67" i="29" s="1"/>
  <c r="H49" i="85"/>
  <c r="O49" i="85" s="1"/>
  <c r="E63" i="29"/>
  <c r="M63" i="29" s="1"/>
  <c r="S51" i="29"/>
  <c r="S52" i="29"/>
  <c r="E64" i="29"/>
  <c r="M64" i="29" s="1"/>
  <c r="S57" i="29"/>
  <c r="E69" i="29"/>
  <c r="M69" i="29" s="1"/>
  <c r="S50" i="29"/>
  <c r="E62" i="29"/>
  <c r="M62" i="29" s="1"/>
  <c r="N47" i="85"/>
  <c r="S47" i="85" s="1"/>
  <c r="H49" i="84"/>
  <c r="S49" i="84" s="1"/>
  <c r="E72" i="29"/>
  <c r="M72" i="29" s="1"/>
  <c r="H71" i="84"/>
  <c r="S71" i="84" s="1"/>
  <c r="V20" i="98"/>
  <c r="BG54" i="99"/>
  <c r="BG114" i="39"/>
  <c r="G61" i="86"/>
  <c r="O49" i="86"/>
  <c r="U49" i="86" s="1"/>
  <c r="G62" i="86"/>
  <c r="O50" i="86"/>
  <c r="U50" i="86" s="1"/>
  <c r="G72" i="86"/>
  <c r="O60" i="86"/>
  <c r="U60" i="86" s="1"/>
  <c r="G65" i="86"/>
  <c r="O53" i="86"/>
  <c r="U53" i="86" s="1"/>
  <c r="G67" i="86"/>
  <c r="O55" i="86"/>
  <c r="U55" i="86" s="1"/>
  <c r="G63" i="86"/>
  <c r="O51" i="86"/>
  <c r="U51" i="86" s="1"/>
  <c r="G70" i="86"/>
  <c r="O58" i="86"/>
  <c r="U58" i="86" s="1"/>
  <c r="G64" i="86"/>
  <c r="O52" i="86"/>
  <c r="U52" i="86" s="1"/>
  <c r="G69" i="86"/>
  <c r="O57" i="86"/>
  <c r="U57" i="86" s="1"/>
  <c r="G68" i="86"/>
  <c r="O56" i="86"/>
  <c r="U56" i="86" s="1"/>
  <c r="G66" i="86"/>
  <c r="O54" i="86"/>
  <c r="U54" i="86" s="1"/>
  <c r="G71" i="86"/>
  <c r="O59" i="86"/>
  <c r="U59" i="86" s="1"/>
  <c r="E77" i="29"/>
  <c r="M77" i="29" s="1"/>
  <c r="E83" i="29"/>
  <c r="M83" i="29" s="1"/>
  <c r="S25" i="85"/>
  <c r="R6" i="91" s="1"/>
  <c r="T6" i="91" s="1"/>
  <c r="V6" i="91" s="1"/>
  <c r="H60" i="84"/>
  <c r="S60" i="84" s="1"/>
  <c r="E38" i="28"/>
  <c r="L26" i="28"/>
  <c r="Q26" i="28" s="1"/>
  <c r="G38" i="85"/>
  <c r="N26" i="85"/>
  <c r="S26" i="85" s="1"/>
  <c r="W18" i="98"/>
  <c r="BI52" i="99"/>
  <c r="BI112" i="39"/>
  <c r="AB15" i="98"/>
  <c r="BH49" i="99"/>
  <c r="BH109" i="39"/>
  <c r="H84" i="87"/>
  <c r="N72" i="87"/>
  <c r="H89" i="87"/>
  <c r="N77" i="87"/>
  <c r="H88" i="87"/>
  <c r="N76" i="87"/>
  <c r="H93" i="87"/>
  <c r="N81" i="87"/>
  <c r="H95" i="87"/>
  <c r="N83" i="87"/>
  <c r="H94" i="87"/>
  <c r="N82" i="87"/>
  <c r="H74" i="87"/>
  <c r="N62" i="87"/>
  <c r="Q62" i="87" s="1"/>
  <c r="H92" i="87"/>
  <c r="N80" i="87"/>
  <c r="H87" i="87"/>
  <c r="N75" i="87"/>
  <c r="H91" i="87"/>
  <c r="N79" i="87"/>
  <c r="H90" i="87"/>
  <c r="N78" i="87"/>
  <c r="H73" i="87"/>
  <c r="N61" i="87"/>
  <c r="G69" i="87"/>
  <c r="M69" i="87" s="1"/>
  <c r="Q69" i="87" s="1"/>
  <c r="G67" i="87"/>
  <c r="M67" i="87" s="1"/>
  <c r="Q67" i="87" s="1"/>
  <c r="G74" i="87"/>
  <c r="M74" i="87" s="1"/>
  <c r="G60" i="87"/>
  <c r="M60" i="87" s="1"/>
  <c r="Q60" i="87" s="1"/>
  <c r="G71" i="87"/>
  <c r="M71" i="87" s="1"/>
  <c r="Q71" i="87" s="1"/>
  <c r="G63" i="87"/>
  <c r="M63" i="87" s="1"/>
  <c r="Q63" i="87" s="1"/>
  <c r="G68" i="87"/>
  <c r="M68" i="87" s="1"/>
  <c r="Q68" i="87" s="1"/>
  <c r="G70" i="87"/>
  <c r="M70" i="87" s="1"/>
  <c r="Q70" i="87" s="1"/>
  <c r="G65" i="87"/>
  <c r="M65" i="87" s="1"/>
  <c r="Q65" i="87" s="1"/>
  <c r="G66" i="87"/>
  <c r="M66" i="87" s="1"/>
  <c r="Q66" i="87" s="1"/>
  <c r="G64" i="87"/>
  <c r="M64" i="87" s="1"/>
  <c r="Q64" i="87" s="1"/>
  <c r="G49" i="87"/>
  <c r="M49" i="87" s="1"/>
  <c r="Q49" i="87" s="1"/>
  <c r="AK7" i="91"/>
  <c r="E38" i="27"/>
  <c r="O38" i="27" s="1"/>
  <c r="V38" i="27" s="1"/>
  <c r="F84" i="30"/>
  <c r="L72" i="30"/>
  <c r="F94" i="30"/>
  <c r="L82" i="30"/>
  <c r="F92" i="30"/>
  <c r="L80" i="30"/>
  <c r="F95" i="30"/>
  <c r="L83" i="30"/>
  <c r="F86" i="30"/>
  <c r="L74" i="30"/>
  <c r="F93" i="30"/>
  <c r="L81" i="30"/>
  <c r="F89" i="30"/>
  <c r="L77" i="30"/>
  <c r="F90" i="30"/>
  <c r="L78" i="30"/>
  <c r="F91" i="30"/>
  <c r="L79" i="30"/>
  <c r="F88" i="30"/>
  <c r="L76" i="30"/>
  <c r="F87" i="30"/>
  <c r="L75" i="30"/>
  <c r="F73" i="30"/>
  <c r="L61" i="30"/>
  <c r="E80" i="30"/>
  <c r="K80" i="30" s="1"/>
  <c r="O68" i="30"/>
  <c r="E76" i="30"/>
  <c r="K76" i="30" s="1"/>
  <c r="O64" i="30"/>
  <c r="E61" i="30"/>
  <c r="K61" i="30" s="1"/>
  <c r="O49" i="30"/>
  <c r="AM8" i="33" s="1"/>
  <c r="X21" i="35" s="1"/>
  <c r="Y21" i="35" s="1"/>
  <c r="E72" i="30"/>
  <c r="K72" i="30" s="1"/>
  <c r="O60" i="30"/>
  <c r="E79" i="30"/>
  <c r="K79" i="30" s="1"/>
  <c r="O67" i="30"/>
  <c r="E83" i="30"/>
  <c r="K83" i="30" s="1"/>
  <c r="O71" i="30"/>
  <c r="E77" i="30"/>
  <c r="K77" i="30" s="1"/>
  <c r="O65" i="30"/>
  <c r="E81" i="30"/>
  <c r="K81" i="30" s="1"/>
  <c r="O69" i="30"/>
  <c r="E74" i="30"/>
  <c r="K74" i="30" s="1"/>
  <c r="O62" i="30"/>
  <c r="E75" i="30"/>
  <c r="K75" i="30" s="1"/>
  <c r="O63" i="30"/>
  <c r="E78" i="30"/>
  <c r="K78" i="30" s="1"/>
  <c r="O66" i="30"/>
  <c r="E82" i="30"/>
  <c r="K82" i="30" s="1"/>
  <c r="O70" i="30"/>
  <c r="G6" i="91"/>
  <c r="I6" i="91" s="1"/>
  <c r="K6" i="91" s="1"/>
  <c r="Z36" i="84"/>
  <c r="Z41" i="84"/>
  <c r="Z44" i="84"/>
  <c r="Z39" i="84"/>
  <c r="Z46" i="84"/>
  <c r="Z43" i="84"/>
  <c r="Z42" i="84"/>
  <c r="Z47" i="84"/>
  <c r="Z40" i="84"/>
  <c r="Z45" i="84"/>
  <c r="Z25" i="84"/>
  <c r="R26" i="84"/>
  <c r="Y26" i="84" s="1"/>
  <c r="Z26" i="84" s="1"/>
  <c r="G38" i="84"/>
  <c r="AE7" i="91"/>
  <c r="AG7" i="91" s="1"/>
  <c r="N54" i="85"/>
  <c r="S54" i="85" s="1"/>
  <c r="N59" i="85"/>
  <c r="S59" i="85" s="1"/>
  <c r="N37" i="85"/>
  <c r="S37" i="85" s="1"/>
  <c r="N48" i="85"/>
  <c r="S48" i="85" s="1"/>
  <c r="N52" i="85"/>
  <c r="S52" i="85" s="1"/>
  <c r="N55" i="85"/>
  <c r="S55" i="85" s="1"/>
  <c r="N56" i="85"/>
  <c r="S56" i="85" s="1"/>
  <c r="N58" i="85"/>
  <c r="S58" i="85" s="1"/>
  <c r="N57" i="85"/>
  <c r="S57" i="85" s="1"/>
  <c r="N51" i="85"/>
  <c r="S51" i="85" s="1"/>
  <c r="N53" i="85"/>
  <c r="S53" i="85" s="1"/>
  <c r="R53" i="84"/>
  <c r="Y53" i="84" s="1"/>
  <c r="R54" i="84"/>
  <c r="Y54" i="84" s="1"/>
  <c r="R55" i="84"/>
  <c r="Y55" i="84" s="1"/>
  <c r="R37" i="84"/>
  <c r="Y37" i="84" s="1"/>
  <c r="R51" i="84"/>
  <c r="Y51" i="84" s="1"/>
  <c r="R57" i="84"/>
  <c r="Y57" i="84" s="1"/>
  <c r="R59" i="84"/>
  <c r="Y59" i="84" s="1"/>
  <c r="R52" i="84"/>
  <c r="Y52" i="84" s="1"/>
  <c r="R58" i="84"/>
  <c r="Y58" i="84" s="1"/>
  <c r="R56" i="84"/>
  <c r="Y56" i="84" s="1"/>
  <c r="R48" i="84"/>
  <c r="Y48" i="84" s="1"/>
  <c r="G66" i="85"/>
  <c r="G71" i="85"/>
  <c r="H81" i="84"/>
  <c r="H75" i="84"/>
  <c r="S75" i="84" s="1"/>
  <c r="H78" i="86"/>
  <c r="P78" i="86" s="1"/>
  <c r="H79" i="86"/>
  <c r="P79" i="86" s="1"/>
  <c r="H72" i="86"/>
  <c r="P72" i="86" s="1"/>
  <c r="H75" i="85"/>
  <c r="O75" i="85" s="1"/>
  <c r="H76" i="86"/>
  <c r="P76" i="86" s="1"/>
  <c r="H81" i="85"/>
  <c r="O81" i="85" s="1"/>
  <c r="G71" i="84"/>
  <c r="G49" i="84"/>
  <c r="H82" i="84"/>
  <c r="H80" i="85"/>
  <c r="O80" i="85" s="1"/>
  <c r="G63" i="84"/>
  <c r="H74" i="84"/>
  <c r="S74" i="84" s="1"/>
  <c r="H81" i="86"/>
  <c r="P81" i="86" s="1"/>
  <c r="H76" i="84"/>
  <c r="G63" i="85"/>
  <c r="H80" i="84"/>
  <c r="H79" i="85"/>
  <c r="O79" i="85" s="1"/>
  <c r="G65" i="84"/>
  <c r="H61" i="86"/>
  <c r="P61" i="86" s="1"/>
  <c r="G67" i="84"/>
  <c r="G67" i="85"/>
  <c r="G68" i="85"/>
  <c r="G70" i="85"/>
  <c r="H77" i="85"/>
  <c r="O77" i="85" s="1"/>
  <c r="H78" i="85"/>
  <c r="O78" i="85" s="1"/>
  <c r="H77" i="86"/>
  <c r="P77" i="86" s="1"/>
  <c r="H82" i="85"/>
  <c r="O82" i="85" s="1"/>
  <c r="H74" i="85"/>
  <c r="O74" i="85" s="1"/>
  <c r="G68" i="84"/>
  <c r="H82" i="86"/>
  <c r="P82" i="86" s="1"/>
  <c r="G65" i="85"/>
  <c r="G49" i="85"/>
  <c r="G60" i="84"/>
  <c r="H79" i="84"/>
  <c r="G70" i="84"/>
  <c r="G64" i="85"/>
  <c r="G66" i="84"/>
  <c r="G69" i="85"/>
  <c r="H75" i="86"/>
  <c r="P75" i="86" s="1"/>
  <c r="G60" i="85"/>
  <c r="H80" i="86"/>
  <c r="P80" i="86" s="1"/>
  <c r="H78" i="84"/>
  <c r="H77" i="84"/>
  <c r="H74" i="86"/>
  <c r="P74" i="86" s="1"/>
  <c r="G64" i="84"/>
  <c r="G69" i="84"/>
  <c r="H76" i="85"/>
  <c r="O76" i="85" s="1"/>
  <c r="H83" i="86"/>
  <c r="P83" i="86" s="1"/>
  <c r="CF67" i="39"/>
  <c r="DD66" i="39"/>
  <c r="DH66" i="39"/>
  <c r="DL66" i="39"/>
  <c r="DE66" i="39"/>
  <c r="DI66" i="39"/>
  <c r="DM66" i="39"/>
  <c r="DF66" i="39"/>
  <c r="DN66" i="39"/>
  <c r="DG66" i="39"/>
  <c r="DO66" i="39"/>
  <c r="DJ66" i="39"/>
  <c r="DC66" i="39"/>
  <c r="DK66" i="39"/>
  <c r="DB66" i="39"/>
  <c r="BK55" i="39"/>
  <c r="BJ56" i="39"/>
  <c r="BL55" i="39"/>
  <c r="CW53" i="39"/>
  <c r="CV59" i="39"/>
  <c r="DA53" i="39"/>
  <c r="CY53" i="39"/>
  <c r="E58" i="27"/>
  <c r="O58" i="27" s="1"/>
  <c r="V58" i="27" s="1"/>
  <c r="M64" i="28"/>
  <c r="L58" i="28"/>
  <c r="Q58" i="28" s="1"/>
  <c r="M66" i="28"/>
  <c r="E59" i="27"/>
  <c r="O59" i="27" s="1"/>
  <c r="V59" i="27" s="1"/>
  <c r="L48" i="28"/>
  <c r="Q48" i="28" s="1"/>
  <c r="L59" i="28"/>
  <c r="Q59" i="28" s="1"/>
  <c r="F66" i="29"/>
  <c r="N66" i="29" s="1"/>
  <c r="L37" i="28"/>
  <c r="Q37" i="28" s="1"/>
  <c r="M63" i="28"/>
  <c r="F69" i="27"/>
  <c r="P69" i="27" s="1"/>
  <c r="F67" i="29"/>
  <c r="N67" i="29" s="1"/>
  <c r="F62" i="29"/>
  <c r="N62" i="29" s="1"/>
  <c r="L54" i="28"/>
  <c r="Q54" i="28" s="1"/>
  <c r="E37" i="27"/>
  <c r="O37" i="27" s="1"/>
  <c r="V37" i="27" s="1"/>
  <c r="E57" i="27"/>
  <c r="O57" i="27" s="1"/>
  <c r="V57" i="27" s="1"/>
  <c r="L56" i="28"/>
  <c r="Q56" i="28" s="1"/>
  <c r="E54" i="27"/>
  <c r="O54" i="27" s="1"/>
  <c r="V54" i="27" s="1"/>
  <c r="E48" i="27"/>
  <c r="O48" i="27" s="1"/>
  <c r="V48" i="27" s="1"/>
  <c r="E52" i="27"/>
  <c r="O52" i="27" s="1"/>
  <c r="V52" i="27" s="1"/>
  <c r="M69" i="28"/>
  <c r="L51" i="28"/>
  <c r="Q51" i="28" s="1"/>
  <c r="M68" i="28"/>
  <c r="F63" i="27"/>
  <c r="P63" i="27" s="1"/>
  <c r="F64" i="29"/>
  <c r="N64" i="29" s="1"/>
  <c r="F68" i="29"/>
  <c r="N68" i="29" s="1"/>
  <c r="F63" i="29"/>
  <c r="N63" i="29" s="1"/>
  <c r="F67" i="27"/>
  <c r="P67" i="27" s="1"/>
  <c r="M62" i="28"/>
  <c r="F68" i="27"/>
  <c r="P68" i="27" s="1"/>
  <c r="E55" i="27"/>
  <c r="O55" i="27" s="1"/>
  <c r="V55" i="27" s="1"/>
  <c r="E51" i="27"/>
  <c r="O51" i="27" s="1"/>
  <c r="V51" i="27" s="1"/>
  <c r="F64" i="27"/>
  <c r="P64" i="27" s="1"/>
  <c r="F65" i="29"/>
  <c r="N65" i="29" s="1"/>
  <c r="S65" i="29" s="1"/>
  <c r="L55" i="28"/>
  <c r="Q55" i="28" s="1"/>
  <c r="L52" i="28"/>
  <c r="Q52" i="28" s="1"/>
  <c r="F65" i="27"/>
  <c r="P65" i="27" s="1"/>
  <c r="F66" i="27"/>
  <c r="P66" i="27" s="1"/>
  <c r="E53" i="27"/>
  <c r="O53" i="27" s="1"/>
  <c r="V53" i="27" s="1"/>
  <c r="L53" i="28"/>
  <c r="Q53" i="28" s="1"/>
  <c r="M67" i="28"/>
  <c r="F62" i="27"/>
  <c r="P62" i="27" s="1"/>
  <c r="L57" i="28"/>
  <c r="Q57" i="28" s="1"/>
  <c r="F69" i="29"/>
  <c r="N69" i="29" s="1"/>
  <c r="M65" i="28"/>
  <c r="E56" i="27"/>
  <c r="O56" i="27" s="1"/>
  <c r="V56" i="27" s="1"/>
  <c r="F71" i="27"/>
  <c r="P71" i="27" s="1"/>
  <c r="M49" i="28"/>
  <c r="F60" i="29"/>
  <c r="N60" i="29" s="1"/>
  <c r="S60" i="29" s="1"/>
  <c r="F71" i="29"/>
  <c r="N71" i="29" s="1"/>
  <c r="S71" i="29" s="1"/>
  <c r="M60" i="28"/>
  <c r="M71" i="28"/>
  <c r="F49" i="27"/>
  <c r="P49" i="27" s="1"/>
  <c r="F60" i="27"/>
  <c r="P60" i="27" s="1"/>
  <c r="F49" i="29"/>
  <c r="N49" i="29" s="1"/>
  <c r="S49" i="29" s="1"/>
  <c r="F82" i="27"/>
  <c r="F82" i="29"/>
  <c r="N82" i="29" s="1"/>
  <c r="M82" i="28"/>
  <c r="T18" i="103" l="1"/>
  <c r="S21" i="103"/>
  <c r="T23" i="103"/>
  <c r="S26" i="103"/>
  <c r="H72" i="85"/>
  <c r="O72" i="85" s="1"/>
  <c r="O76" i="84"/>
  <c r="U76" i="84" s="1"/>
  <c r="S68" i="29"/>
  <c r="E73" i="29"/>
  <c r="M73" i="29" s="1"/>
  <c r="E80" i="29"/>
  <c r="M80" i="29" s="1"/>
  <c r="E82" i="29"/>
  <c r="M82" i="29" s="1"/>
  <c r="S82" i="29" s="1"/>
  <c r="S66" i="29"/>
  <c r="E78" i="29"/>
  <c r="M78" i="29" s="1"/>
  <c r="O74" i="106"/>
  <c r="R74" i="106" s="1"/>
  <c r="E90" i="106"/>
  <c r="K78" i="106"/>
  <c r="O78" i="106" s="1"/>
  <c r="R78" i="106" s="1"/>
  <c r="F85" i="106"/>
  <c r="L73" i="106"/>
  <c r="F105" i="106"/>
  <c r="L93" i="106"/>
  <c r="L88" i="106"/>
  <c r="F100" i="106"/>
  <c r="L86" i="106"/>
  <c r="F98" i="106"/>
  <c r="K61" i="106"/>
  <c r="O61" i="106" s="1"/>
  <c r="R61" i="106" s="1"/>
  <c r="E73" i="106"/>
  <c r="L90" i="106"/>
  <c r="F102" i="106"/>
  <c r="K75" i="106"/>
  <c r="O75" i="106" s="1"/>
  <c r="R75" i="106" s="1"/>
  <c r="E87" i="106"/>
  <c r="L92" i="106"/>
  <c r="F104" i="106"/>
  <c r="K83" i="106"/>
  <c r="O83" i="106" s="1"/>
  <c r="R83" i="106" s="1"/>
  <c r="E95" i="106"/>
  <c r="F101" i="106"/>
  <c r="L89" i="106"/>
  <c r="E94" i="106"/>
  <c r="K82" i="106"/>
  <c r="O82" i="106" s="1"/>
  <c r="R82" i="106" s="1"/>
  <c r="K79" i="106"/>
  <c r="O79" i="106" s="1"/>
  <c r="R79" i="106" s="1"/>
  <c r="E91" i="106"/>
  <c r="L91" i="106"/>
  <c r="F103" i="106"/>
  <c r="E98" i="106"/>
  <c r="K86" i="106"/>
  <c r="E92" i="106"/>
  <c r="K80" i="106"/>
  <c r="O80" i="106" s="1"/>
  <c r="R80" i="106" s="1"/>
  <c r="E84" i="106"/>
  <c r="K72" i="106"/>
  <c r="O72" i="106" s="1"/>
  <c r="R72" i="106" s="1"/>
  <c r="L95" i="106"/>
  <c r="F107" i="106"/>
  <c r="K77" i="106"/>
  <c r="O77" i="106" s="1"/>
  <c r="R77" i="106" s="1"/>
  <c r="E89" i="106"/>
  <c r="E88" i="106"/>
  <c r="K76" i="106"/>
  <c r="O76" i="106" s="1"/>
  <c r="R76" i="106" s="1"/>
  <c r="K81" i="106"/>
  <c r="O81" i="106" s="1"/>
  <c r="R81" i="106" s="1"/>
  <c r="E93" i="106"/>
  <c r="L94" i="106"/>
  <c r="F106" i="106"/>
  <c r="L84" i="106"/>
  <c r="F96" i="106"/>
  <c r="L87" i="106"/>
  <c r="F99" i="106"/>
  <c r="H83" i="85"/>
  <c r="O83" i="85" s="1"/>
  <c r="H61" i="85"/>
  <c r="O61" i="85" s="1"/>
  <c r="E76" i="29"/>
  <c r="M76" i="29" s="1"/>
  <c r="S67" i="29"/>
  <c r="E79" i="29"/>
  <c r="M79" i="29" s="1"/>
  <c r="S64" i="29"/>
  <c r="E75" i="29"/>
  <c r="M75" i="29" s="1"/>
  <c r="S63" i="29"/>
  <c r="E81" i="29"/>
  <c r="M81" i="29" s="1"/>
  <c r="S69" i="29"/>
  <c r="S62" i="29"/>
  <c r="E74" i="29"/>
  <c r="M74" i="29" s="1"/>
  <c r="H61" i="84"/>
  <c r="S61" i="84" s="1"/>
  <c r="H83" i="84"/>
  <c r="S83" i="84" s="1"/>
  <c r="E84" i="29"/>
  <c r="M84" i="29" s="1"/>
  <c r="V21" i="98"/>
  <c r="BG115" i="39"/>
  <c r="BG55" i="99"/>
  <c r="G83" i="86"/>
  <c r="O71" i="86"/>
  <c r="U71" i="86" s="1"/>
  <c r="G78" i="86"/>
  <c r="O66" i="86"/>
  <c r="U66" i="86" s="1"/>
  <c r="G80" i="86"/>
  <c r="O68" i="86"/>
  <c r="U68" i="86" s="1"/>
  <c r="G81" i="86"/>
  <c r="O69" i="86"/>
  <c r="U69" i="86" s="1"/>
  <c r="G76" i="86"/>
  <c r="O64" i="86"/>
  <c r="U64" i="86" s="1"/>
  <c r="G82" i="86"/>
  <c r="O70" i="86"/>
  <c r="U70" i="86" s="1"/>
  <c r="G75" i="86"/>
  <c r="O63" i="86"/>
  <c r="U63" i="86" s="1"/>
  <c r="G79" i="86"/>
  <c r="O67" i="86"/>
  <c r="U67" i="86" s="1"/>
  <c r="G77" i="86"/>
  <c r="O65" i="86"/>
  <c r="U65" i="86" s="1"/>
  <c r="G84" i="86"/>
  <c r="O72" i="86"/>
  <c r="U72" i="86" s="1"/>
  <c r="G74" i="86"/>
  <c r="O62" i="86"/>
  <c r="U62" i="86" s="1"/>
  <c r="G73" i="86"/>
  <c r="O61" i="86"/>
  <c r="U61" i="86" s="1"/>
  <c r="E95" i="29"/>
  <c r="M95" i="29" s="1"/>
  <c r="E89" i="29"/>
  <c r="M89" i="29" s="1"/>
  <c r="H72" i="84"/>
  <c r="S72" i="84" s="1"/>
  <c r="E50" i="27"/>
  <c r="O50" i="27" s="1"/>
  <c r="V50" i="27" s="1"/>
  <c r="R7" i="91"/>
  <c r="T7" i="91" s="1"/>
  <c r="V7" i="91" s="1"/>
  <c r="E50" i="28"/>
  <c r="L38" i="28"/>
  <c r="Q38" i="28" s="1"/>
  <c r="N38" i="85"/>
  <c r="S38" i="85" s="1"/>
  <c r="G50" i="85"/>
  <c r="W19" i="98"/>
  <c r="BI113" i="39"/>
  <c r="BI53" i="99"/>
  <c r="AB16" i="98"/>
  <c r="BH110" i="39"/>
  <c r="BH50" i="99"/>
  <c r="H85" i="87"/>
  <c r="N73" i="87"/>
  <c r="H103" i="87"/>
  <c r="H115" i="87" s="1"/>
  <c r="N115" i="87" s="1"/>
  <c r="N91" i="87"/>
  <c r="H104" i="87"/>
  <c r="H116" i="87" s="1"/>
  <c r="N116" i="87" s="1"/>
  <c r="N92" i="87"/>
  <c r="H106" i="87"/>
  <c r="H118" i="87" s="1"/>
  <c r="N118" i="87" s="1"/>
  <c r="N94" i="87"/>
  <c r="H105" i="87"/>
  <c r="H117" i="87" s="1"/>
  <c r="N117" i="87" s="1"/>
  <c r="N93" i="87"/>
  <c r="H101" i="87"/>
  <c r="N89" i="87"/>
  <c r="H102" i="87"/>
  <c r="H114" i="87" s="1"/>
  <c r="N114" i="87" s="1"/>
  <c r="N90" i="87"/>
  <c r="H99" i="87"/>
  <c r="N87" i="87"/>
  <c r="H86" i="87"/>
  <c r="N74" i="87"/>
  <c r="Q74" i="87" s="1"/>
  <c r="H107" i="87"/>
  <c r="H119" i="87" s="1"/>
  <c r="N119" i="87" s="1"/>
  <c r="N95" i="87"/>
  <c r="H100" i="87"/>
  <c r="N88" i="87"/>
  <c r="H96" i="87"/>
  <c r="N84" i="87"/>
  <c r="G76" i="87"/>
  <c r="M76" i="87" s="1"/>
  <c r="Q76" i="87" s="1"/>
  <c r="G77" i="87"/>
  <c r="M77" i="87" s="1"/>
  <c r="Q77" i="87" s="1"/>
  <c r="G80" i="87"/>
  <c r="M80" i="87" s="1"/>
  <c r="Q80" i="87" s="1"/>
  <c r="G83" i="87"/>
  <c r="M83" i="87" s="1"/>
  <c r="Q83" i="87" s="1"/>
  <c r="G86" i="87"/>
  <c r="M86" i="87" s="1"/>
  <c r="G81" i="87"/>
  <c r="M81" i="87" s="1"/>
  <c r="Q81" i="87" s="1"/>
  <c r="G61" i="87"/>
  <c r="M61" i="87" s="1"/>
  <c r="Q61" i="87" s="1"/>
  <c r="G78" i="87"/>
  <c r="M78" i="87" s="1"/>
  <c r="Q78" i="87" s="1"/>
  <c r="G82" i="87"/>
  <c r="M82" i="87" s="1"/>
  <c r="Q82" i="87" s="1"/>
  <c r="G75" i="87"/>
  <c r="M75" i="87" s="1"/>
  <c r="Q75" i="87" s="1"/>
  <c r="G72" i="87"/>
  <c r="M72" i="87" s="1"/>
  <c r="Q72" i="87" s="1"/>
  <c r="G79" i="87"/>
  <c r="M79" i="87" s="1"/>
  <c r="Q79" i="87" s="1"/>
  <c r="F85" i="30"/>
  <c r="L73" i="30"/>
  <c r="F100" i="30"/>
  <c r="L88" i="30"/>
  <c r="F102" i="30"/>
  <c r="L90" i="30"/>
  <c r="F105" i="30"/>
  <c r="F117" i="30" s="1"/>
  <c r="L117" i="30" s="1"/>
  <c r="L93" i="30"/>
  <c r="F107" i="30"/>
  <c r="F119" i="30" s="1"/>
  <c r="L119" i="30" s="1"/>
  <c r="L95" i="30"/>
  <c r="F106" i="30"/>
  <c r="F118" i="30" s="1"/>
  <c r="L118" i="30" s="1"/>
  <c r="L94" i="30"/>
  <c r="F99" i="30"/>
  <c r="L87" i="30"/>
  <c r="F103" i="30"/>
  <c r="F115" i="30" s="1"/>
  <c r="L115" i="30" s="1"/>
  <c r="L91" i="30"/>
  <c r="F101" i="30"/>
  <c r="L89" i="30"/>
  <c r="F98" i="30"/>
  <c r="L86" i="30"/>
  <c r="F104" i="30"/>
  <c r="F116" i="30" s="1"/>
  <c r="L116" i="30" s="1"/>
  <c r="L92" i="30"/>
  <c r="F96" i="30"/>
  <c r="L84" i="30"/>
  <c r="E94" i="30"/>
  <c r="K94" i="30" s="1"/>
  <c r="O82" i="30"/>
  <c r="E87" i="30"/>
  <c r="K87" i="30" s="1"/>
  <c r="O75" i="30"/>
  <c r="E93" i="30"/>
  <c r="K93" i="30" s="1"/>
  <c r="O81" i="30"/>
  <c r="E95" i="30"/>
  <c r="K95" i="30" s="1"/>
  <c r="O83" i="30"/>
  <c r="E84" i="30"/>
  <c r="K84" i="30" s="1"/>
  <c r="O72" i="30"/>
  <c r="E88" i="30"/>
  <c r="K88" i="30" s="1"/>
  <c r="O76" i="30"/>
  <c r="E90" i="30"/>
  <c r="K90" i="30" s="1"/>
  <c r="O78" i="30"/>
  <c r="E86" i="30"/>
  <c r="K86" i="30" s="1"/>
  <c r="O74" i="30"/>
  <c r="E89" i="30"/>
  <c r="K89" i="30" s="1"/>
  <c r="O77" i="30"/>
  <c r="E91" i="30"/>
  <c r="K91" i="30" s="1"/>
  <c r="O79" i="30"/>
  <c r="E73" i="30"/>
  <c r="K73" i="30" s="1"/>
  <c r="O61" i="30"/>
  <c r="AM9" i="33" s="1"/>
  <c r="X22" i="35" s="1"/>
  <c r="Y22" i="35" s="1"/>
  <c r="B76" i="110" s="1"/>
  <c r="E92" i="30"/>
  <c r="K92" i="30" s="1"/>
  <c r="O80" i="30"/>
  <c r="G7" i="91"/>
  <c r="I7" i="91" s="1"/>
  <c r="K7" i="91" s="1"/>
  <c r="Z48" i="84"/>
  <c r="Z59" i="84"/>
  <c r="Z55" i="84"/>
  <c r="Z56" i="84"/>
  <c r="Z57" i="84"/>
  <c r="Z54" i="84"/>
  <c r="Z58" i="84"/>
  <c r="Z51" i="84"/>
  <c r="Z53" i="84"/>
  <c r="Z52" i="84"/>
  <c r="Z37" i="84"/>
  <c r="S77" i="84"/>
  <c r="O77" i="84"/>
  <c r="U77" i="84" s="1"/>
  <c r="S82" i="84"/>
  <c r="O82" i="84"/>
  <c r="U82" i="84" s="1"/>
  <c r="S78" i="84"/>
  <c r="O78" i="84"/>
  <c r="U78" i="84" s="1"/>
  <c r="S79" i="84"/>
  <c r="O79" i="84"/>
  <c r="U79" i="84" s="1"/>
  <c r="S81" i="84"/>
  <c r="O81" i="84"/>
  <c r="U81" i="84" s="1"/>
  <c r="S80" i="84"/>
  <c r="O80" i="84"/>
  <c r="U80" i="84" s="1"/>
  <c r="S76" i="84"/>
  <c r="R38" i="84"/>
  <c r="Y38" i="84" s="1"/>
  <c r="Z38" i="84" s="1"/>
  <c r="G50" i="84"/>
  <c r="P82" i="27"/>
  <c r="H82" i="27"/>
  <c r="R82" i="27" s="1"/>
  <c r="N65" i="85"/>
  <c r="S65" i="85" s="1"/>
  <c r="N70" i="85"/>
  <c r="S70" i="85" s="1"/>
  <c r="N67" i="85"/>
  <c r="S67" i="85" s="1"/>
  <c r="N63" i="85"/>
  <c r="S63" i="85" s="1"/>
  <c r="N60" i="85"/>
  <c r="S60" i="85" s="1"/>
  <c r="N68" i="85"/>
  <c r="S68" i="85" s="1"/>
  <c r="N71" i="85"/>
  <c r="S71" i="85" s="1"/>
  <c r="N64" i="85"/>
  <c r="S64" i="85" s="1"/>
  <c r="N69" i="85"/>
  <c r="S69" i="85" s="1"/>
  <c r="N49" i="85"/>
  <c r="S49" i="85" s="1"/>
  <c r="N66" i="85"/>
  <c r="S66" i="85" s="1"/>
  <c r="R49" i="84"/>
  <c r="Y49" i="84" s="1"/>
  <c r="R64" i="84"/>
  <c r="Y64" i="84" s="1"/>
  <c r="R70" i="84"/>
  <c r="Y70" i="84" s="1"/>
  <c r="R67" i="84"/>
  <c r="Y67" i="84" s="1"/>
  <c r="R65" i="84"/>
  <c r="Y65" i="84" s="1"/>
  <c r="R63" i="84"/>
  <c r="Y63" i="84" s="1"/>
  <c r="R69" i="84"/>
  <c r="Y69" i="84" s="1"/>
  <c r="R60" i="84"/>
  <c r="Y60" i="84" s="1"/>
  <c r="R71" i="84"/>
  <c r="Y71" i="84" s="1"/>
  <c r="R66" i="84"/>
  <c r="Y66" i="84" s="1"/>
  <c r="R68" i="84"/>
  <c r="Y68" i="84" s="1"/>
  <c r="G72" i="85"/>
  <c r="H91" i="84"/>
  <c r="G80" i="84"/>
  <c r="G79" i="84"/>
  <c r="H86" i="84"/>
  <c r="H94" i="84"/>
  <c r="H84" i="86"/>
  <c r="P84" i="86" s="1"/>
  <c r="G78" i="85"/>
  <c r="G81" i="84"/>
  <c r="H89" i="84"/>
  <c r="G78" i="84"/>
  <c r="H86" i="85"/>
  <c r="O86" i="85" s="1"/>
  <c r="G82" i="85"/>
  <c r="H90" i="86"/>
  <c r="P90" i="86" s="1"/>
  <c r="H93" i="84"/>
  <c r="G82" i="84"/>
  <c r="G61" i="85"/>
  <c r="H88" i="84"/>
  <c r="G75" i="84"/>
  <c r="G83" i="84"/>
  <c r="H88" i="86"/>
  <c r="P88" i="86" s="1"/>
  <c r="H95" i="86"/>
  <c r="P95" i="86" s="1"/>
  <c r="H92" i="86"/>
  <c r="P92" i="86" s="1"/>
  <c r="H84" i="85"/>
  <c r="O84" i="85" s="1"/>
  <c r="G72" i="84"/>
  <c r="H94" i="86"/>
  <c r="P94" i="86" s="1"/>
  <c r="H89" i="86"/>
  <c r="P89" i="86" s="1"/>
  <c r="H90" i="85"/>
  <c r="O90" i="85" s="1"/>
  <c r="H73" i="86"/>
  <c r="P73" i="86" s="1"/>
  <c r="G77" i="84"/>
  <c r="H92" i="84"/>
  <c r="H93" i="86"/>
  <c r="P93" i="86" s="1"/>
  <c r="H92" i="85"/>
  <c r="O92" i="85" s="1"/>
  <c r="G61" i="84"/>
  <c r="H93" i="85"/>
  <c r="O93" i="85" s="1"/>
  <c r="H87" i="85"/>
  <c r="O87" i="85" s="1"/>
  <c r="H91" i="86"/>
  <c r="P91" i="86" s="1"/>
  <c r="H87" i="86"/>
  <c r="P87" i="86" s="1"/>
  <c r="G77" i="85"/>
  <c r="H88" i="85"/>
  <c r="O88" i="85" s="1"/>
  <c r="G76" i="84"/>
  <c r="H86" i="86"/>
  <c r="P86" i="86" s="1"/>
  <c r="H90" i="84"/>
  <c r="G81" i="85"/>
  <c r="G76" i="85"/>
  <c r="H94" i="85"/>
  <c r="O94" i="85" s="1"/>
  <c r="H89" i="85"/>
  <c r="O89" i="85" s="1"/>
  <c r="G80" i="85"/>
  <c r="G79" i="85"/>
  <c r="H91" i="85"/>
  <c r="O91" i="85" s="1"/>
  <c r="G75" i="85"/>
  <c r="H87" i="84"/>
  <c r="G83" i="85"/>
  <c r="CF68" i="39"/>
  <c r="DD67" i="39"/>
  <c r="DE67" i="39"/>
  <c r="DI67" i="39"/>
  <c r="DH67" i="39"/>
  <c r="DM67" i="39"/>
  <c r="DC67" i="39"/>
  <c r="DJ67" i="39"/>
  <c r="DN67" i="39"/>
  <c r="DF67" i="39"/>
  <c r="DK67" i="39"/>
  <c r="DO67" i="39"/>
  <c r="DG67" i="39"/>
  <c r="DL67" i="39"/>
  <c r="DB67" i="39"/>
  <c r="BK56" i="39"/>
  <c r="BL56" i="39"/>
  <c r="BJ57" i="39"/>
  <c r="CV60" i="39"/>
  <c r="DA54" i="39"/>
  <c r="CY54" i="39"/>
  <c r="CW54" i="39"/>
  <c r="E68" i="27"/>
  <c r="O68" i="27" s="1"/>
  <c r="V68" i="27" s="1"/>
  <c r="F74" i="27"/>
  <c r="P74" i="27" s="1"/>
  <c r="L67" i="28"/>
  <c r="Q67" i="28" s="1"/>
  <c r="E63" i="27"/>
  <c r="O63" i="27" s="1"/>
  <c r="V63" i="27" s="1"/>
  <c r="M74" i="28"/>
  <c r="F75" i="29"/>
  <c r="N75" i="29" s="1"/>
  <c r="L63" i="28"/>
  <c r="Q63" i="28" s="1"/>
  <c r="E66" i="27"/>
  <c r="O66" i="27" s="1"/>
  <c r="V66" i="27" s="1"/>
  <c r="F79" i="29"/>
  <c r="N79" i="29" s="1"/>
  <c r="M75" i="28"/>
  <c r="L49" i="28"/>
  <c r="Q49" i="28" s="1"/>
  <c r="L71" i="28"/>
  <c r="Q71" i="28" s="1"/>
  <c r="M78" i="28"/>
  <c r="F81" i="29"/>
  <c r="N81" i="29" s="1"/>
  <c r="L65" i="28"/>
  <c r="Q65" i="28" s="1"/>
  <c r="F77" i="27"/>
  <c r="F80" i="27"/>
  <c r="F76" i="29"/>
  <c r="N76" i="29" s="1"/>
  <c r="F75" i="27"/>
  <c r="H75" i="27" s="1"/>
  <c r="M80" i="28"/>
  <c r="M81" i="28"/>
  <c r="L68" i="28"/>
  <c r="Q68" i="28" s="1"/>
  <c r="E69" i="27"/>
  <c r="O69" i="27" s="1"/>
  <c r="V69" i="27" s="1"/>
  <c r="E49" i="27"/>
  <c r="O49" i="27" s="1"/>
  <c r="V49" i="27" s="1"/>
  <c r="F74" i="29"/>
  <c r="N74" i="29" s="1"/>
  <c r="F78" i="29"/>
  <c r="N78" i="29" s="1"/>
  <c r="L60" i="28"/>
  <c r="Q60" i="28" s="1"/>
  <c r="M76" i="28"/>
  <c r="L69" i="28"/>
  <c r="Q69" i="28" s="1"/>
  <c r="M79" i="28"/>
  <c r="E65" i="27"/>
  <c r="O65" i="27" s="1"/>
  <c r="V65" i="27" s="1"/>
  <c r="L64" i="28"/>
  <c r="Q64" i="28" s="1"/>
  <c r="F79" i="27"/>
  <c r="F80" i="29"/>
  <c r="N80" i="29" s="1"/>
  <c r="E60" i="27"/>
  <c r="O60" i="27" s="1"/>
  <c r="V60" i="27" s="1"/>
  <c r="F81" i="27"/>
  <c r="E71" i="27"/>
  <c r="O71" i="27" s="1"/>
  <c r="V71" i="27" s="1"/>
  <c r="E70" i="27"/>
  <c r="O70" i="27" s="1"/>
  <c r="V70" i="27" s="1"/>
  <c r="M77" i="28"/>
  <c r="F78" i="27"/>
  <c r="F77" i="29"/>
  <c r="N77" i="29" s="1"/>
  <c r="S77" i="29" s="1"/>
  <c r="F76" i="27"/>
  <c r="H76" i="27" s="1"/>
  <c r="E67" i="27"/>
  <c r="O67" i="27" s="1"/>
  <c r="V67" i="27" s="1"/>
  <c r="E64" i="27"/>
  <c r="O64" i="27" s="1"/>
  <c r="V64" i="27" s="1"/>
  <c r="L66" i="28"/>
  <c r="Q66" i="28" s="1"/>
  <c r="L70" i="28"/>
  <c r="Q70" i="28" s="1"/>
  <c r="F94" i="27"/>
  <c r="M94" i="28"/>
  <c r="F83" i="27"/>
  <c r="F94" i="29"/>
  <c r="N94" i="29" s="1"/>
  <c r="F72" i="27"/>
  <c r="P72" i="27" s="1"/>
  <c r="F83" i="29"/>
  <c r="N83" i="29" s="1"/>
  <c r="S83" i="29" s="1"/>
  <c r="F61" i="29"/>
  <c r="N61" i="29" s="1"/>
  <c r="S61" i="29" s="1"/>
  <c r="F61" i="27"/>
  <c r="P61" i="27" s="1"/>
  <c r="M83" i="28"/>
  <c r="M61" i="28"/>
  <c r="M72" i="28"/>
  <c r="F72" i="29"/>
  <c r="N72" i="29" s="1"/>
  <c r="S72" i="29" s="1"/>
  <c r="U18" i="103" l="1"/>
  <c r="T21" i="103"/>
  <c r="U23" i="103"/>
  <c r="T26" i="103"/>
  <c r="S80" i="29"/>
  <c r="N76" i="84"/>
  <c r="T76" i="84" s="1"/>
  <c r="E85" i="29"/>
  <c r="M85" i="29" s="1"/>
  <c r="E92" i="29"/>
  <c r="M92" i="29" s="1"/>
  <c r="E94" i="29"/>
  <c r="M94" i="29" s="1"/>
  <c r="S94" i="29" s="1"/>
  <c r="S78" i="29"/>
  <c r="E90" i="29"/>
  <c r="M90" i="29" s="1"/>
  <c r="H73" i="85"/>
  <c r="O73" i="85" s="1"/>
  <c r="H95" i="85"/>
  <c r="O95" i="85" s="1"/>
  <c r="S76" i="29"/>
  <c r="E88" i="29"/>
  <c r="M88" i="29" s="1"/>
  <c r="O86" i="106"/>
  <c r="R86" i="106" s="1"/>
  <c r="L99" i="106"/>
  <c r="F111" i="106"/>
  <c r="F118" i="106"/>
  <c r="L106" i="106"/>
  <c r="F119" i="106"/>
  <c r="L107" i="106"/>
  <c r="F115" i="106"/>
  <c r="L103" i="106"/>
  <c r="K95" i="106"/>
  <c r="O95" i="106" s="1"/>
  <c r="R95" i="106" s="1"/>
  <c r="E107" i="106"/>
  <c r="K87" i="106"/>
  <c r="O87" i="106" s="1"/>
  <c r="R87" i="106" s="1"/>
  <c r="E99" i="106"/>
  <c r="E85" i="106"/>
  <c r="K73" i="106"/>
  <c r="O73" i="106" s="1"/>
  <c r="R73" i="106" s="1"/>
  <c r="F112" i="106"/>
  <c r="L100" i="106"/>
  <c r="K88" i="106"/>
  <c r="O88" i="106" s="1"/>
  <c r="R88" i="106" s="1"/>
  <c r="E100" i="106"/>
  <c r="K92" i="106"/>
  <c r="O92" i="106" s="1"/>
  <c r="R92" i="106" s="1"/>
  <c r="E104" i="106"/>
  <c r="E106" i="106"/>
  <c r="K94" i="106"/>
  <c r="O94" i="106" s="1"/>
  <c r="R94" i="106" s="1"/>
  <c r="F97" i="106"/>
  <c r="L85" i="106"/>
  <c r="L96" i="106"/>
  <c r="F108" i="106"/>
  <c r="K93" i="106"/>
  <c r="O93" i="106" s="1"/>
  <c r="R93" i="106" s="1"/>
  <c r="E105" i="106"/>
  <c r="K89" i="106"/>
  <c r="O89" i="106" s="1"/>
  <c r="R89" i="106" s="1"/>
  <c r="E101" i="106"/>
  <c r="K91" i="106"/>
  <c r="O91" i="106" s="1"/>
  <c r="R91" i="106" s="1"/>
  <c r="E103" i="106"/>
  <c r="F116" i="106"/>
  <c r="L104" i="106"/>
  <c r="F114" i="106"/>
  <c r="L102" i="106"/>
  <c r="L98" i="106"/>
  <c r="F110" i="106"/>
  <c r="K84" i="106"/>
  <c r="O84" i="106" s="1"/>
  <c r="R84" i="106" s="1"/>
  <c r="E96" i="106"/>
  <c r="E110" i="106"/>
  <c r="K98" i="106"/>
  <c r="F113" i="106"/>
  <c r="L101" i="106"/>
  <c r="F117" i="106"/>
  <c r="L105" i="106"/>
  <c r="E102" i="106"/>
  <c r="K90" i="106"/>
  <c r="O90" i="106" s="1"/>
  <c r="R90" i="106" s="1"/>
  <c r="S81" i="29"/>
  <c r="S79" i="29"/>
  <c r="E91" i="29"/>
  <c r="M91" i="29" s="1"/>
  <c r="S75" i="29"/>
  <c r="E87" i="29"/>
  <c r="M87" i="29" s="1"/>
  <c r="E93" i="29"/>
  <c r="M93" i="29" s="1"/>
  <c r="E96" i="29"/>
  <c r="M96" i="29" s="1"/>
  <c r="S74" i="29"/>
  <c r="E86" i="29"/>
  <c r="M86" i="29" s="1"/>
  <c r="H73" i="84"/>
  <c r="S73" i="84" s="1"/>
  <c r="O83" i="84"/>
  <c r="U83" i="84" s="1"/>
  <c r="H95" i="84"/>
  <c r="S95" i="84" s="1"/>
  <c r="E62" i="27"/>
  <c r="O62" i="27" s="1"/>
  <c r="V62" i="27" s="1"/>
  <c r="V22" i="98"/>
  <c r="BG56" i="99"/>
  <c r="BG116" i="39"/>
  <c r="G85" i="86"/>
  <c r="O73" i="86"/>
  <c r="U73" i="86" s="1"/>
  <c r="AC10" i="91" s="1"/>
  <c r="G86" i="86"/>
  <c r="O74" i="86"/>
  <c r="U74" i="86" s="1"/>
  <c r="G96" i="86"/>
  <c r="O84" i="86"/>
  <c r="U84" i="86" s="1"/>
  <c r="G89" i="86"/>
  <c r="O77" i="86"/>
  <c r="U77" i="86" s="1"/>
  <c r="G91" i="86"/>
  <c r="O79" i="86"/>
  <c r="U79" i="86" s="1"/>
  <c r="G87" i="86"/>
  <c r="O75" i="86"/>
  <c r="U75" i="86" s="1"/>
  <c r="G94" i="86"/>
  <c r="O82" i="86"/>
  <c r="U82" i="86" s="1"/>
  <c r="G88" i="86"/>
  <c r="O76" i="86"/>
  <c r="U76" i="86" s="1"/>
  <c r="G93" i="86"/>
  <c r="O81" i="86"/>
  <c r="U81" i="86" s="1"/>
  <c r="G92" i="86"/>
  <c r="O80" i="86"/>
  <c r="U80" i="86" s="1"/>
  <c r="G90" i="86"/>
  <c r="O78" i="86"/>
  <c r="U78" i="86" s="1"/>
  <c r="G95" i="86"/>
  <c r="O83" i="86"/>
  <c r="U83" i="86" s="1"/>
  <c r="E101" i="29"/>
  <c r="M101" i="29" s="1"/>
  <c r="E107" i="29"/>
  <c r="H84" i="84"/>
  <c r="S84" i="84" s="1"/>
  <c r="E62" i="28"/>
  <c r="L50" i="28"/>
  <c r="Q50" i="28" s="1"/>
  <c r="N50" i="85"/>
  <c r="S50" i="85" s="1"/>
  <c r="G62" i="85"/>
  <c r="W20" i="98"/>
  <c r="BI54" i="99"/>
  <c r="BI114" i="39"/>
  <c r="AB17" i="98"/>
  <c r="BH51" i="99"/>
  <c r="BH111" i="39"/>
  <c r="H108" i="87"/>
  <c r="H120" i="87" s="1"/>
  <c r="N120" i="87" s="1"/>
  <c r="N96" i="87"/>
  <c r="N107" i="87"/>
  <c r="H111" i="87"/>
  <c r="N99" i="87"/>
  <c r="H113" i="87"/>
  <c r="N101" i="87"/>
  <c r="N106" i="87"/>
  <c r="N103" i="87"/>
  <c r="H112" i="87"/>
  <c r="N100" i="87"/>
  <c r="H98" i="87"/>
  <c r="N86" i="87"/>
  <c r="Q86" i="87" s="1"/>
  <c r="N102" i="87"/>
  <c r="N105" i="87"/>
  <c r="N104" i="87"/>
  <c r="H97" i="87"/>
  <c r="N85" i="87"/>
  <c r="G84" i="87"/>
  <c r="M84" i="87" s="1"/>
  <c r="Q84" i="87" s="1"/>
  <c r="G94" i="87"/>
  <c r="M94" i="87" s="1"/>
  <c r="Q94" i="87" s="1"/>
  <c r="G73" i="87"/>
  <c r="M73" i="87" s="1"/>
  <c r="Q73" i="87" s="1"/>
  <c r="G98" i="87"/>
  <c r="M98" i="87" s="1"/>
  <c r="G88" i="87"/>
  <c r="M88" i="87" s="1"/>
  <c r="Q88" i="87" s="1"/>
  <c r="G92" i="87"/>
  <c r="M92" i="87" s="1"/>
  <c r="Q92" i="87" s="1"/>
  <c r="G91" i="87"/>
  <c r="M91" i="87" s="1"/>
  <c r="Q91" i="87" s="1"/>
  <c r="G87" i="87"/>
  <c r="M87" i="87" s="1"/>
  <c r="Q87" i="87" s="1"/>
  <c r="G90" i="87"/>
  <c r="M90" i="87" s="1"/>
  <c r="Q90" i="87" s="1"/>
  <c r="G93" i="87"/>
  <c r="M93" i="87" s="1"/>
  <c r="Q93" i="87" s="1"/>
  <c r="G95" i="87"/>
  <c r="M95" i="87" s="1"/>
  <c r="Q95" i="87" s="1"/>
  <c r="G89" i="87"/>
  <c r="M89" i="87" s="1"/>
  <c r="Q89" i="87" s="1"/>
  <c r="F108" i="30"/>
  <c r="F120" i="30" s="1"/>
  <c r="L120" i="30" s="1"/>
  <c r="L96" i="30"/>
  <c r="F110" i="30"/>
  <c r="L98" i="30"/>
  <c r="L103" i="30"/>
  <c r="L106" i="30"/>
  <c r="L105" i="30"/>
  <c r="F112" i="30"/>
  <c r="L100" i="30"/>
  <c r="L104" i="30"/>
  <c r="F113" i="30"/>
  <c r="L101" i="30"/>
  <c r="F111" i="30"/>
  <c r="L99" i="30"/>
  <c r="L107" i="30"/>
  <c r="F114" i="30"/>
  <c r="L102" i="30"/>
  <c r="F97" i="30"/>
  <c r="L85" i="30"/>
  <c r="E104" i="30"/>
  <c r="O92" i="30"/>
  <c r="E103" i="30"/>
  <c r="O91" i="30"/>
  <c r="E98" i="30"/>
  <c r="K98" i="30" s="1"/>
  <c r="O86" i="30"/>
  <c r="E100" i="30"/>
  <c r="K100" i="30" s="1"/>
  <c r="O88" i="30"/>
  <c r="E107" i="30"/>
  <c r="O95" i="30"/>
  <c r="E99" i="30"/>
  <c r="K99" i="30" s="1"/>
  <c r="O87" i="30"/>
  <c r="E85" i="30"/>
  <c r="K85" i="30" s="1"/>
  <c r="O73" i="30"/>
  <c r="AM10" i="33" s="1"/>
  <c r="X23" i="35" s="1"/>
  <c r="Y23" i="35" s="1"/>
  <c r="C76" i="110" s="1"/>
  <c r="E101" i="30"/>
  <c r="K101" i="30" s="1"/>
  <c r="O89" i="30"/>
  <c r="E102" i="30"/>
  <c r="K102" i="30" s="1"/>
  <c r="O90" i="30"/>
  <c r="E96" i="30"/>
  <c r="K96" i="30" s="1"/>
  <c r="O84" i="30"/>
  <c r="E105" i="30"/>
  <c r="O93" i="30"/>
  <c r="E106" i="30"/>
  <c r="O94" i="30"/>
  <c r="G8" i="91"/>
  <c r="I8" i="91" s="1"/>
  <c r="K8" i="91" s="1"/>
  <c r="Z66" i="84"/>
  <c r="Z63" i="84"/>
  <c r="Z64" i="84"/>
  <c r="Z71" i="84"/>
  <c r="Z65" i="84"/>
  <c r="Z49" i="84"/>
  <c r="Z60" i="84"/>
  <c r="Z67" i="84"/>
  <c r="Z68" i="84"/>
  <c r="Z69" i="84"/>
  <c r="Z70" i="84"/>
  <c r="S87" i="84"/>
  <c r="O87" i="84"/>
  <c r="U87" i="84" s="1"/>
  <c r="R82" i="84"/>
  <c r="N82" i="84"/>
  <c r="T82" i="84" s="1"/>
  <c r="S89" i="84"/>
  <c r="O89" i="84"/>
  <c r="U89" i="84" s="1"/>
  <c r="S86" i="84"/>
  <c r="O86" i="84"/>
  <c r="U86" i="84" s="1"/>
  <c r="S91" i="84"/>
  <c r="O91" i="84"/>
  <c r="U91" i="84" s="1"/>
  <c r="R77" i="84"/>
  <c r="N77" i="84"/>
  <c r="T77" i="84" s="1"/>
  <c r="R83" i="84"/>
  <c r="N83" i="84"/>
  <c r="T83" i="84" s="1"/>
  <c r="R79" i="84"/>
  <c r="N79" i="84"/>
  <c r="T79" i="84" s="1"/>
  <c r="S90" i="84"/>
  <c r="O90" i="84"/>
  <c r="U90" i="84" s="1"/>
  <c r="S93" i="84"/>
  <c r="O93" i="84"/>
  <c r="U93" i="84" s="1"/>
  <c r="S92" i="84"/>
  <c r="O92" i="84"/>
  <c r="U92" i="84" s="1"/>
  <c r="S88" i="84"/>
  <c r="O88" i="84"/>
  <c r="U88" i="84" s="1"/>
  <c r="R78" i="84"/>
  <c r="N78" i="84"/>
  <c r="T78" i="84" s="1"/>
  <c r="R81" i="84"/>
  <c r="N81" i="84"/>
  <c r="T81" i="84" s="1"/>
  <c r="S94" i="84"/>
  <c r="O94" i="84"/>
  <c r="U94" i="84" s="1"/>
  <c r="R80" i="84"/>
  <c r="N80" i="84"/>
  <c r="T80" i="84" s="1"/>
  <c r="R76" i="84"/>
  <c r="R50" i="84"/>
  <c r="Y50" i="84" s="1"/>
  <c r="Z50" i="84" s="1"/>
  <c r="G62" i="84"/>
  <c r="P83" i="27"/>
  <c r="H83" i="27"/>
  <c r="R83" i="27" s="1"/>
  <c r="P78" i="27"/>
  <c r="H78" i="27"/>
  <c r="R78" i="27" s="1"/>
  <c r="P77" i="27"/>
  <c r="H77" i="27"/>
  <c r="R77" i="27" s="1"/>
  <c r="P76" i="27"/>
  <c r="R76" i="27"/>
  <c r="P80" i="27"/>
  <c r="H80" i="27"/>
  <c r="R80" i="27" s="1"/>
  <c r="P94" i="27"/>
  <c r="H94" i="27"/>
  <c r="R94" i="27" s="1"/>
  <c r="P81" i="27"/>
  <c r="H81" i="27"/>
  <c r="R81" i="27" s="1"/>
  <c r="P79" i="27"/>
  <c r="H79" i="27"/>
  <c r="R79" i="27" s="1"/>
  <c r="P75" i="27"/>
  <c r="R75" i="27"/>
  <c r="N79" i="85"/>
  <c r="S79" i="85" s="1"/>
  <c r="N61" i="85"/>
  <c r="S61" i="85" s="1"/>
  <c r="N80" i="85"/>
  <c r="S80" i="85" s="1"/>
  <c r="N75" i="85"/>
  <c r="S75" i="85" s="1"/>
  <c r="N72" i="85"/>
  <c r="S72" i="85" s="1"/>
  <c r="N83" i="85"/>
  <c r="S83" i="85" s="1"/>
  <c r="N76" i="85"/>
  <c r="S76" i="85" s="1"/>
  <c r="N77" i="85"/>
  <c r="S77" i="85" s="1"/>
  <c r="N82" i="85"/>
  <c r="S82" i="85" s="1"/>
  <c r="N81" i="85"/>
  <c r="S81" i="85" s="1"/>
  <c r="N78" i="85"/>
  <c r="S78" i="85" s="1"/>
  <c r="R75" i="84"/>
  <c r="Y75" i="84" s="1"/>
  <c r="R72" i="84"/>
  <c r="Y72" i="84" s="1"/>
  <c r="R61" i="84"/>
  <c r="Y61" i="84" s="1"/>
  <c r="G87" i="85"/>
  <c r="H103" i="85"/>
  <c r="G91" i="85"/>
  <c r="H103" i="86"/>
  <c r="P103" i="86" s="1"/>
  <c r="H105" i="85"/>
  <c r="H85" i="86"/>
  <c r="P85" i="86" s="1"/>
  <c r="H101" i="86"/>
  <c r="P101" i="86" s="1"/>
  <c r="G87" i="84"/>
  <c r="H98" i="85"/>
  <c r="O98" i="85" s="1"/>
  <c r="G90" i="84"/>
  <c r="G95" i="85"/>
  <c r="H101" i="85"/>
  <c r="O101" i="85" s="1"/>
  <c r="G88" i="85"/>
  <c r="H98" i="86"/>
  <c r="P98" i="86" s="1"/>
  <c r="H100" i="85"/>
  <c r="O100" i="85" s="1"/>
  <c r="G73" i="84"/>
  <c r="G84" i="84"/>
  <c r="H100" i="86"/>
  <c r="P100" i="86" s="1"/>
  <c r="G94" i="84"/>
  <c r="H105" i="84"/>
  <c r="G93" i="84"/>
  <c r="H96" i="86"/>
  <c r="P96" i="86" s="1"/>
  <c r="H106" i="84"/>
  <c r="H103" i="84"/>
  <c r="H99" i="84"/>
  <c r="S99" i="84" s="1"/>
  <c r="G92" i="85"/>
  <c r="H102" i="84"/>
  <c r="G88" i="84"/>
  <c r="G89" i="85"/>
  <c r="H104" i="85"/>
  <c r="H105" i="86"/>
  <c r="H96" i="85"/>
  <c r="O96" i="85" s="1"/>
  <c r="H104" i="86"/>
  <c r="H107" i="86"/>
  <c r="H100" i="84"/>
  <c r="S100" i="84" s="1"/>
  <c r="G73" i="85"/>
  <c r="G94" i="85"/>
  <c r="G90" i="85"/>
  <c r="H98" i="84"/>
  <c r="S98" i="84" s="1"/>
  <c r="G91" i="84"/>
  <c r="G92" i="84"/>
  <c r="G84" i="85"/>
  <c r="H106" i="85"/>
  <c r="G93" i="85"/>
  <c r="H99" i="86"/>
  <c r="P99" i="86" s="1"/>
  <c r="H99" i="85"/>
  <c r="O99" i="85" s="1"/>
  <c r="H104" i="84"/>
  <c r="G89" i="84"/>
  <c r="H102" i="85"/>
  <c r="O102" i="85" s="1"/>
  <c r="H106" i="86"/>
  <c r="G95" i="84"/>
  <c r="R95" i="84" s="1"/>
  <c r="H102" i="86"/>
  <c r="P102" i="86" s="1"/>
  <c r="H101" i="84"/>
  <c r="S101" i="84" s="1"/>
  <c r="CF69" i="39"/>
  <c r="DE68" i="39"/>
  <c r="DI68" i="39"/>
  <c r="DM68" i="39"/>
  <c r="DF68" i="39"/>
  <c r="DJ68" i="39"/>
  <c r="DN68" i="39"/>
  <c r="DC68" i="39"/>
  <c r="DG68" i="39"/>
  <c r="DK68" i="39"/>
  <c r="DO68" i="39"/>
  <c r="DD68" i="39"/>
  <c r="DH68" i="39"/>
  <c r="DL68" i="39"/>
  <c r="DB68" i="39"/>
  <c r="BK57" i="39"/>
  <c r="BL57" i="39"/>
  <c r="BJ58" i="39"/>
  <c r="CW55" i="39"/>
  <c r="DA55" i="39"/>
  <c r="CY55" i="39"/>
  <c r="CV61" i="39"/>
  <c r="L78" i="28"/>
  <c r="Q78" i="28" s="1"/>
  <c r="E79" i="27"/>
  <c r="G79" i="27" s="1"/>
  <c r="Q79" i="27" s="1"/>
  <c r="F89" i="29"/>
  <c r="N89" i="29" s="1"/>
  <c r="S89" i="29" s="1"/>
  <c r="M89" i="28"/>
  <c r="E83" i="27"/>
  <c r="G83" i="27" s="1"/>
  <c r="Q83" i="27" s="1"/>
  <c r="F92" i="29"/>
  <c r="N92" i="29" s="1"/>
  <c r="E77" i="27"/>
  <c r="L81" i="28"/>
  <c r="Q81" i="28" s="1"/>
  <c r="M88" i="28"/>
  <c r="F86" i="29"/>
  <c r="N86" i="29" s="1"/>
  <c r="E81" i="27"/>
  <c r="G81" i="27" s="1"/>
  <c r="Q81" i="27" s="1"/>
  <c r="M93" i="28"/>
  <c r="M90" i="28"/>
  <c r="F91" i="29"/>
  <c r="N91" i="29" s="1"/>
  <c r="L75" i="28"/>
  <c r="Q75" i="28" s="1"/>
  <c r="L79" i="28"/>
  <c r="Q79" i="28" s="1"/>
  <c r="L82" i="28"/>
  <c r="Q82" i="28" s="1"/>
  <c r="F90" i="27"/>
  <c r="F93" i="27"/>
  <c r="F90" i="29"/>
  <c r="N90" i="29" s="1"/>
  <c r="E61" i="27"/>
  <c r="O61" i="27" s="1"/>
  <c r="V61" i="27" s="1"/>
  <c r="L80" i="28"/>
  <c r="Q80" i="28" s="1"/>
  <c r="M92" i="28"/>
  <c r="F88" i="29"/>
  <c r="N88" i="29" s="1"/>
  <c r="R8" i="33"/>
  <c r="T8" i="33" s="1"/>
  <c r="V8" i="33" s="1"/>
  <c r="L61" i="28"/>
  <c r="Q61" i="28" s="1"/>
  <c r="M86" i="28"/>
  <c r="F86" i="27"/>
  <c r="E76" i="27"/>
  <c r="G76" i="27" s="1"/>
  <c r="F88" i="27"/>
  <c r="E82" i="27"/>
  <c r="G82" i="27" s="1"/>
  <c r="Q82" i="27" s="1"/>
  <c r="E72" i="27"/>
  <c r="O72" i="27" s="1"/>
  <c r="V72" i="27" s="1"/>
  <c r="F89" i="27"/>
  <c r="F93" i="29"/>
  <c r="N93" i="29" s="1"/>
  <c r="L83" i="28"/>
  <c r="Q83" i="28" s="1"/>
  <c r="M87" i="28"/>
  <c r="E78" i="27"/>
  <c r="G78" i="27" s="1"/>
  <c r="Q78" i="27" s="1"/>
  <c r="F91" i="27"/>
  <c r="L76" i="28"/>
  <c r="Q76" i="28" s="1"/>
  <c r="M91" i="28"/>
  <c r="L72" i="28"/>
  <c r="Q72" i="28" s="1"/>
  <c r="F87" i="27"/>
  <c r="F92" i="27"/>
  <c r="L77" i="28"/>
  <c r="Q77" i="28" s="1"/>
  <c r="F87" i="29"/>
  <c r="N87" i="29" s="1"/>
  <c r="E75" i="27"/>
  <c r="E80" i="27"/>
  <c r="G80" i="27" s="1"/>
  <c r="Q80" i="27" s="1"/>
  <c r="M73" i="28"/>
  <c r="F106" i="29"/>
  <c r="F84" i="29"/>
  <c r="N84" i="29" s="1"/>
  <c r="S84" i="29" s="1"/>
  <c r="M95" i="28"/>
  <c r="F73" i="29"/>
  <c r="N73" i="29" s="1"/>
  <c r="S73" i="29" s="1"/>
  <c r="F84" i="27"/>
  <c r="M106" i="28"/>
  <c r="F106" i="27"/>
  <c r="F118" i="27" s="1"/>
  <c r="F95" i="29"/>
  <c r="N95" i="29" s="1"/>
  <c r="S95" i="29" s="1"/>
  <c r="M84" i="28"/>
  <c r="F73" i="27"/>
  <c r="P73" i="27" s="1"/>
  <c r="F95" i="27"/>
  <c r="V18" i="103" l="1"/>
  <c r="U21" i="103"/>
  <c r="V23" i="103"/>
  <c r="U26" i="103"/>
  <c r="S92" i="29"/>
  <c r="E97" i="29"/>
  <c r="M97" i="29" s="1"/>
  <c r="H107" i="85"/>
  <c r="H119" i="85" s="1"/>
  <c r="O119" i="85" s="1"/>
  <c r="H85" i="85"/>
  <c r="O85" i="85" s="1"/>
  <c r="S90" i="29"/>
  <c r="E104" i="29"/>
  <c r="M104" i="29" s="1"/>
  <c r="E106" i="29"/>
  <c r="E118" i="29" s="1"/>
  <c r="M118" i="29" s="1"/>
  <c r="E103" i="29"/>
  <c r="M103" i="29" s="1"/>
  <c r="E102" i="29"/>
  <c r="E114" i="29" s="1"/>
  <c r="M114" i="29" s="1"/>
  <c r="S88" i="29"/>
  <c r="E100" i="29"/>
  <c r="M100" i="29" s="1"/>
  <c r="S87" i="29"/>
  <c r="E99" i="29"/>
  <c r="M99" i="29" s="1"/>
  <c r="O98" i="106"/>
  <c r="R98" i="106" s="1"/>
  <c r="K96" i="106"/>
  <c r="O96" i="106" s="1"/>
  <c r="R96" i="106" s="1"/>
  <c r="E108" i="106"/>
  <c r="E115" i="106"/>
  <c r="K103" i="106"/>
  <c r="O103" i="106" s="1"/>
  <c r="R103" i="106" s="1"/>
  <c r="E117" i="106"/>
  <c r="K105" i="106"/>
  <c r="O105" i="106" s="1"/>
  <c r="R105" i="106" s="1"/>
  <c r="E116" i="106"/>
  <c r="K104" i="106"/>
  <c r="O104" i="106" s="1"/>
  <c r="R104" i="106" s="1"/>
  <c r="K99" i="106"/>
  <c r="O99" i="106" s="1"/>
  <c r="R99" i="106" s="1"/>
  <c r="E111" i="106"/>
  <c r="E114" i="106"/>
  <c r="K102" i="106"/>
  <c r="O102" i="106" s="1"/>
  <c r="R102" i="106" s="1"/>
  <c r="F125" i="106"/>
  <c r="L113" i="106"/>
  <c r="F126" i="106"/>
  <c r="L114" i="106"/>
  <c r="F109" i="106"/>
  <c r="L97" i="106"/>
  <c r="F124" i="106"/>
  <c r="L112" i="106"/>
  <c r="F127" i="106"/>
  <c r="L115" i="106"/>
  <c r="F130" i="106"/>
  <c r="L118" i="106"/>
  <c r="F122" i="106"/>
  <c r="L110" i="106"/>
  <c r="E113" i="106"/>
  <c r="K101" i="106"/>
  <c r="O101" i="106" s="1"/>
  <c r="R101" i="106" s="1"/>
  <c r="F120" i="106"/>
  <c r="L108" i="106"/>
  <c r="K100" i="106"/>
  <c r="O100" i="106" s="1"/>
  <c r="R100" i="106" s="1"/>
  <c r="E112" i="106"/>
  <c r="E119" i="106"/>
  <c r="K107" i="106"/>
  <c r="O107" i="106" s="1"/>
  <c r="R107" i="106" s="1"/>
  <c r="F123" i="106"/>
  <c r="L111" i="106"/>
  <c r="F129" i="106"/>
  <c r="L117" i="106"/>
  <c r="E122" i="106"/>
  <c r="K110" i="106"/>
  <c r="F128" i="106"/>
  <c r="L116" i="106"/>
  <c r="E118" i="106"/>
  <c r="K106" i="106"/>
  <c r="O106" i="106" s="1"/>
  <c r="R106" i="106" s="1"/>
  <c r="K85" i="106"/>
  <c r="O85" i="106" s="1"/>
  <c r="R85" i="106" s="1"/>
  <c r="E97" i="106"/>
  <c r="F131" i="106"/>
  <c r="L119" i="106"/>
  <c r="S91" i="29"/>
  <c r="E108" i="29"/>
  <c r="E120" i="29" s="1"/>
  <c r="M120" i="29" s="1"/>
  <c r="S93" i="29"/>
  <c r="E105" i="29"/>
  <c r="M105" i="29" s="1"/>
  <c r="P106" i="86"/>
  <c r="H118" i="86"/>
  <c r="P118" i="86" s="1"/>
  <c r="P105" i="86"/>
  <c r="H117" i="86"/>
  <c r="P117" i="86" s="1"/>
  <c r="P107" i="86"/>
  <c r="H119" i="86"/>
  <c r="P119" i="86" s="1"/>
  <c r="P104" i="86"/>
  <c r="H116" i="86"/>
  <c r="P116" i="86" s="1"/>
  <c r="O106" i="85"/>
  <c r="H118" i="85"/>
  <c r="O118" i="85" s="1"/>
  <c r="O105" i="85"/>
  <c r="H117" i="85"/>
  <c r="O117" i="85" s="1"/>
  <c r="O104" i="85"/>
  <c r="H116" i="85"/>
  <c r="O116" i="85" s="1"/>
  <c r="O103" i="85"/>
  <c r="H115" i="85"/>
  <c r="O115" i="85" s="1"/>
  <c r="S104" i="84"/>
  <c r="H116" i="84"/>
  <c r="S103" i="84"/>
  <c r="H115" i="84"/>
  <c r="S102" i="84"/>
  <c r="H114" i="84"/>
  <c r="S106" i="84"/>
  <c r="H118" i="84"/>
  <c r="S105" i="84"/>
  <c r="H117" i="84"/>
  <c r="K106" i="30"/>
  <c r="O106" i="30" s="1"/>
  <c r="E118" i="30"/>
  <c r="K118" i="30" s="1"/>
  <c r="O118" i="30" s="1"/>
  <c r="K103" i="30"/>
  <c r="O103" i="30" s="1"/>
  <c r="E115" i="30"/>
  <c r="K115" i="30" s="1"/>
  <c r="O115" i="30" s="1"/>
  <c r="K105" i="30"/>
  <c r="O105" i="30" s="1"/>
  <c r="E117" i="30"/>
  <c r="K117" i="30" s="1"/>
  <c r="O117" i="30" s="1"/>
  <c r="K107" i="30"/>
  <c r="O107" i="30" s="1"/>
  <c r="E119" i="30"/>
  <c r="K119" i="30" s="1"/>
  <c r="O119" i="30" s="1"/>
  <c r="K104" i="30"/>
  <c r="O104" i="30" s="1"/>
  <c r="E116" i="30"/>
  <c r="K116" i="30" s="1"/>
  <c r="O116" i="30" s="1"/>
  <c r="N106" i="29"/>
  <c r="F118" i="29"/>
  <c r="N118" i="29" s="1"/>
  <c r="M107" i="29"/>
  <c r="E119" i="29"/>
  <c r="M119" i="29" s="1"/>
  <c r="P118" i="27"/>
  <c r="H118" i="27"/>
  <c r="R118" i="27" s="1"/>
  <c r="H85" i="84"/>
  <c r="O85" i="84" s="1"/>
  <c r="U85" i="84" s="1"/>
  <c r="S86" i="29"/>
  <c r="E74" i="27"/>
  <c r="O74" i="27" s="1"/>
  <c r="V74" i="27" s="1"/>
  <c r="E98" i="29"/>
  <c r="M98" i="29" s="1"/>
  <c r="O95" i="84"/>
  <c r="U95" i="84" s="1"/>
  <c r="H107" i="84"/>
  <c r="V23" i="98"/>
  <c r="BG57" i="99"/>
  <c r="BG117" i="39"/>
  <c r="G107" i="86"/>
  <c r="G119" i="86" s="1"/>
  <c r="O119" i="86" s="1"/>
  <c r="O95" i="86"/>
  <c r="U95" i="86" s="1"/>
  <c r="G102" i="86"/>
  <c r="O90" i="86"/>
  <c r="U90" i="86" s="1"/>
  <c r="G104" i="86"/>
  <c r="G116" i="86" s="1"/>
  <c r="O116" i="86" s="1"/>
  <c r="O92" i="86"/>
  <c r="U92" i="86" s="1"/>
  <c r="G105" i="86"/>
  <c r="G117" i="86" s="1"/>
  <c r="O117" i="86" s="1"/>
  <c r="O93" i="86"/>
  <c r="U93" i="86" s="1"/>
  <c r="G100" i="86"/>
  <c r="O88" i="86"/>
  <c r="U88" i="86" s="1"/>
  <c r="G106" i="86"/>
  <c r="G118" i="86" s="1"/>
  <c r="O118" i="86" s="1"/>
  <c r="O94" i="86"/>
  <c r="U94" i="86" s="1"/>
  <c r="G99" i="86"/>
  <c r="O87" i="86"/>
  <c r="U87" i="86" s="1"/>
  <c r="G103" i="86"/>
  <c r="O91" i="86"/>
  <c r="U91" i="86" s="1"/>
  <c r="G101" i="86"/>
  <c r="O89" i="86"/>
  <c r="U89" i="86" s="1"/>
  <c r="G108" i="86"/>
  <c r="G120" i="86" s="1"/>
  <c r="O120" i="86" s="1"/>
  <c r="O96" i="86"/>
  <c r="G98" i="86"/>
  <c r="O86" i="86"/>
  <c r="U86" i="86" s="1"/>
  <c r="G97" i="86"/>
  <c r="O85" i="86"/>
  <c r="U85" i="86" s="1"/>
  <c r="E113" i="29"/>
  <c r="M113" i="29" s="1"/>
  <c r="H96" i="84"/>
  <c r="S96" i="84" s="1"/>
  <c r="O84" i="84"/>
  <c r="U84" i="84" s="1"/>
  <c r="E74" i="28"/>
  <c r="L62" i="28"/>
  <c r="Q62" i="28" s="1"/>
  <c r="N62" i="85"/>
  <c r="S62" i="85" s="1"/>
  <c r="G74" i="85"/>
  <c r="W21" i="98"/>
  <c r="BI115" i="39"/>
  <c r="BI55" i="99"/>
  <c r="AB18" i="98"/>
  <c r="BH112" i="39"/>
  <c r="BH52" i="99"/>
  <c r="H129" i="87"/>
  <c r="H131" i="87"/>
  <c r="H130" i="87"/>
  <c r="H128" i="87"/>
  <c r="H109" i="87"/>
  <c r="H121" i="87" s="1"/>
  <c r="N121" i="87" s="1"/>
  <c r="N97" i="87"/>
  <c r="H110" i="87"/>
  <c r="N98" i="87"/>
  <c r="Q98" i="87" s="1"/>
  <c r="H127" i="87"/>
  <c r="H125" i="87"/>
  <c r="N113" i="87"/>
  <c r="H126" i="87"/>
  <c r="H124" i="87"/>
  <c r="N112" i="87"/>
  <c r="H123" i="87"/>
  <c r="N111" i="87"/>
  <c r="N108" i="87"/>
  <c r="G107" i="87"/>
  <c r="G119" i="87" s="1"/>
  <c r="M119" i="87" s="1"/>
  <c r="Q119" i="87" s="1"/>
  <c r="G102" i="87"/>
  <c r="G114" i="87" s="1"/>
  <c r="M114" i="87" s="1"/>
  <c r="Q114" i="87" s="1"/>
  <c r="G103" i="87"/>
  <c r="G115" i="87" s="1"/>
  <c r="M115" i="87" s="1"/>
  <c r="Q115" i="87" s="1"/>
  <c r="G100" i="87"/>
  <c r="M100" i="87" s="1"/>
  <c r="Q100" i="87" s="1"/>
  <c r="G85" i="87"/>
  <c r="M85" i="87" s="1"/>
  <c r="Q85" i="87" s="1"/>
  <c r="G96" i="87"/>
  <c r="M96" i="87" s="1"/>
  <c r="Q96" i="87" s="1"/>
  <c r="G101" i="87"/>
  <c r="M101" i="87" s="1"/>
  <c r="Q101" i="87" s="1"/>
  <c r="G105" i="87"/>
  <c r="G117" i="87" s="1"/>
  <c r="M117" i="87" s="1"/>
  <c r="Q117" i="87" s="1"/>
  <c r="G99" i="87"/>
  <c r="M99" i="87" s="1"/>
  <c r="Q99" i="87" s="1"/>
  <c r="G104" i="87"/>
  <c r="G116" i="87" s="1"/>
  <c r="M116" i="87" s="1"/>
  <c r="Q116" i="87" s="1"/>
  <c r="G110" i="87"/>
  <c r="M110" i="87" s="1"/>
  <c r="G106" i="87"/>
  <c r="G118" i="87" s="1"/>
  <c r="M118" i="87" s="1"/>
  <c r="Q118" i="87" s="1"/>
  <c r="F109" i="30"/>
  <c r="F121" i="30" s="1"/>
  <c r="L121" i="30" s="1"/>
  <c r="L97" i="30"/>
  <c r="F131" i="30"/>
  <c r="F125" i="30"/>
  <c r="L113" i="30"/>
  <c r="F124" i="30"/>
  <c r="L112" i="30"/>
  <c r="F130" i="30"/>
  <c r="F122" i="30"/>
  <c r="L110" i="30"/>
  <c r="F126" i="30"/>
  <c r="L114" i="30"/>
  <c r="F123" i="30"/>
  <c r="L111" i="30"/>
  <c r="F128" i="30"/>
  <c r="F129" i="30"/>
  <c r="F127" i="30"/>
  <c r="L108" i="30"/>
  <c r="E108" i="30"/>
  <c r="O96" i="30"/>
  <c r="E113" i="30"/>
  <c r="K113" i="30" s="1"/>
  <c r="O101" i="30"/>
  <c r="E111" i="30"/>
  <c r="K111" i="30" s="1"/>
  <c r="O99" i="30"/>
  <c r="E112" i="30"/>
  <c r="K112" i="30" s="1"/>
  <c r="O100" i="30"/>
  <c r="E114" i="30"/>
  <c r="K114" i="30" s="1"/>
  <c r="O102" i="30"/>
  <c r="E97" i="30"/>
  <c r="K97" i="30" s="1"/>
  <c r="O85" i="30"/>
  <c r="AM11" i="33" s="1"/>
  <c r="X24" i="35" s="1"/>
  <c r="Y24" i="35" s="1"/>
  <c r="D76" i="110" s="1"/>
  <c r="N76" i="110" s="1"/>
  <c r="E110" i="30"/>
  <c r="K110" i="30" s="1"/>
  <c r="O98" i="30"/>
  <c r="G9" i="91"/>
  <c r="I9" i="91" s="1"/>
  <c r="K9" i="91" s="1"/>
  <c r="Z72" i="84"/>
  <c r="Z61" i="84"/>
  <c r="R89" i="84"/>
  <c r="N89" i="84"/>
  <c r="T89" i="84" s="1"/>
  <c r="O101" i="84"/>
  <c r="U101" i="84" s="1"/>
  <c r="O104" i="84"/>
  <c r="U104" i="84" s="1"/>
  <c r="R91" i="84"/>
  <c r="N91" i="84"/>
  <c r="T91" i="84" s="1"/>
  <c r="O102" i="84"/>
  <c r="U102" i="84" s="1"/>
  <c r="R94" i="84"/>
  <c r="N94" i="84"/>
  <c r="T94" i="84" s="1"/>
  <c r="R90" i="84"/>
  <c r="N90" i="84"/>
  <c r="T90" i="84" s="1"/>
  <c r="O103" i="84"/>
  <c r="U103" i="84" s="1"/>
  <c r="O106" i="84"/>
  <c r="U106" i="84" s="1"/>
  <c r="R84" i="84"/>
  <c r="N84" i="84"/>
  <c r="T84" i="84" s="1"/>
  <c r="N95" i="84"/>
  <c r="T95" i="84" s="1"/>
  <c r="O98" i="84"/>
  <c r="U98" i="84" s="1"/>
  <c r="R88" i="84"/>
  <c r="N88" i="84"/>
  <c r="T88" i="84" s="1"/>
  <c r="O99" i="84"/>
  <c r="U99" i="84" s="1"/>
  <c r="R92" i="84"/>
  <c r="N92" i="84"/>
  <c r="T92" i="84" s="1"/>
  <c r="O100" i="84"/>
  <c r="U100" i="84" s="1"/>
  <c r="R93" i="84"/>
  <c r="N93" i="84"/>
  <c r="T93" i="84" s="1"/>
  <c r="O105" i="84"/>
  <c r="U105" i="84" s="1"/>
  <c r="R87" i="84"/>
  <c r="N87" i="84"/>
  <c r="T87" i="84" s="1"/>
  <c r="R62" i="84"/>
  <c r="Y62" i="84" s="1"/>
  <c r="Z62" i="84" s="1"/>
  <c r="G74" i="84"/>
  <c r="P84" i="27"/>
  <c r="H84" i="27"/>
  <c r="R84" i="27" s="1"/>
  <c r="P87" i="27"/>
  <c r="H87" i="27"/>
  <c r="R87" i="27" s="1"/>
  <c r="P95" i="27"/>
  <c r="H95" i="27"/>
  <c r="R95" i="27" s="1"/>
  <c r="P89" i="27"/>
  <c r="H89" i="27"/>
  <c r="R89" i="27" s="1"/>
  <c r="O76" i="27"/>
  <c r="Q76" i="27"/>
  <c r="O77" i="27"/>
  <c r="G77" i="27"/>
  <c r="Q77" i="27" s="1"/>
  <c r="P91" i="27"/>
  <c r="H91" i="27"/>
  <c r="R91" i="27" s="1"/>
  <c r="P86" i="27"/>
  <c r="H86" i="27"/>
  <c r="R86" i="27" s="1"/>
  <c r="P90" i="27"/>
  <c r="H90" i="27"/>
  <c r="R90" i="27" s="1"/>
  <c r="P92" i="27"/>
  <c r="H92" i="27"/>
  <c r="R92" i="27" s="1"/>
  <c r="P93" i="27"/>
  <c r="H93" i="27"/>
  <c r="R93" i="27" s="1"/>
  <c r="P106" i="27"/>
  <c r="H106" i="27"/>
  <c r="R106" i="27" s="1"/>
  <c r="P88" i="27"/>
  <c r="H88" i="27"/>
  <c r="R88" i="27" s="1"/>
  <c r="O75" i="27"/>
  <c r="G75" i="27"/>
  <c r="Q75" i="27" s="1"/>
  <c r="O78" i="27"/>
  <c r="V78" i="27" s="1"/>
  <c r="O81" i="27"/>
  <c r="V81" i="27" s="1"/>
  <c r="O79" i="27"/>
  <c r="V79" i="27" s="1"/>
  <c r="O82" i="27"/>
  <c r="V82" i="27" s="1"/>
  <c r="O83" i="27"/>
  <c r="V83" i="27" s="1"/>
  <c r="O80" i="27"/>
  <c r="V80" i="27" s="1"/>
  <c r="AE10" i="91"/>
  <c r="AG10" i="91" s="1"/>
  <c r="N90" i="85"/>
  <c r="S90" i="85" s="1"/>
  <c r="N94" i="85"/>
  <c r="S94" i="85" s="1"/>
  <c r="N89" i="85"/>
  <c r="S89" i="85" s="1"/>
  <c r="N91" i="85"/>
  <c r="S91" i="85" s="1"/>
  <c r="N93" i="85"/>
  <c r="S93" i="85" s="1"/>
  <c r="N84" i="85"/>
  <c r="S84" i="85" s="1"/>
  <c r="N92" i="85"/>
  <c r="S92" i="85" s="1"/>
  <c r="N95" i="85"/>
  <c r="S95" i="85" s="1"/>
  <c r="N73" i="85"/>
  <c r="S73" i="85" s="1"/>
  <c r="N88" i="85"/>
  <c r="S88" i="85" s="1"/>
  <c r="N87" i="85"/>
  <c r="S87" i="85" s="1"/>
  <c r="Y83" i="84"/>
  <c r="Y77" i="84"/>
  <c r="Y80" i="84"/>
  <c r="Y78" i="84"/>
  <c r="R73" i="84"/>
  <c r="Y73" i="84" s="1"/>
  <c r="Y79" i="84"/>
  <c r="Y76" i="84"/>
  <c r="Y81" i="84"/>
  <c r="Y82" i="84"/>
  <c r="H114" i="86"/>
  <c r="P114" i="86" s="1"/>
  <c r="G101" i="84"/>
  <c r="R101" i="84" s="1"/>
  <c r="H111" i="85"/>
  <c r="O111" i="85" s="1"/>
  <c r="H110" i="84"/>
  <c r="S110" i="84" s="1"/>
  <c r="G85" i="85"/>
  <c r="G100" i="84"/>
  <c r="R100" i="84" s="1"/>
  <c r="G104" i="85"/>
  <c r="G116" i="85" s="1"/>
  <c r="N116" i="85" s="1"/>
  <c r="H113" i="85"/>
  <c r="O113" i="85" s="1"/>
  <c r="H110" i="85"/>
  <c r="O110" i="85" s="1"/>
  <c r="G99" i="84"/>
  <c r="R99" i="84" s="1"/>
  <c r="H113" i="84"/>
  <c r="S113" i="84" s="1"/>
  <c r="G105" i="85"/>
  <c r="G117" i="85" s="1"/>
  <c r="N117" i="85" s="1"/>
  <c r="G102" i="85"/>
  <c r="H112" i="84"/>
  <c r="S112" i="84" s="1"/>
  <c r="G101" i="85"/>
  <c r="H108" i="86"/>
  <c r="G105" i="84"/>
  <c r="G96" i="84"/>
  <c r="R96" i="84" s="1"/>
  <c r="G85" i="84"/>
  <c r="H110" i="86"/>
  <c r="P110" i="86" s="1"/>
  <c r="G102" i="84"/>
  <c r="H113" i="86"/>
  <c r="P113" i="86" s="1"/>
  <c r="H97" i="86"/>
  <c r="P97" i="86" s="1"/>
  <c r="H115" i="86"/>
  <c r="P115" i="86" s="1"/>
  <c r="G103" i="84"/>
  <c r="G107" i="84"/>
  <c r="G96" i="85"/>
  <c r="G104" i="84"/>
  <c r="G106" i="84"/>
  <c r="G100" i="85"/>
  <c r="G103" i="85"/>
  <c r="G115" i="85" s="1"/>
  <c r="N115" i="85" s="1"/>
  <c r="H114" i="85"/>
  <c r="O114" i="85" s="1"/>
  <c r="H111" i="86"/>
  <c r="P111" i="86" s="1"/>
  <c r="G106" i="85"/>
  <c r="H108" i="85"/>
  <c r="H111" i="84"/>
  <c r="H112" i="86"/>
  <c r="P112" i="86" s="1"/>
  <c r="H112" i="85"/>
  <c r="O112" i="85" s="1"/>
  <c r="G107" i="85"/>
  <c r="G99" i="85"/>
  <c r="CF70" i="39"/>
  <c r="DE69" i="39"/>
  <c r="DI69" i="39"/>
  <c r="DM69" i="39"/>
  <c r="DF69" i="39"/>
  <c r="DJ69" i="39"/>
  <c r="DN69" i="39"/>
  <c r="DC69" i="39"/>
  <c r="DG69" i="39"/>
  <c r="DK69" i="39"/>
  <c r="DO69" i="39"/>
  <c r="DD69" i="39"/>
  <c r="DH69" i="39"/>
  <c r="DL69" i="39"/>
  <c r="DB69" i="39"/>
  <c r="BL58" i="39"/>
  <c r="BK58" i="39"/>
  <c r="BJ59" i="39"/>
  <c r="CW56" i="39"/>
  <c r="CY56" i="39"/>
  <c r="DA56" i="39"/>
  <c r="CV62" i="39"/>
  <c r="DU158" i="6"/>
  <c r="E84" i="27"/>
  <c r="G84" i="27" s="1"/>
  <c r="Q84" i="27" s="1"/>
  <c r="F100" i="27"/>
  <c r="F112" i="27" s="1"/>
  <c r="M104" i="28"/>
  <c r="E73" i="27"/>
  <c r="O73" i="27" s="1"/>
  <c r="V73" i="27" s="1"/>
  <c r="F105" i="27"/>
  <c r="F117" i="27" s="1"/>
  <c r="L91" i="28"/>
  <c r="Q91" i="28" s="1"/>
  <c r="F103" i="29"/>
  <c r="F98" i="29"/>
  <c r="N98" i="29" s="1"/>
  <c r="M101" i="28"/>
  <c r="E91" i="27"/>
  <c r="G91" i="27" s="1"/>
  <c r="Q91" i="27" s="1"/>
  <c r="E87" i="27"/>
  <c r="G87" i="27" s="1"/>
  <c r="Q87" i="27" s="1"/>
  <c r="F99" i="27"/>
  <c r="F111" i="27" s="1"/>
  <c r="M103" i="28"/>
  <c r="E90" i="27"/>
  <c r="G90" i="27" s="1"/>
  <c r="Q90" i="27" s="1"/>
  <c r="L95" i="28"/>
  <c r="Q95" i="28" s="1"/>
  <c r="E94" i="27"/>
  <c r="G94" i="27" s="1"/>
  <c r="Q94" i="27" s="1"/>
  <c r="L73" i="28"/>
  <c r="Q73" i="28" s="1"/>
  <c r="L92" i="28"/>
  <c r="Q92" i="28" s="1"/>
  <c r="F102" i="29"/>
  <c r="L94" i="28"/>
  <c r="Q94" i="28" s="1"/>
  <c r="M105" i="28"/>
  <c r="L93" i="28"/>
  <c r="Q93" i="28" s="1"/>
  <c r="F104" i="29"/>
  <c r="L90" i="28"/>
  <c r="Q90" i="28" s="1"/>
  <c r="E92" i="27"/>
  <c r="G92" i="27" s="1"/>
  <c r="Q92" i="27" s="1"/>
  <c r="F99" i="29"/>
  <c r="N99" i="29" s="1"/>
  <c r="L89" i="28"/>
  <c r="Q89" i="28" s="1"/>
  <c r="F104" i="27"/>
  <c r="F116" i="27" s="1"/>
  <c r="F103" i="27"/>
  <c r="F115" i="27" s="1"/>
  <c r="M99" i="28"/>
  <c r="F101" i="27"/>
  <c r="F113" i="27" s="1"/>
  <c r="F98" i="27"/>
  <c r="F110" i="27" s="1"/>
  <c r="F100" i="29"/>
  <c r="N100" i="29" s="1"/>
  <c r="F102" i="27"/>
  <c r="F114" i="27" s="1"/>
  <c r="L87" i="28"/>
  <c r="Q87" i="28" s="1"/>
  <c r="M100" i="28"/>
  <c r="E89" i="27"/>
  <c r="G89" i="27" s="1"/>
  <c r="Q89" i="27" s="1"/>
  <c r="F101" i="29"/>
  <c r="N101" i="29" s="1"/>
  <c r="S101" i="29" s="1"/>
  <c r="L84" i="28"/>
  <c r="Q84" i="28" s="1"/>
  <c r="L88" i="28"/>
  <c r="Q88" i="28" s="1"/>
  <c r="F105" i="29"/>
  <c r="E88" i="27"/>
  <c r="G88" i="27" s="1"/>
  <c r="Q88" i="27" s="1"/>
  <c r="M98" i="28"/>
  <c r="M102" i="28"/>
  <c r="E93" i="27"/>
  <c r="G93" i="27" s="1"/>
  <c r="Q93" i="27" s="1"/>
  <c r="E95" i="27"/>
  <c r="G95" i="27" s="1"/>
  <c r="Q95" i="27" s="1"/>
  <c r="F107" i="27"/>
  <c r="F119" i="27" s="1"/>
  <c r="M96" i="28"/>
  <c r="M85" i="28"/>
  <c r="F85" i="27"/>
  <c r="F107" i="29"/>
  <c r="F85" i="29"/>
  <c r="N85" i="29" s="1"/>
  <c r="S85" i="29" s="1"/>
  <c r="F96" i="29"/>
  <c r="N96" i="29" s="1"/>
  <c r="S96" i="29" s="1"/>
  <c r="F96" i="27"/>
  <c r="M107" i="28"/>
  <c r="W18" i="103" l="1"/>
  <c r="V21" i="103"/>
  <c r="W23" i="103"/>
  <c r="V26" i="103"/>
  <c r="E109" i="29"/>
  <c r="M109" i="29" s="1"/>
  <c r="O107" i="85"/>
  <c r="H97" i="85"/>
  <c r="O97" i="85" s="1"/>
  <c r="C57" i="110"/>
  <c r="B55" i="110"/>
  <c r="M102" i="29"/>
  <c r="E115" i="29"/>
  <c r="M115" i="29" s="1"/>
  <c r="M106" i="29"/>
  <c r="S106" i="29" s="1"/>
  <c r="E116" i="29"/>
  <c r="M116" i="29" s="1"/>
  <c r="S100" i="29"/>
  <c r="E112" i="29"/>
  <c r="M112" i="29" s="1"/>
  <c r="S99" i="29"/>
  <c r="E111" i="29"/>
  <c r="M111" i="29" s="1"/>
  <c r="M108" i="29"/>
  <c r="O110" i="106"/>
  <c r="R110" i="106" s="1"/>
  <c r="E124" i="106"/>
  <c r="K112" i="106"/>
  <c r="O112" i="106" s="1"/>
  <c r="R112" i="106" s="1"/>
  <c r="F143" i="106"/>
  <c r="L143" i="106" s="1"/>
  <c r="L131" i="106"/>
  <c r="E130" i="106"/>
  <c r="K118" i="106"/>
  <c r="O118" i="106" s="1"/>
  <c r="R118" i="106" s="1"/>
  <c r="K122" i="106"/>
  <c r="E134" i="106"/>
  <c r="K134" i="106" s="1"/>
  <c r="F135" i="106"/>
  <c r="L135" i="106" s="1"/>
  <c r="L123" i="106"/>
  <c r="K113" i="106"/>
  <c r="O113" i="106" s="1"/>
  <c r="R113" i="106" s="1"/>
  <c r="E125" i="106"/>
  <c r="F142" i="106"/>
  <c r="L142" i="106" s="1"/>
  <c r="L130" i="106"/>
  <c r="F136" i="106"/>
  <c r="L136" i="106" s="1"/>
  <c r="L124" i="106"/>
  <c r="F138" i="106"/>
  <c r="L138" i="106" s="1"/>
  <c r="L126" i="106"/>
  <c r="E126" i="106"/>
  <c r="K114" i="106"/>
  <c r="O114" i="106" s="1"/>
  <c r="R114" i="106" s="1"/>
  <c r="E128" i="106"/>
  <c r="K116" i="106"/>
  <c r="O116" i="106" s="1"/>
  <c r="R116" i="106" s="1"/>
  <c r="E127" i="106"/>
  <c r="K115" i="106"/>
  <c r="O115" i="106" s="1"/>
  <c r="R115" i="106" s="1"/>
  <c r="K97" i="106"/>
  <c r="O97" i="106" s="1"/>
  <c r="R97" i="106" s="1"/>
  <c r="E109" i="106"/>
  <c r="E123" i="106"/>
  <c r="K111" i="106"/>
  <c r="O111" i="106" s="1"/>
  <c r="R111" i="106" s="1"/>
  <c r="E120" i="106"/>
  <c r="K108" i="106"/>
  <c r="O108" i="106" s="1"/>
  <c r="R108" i="106" s="1"/>
  <c r="F140" i="106"/>
  <c r="L140" i="106" s="1"/>
  <c r="L128" i="106"/>
  <c r="F141" i="106"/>
  <c r="L141" i="106" s="1"/>
  <c r="L129" i="106"/>
  <c r="E131" i="106"/>
  <c r="K119" i="106"/>
  <c r="O119" i="106" s="1"/>
  <c r="R119" i="106" s="1"/>
  <c r="F132" i="106"/>
  <c r="L120" i="106"/>
  <c r="F134" i="106"/>
  <c r="L134" i="106" s="1"/>
  <c r="L122" i="106"/>
  <c r="F139" i="106"/>
  <c r="L139" i="106" s="1"/>
  <c r="L127" i="106"/>
  <c r="F121" i="106"/>
  <c r="L109" i="106"/>
  <c r="F137" i="106"/>
  <c r="L137" i="106" s="1"/>
  <c r="L125" i="106"/>
  <c r="K117" i="106"/>
  <c r="O117" i="106" s="1"/>
  <c r="R117" i="106" s="1"/>
  <c r="E129" i="106"/>
  <c r="U117" i="86"/>
  <c r="E117" i="29"/>
  <c r="M117" i="29" s="1"/>
  <c r="U119" i="86"/>
  <c r="E86" i="27"/>
  <c r="G86" i="27" s="1"/>
  <c r="Q86" i="27" s="1"/>
  <c r="S116" i="85"/>
  <c r="U118" i="86"/>
  <c r="S115" i="85"/>
  <c r="H97" i="84"/>
  <c r="S97" i="84" s="1"/>
  <c r="S85" i="84"/>
  <c r="S117" i="85"/>
  <c r="U116" i="86"/>
  <c r="M107" i="87"/>
  <c r="Q107" i="87" s="1"/>
  <c r="M106" i="87"/>
  <c r="Q106" i="87" s="1"/>
  <c r="M105" i="87"/>
  <c r="Q105" i="87" s="1"/>
  <c r="M103" i="87"/>
  <c r="Q103" i="87" s="1"/>
  <c r="M104" i="87"/>
  <c r="Q104" i="87" s="1"/>
  <c r="M102" i="87"/>
  <c r="Q102" i="87" s="1"/>
  <c r="P108" i="86"/>
  <c r="H120" i="86"/>
  <c r="P120" i="86" s="1"/>
  <c r="U120" i="86" s="1"/>
  <c r="N106" i="85"/>
  <c r="S106" i="85" s="1"/>
  <c r="G118" i="85"/>
  <c r="N118" i="85" s="1"/>
  <c r="S118" i="85" s="1"/>
  <c r="N107" i="85"/>
  <c r="G119" i="85"/>
  <c r="N119" i="85" s="1"/>
  <c r="S119" i="85" s="1"/>
  <c r="O108" i="85"/>
  <c r="H120" i="85"/>
  <c r="O120" i="85" s="1"/>
  <c r="R107" i="84"/>
  <c r="G119" i="84"/>
  <c r="S107" i="84"/>
  <c r="H119" i="84"/>
  <c r="H131" i="84" s="1"/>
  <c r="H143" i="84" s="1"/>
  <c r="S118" i="84"/>
  <c r="O118" i="84"/>
  <c r="U118" i="84" s="1"/>
  <c r="S115" i="84"/>
  <c r="O115" i="84"/>
  <c r="U115" i="84" s="1"/>
  <c r="R106" i="84"/>
  <c r="G118" i="84"/>
  <c r="R103" i="84"/>
  <c r="G115" i="84"/>
  <c r="R102" i="84"/>
  <c r="G114" i="84"/>
  <c r="R105" i="84"/>
  <c r="G117" i="84"/>
  <c r="R104" i="84"/>
  <c r="G116" i="84"/>
  <c r="O117" i="84"/>
  <c r="U117" i="84" s="1"/>
  <c r="S117" i="84"/>
  <c r="S114" i="84"/>
  <c r="O114" i="84"/>
  <c r="U114" i="84" s="1"/>
  <c r="S116" i="84"/>
  <c r="O116" i="84"/>
  <c r="U116" i="84" s="1"/>
  <c r="K108" i="30"/>
  <c r="O108" i="30" s="1"/>
  <c r="E120" i="30"/>
  <c r="K120" i="30" s="1"/>
  <c r="O120" i="30" s="1"/>
  <c r="N107" i="29"/>
  <c r="S107" i="29" s="1"/>
  <c r="F119" i="29"/>
  <c r="N119" i="29" s="1"/>
  <c r="S119" i="29" s="1"/>
  <c r="N105" i="29"/>
  <c r="S105" i="29" s="1"/>
  <c r="F117" i="29"/>
  <c r="N117" i="29" s="1"/>
  <c r="N104" i="29"/>
  <c r="S104" i="29" s="1"/>
  <c r="F116" i="29"/>
  <c r="N116" i="29" s="1"/>
  <c r="N102" i="29"/>
  <c r="F114" i="29"/>
  <c r="N114" i="29" s="1"/>
  <c r="S114" i="29" s="1"/>
  <c r="N103" i="29"/>
  <c r="S103" i="29" s="1"/>
  <c r="F115" i="29"/>
  <c r="N115" i="29" s="1"/>
  <c r="O107" i="84"/>
  <c r="U107" i="84" s="1"/>
  <c r="P117" i="27"/>
  <c r="H117" i="27"/>
  <c r="R117" i="27" s="1"/>
  <c r="P110" i="27"/>
  <c r="H110" i="27"/>
  <c r="R110" i="27" s="1"/>
  <c r="P111" i="27"/>
  <c r="H111" i="27"/>
  <c r="R111" i="27" s="1"/>
  <c r="P116" i="27"/>
  <c r="H116" i="27"/>
  <c r="R116" i="27" s="1"/>
  <c r="P113" i="27"/>
  <c r="H113" i="27"/>
  <c r="R113" i="27" s="1"/>
  <c r="P115" i="27"/>
  <c r="H115" i="27"/>
  <c r="R115" i="27" s="1"/>
  <c r="P119" i="27"/>
  <c r="H119" i="27"/>
  <c r="R119" i="27" s="1"/>
  <c r="P114" i="27"/>
  <c r="H114" i="27"/>
  <c r="R114" i="27" s="1"/>
  <c r="P112" i="27"/>
  <c r="H112" i="27"/>
  <c r="R112" i="27" s="1"/>
  <c r="E110" i="29"/>
  <c r="M110" i="29" s="1"/>
  <c r="S98" i="29"/>
  <c r="O96" i="84"/>
  <c r="U96" i="84" s="1"/>
  <c r="H108" i="84"/>
  <c r="V24" i="98"/>
  <c r="BG58" i="99"/>
  <c r="BG118" i="39"/>
  <c r="U96" i="86"/>
  <c r="G109" i="86"/>
  <c r="G121" i="86" s="1"/>
  <c r="O121" i="86" s="1"/>
  <c r="O97" i="86"/>
  <c r="G110" i="86"/>
  <c r="O98" i="86"/>
  <c r="U98" i="86" s="1"/>
  <c r="O108" i="86"/>
  <c r="G113" i="86"/>
  <c r="O101" i="86"/>
  <c r="U101" i="86" s="1"/>
  <c r="G115" i="86"/>
  <c r="O103" i="86"/>
  <c r="U103" i="86" s="1"/>
  <c r="G111" i="86"/>
  <c r="O99" i="86"/>
  <c r="U99" i="86" s="1"/>
  <c r="O106" i="86"/>
  <c r="U106" i="86" s="1"/>
  <c r="G112" i="86"/>
  <c r="O100" i="86"/>
  <c r="U100" i="86" s="1"/>
  <c r="O105" i="86"/>
  <c r="U105" i="86" s="1"/>
  <c r="O104" i="86"/>
  <c r="U104" i="86" s="1"/>
  <c r="G114" i="86"/>
  <c r="O102" i="86"/>
  <c r="U102" i="86" s="1"/>
  <c r="O107" i="86"/>
  <c r="U107" i="86" s="1"/>
  <c r="S118" i="29"/>
  <c r="E132" i="29"/>
  <c r="M132" i="29" s="1"/>
  <c r="E125" i="29"/>
  <c r="M125" i="29" s="1"/>
  <c r="E130" i="29"/>
  <c r="M130" i="29" s="1"/>
  <c r="E126" i="29"/>
  <c r="M126" i="29" s="1"/>
  <c r="E131" i="29"/>
  <c r="M131" i="29" s="1"/>
  <c r="E86" i="28"/>
  <c r="L74" i="28"/>
  <c r="Q74" i="28" s="1"/>
  <c r="N74" i="85"/>
  <c r="S74" i="85" s="1"/>
  <c r="G86" i="85"/>
  <c r="W22" i="98"/>
  <c r="BI56" i="99"/>
  <c r="BI116" i="39"/>
  <c r="AB19" i="98"/>
  <c r="BH53" i="99"/>
  <c r="BH113" i="39"/>
  <c r="H135" i="87"/>
  <c r="N135" i="87" s="1"/>
  <c r="N123" i="87"/>
  <c r="H138" i="87"/>
  <c r="N138" i="87" s="1"/>
  <c r="N126" i="87"/>
  <c r="H139" i="87"/>
  <c r="N139" i="87" s="1"/>
  <c r="N127" i="87"/>
  <c r="H140" i="87"/>
  <c r="N140" i="87" s="1"/>
  <c r="N128" i="87"/>
  <c r="H143" i="87"/>
  <c r="N143" i="87" s="1"/>
  <c r="N131" i="87"/>
  <c r="H132" i="87"/>
  <c r="H136" i="87"/>
  <c r="N136" i="87" s="1"/>
  <c r="N124" i="87"/>
  <c r="H137" i="87"/>
  <c r="N137" i="87" s="1"/>
  <c r="N125" i="87"/>
  <c r="H142" i="87"/>
  <c r="N142" i="87" s="1"/>
  <c r="N130" i="87"/>
  <c r="H141" i="87"/>
  <c r="N141" i="87" s="1"/>
  <c r="N129" i="87"/>
  <c r="H122" i="87"/>
  <c r="N110" i="87"/>
  <c r="Q110" i="87" s="1"/>
  <c r="N109" i="87"/>
  <c r="G122" i="87"/>
  <c r="M122" i="87" s="1"/>
  <c r="G111" i="87"/>
  <c r="M111" i="87" s="1"/>
  <c r="Q111" i="87" s="1"/>
  <c r="G97" i="87"/>
  <c r="M97" i="87" s="1"/>
  <c r="Q97" i="87" s="1"/>
  <c r="G113" i="87"/>
  <c r="M113" i="87" s="1"/>
  <c r="Q113" i="87" s="1"/>
  <c r="G108" i="87"/>
  <c r="G120" i="87" s="1"/>
  <c r="M120" i="87" s="1"/>
  <c r="Q120" i="87" s="1"/>
  <c r="G112" i="87"/>
  <c r="M112" i="87" s="1"/>
  <c r="Q112" i="87" s="1"/>
  <c r="F132" i="30"/>
  <c r="F141" i="30"/>
  <c r="L141" i="30" s="1"/>
  <c r="L129" i="30"/>
  <c r="F135" i="30"/>
  <c r="L135" i="30" s="1"/>
  <c r="L123" i="30"/>
  <c r="F134" i="30"/>
  <c r="L134" i="30" s="1"/>
  <c r="L122" i="30"/>
  <c r="F136" i="30"/>
  <c r="L136" i="30" s="1"/>
  <c r="L124" i="30"/>
  <c r="F143" i="30"/>
  <c r="L143" i="30" s="1"/>
  <c r="L131" i="30"/>
  <c r="F139" i="30"/>
  <c r="L139" i="30" s="1"/>
  <c r="L127" i="30"/>
  <c r="F140" i="30"/>
  <c r="L140" i="30" s="1"/>
  <c r="L128" i="30"/>
  <c r="F138" i="30"/>
  <c r="L138" i="30" s="1"/>
  <c r="L126" i="30"/>
  <c r="F142" i="30"/>
  <c r="L142" i="30" s="1"/>
  <c r="L130" i="30"/>
  <c r="F137" i="30"/>
  <c r="L137" i="30" s="1"/>
  <c r="L125" i="30"/>
  <c r="L109" i="30"/>
  <c r="E128" i="30"/>
  <c r="K128" i="30" s="1"/>
  <c r="E131" i="30"/>
  <c r="K131" i="30" s="1"/>
  <c r="E126" i="30"/>
  <c r="K126" i="30" s="1"/>
  <c r="O114" i="30"/>
  <c r="E127" i="30"/>
  <c r="K127" i="30" s="1"/>
  <c r="E123" i="30"/>
  <c r="K123" i="30" s="1"/>
  <c r="O111" i="30"/>
  <c r="E122" i="30"/>
  <c r="K122" i="30" s="1"/>
  <c r="O110" i="30"/>
  <c r="E109" i="30"/>
  <c r="O97" i="30"/>
  <c r="AM12" i="33" s="1"/>
  <c r="X25" i="35" s="1"/>
  <c r="Y25" i="35" s="1"/>
  <c r="E76" i="110" s="1"/>
  <c r="O76" i="110" s="1"/>
  <c r="E129" i="30"/>
  <c r="K129" i="30" s="1"/>
  <c r="E124" i="30"/>
  <c r="K124" i="30" s="1"/>
  <c r="O112" i="30"/>
  <c r="E125" i="30"/>
  <c r="K125" i="30" s="1"/>
  <c r="O113" i="30"/>
  <c r="E130" i="30"/>
  <c r="K130" i="30" s="1"/>
  <c r="Z81" i="84"/>
  <c r="G10" i="91"/>
  <c r="I10" i="91" s="1"/>
  <c r="K10" i="91" s="1"/>
  <c r="R10" i="91"/>
  <c r="T10" i="91" s="1"/>
  <c r="Z80" i="84"/>
  <c r="S111" i="84"/>
  <c r="H123" i="84"/>
  <c r="H135" i="84" s="1"/>
  <c r="Z79" i="84"/>
  <c r="Z82" i="84"/>
  <c r="Z73" i="84"/>
  <c r="Z83" i="84"/>
  <c r="Z78" i="84"/>
  <c r="N103" i="84"/>
  <c r="T103" i="84" s="1"/>
  <c r="N105" i="84"/>
  <c r="T105" i="84" s="1"/>
  <c r="N101" i="84"/>
  <c r="T101" i="84" s="1"/>
  <c r="N107" i="84"/>
  <c r="T107" i="84" s="1"/>
  <c r="N102" i="84"/>
  <c r="T102" i="84" s="1"/>
  <c r="R85" i="84"/>
  <c r="N85" i="84"/>
  <c r="T85" i="84" s="1"/>
  <c r="N99" i="84"/>
  <c r="T99" i="84" s="1"/>
  <c r="O110" i="84"/>
  <c r="U110" i="84" s="1"/>
  <c r="O111" i="84"/>
  <c r="U111" i="84" s="1"/>
  <c r="N106" i="84"/>
  <c r="T106" i="84" s="1"/>
  <c r="N96" i="84"/>
  <c r="T96" i="84" s="1"/>
  <c r="O112" i="84"/>
  <c r="U112" i="84" s="1"/>
  <c r="O113" i="84"/>
  <c r="U113" i="84" s="1"/>
  <c r="N100" i="84"/>
  <c r="T100" i="84" s="1"/>
  <c r="N104" i="84"/>
  <c r="T104" i="84" s="1"/>
  <c r="R74" i="84"/>
  <c r="Y74" i="84" s="1"/>
  <c r="Z74" i="84" s="1"/>
  <c r="G86" i="84"/>
  <c r="N86" i="84" s="1"/>
  <c r="T86" i="84" s="1"/>
  <c r="P96" i="27"/>
  <c r="H96" i="27"/>
  <c r="R96" i="27" s="1"/>
  <c r="P85" i="27"/>
  <c r="H85" i="27"/>
  <c r="R85" i="27" s="1"/>
  <c r="P101" i="27"/>
  <c r="H101" i="27"/>
  <c r="R101" i="27" s="1"/>
  <c r="P103" i="27"/>
  <c r="H103" i="27"/>
  <c r="R103" i="27" s="1"/>
  <c r="P100" i="27"/>
  <c r="H100" i="27"/>
  <c r="R100" i="27" s="1"/>
  <c r="P107" i="27"/>
  <c r="H107" i="27"/>
  <c r="R107" i="27" s="1"/>
  <c r="P104" i="27"/>
  <c r="H104" i="27"/>
  <c r="R104" i="27" s="1"/>
  <c r="P99" i="27"/>
  <c r="H99" i="27"/>
  <c r="R99" i="27" s="1"/>
  <c r="V75" i="27"/>
  <c r="Z75" i="84" s="1"/>
  <c r="V77" i="27"/>
  <c r="Z77" i="84" s="1"/>
  <c r="P98" i="27"/>
  <c r="H98" i="27"/>
  <c r="R98" i="27" s="1"/>
  <c r="P102" i="27"/>
  <c r="H102" i="27"/>
  <c r="R102" i="27" s="1"/>
  <c r="P105" i="27"/>
  <c r="H105" i="27"/>
  <c r="R105" i="27" s="1"/>
  <c r="V76" i="27"/>
  <c r="Z76" i="84" s="1"/>
  <c r="O95" i="27"/>
  <c r="V95" i="27" s="1"/>
  <c r="O89" i="27"/>
  <c r="V89" i="27" s="1"/>
  <c r="O92" i="27"/>
  <c r="V92" i="27" s="1"/>
  <c r="O87" i="27"/>
  <c r="V87" i="27" s="1"/>
  <c r="O94" i="27"/>
  <c r="V94" i="27" s="1"/>
  <c r="O93" i="27"/>
  <c r="V93" i="27" s="1"/>
  <c r="O88" i="27"/>
  <c r="V88" i="27" s="1"/>
  <c r="O90" i="27"/>
  <c r="V90" i="27" s="1"/>
  <c r="O91" i="27"/>
  <c r="V91" i="27" s="1"/>
  <c r="O84" i="27"/>
  <c r="V84" i="27" s="1"/>
  <c r="N105" i="85"/>
  <c r="S105" i="85" s="1"/>
  <c r="N103" i="85"/>
  <c r="S103" i="85" s="1"/>
  <c r="N104" i="85"/>
  <c r="S104" i="85" s="1"/>
  <c r="N96" i="85"/>
  <c r="S96" i="85" s="1"/>
  <c r="N101" i="85"/>
  <c r="S101" i="85" s="1"/>
  <c r="N100" i="85"/>
  <c r="S100" i="85" s="1"/>
  <c r="N85" i="85"/>
  <c r="N99" i="85"/>
  <c r="S99" i="85" s="1"/>
  <c r="N102" i="85"/>
  <c r="S102" i="85" s="1"/>
  <c r="Y92" i="84"/>
  <c r="Y91" i="84"/>
  <c r="Y84" i="84"/>
  <c r="Y93" i="84"/>
  <c r="Y88" i="84"/>
  <c r="Y87" i="84"/>
  <c r="Y89" i="84"/>
  <c r="Y94" i="84"/>
  <c r="Y95" i="84"/>
  <c r="Y90" i="84"/>
  <c r="G111" i="85"/>
  <c r="N111" i="85" s="1"/>
  <c r="S111" i="85" s="1"/>
  <c r="H130" i="84"/>
  <c r="H142" i="84" s="1"/>
  <c r="H130" i="86"/>
  <c r="P130" i="86" s="1"/>
  <c r="H122" i="85"/>
  <c r="O122" i="85" s="1"/>
  <c r="H123" i="85"/>
  <c r="H126" i="86"/>
  <c r="P126" i="86" s="1"/>
  <c r="H131" i="86"/>
  <c r="P131" i="86" s="1"/>
  <c r="H128" i="84"/>
  <c r="H140" i="84" s="1"/>
  <c r="H126" i="84"/>
  <c r="H138" i="84" s="1"/>
  <c r="H109" i="86"/>
  <c r="H122" i="86"/>
  <c r="P122" i="86" s="1"/>
  <c r="G113" i="85"/>
  <c r="N113" i="85" s="1"/>
  <c r="S113" i="85" s="1"/>
  <c r="H128" i="86"/>
  <c r="P128" i="86" s="1"/>
  <c r="G111" i="84"/>
  <c r="H125" i="85"/>
  <c r="G97" i="85"/>
  <c r="H128" i="85"/>
  <c r="H130" i="85"/>
  <c r="H126" i="85"/>
  <c r="H129" i="85"/>
  <c r="G108" i="85"/>
  <c r="H127" i="86"/>
  <c r="P127" i="86" s="1"/>
  <c r="G108" i="84"/>
  <c r="H124" i="84"/>
  <c r="H136" i="84" s="1"/>
  <c r="H131" i="85"/>
  <c r="G114" i="85"/>
  <c r="N114" i="85" s="1"/>
  <c r="S114" i="85" s="1"/>
  <c r="H127" i="84"/>
  <c r="H139" i="84" s="1"/>
  <c r="G112" i="84"/>
  <c r="R112" i="84" s="1"/>
  <c r="G113" i="84"/>
  <c r="R113" i="84" s="1"/>
  <c r="H124" i="85"/>
  <c r="H124" i="86"/>
  <c r="P124" i="86" s="1"/>
  <c r="H123" i="86"/>
  <c r="P123" i="86" s="1"/>
  <c r="G112" i="85"/>
  <c r="N112" i="85" s="1"/>
  <c r="S112" i="85" s="1"/>
  <c r="H125" i="86"/>
  <c r="P125" i="86" s="1"/>
  <c r="G97" i="84"/>
  <c r="R97" i="84" s="1"/>
  <c r="H129" i="86"/>
  <c r="P129" i="86" s="1"/>
  <c r="H125" i="84"/>
  <c r="H137" i="84" s="1"/>
  <c r="H127" i="85"/>
  <c r="H129" i="84"/>
  <c r="H141" i="84" s="1"/>
  <c r="H122" i="84"/>
  <c r="H134" i="84" s="1"/>
  <c r="CF71" i="39"/>
  <c r="DE70" i="39"/>
  <c r="DI70" i="39"/>
  <c r="DM70" i="39"/>
  <c r="DF70" i="39"/>
  <c r="DJ70" i="39"/>
  <c r="DN70" i="39"/>
  <c r="DC70" i="39"/>
  <c r="DG70" i="39"/>
  <c r="DK70" i="39"/>
  <c r="DO70" i="39"/>
  <c r="DD70" i="39"/>
  <c r="DH70" i="39"/>
  <c r="DL70" i="39"/>
  <c r="DB70" i="39"/>
  <c r="BL59" i="39"/>
  <c r="BK59" i="39"/>
  <c r="BJ60" i="39"/>
  <c r="CW57" i="39"/>
  <c r="DA57" i="39"/>
  <c r="CY57" i="39"/>
  <c r="CV63" i="39"/>
  <c r="DU159" i="6"/>
  <c r="E107" i="27"/>
  <c r="L96" i="28"/>
  <c r="Q96" i="28" s="1"/>
  <c r="L99" i="28"/>
  <c r="Q99" i="28" s="1"/>
  <c r="F112" i="29"/>
  <c r="N112" i="29" s="1"/>
  <c r="L102" i="28"/>
  <c r="Q102" i="28" s="1"/>
  <c r="L104" i="28"/>
  <c r="Q104" i="28" s="1"/>
  <c r="M110" i="28"/>
  <c r="L100" i="28"/>
  <c r="Q100" i="28" s="1"/>
  <c r="F113" i="29"/>
  <c r="N113" i="29" s="1"/>
  <c r="S113" i="29" s="1"/>
  <c r="L101" i="28"/>
  <c r="Q101" i="28" s="1"/>
  <c r="E106" i="27"/>
  <c r="E99" i="27"/>
  <c r="F110" i="29"/>
  <c r="N110" i="29" s="1"/>
  <c r="L103" i="28"/>
  <c r="Q103" i="28" s="1"/>
  <c r="M111" i="28"/>
  <c r="F111" i="29"/>
  <c r="N111" i="29" s="1"/>
  <c r="E104" i="27"/>
  <c r="L85" i="28"/>
  <c r="Q85" i="28" s="1"/>
  <c r="E102" i="27"/>
  <c r="E103" i="27"/>
  <c r="E96" i="27"/>
  <c r="G96" i="27" s="1"/>
  <c r="Q96" i="27" s="1"/>
  <c r="E105" i="27"/>
  <c r="E100" i="27"/>
  <c r="E101" i="27"/>
  <c r="L105" i="28"/>
  <c r="Q105" i="28" s="1"/>
  <c r="L106" i="28"/>
  <c r="Q106" i="28" s="1"/>
  <c r="L107" i="28"/>
  <c r="Q107" i="28" s="1"/>
  <c r="E85" i="27"/>
  <c r="G85" i="27" s="1"/>
  <c r="Q85" i="27" s="1"/>
  <c r="G10" i="33"/>
  <c r="I10" i="33" s="1"/>
  <c r="K10" i="33" s="1"/>
  <c r="F130" i="29"/>
  <c r="N130" i="29" s="1"/>
  <c r="F108" i="29"/>
  <c r="M108" i="28"/>
  <c r="M97" i="28"/>
  <c r="F97" i="27"/>
  <c r="M130" i="28"/>
  <c r="F130" i="27"/>
  <c r="F108" i="27"/>
  <c r="F120" i="27" s="1"/>
  <c r="F97" i="29"/>
  <c r="N97" i="29" s="1"/>
  <c r="S97" i="29" s="1"/>
  <c r="X18" i="103" l="1"/>
  <c r="X21" i="103" s="1"/>
  <c r="W21" i="103"/>
  <c r="X23" i="103"/>
  <c r="X26" i="103" s="1"/>
  <c r="W26" i="103"/>
  <c r="E121" i="29"/>
  <c r="M121" i="29" s="1"/>
  <c r="H109" i="85"/>
  <c r="O109" i="85" s="1"/>
  <c r="S107" i="85"/>
  <c r="E127" i="29"/>
  <c r="M127" i="29" s="1"/>
  <c r="S102" i="29"/>
  <c r="C56" i="110"/>
  <c r="V10" i="91"/>
  <c r="C55" i="110"/>
  <c r="M55" i="110" s="1"/>
  <c r="E128" i="29"/>
  <c r="M128" i="29" s="1"/>
  <c r="S112" i="29"/>
  <c r="E124" i="29"/>
  <c r="M124" i="29" s="1"/>
  <c r="S115" i="29"/>
  <c r="S116" i="29"/>
  <c r="S111" i="29"/>
  <c r="E129" i="29"/>
  <c r="M129" i="29" s="1"/>
  <c r="E123" i="29"/>
  <c r="M123" i="29" s="1"/>
  <c r="S117" i="29"/>
  <c r="K129" i="106"/>
  <c r="O129" i="106" s="1"/>
  <c r="R129" i="106" s="1"/>
  <c r="E141" i="106"/>
  <c r="K141" i="106" s="1"/>
  <c r="O141" i="106" s="1"/>
  <c r="R141" i="106" s="1"/>
  <c r="K125" i="106"/>
  <c r="O125" i="106" s="1"/>
  <c r="R125" i="106" s="1"/>
  <c r="E137" i="106"/>
  <c r="K137" i="106" s="1"/>
  <c r="O137" i="106" s="1"/>
  <c r="R137" i="106" s="1"/>
  <c r="O134" i="106"/>
  <c r="R134" i="106" s="1"/>
  <c r="F133" i="106"/>
  <c r="L121" i="106"/>
  <c r="K131" i="106"/>
  <c r="O131" i="106" s="1"/>
  <c r="R131" i="106" s="1"/>
  <c r="E143" i="106"/>
  <c r="K143" i="106" s="1"/>
  <c r="O143" i="106" s="1"/>
  <c r="R143" i="106" s="1"/>
  <c r="K123" i="106"/>
  <c r="O123" i="106" s="1"/>
  <c r="R123" i="106" s="1"/>
  <c r="E135" i="106"/>
  <c r="K135" i="106" s="1"/>
  <c r="O135" i="106" s="1"/>
  <c r="R135" i="106" s="1"/>
  <c r="K127" i="106"/>
  <c r="O127" i="106" s="1"/>
  <c r="R127" i="106" s="1"/>
  <c r="E139" i="106"/>
  <c r="K139" i="106" s="1"/>
  <c r="O139" i="106" s="1"/>
  <c r="R139" i="106" s="1"/>
  <c r="K126" i="106"/>
  <c r="O126" i="106" s="1"/>
  <c r="R126" i="106" s="1"/>
  <c r="E138" i="106"/>
  <c r="K138" i="106" s="1"/>
  <c r="O138" i="106" s="1"/>
  <c r="R138" i="106" s="1"/>
  <c r="O122" i="106"/>
  <c r="R122" i="106" s="1"/>
  <c r="E121" i="106"/>
  <c r="K109" i="106"/>
  <c r="O109" i="106" s="1"/>
  <c r="R109" i="106" s="1"/>
  <c r="F144" i="106"/>
  <c r="L144" i="106" s="1"/>
  <c r="L132" i="106"/>
  <c r="E132" i="106"/>
  <c r="K120" i="106"/>
  <c r="O120" i="106" s="1"/>
  <c r="R120" i="106" s="1"/>
  <c r="K128" i="106"/>
  <c r="O128" i="106" s="1"/>
  <c r="R128" i="106" s="1"/>
  <c r="E140" i="106"/>
  <c r="K140" i="106" s="1"/>
  <c r="O140" i="106" s="1"/>
  <c r="R140" i="106" s="1"/>
  <c r="K130" i="106"/>
  <c r="O130" i="106" s="1"/>
  <c r="R130" i="106" s="1"/>
  <c r="E142" i="106"/>
  <c r="K142" i="106" s="1"/>
  <c r="O142" i="106" s="1"/>
  <c r="R142" i="106" s="1"/>
  <c r="K124" i="106"/>
  <c r="O124" i="106" s="1"/>
  <c r="R124" i="106" s="1"/>
  <c r="E136" i="106"/>
  <c r="K136" i="106" s="1"/>
  <c r="O136" i="106" s="1"/>
  <c r="R136" i="106" s="1"/>
  <c r="O86" i="27"/>
  <c r="V86" i="27" s="1"/>
  <c r="E98" i="27"/>
  <c r="E110" i="27" s="1"/>
  <c r="S110" i="29"/>
  <c r="O97" i="84"/>
  <c r="U97" i="84" s="1"/>
  <c r="H109" i="84"/>
  <c r="S109" i="84" s="1"/>
  <c r="E122" i="29"/>
  <c r="M122" i="29" s="1"/>
  <c r="M108" i="87"/>
  <c r="Q108" i="87" s="1"/>
  <c r="P109" i="86"/>
  <c r="H121" i="86"/>
  <c r="P121" i="86" s="1"/>
  <c r="U121" i="86" s="1"/>
  <c r="N108" i="85"/>
  <c r="S108" i="85" s="1"/>
  <c r="G120" i="85"/>
  <c r="N120" i="85" s="1"/>
  <c r="S120" i="85" s="1"/>
  <c r="R117" i="84"/>
  <c r="N117" i="84"/>
  <c r="T117" i="84" s="1"/>
  <c r="R115" i="84"/>
  <c r="N115" i="84"/>
  <c r="T115" i="84" s="1"/>
  <c r="S119" i="84"/>
  <c r="O119" i="84"/>
  <c r="U119" i="84" s="1"/>
  <c r="R116" i="84"/>
  <c r="N116" i="84"/>
  <c r="T116" i="84" s="1"/>
  <c r="N114" i="84"/>
  <c r="T114" i="84" s="1"/>
  <c r="R114" i="84"/>
  <c r="N118" i="84"/>
  <c r="T118" i="84" s="1"/>
  <c r="R118" i="84"/>
  <c r="R119" i="84"/>
  <c r="N119" i="84"/>
  <c r="T119" i="84" s="1"/>
  <c r="R108" i="84"/>
  <c r="G120" i="84"/>
  <c r="S108" i="84"/>
  <c r="H120" i="84"/>
  <c r="H132" i="84" s="1"/>
  <c r="H144" i="84" s="1"/>
  <c r="K109" i="30"/>
  <c r="O109" i="30" s="1"/>
  <c r="AM13" i="33" s="1"/>
  <c r="X26" i="35" s="1"/>
  <c r="Y26" i="35" s="1"/>
  <c r="F76" i="110" s="1"/>
  <c r="P76" i="110" s="1"/>
  <c r="E121" i="30"/>
  <c r="K121" i="30" s="1"/>
  <c r="O121" i="30" s="1"/>
  <c r="N108" i="29"/>
  <c r="S108" i="29" s="1"/>
  <c r="F120" i="29"/>
  <c r="N120" i="29" s="1"/>
  <c r="S120" i="29" s="1"/>
  <c r="G102" i="27"/>
  <c r="Q102" i="27" s="1"/>
  <c r="E114" i="27"/>
  <c r="G105" i="27"/>
  <c r="Q105" i="27" s="1"/>
  <c r="E117" i="27"/>
  <c r="G99" i="27"/>
  <c r="Q99" i="27" s="1"/>
  <c r="E111" i="27"/>
  <c r="P120" i="27"/>
  <c r="H120" i="27"/>
  <c r="R120" i="27" s="1"/>
  <c r="G101" i="27"/>
  <c r="Q101" i="27" s="1"/>
  <c r="E113" i="27"/>
  <c r="G107" i="27"/>
  <c r="Q107" i="27" s="1"/>
  <c r="E119" i="27"/>
  <c r="G100" i="27"/>
  <c r="Q100" i="27" s="1"/>
  <c r="E112" i="27"/>
  <c r="G103" i="27"/>
  <c r="Q103" i="27" s="1"/>
  <c r="E115" i="27"/>
  <c r="G104" i="27"/>
  <c r="Q104" i="27" s="1"/>
  <c r="E116" i="27"/>
  <c r="G106" i="27"/>
  <c r="Q106" i="27" s="1"/>
  <c r="E118" i="27"/>
  <c r="O108" i="84"/>
  <c r="U108" i="84" s="1"/>
  <c r="V25" i="98"/>
  <c r="BG59" i="99"/>
  <c r="BG119" i="39"/>
  <c r="G131" i="86"/>
  <c r="O131" i="86" s="1"/>
  <c r="U131" i="86" s="1"/>
  <c r="G128" i="86"/>
  <c r="O128" i="86" s="1"/>
  <c r="U128" i="86" s="1"/>
  <c r="G129" i="86"/>
  <c r="O129" i="86" s="1"/>
  <c r="U129" i="86" s="1"/>
  <c r="G130" i="86"/>
  <c r="O130" i="86" s="1"/>
  <c r="U130" i="86" s="1"/>
  <c r="G132" i="86"/>
  <c r="O132" i="86" s="1"/>
  <c r="U108" i="86"/>
  <c r="U97" i="86"/>
  <c r="AC12" i="91" s="1"/>
  <c r="AE12" i="91" s="1"/>
  <c r="AG12" i="91" s="1"/>
  <c r="G126" i="86"/>
  <c r="O126" i="86" s="1"/>
  <c r="U126" i="86" s="1"/>
  <c r="O114" i="86"/>
  <c r="U114" i="86" s="1"/>
  <c r="G124" i="86"/>
  <c r="O124" i="86" s="1"/>
  <c r="U124" i="86" s="1"/>
  <c r="O112" i="86"/>
  <c r="U112" i="86" s="1"/>
  <c r="G123" i="86"/>
  <c r="O123" i="86" s="1"/>
  <c r="U123" i="86" s="1"/>
  <c r="O111" i="86"/>
  <c r="U111" i="86" s="1"/>
  <c r="G127" i="86"/>
  <c r="O127" i="86" s="1"/>
  <c r="U127" i="86" s="1"/>
  <c r="O115" i="86"/>
  <c r="U115" i="86" s="1"/>
  <c r="G125" i="86"/>
  <c r="O125" i="86" s="1"/>
  <c r="U125" i="86" s="1"/>
  <c r="O113" i="86"/>
  <c r="U113" i="86" s="1"/>
  <c r="G122" i="86"/>
  <c r="O110" i="86"/>
  <c r="U110" i="86" s="1"/>
  <c r="O109" i="86"/>
  <c r="S130" i="29"/>
  <c r="E143" i="29"/>
  <c r="M143" i="29" s="1"/>
  <c r="E138" i="29"/>
  <c r="M138" i="29" s="1"/>
  <c r="E142" i="29"/>
  <c r="M142" i="29" s="1"/>
  <c r="E137" i="29"/>
  <c r="M137" i="29" s="1"/>
  <c r="E144" i="29"/>
  <c r="M144" i="29" s="1"/>
  <c r="S85" i="85"/>
  <c r="R11" i="91" s="1"/>
  <c r="T11" i="91" s="1"/>
  <c r="E98" i="28"/>
  <c r="L86" i="28"/>
  <c r="Q86" i="28" s="1"/>
  <c r="N86" i="85"/>
  <c r="S86" i="85" s="1"/>
  <c r="G98" i="85"/>
  <c r="W23" i="98"/>
  <c r="BI117" i="39"/>
  <c r="BI57" i="99"/>
  <c r="AB20" i="98"/>
  <c r="BH54" i="99"/>
  <c r="BH114" i="39"/>
  <c r="O131" i="85"/>
  <c r="H143" i="85"/>
  <c r="O143" i="85" s="1"/>
  <c r="O129" i="85"/>
  <c r="H141" i="85"/>
  <c r="O141" i="85" s="1"/>
  <c r="H134" i="85"/>
  <c r="O134" i="85" s="1"/>
  <c r="O124" i="85"/>
  <c r="H136" i="85"/>
  <c r="O136" i="85" s="1"/>
  <c r="O127" i="85"/>
  <c r="H139" i="85"/>
  <c r="O139" i="85" s="1"/>
  <c r="O126" i="85"/>
  <c r="H138" i="85"/>
  <c r="O138" i="85" s="1"/>
  <c r="O128" i="85"/>
  <c r="H140" i="85"/>
  <c r="O140" i="85" s="1"/>
  <c r="O125" i="85"/>
  <c r="H137" i="85"/>
  <c r="O137" i="85" s="1"/>
  <c r="O130" i="85"/>
  <c r="H142" i="85"/>
  <c r="O142" i="85" s="1"/>
  <c r="O123" i="85"/>
  <c r="H135" i="85"/>
  <c r="O135" i="85" s="1"/>
  <c r="H133" i="87"/>
  <c r="H144" i="87"/>
  <c r="N144" i="87" s="1"/>
  <c r="N132" i="87"/>
  <c r="H134" i="87"/>
  <c r="N134" i="87" s="1"/>
  <c r="N122" i="87"/>
  <c r="Q122" i="87" s="1"/>
  <c r="G134" i="87"/>
  <c r="M134" i="87" s="1"/>
  <c r="G124" i="87"/>
  <c r="M124" i="87" s="1"/>
  <c r="G129" i="87"/>
  <c r="M129" i="87" s="1"/>
  <c r="G130" i="87"/>
  <c r="M130" i="87" s="1"/>
  <c r="G131" i="87"/>
  <c r="M131" i="87" s="1"/>
  <c r="G109" i="87"/>
  <c r="G121" i="87" s="1"/>
  <c r="M121" i="87" s="1"/>
  <c r="Q121" i="87" s="1"/>
  <c r="G126" i="87"/>
  <c r="M126" i="87" s="1"/>
  <c r="G128" i="87"/>
  <c r="M128" i="87" s="1"/>
  <c r="G125" i="87"/>
  <c r="M125" i="87" s="1"/>
  <c r="G127" i="87"/>
  <c r="M127" i="87" s="1"/>
  <c r="G123" i="87"/>
  <c r="M123" i="87" s="1"/>
  <c r="F133" i="30"/>
  <c r="F144" i="30"/>
  <c r="L144" i="30" s="1"/>
  <c r="L132" i="30"/>
  <c r="E142" i="30"/>
  <c r="E136" i="30"/>
  <c r="E132" i="30"/>
  <c r="K132" i="30" s="1"/>
  <c r="E139" i="30"/>
  <c r="E143" i="30"/>
  <c r="E137" i="30"/>
  <c r="E141" i="30"/>
  <c r="E134" i="30"/>
  <c r="O122" i="30"/>
  <c r="E135" i="30"/>
  <c r="E138" i="30"/>
  <c r="E140" i="30"/>
  <c r="H137" i="86"/>
  <c r="P137" i="86" s="1"/>
  <c r="H139" i="86"/>
  <c r="P139" i="86" s="1"/>
  <c r="H142" i="86"/>
  <c r="P142" i="86" s="1"/>
  <c r="H140" i="86"/>
  <c r="P140" i="86" s="1"/>
  <c r="H143" i="86"/>
  <c r="P143" i="86" s="1"/>
  <c r="H141" i="86"/>
  <c r="P141" i="86" s="1"/>
  <c r="H135" i="86"/>
  <c r="P135" i="86" s="1"/>
  <c r="H134" i="86"/>
  <c r="P134" i="86" s="1"/>
  <c r="H138" i="86"/>
  <c r="P138" i="86" s="1"/>
  <c r="H136" i="86"/>
  <c r="P136" i="86" s="1"/>
  <c r="Z94" i="84"/>
  <c r="Z88" i="84"/>
  <c r="Z90" i="84"/>
  <c r="O123" i="84"/>
  <c r="U123" i="84" s="1"/>
  <c r="S123" i="84"/>
  <c r="R111" i="84"/>
  <c r="G123" i="84"/>
  <c r="G135" i="84" s="1"/>
  <c r="Z87" i="84"/>
  <c r="Z91" i="84"/>
  <c r="Z89" i="84"/>
  <c r="Z95" i="84"/>
  <c r="Z92" i="84"/>
  <c r="Z93" i="84"/>
  <c r="Z84" i="84"/>
  <c r="Y104" i="84"/>
  <c r="Y100" i="84"/>
  <c r="Y106" i="84"/>
  <c r="Y99" i="84"/>
  <c r="Y102" i="84"/>
  <c r="Y105" i="84"/>
  <c r="Y107" i="84"/>
  <c r="Y101" i="84"/>
  <c r="Y103" i="84"/>
  <c r="O142" i="84"/>
  <c r="U142" i="84" s="1"/>
  <c r="S142" i="84"/>
  <c r="O141" i="84"/>
  <c r="U141" i="84" s="1"/>
  <c r="S141" i="84"/>
  <c r="O137" i="84"/>
  <c r="U137" i="84" s="1"/>
  <c r="S137" i="84"/>
  <c r="O139" i="84"/>
  <c r="U139" i="84" s="1"/>
  <c r="S139" i="84"/>
  <c r="O140" i="84"/>
  <c r="U140" i="84" s="1"/>
  <c r="S140" i="84"/>
  <c r="O134" i="84"/>
  <c r="U134" i="84" s="1"/>
  <c r="S134" i="84"/>
  <c r="O135" i="84"/>
  <c r="U135" i="84" s="1"/>
  <c r="S135" i="84"/>
  <c r="O136" i="84"/>
  <c r="U136" i="84" s="1"/>
  <c r="S136" i="84"/>
  <c r="S143" i="84"/>
  <c r="O143" i="84"/>
  <c r="U143" i="84" s="1"/>
  <c r="O138" i="84"/>
  <c r="U138" i="84" s="1"/>
  <c r="S138" i="84"/>
  <c r="N97" i="84"/>
  <c r="T97" i="84" s="1"/>
  <c r="N111" i="84"/>
  <c r="T111" i="84" s="1"/>
  <c r="S130" i="84"/>
  <c r="O130" i="84"/>
  <c r="U130" i="84" s="1"/>
  <c r="S129" i="84"/>
  <c r="O129" i="84"/>
  <c r="U129" i="84" s="1"/>
  <c r="S125" i="84"/>
  <c r="O125" i="84"/>
  <c r="U125" i="84" s="1"/>
  <c r="N113" i="84"/>
  <c r="T113" i="84" s="1"/>
  <c r="S127" i="84"/>
  <c r="O127" i="84"/>
  <c r="U127" i="84" s="1"/>
  <c r="S128" i="84"/>
  <c r="O128" i="84"/>
  <c r="U128" i="84" s="1"/>
  <c r="S122" i="84"/>
  <c r="O122" i="84"/>
  <c r="U122" i="84" s="1"/>
  <c r="S124" i="84"/>
  <c r="O124" i="84"/>
  <c r="U124" i="84" s="1"/>
  <c r="N108" i="84"/>
  <c r="T108" i="84" s="1"/>
  <c r="S131" i="84"/>
  <c r="O131" i="84"/>
  <c r="U131" i="84" s="1"/>
  <c r="N112" i="84"/>
  <c r="T112" i="84" s="1"/>
  <c r="S126" i="84"/>
  <c r="O126" i="84"/>
  <c r="U126" i="84" s="1"/>
  <c r="R86" i="84"/>
  <c r="G98" i="84"/>
  <c r="P97" i="27"/>
  <c r="H97" i="27"/>
  <c r="R97" i="27" s="1"/>
  <c r="P108" i="27"/>
  <c r="H108" i="27"/>
  <c r="R108" i="27" s="1"/>
  <c r="P130" i="27"/>
  <c r="H130" i="27"/>
  <c r="R130" i="27" s="1"/>
  <c r="O85" i="27"/>
  <c r="V85" i="27" s="1"/>
  <c r="O101" i="27"/>
  <c r="O106" i="27"/>
  <c r="O100" i="27"/>
  <c r="O102" i="27"/>
  <c r="O104" i="27"/>
  <c r="O96" i="27"/>
  <c r="V96" i="27" s="1"/>
  <c r="O107" i="27"/>
  <c r="O103" i="27"/>
  <c r="O99" i="27"/>
  <c r="O105" i="27"/>
  <c r="F142" i="27"/>
  <c r="F142" i="29"/>
  <c r="N142" i="29" s="1"/>
  <c r="N97" i="85"/>
  <c r="S97" i="85" s="1"/>
  <c r="Y85" i="84"/>
  <c r="Y96" i="84"/>
  <c r="G125" i="84"/>
  <c r="G137" i="84" s="1"/>
  <c r="G129" i="85"/>
  <c r="G125" i="85"/>
  <c r="G131" i="84"/>
  <c r="G143" i="84" s="1"/>
  <c r="G127" i="85"/>
  <c r="G129" i="84"/>
  <c r="G141" i="84" s="1"/>
  <c r="G124" i="84"/>
  <c r="G136" i="84" s="1"/>
  <c r="G126" i="85"/>
  <c r="G126" i="84"/>
  <c r="G138" i="84" s="1"/>
  <c r="G109" i="85"/>
  <c r="G131" i="85"/>
  <c r="G123" i="85"/>
  <c r="G109" i="84"/>
  <c r="H132" i="85"/>
  <c r="G130" i="84"/>
  <c r="G142" i="84" s="1"/>
  <c r="G128" i="85"/>
  <c r="G128" i="84"/>
  <c r="G140" i="84" s="1"/>
  <c r="G124" i="85"/>
  <c r="G130" i="85"/>
  <c r="G127" i="84"/>
  <c r="G139" i="84" s="1"/>
  <c r="H132" i="86"/>
  <c r="P132" i="86" s="1"/>
  <c r="CF72" i="39"/>
  <c r="DE71" i="39"/>
  <c r="DI71" i="39"/>
  <c r="DM71" i="39"/>
  <c r="DF71" i="39"/>
  <c r="DJ71" i="39"/>
  <c r="DN71" i="39"/>
  <c r="DC71" i="39"/>
  <c r="DG71" i="39"/>
  <c r="DK71" i="39"/>
  <c r="DO71" i="39"/>
  <c r="DD71" i="39"/>
  <c r="DH71" i="39"/>
  <c r="DL71" i="39"/>
  <c r="DB71" i="39"/>
  <c r="BJ61" i="39"/>
  <c r="BL60" i="39"/>
  <c r="BK60" i="39"/>
  <c r="DA58" i="39"/>
  <c r="CY58" i="39"/>
  <c r="CW58" i="39"/>
  <c r="DU160" i="6"/>
  <c r="CV64" i="39"/>
  <c r="F124" i="27"/>
  <c r="E97" i="27"/>
  <c r="G97" i="27" s="1"/>
  <c r="Q97" i="27" s="1"/>
  <c r="M126" i="28"/>
  <c r="F127" i="27"/>
  <c r="M123" i="28"/>
  <c r="M128" i="28"/>
  <c r="M127" i="28"/>
  <c r="F128" i="29"/>
  <c r="N128" i="29" s="1"/>
  <c r="M122" i="28"/>
  <c r="F124" i="29"/>
  <c r="N124" i="29" s="1"/>
  <c r="L108" i="28"/>
  <c r="Q108" i="28" s="1"/>
  <c r="M125" i="28"/>
  <c r="F128" i="27"/>
  <c r="E108" i="27"/>
  <c r="F129" i="27"/>
  <c r="M129" i="28"/>
  <c r="F122" i="27"/>
  <c r="F125" i="27"/>
  <c r="M124" i="28"/>
  <c r="F123" i="29"/>
  <c r="N123" i="29" s="1"/>
  <c r="F122" i="29"/>
  <c r="N122" i="29" s="1"/>
  <c r="F125" i="29"/>
  <c r="N125" i="29" s="1"/>
  <c r="S125" i="29" s="1"/>
  <c r="F129" i="29"/>
  <c r="N129" i="29" s="1"/>
  <c r="F127" i="29"/>
  <c r="N127" i="29" s="1"/>
  <c r="F126" i="27"/>
  <c r="L97" i="28"/>
  <c r="Q97" i="28" s="1"/>
  <c r="F126" i="29"/>
  <c r="N126" i="29" s="1"/>
  <c r="S126" i="29" s="1"/>
  <c r="F123" i="27"/>
  <c r="L111" i="28"/>
  <c r="F131" i="29"/>
  <c r="N131" i="29" s="1"/>
  <c r="S131" i="29" s="1"/>
  <c r="F109" i="27"/>
  <c r="F121" i="27" s="1"/>
  <c r="M109" i="28"/>
  <c r="M131" i="28"/>
  <c r="F131" i="27"/>
  <c r="F109" i="29"/>
  <c r="E133" i="29" l="1"/>
  <c r="M133" i="29" s="1"/>
  <c r="H121" i="85"/>
  <c r="O121" i="85" s="1"/>
  <c r="E139" i="29"/>
  <c r="M139" i="29" s="1"/>
  <c r="S127" i="29"/>
  <c r="S128" i="29"/>
  <c r="S124" i="29"/>
  <c r="E57" i="110"/>
  <c r="D56" i="110"/>
  <c r="N56" i="110" s="1"/>
  <c r="V11" i="91"/>
  <c r="E140" i="29"/>
  <c r="M140" i="29" s="1"/>
  <c r="E136" i="29"/>
  <c r="M136" i="29" s="1"/>
  <c r="S123" i="29"/>
  <c r="S129" i="29"/>
  <c r="E141" i="29"/>
  <c r="M141" i="29" s="1"/>
  <c r="G98" i="27"/>
  <c r="Q98" i="27" s="1"/>
  <c r="O98" i="27"/>
  <c r="E135" i="29"/>
  <c r="M135" i="29" s="1"/>
  <c r="F145" i="106"/>
  <c r="L145" i="106" s="1"/>
  <c r="L133" i="106"/>
  <c r="K132" i="106"/>
  <c r="O132" i="106" s="1"/>
  <c r="R132" i="106" s="1"/>
  <c r="E144" i="106"/>
  <c r="K144" i="106" s="1"/>
  <c r="O144" i="106" s="1"/>
  <c r="R144" i="106" s="1"/>
  <c r="K121" i="106"/>
  <c r="O121" i="106" s="1"/>
  <c r="R121" i="106" s="1"/>
  <c r="E133" i="106"/>
  <c r="O122" i="86"/>
  <c r="U122" i="86" s="1"/>
  <c r="O109" i="84"/>
  <c r="U109" i="84" s="1"/>
  <c r="V100" i="27"/>
  <c r="Z100" i="84" s="1"/>
  <c r="H121" i="84"/>
  <c r="S121" i="84" s="1"/>
  <c r="E134" i="29"/>
  <c r="M134" i="29" s="1"/>
  <c r="S122" i="29"/>
  <c r="V99" i="27"/>
  <c r="Z99" i="84" s="1"/>
  <c r="V104" i="27"/>
  <c r="Z104" i="84" s="1"/>
  <c r="V101" i="27"/>
  <c r="Z101" i="84" s="1"/>
  <c r="V107" i="27"/>
  <c r="Z107" i="84" s="1"/>
  <c r="V105" i="27"/>
  <c r="Z105" i="84" s="1"/>
  <c r="V106" i="27"/>
  <c r="Z106" i="84" s="1"/>
  <c r="Y108" i="84"/>
  <c r="V103" i="27"/>
  <c r="Z103" i="84" s="1"/>
  <c r="V102" i="27"/>
  <c r="Z102" i="84" s="1"/>
  <c r="Y118" i="84"/>
  <c r="M109" i="87"/>
  <c r="Q109" i="87" s="1"/>
  <c r="AK13" i="91" s="1"/>
  <c r="F63" i="110" s="1"/>
  <c r="N109" i="85"/>
  <c r="S109" i="85" s="1"/>
  <c r="G121" i="85"/>
  <c r="N121" i="85" s="1"/>
  <c r="Y119" i="84"/>
  <c r="Y115" i="84"/>
  <c r="S120" i="84"/>
  <c r="O120" i="84"/>
  <c r="U120" i="84" s="1"/>
  <c r="Y114" i="84"/>
  <c r="R109" i="84"/>
  <c r="G121" i="84"/>
  <c r="R121" i="84" s="1"/>
  <c r="R120" i="84"/>
  <c r="N120" i="84"/>
  <c r="T120" i="84" s="1"/>
  <c r="Y116" i="84"/>
  <c r="Y117" i="84"/>
  <c r="N109" i="29"/>
  <c r="S109" i="29" s="1"/>
  <c r="F121" i="29"/>
  <c r="N121" i="29" s="1"/>
  <c r="S121" i="29" s="1"/>
  <c r="O116" i="27"/>
  <c r="G116" i="27"/>
  <c r="Q116" i="27" s="1"/>
  <c r="O112" i="27"/>
  <c r="G112" i="27"/>
  <c r="Q112" i="27" s="1"/>
  <c r="O113" i="27"/>
  <c r="G113" i="27"/>
  <c r="Q113" i="27" s="1"/>
  <c r="O111" i="27"/>
  <c r="G111" i="27"/>
  <c r="Q111" i="27" s="1"/>
  <c r="O110" i="27"/>
  <c r="G110" i="27"/>
  <c r="Q110" i="27" s="1"/>
  <c r="O118" i="27"/>
  <c r="G118" i="27"/>
  <c r="Q118" i="27" s="1"/>
  <c r="O115" i="27"/>
  <c r="G115" i="27"/>
  <c r="Q115" i="27" s="1"/>
  <c r="O119" i="27"/>
  <c r="G119" i="27"/>
  <c r="Q119" i="27" s="1"/>
  <c r="O117" i="27"/>
  <c r="G117" i="27"/>
  <c r="Q117" i="27" s="1"/>
  <c r="O114" i="27"/>
  <c r="G114" i="27"/>
  <c r="Q114" i="27" s="1"/>
  <c r="P121" i="27"/>
  <c r="H121" i="27"/>
  <c r="R121" i="27" s="1"/>
  <c r="G108" i="27"/>
  <c r="Q108" i="27" s="1"/>
  <c r="E120" i="27"/>
  <c r="V26" i="98"/>
  <c r="BG60" i="99"/>
  <c r="BG120" i="39"/>
  <c r="G133" i="86"/>
  <c r="O133" i="86" s="1"/>
  <c r="G134" i="86"/>
  <c r="O134" i="86" s="1"/>
  <c r="G137" i="86"/>
  <c r="O137" i="86" s="1"/>
  <c r="G139" i="86"/>
  <c r="O139" i="86" s="1"/>
  <c r="G135" i="86"/>
  <c r="O135" i="86" s="1"/>
  <c r="G136" i="86"/>
  <c r="O136" i="86" s="1"/>
  <c r="G138" i="86"/>
  <c r="O138" i="86" s="1"/>
  <c r="G144" i="86"/>
  <c r="O144" i="86" s="1"/>
  <c r="G142" i="86"/>
  <c r="O142" i="86" s="1"/>
  <c r="G141" i="86"/>
  <c r="O141" i="86" s="1"/>
  <c r="G140" i="86"/>
  <c r="O140" i="86" s="1"/>
  <c r="G143" i="86"/>
  <c r="O143" i="86" s="1"/>
  <c r="U109" i="86"/>
  <c r="AC13" i="91" s="1"/>
  <c r="AE13" i="91" s="1"/>
  <c r="AG13" i="91" s="1"/>
  <c r="S142" i="29"/>
  <c r="E110" i="28"/>
  <c r="L98" i="28"/>
  <c r="Q98" i="28" s="1"/>
  <c r="N98" i="85"/>
  <c r="S98" i="85" s="1"/>
  <c r="G110" i="85"/>
  <c r="W24" i="98"/>
  <c r="BI58" i="99"/>
  <c r="BI118" i="39"/>
  <c r="AB21" i="98"/>
  <c r="BH115" i="39"/>
  <c r="BH55" i="99"/>
  <c r="N130" i="85"/>
  <c r="G142" i="85"/>
  <c r="N142" i="85" s="1"/>
  <c r="S142" i="85" s="1"/>
  <c r="N123" i="85"/>
  <c r="G135" i="85"/>
  <c r="N135" i="85" s="1"/>
  <c r="S135" i="85" s="1"/>
  <c r="N125" i="85"/>
  <c r="G137" i="85"/>
  <c r="N137" i="85" s="1"/>
  <c r="S137" i="85" s="1"/>
  <c r="N124" i="85"/>
  <c r="G136" i="85"/>
  <c r="N136" i="85" s="1"/>
  <c r="S136" i="85" s="1"/>
  <c r="N131" i="85"/>
  <c r="G143" i="85"/>
  <c r="N143" i="85" s="1"/>
  <c r="S143" i="85" s="1"/>
  <c r="N126" i="85"/>
  <c r="G138" i="85"/>
  <c r="N138" i="85" s="1"/>
  <c r="S138" i="85" s="1"/>
  <c r="N128" i="85"/>
  <c r="G140" i="85"/>
  <c r="N140" i="85" s="1"/>
  <c r="S140" i="85" s="1"/>
  <c r="O132" i="85"/>
  <c r="H144" i="85"/>
  <c r="O144" i="85" s="1"/>
  <c r="N127" i="85"/>
  <c r="G139" i="85"/>
  <c r="N139" i="85" s="1"/>
  <c r="S139" i="85" s="1"/>
  <c r="N129" i="85"/>
  <c r="G141" i="85"/>
  <c r="N141" i="85" s="1"/>
  <c r="S141" i="85" s="1"/>
  <c r="Q134" i="87"/>
  <c r="H145" i="87"/>
  <c r="N145" i="87" s="1"/>
  <c r="N133" i="87"/>
  <c r="Q123" i="87"/>
  <c r="G135" i="87"/>
  <c r="M135" i="87" s="1"/>
  <c r="Q135" i="87" s="1"/>
  <c r="Q125" i="87"/>
  <c r="G137" i="87"/>
  <c r="M137" i="87" s="1"/>
  <c r="Q137" i="87" s="1"/>
  <c r="Q130" i="87"/>
  <c r="G142" i="87"/>
  <c r="M142" i="87" s="1"/>
  <c r="Q142" i="87" s="1"/>
  <c r="Q124" i="87"/>
  <c r="G136" i="87"/>
  <c r="M136" i="87" s="1"/>
  <c r="Q136" i="87" s="1"/>
  <c r="Q127" i="87"/>
  <c r="G139" i="87"/>
  <c r="M139" i="87" s="1"/>
  <c r="Q139" i="87" s="1"/>
  <c r="Q128" i="87"/>
  <c r="G140" i="87"/>
  <c r="M140" i="87" s="1"/>
  <c r="Q140" i="87" s="1"/>
  <c r="Q126" i="87"/>
  <c r="G138" i="87"/>
  <c r="M138" i="87" s="1"/>
  <c r="Q138" i="87" s="1"/>
  <c r="Q131" i="87"/>
  <c r="G143" i="87"/>
  <c r="M143" i="87" s="1"/>
  <c r="Q143" i="87" s="1"/>
  <c r="Q129" i="87"/>
  <c r="G141" i="87"/>
  <c r="M141" i="87" s="1"/>
  <c r="Q141" i="87" s="1"/>
  <c r="G132" i="87"/>
  <c r="M132" i="87" s="1"/>
  <c r="K140" i="30"/>
  <c r="K135" i="30"/>
  <c r="K141" i="30"/>
  <c r="K143" i="30"/>
  <c r="K136" i="30"/>
  <c r="K138" i="30"/>
  <c r="K134" i="30"/>
  <c r="K137" i="30"/>
  <c r="K139" i="30"/>
  <c r="K142" i="30"/>
  <c r="F145" i="30"/>
  <c r="L145" i="30" s="1"/>
  <c r="L133" i="30"/>
  <c r="E144" i="30"/>
  <c r="E133" i="30"/>
  <c r="K133" i="30" s="1"/>
  <c r="AM14" i="33"/>
  <c r="X27" i="35" s="1"/>
  <c r="U132" i="86"/>
  <c r="H144" i="86"/>
  <c r="Z85" i="84"/>
  <c r="Z96" i="84"/>
  <c r="N123" i="84"/>
  <c r="T123" i="84" s="1"/>
  <c r="R123" i="84"/>
  <c r="N98" i="84"/>
  <c r="T98" i="84" s="1"/>
  <c r="R98" i="84"/>
  <c r="Y112" i="84"/>
  <c r="Y113" i="84"/>
  <c r="Y111" i="84"/>
  <c r="Y97" i="84"/>
  <c r="N140" i="84"/>
  <c r="T140" i="84" s="1"/>
  <c r="R140" i="84"/>
  <c r="N138" i="84"/>
  <c r="T138" i="84" s="1"/>
  <c r="R138" i="84"/>
  <c r="N137" i="84"/>
  <c r="T137" i="84" s="1"/>
  <c r="R137" i="84"/>
  <c r="N139" i="84"/>
  <c r="T139" i="84" s="1"/>
  <c r="R139" i="84"/>
  <c r="N135" i="84"/>
  <c r="T135" i="84" s="1"/>
  <c r="R135" i="84"/>
  <c r="N143" i="84"/>
  <c r="T143" i="84" s="1"/>
  <c r="R143" i="84"/>
  <c r="O144" i="84"/>
  <c r="U144" i="84" s="1"/>
  <c r="S144" i="84"/>
  <c r="N142" i="84"/>
  <c r="T142" i="84" s="1"/>
  <c r="R142" i="84"/>
  <c r="N141" i="84"/>
  <c r="T141" i="84" s="1"/>
  <c r="R141" i="84"/>
  <c r="N136" i="84"/>
  <c r="T136" i="84" s="1"/>
  <c r="R136" i="84"/>
  <c r="S132" i="84"/>
  <c r="O132" i="84"/>
  <c r="U132" i="84" s="1"/>
  <c r="R130" i="84"/>
  <c r="N130" i="84"/>
  <c r="T130" i="84" s="1"/>
  <c r="N109" i="84"/>
  <c r="T109" i="84" s="1"/>
  <c r="R129" i="84"/>
  <c r="N129" i="84"/>
  <c r="T129" i="84" s="1"/>
  <c r="R131" i="84"/>
  <c r="N131" i="84"/>
  <c r="T131" i="84" s="1"/>
  <c r="R124" i="84"/>
  <c r="N124" i="84"/>
  <c r="T124" i="84" s="1"/>
  <c r="R128" i="84"/>
  <c r="N128" i="84"/>
  <c r="T128" i="84" s="1"/>
  <c r="R126" i="84"/>
  <c r="N126" i="84"/>
  <c r="T126" i="84" s="1"/>
  <c r="R125" i="84"/>
  <c r="N125" i="84"/>
  <c r="T125" i="84" s="1"/>
  <c r="R127" i="84"/>
  <c r="N127" i="84"/>
  <c r="T127" i="84" s="1"/>
  <c r="G110" i="84"/>
  <c r="Y86" i="84"/>
  <c r="Z86" i="84" s="1"/>
  <c r="P126" i="27"/>
  <c r="H126" i="27"/>
  <c r="R126" i="27" s="1"/>
  <c r="P131" i="27"/>
  <c r="H131" i="27"/>
  <c r="R131" i="27" s="1"/>
  <c r="P124" i="27"/>
  <c r="H124" i="27"/>
  <c r="R124" i="27" s="1"/>
  <c r="P123" i="27"/>
  <c r="H123" i="27"/>
  <c r="R123" i="27" s="1"/>
  <c r="P128" i="27"/>
  <c r="H128" i="27"/>
  <c r="R128" i="27" s="1"/>
  <c r="P127" i="27"/>
  <c r="H127" i="27"/>
  <c r="R127" i="27" s="1"/>
  <c r="P109" i="27"/>
  <c r="H109" i="27"/>
  <c r="R109" i="27" s="1"/>
  <c r="P125" i="27"/>
  <c r="H125" i="27"/>
  <c r="R125" i="27" s="1"/>
  <c r="P122" i="27"/>
  <c r="H122" i="27"/>
  <c r="R122" i="27" s="1"/>
  <c r="P129" i="27"/>
  <c r="H129" i="27"/>
  <c r="R129" i="27" s="1"/>
  <c r="P142" i="27"/>
  <c r="H142" i="27"/>
  <c r="R142" i="27" s="1"/>
  <c r="O108" i="27"/>
  <c r="O97" i="27"/>
  <c r="V97" i="27" s="1"/>
  <c r="F134" i="27"/>
  <c r="F141" i="27"/>
  <c r="F136" i="27"/>
  <c r="F138" i="27"/>
  <c r="F139" i="27"/>
  <c r="F135" i="27"/>
  <c r="F143" i="27"/>
  <c r="F137" i="27"/>
  <c r="F140" i="27"/>
  <c r="F137" i="29"/>
  <c r="N137" i="29" s="1"/>
  <c r="S137" i="29" s="1"/>
  <c r="F140" i="29"/>
  <c r="N140" i="29" s="1"/>
  <c r="F138" i="29"/>
  <c r="N138" i="29" s="1"/>
  <c r="S138" i="29" s="1"/>
  <c r="F139" i="29"/>
  <c r="N139" i="29" s="1"/>
  <c r="F134" i="29"/>
  <c r="N134" i="29" s="1"/>
  <c r="F135" i="29"/>
  <c r="N135" i="29" s="1"/>
  <c r="F141" i="29"/>
  <c r="N141" i="29" s="1"/>
  <c r="F136" i="29"/>
  <c r="N136" i="29" s="1"/>
  <c r="F143" i="29"/>
  <c r="N143" i="29" s="1"/>
  <c r="S143" i="29" s="1"/>
  <c r="G132" i="85"/>
  <c r="G132" i="84"/>
  <c r="G144" i="84" s="1"/>
  <c r="H133" i="86"/>
  <c r="P133" i="86" s="1"/>
  <c r="CF73" i="39"/>
  <c r="DE72" i="39"/>
  <c r="DI72" i="39"/>
  <c r="DM72" i="39"/>
  <c r="DF72" i="39"/>
  <c r="DJ72" i="39"/>
  <c r="DN72" i="39"/>
  <c r="DC72" i="39"/>
  <c r="DG72" i="39"/>
  <c r="DK72" i="39"/>
  <c r="DO72" i="39"/>
  <c r="DD72" i="39"/>
  <c r="DH72" i="39"/>
  <c r="DL72" i="39"/>
  <c r="DB72" i="39"/>
  <c r="BJ62" i="39"/>
  <c r="BK61" i="39"/>
  <c r="BL61" i="39"/>
  <c r="CV65" i="39"/>
  <c r="DU161" i="6"/>
  <c r="CW59" i="39"/>
  <c r="DA59" i="39"/>
  <c r="CY59" i="39"/>
  <c r="R12" i="33"/>
  <c r="T12" i="33" s="1"/>
  <c r="V12" i="33" s="1"/>
  <c r="L109" i="28"/>
  <c r="Q109" i="28" s="1"/>
  <c r="E123" i="27"/>
  <c r="E129" i="27"/>
  <c r="E125" i="27"/>
  <c r="E130" i="27"/>
  <c r="E126" i="27"/>
  <c r="E127" i="27"/>
  <c r="E109" i="27"/>
  <c r="E122" i="27"/>
  <c r="E128" i="27"/>
  <c r="E124" i="27"/>
  <c r="E131" i="27"/>
  <c r="F132" i="29"/>
  <c r="N132" i="29" s="1"/>
  <c r="S132" i="29" s="1"/>
  <c r="F132" i="27"/>
  <c r="M132" i="28"/>
  <c r="E145" i="29" l="1"/>
  <c r="M145" i="29" s="1"/>
  <c r="S139" i="29"/>
  <c r="H133" i="85"/>
  <c r="H145" i="85" s="1"/>
  <c r="O145" i="85" s="1"/>
  <c r="S121" i="85"/>
  <c r="S136" i="29"/>
  <c r="S140" i="29"/>
  <c r="F57" i="110"/>
  <c r="P57" i="110" s="1"/>
  <c r="S141" i="29"/>
  <c r="S135" i="29"/>
  <c r="V98" i="27"/>
  <c r="K133" i="106"/>
  <c r="O133" i="106" s="1"/>
  <c r="R133" i="106" s="1"/>
  <c r="E145" i="106"/>
  <c r="K145" i="106" s="1"/>
  <c r="O145" i="106" s="1"/>
  <c r="R145" i="106" s="1"/>
  <c r="H133" i="84"/>
  <c r="H145" i="84" s="1"/>
  <c r="O145" i="84" s="1"/>
  <c r="U145" i="84" s="1"/>
  <c r="S134" i="29"/>
  <c r="O121" i="84"/>
  <c r="U121" i="84" s="1"/>
  <c r="R13" i="91"/>
  <c r="T13" i="91" s="1"/>
  <c r="V108" i="27"/>
  <c r="Z108" i="84" s="1"/>
  <c r="Y120" i="84"/>
  <c r="N121" i="84"/>
  <c r="T121" i="84" s="1"/>
  <c r="V114" i="27"/>
  <c r="Z114" i="84" s="1"/>
  <c r="V119" i="27"/>
  <c r="Z119" i="84" s="1"/>
  <c r="V118" i="27"/>
  <c r="Z118" i="84" s="1"/>
  <c r="V111" i="27"/>
  <c r="Z111" i="84" s="1"/>
  <c r="V112" i="27"/>
  <c r="Z112" i="84" s="1"/>
  <c r="O120" i="27"/>
  <c r="G120" i="27"/>
  <c r="Q120" i="27" s="1"/>
  <c r="G109" i="27"/>
  <c r="Q109" i="27" s="1"/>
  <c r="E121" i="27"/>
  <c r="V117" i="27"/>
  <c r="Z117" i="84" s="1"/>
  <c r="V115" i="27"/>
  <c r="Z115" i="84" s="1"/>
  <c r="V110" i="27"/>
  <c r="V113" i="27"/>
  <c r="Z113" i="84" s="1"/>
  <c r="V116" i="27"/>
  <c r="Z116" i="84" s="1"/>
  <c r="V27" i="98"/>
  <c r="BG61" i="99"/>
  <c r="BG121" i="39"/>
  <c r="P144" i="86"/>
  <c r="U144" i="86" s="1"/>
  <c r="U143" i="86"/>
  <c r="U140" i="86"/>
  <c r="U141" i="86"/>
  <c r="U142" i="86"/>
  <c r="U138" i="86"/>
  <c r="U136" i="86"/>
  <c r="U135" i="86"/>
  <c r="U139" i="86"/>
  <c r="U137" i="86"/>
  <c r="U134" i="86"/>
  <c r="G145" i="86"/>
  <c r="O145" i="86" s="1"/>
  <c r="E122" i="28"/>
  <c r="E134" i="28" s="1"/>
  <c r="L134" i="28" s="1"/>
  <c r="L110" i="28"/>
  <c r="Q110" i="28" s="1"/>
  <c r="N110" i="85"/>
  <c r="S110" i="85" s="1"/>
  <c r="G122" i="85"/>
  <c r="N122" i="85" s="1"/>
  <c r="W25" i="98"/>
  <c r="BI59" i="99"/>
  <c r="BI119" i="39"/>
  <c r="AB22" i="98"/>
  <c r="BH56" i="99"/>
  <c r="BH116" i="39"/>
  <c r="N132" i="85"/>
  <c r="G144" i="85"/>
  <c r="N144" i="85" s="1"/>
  <c r="S144" i="85" s="1"/>
  <c r="Q132" i="87"/>
  <c r="G144" i="87"/>
  <c r="M144" i="87" s="1"/>
  <c r="Q144" i="87" s="1"/>
  <c r="G133" i="87"/>
  <c r="M133" i="87" s="1"/>
  <c r="AK14" i="91"/>
  <c r="G63" i="110" s="1"/>
  <c r="K144" i="30"/>
  <c r="M6" i="36"/>
  <c r="E145" i="30"/>
  <c r="U133" i="86"/>
  <c r="H145" i="86"/>
  <c r="Y123" i="84"/>
  <c r="Z97" i="84"/>
  <c r="Y98" i="84"/>
  <c r="N110" i="84"/>
  <c r="T110" i="84" s="1"/>
  <c r="R110" i="84"/>
  <c r="Y109" i="84"/>
  <c r="Y135" i="84"/>
  <c r="Y137" i="84"/>
  <c r="Y140" i="84"/>
  <c r="Y139" i="84"/>
  <c r="Y138" i="84"/>
  <c r="R144" i="84"/>
  <c r="N144" i="84"/>
  <c r="T144" i="84" s="1"/>
  <c r="Y141" i="84"/>
  <c r="Y143" i="84"/>
  <c r="Y136" i="84"/>
  <c r="Y142" i="84"/>
  <c r="R132" i="84"/>
  <c r="N132" i="84"/>
  <c r="T132" i="84" s="1"/>
  <c r="G122" i="84"/>
  <c r="O128" i="27"/>
  <c r="G128" i="27"/>
  <c r="Q128" i="27" s="1"/>
  <c r="O124" i="27"/>
  <c r="G124" i="27"/>
  <c r="Q124" i="27" s="1"/>
  <c r="O126" i="27"/>
  <c r="G126" i="27"/>
  <c r="Q126" i="27" s="1"/>
  <c r="O131" i="27"/>
  <c r="G131" i="27"/>
  <c r="Q131" i="27" s="1"/>
  <c r="O125" i="27"/>
  <c r="G125" i="27"/>
  <c r="Q125" i="27" s="1"/>
  <c r="P139" i="27"/>
  <c r="H139" i="27"/>
  <c r="R139" i="27" s="1"/>
  <c r="P136" i="27"/>
  <c r="H136" i="27"/>
  <c r="R136" i="27" s="1"/>
  <c r="P134" i="27"/>
  <c r="H134" i="27"/>
  <c r="R134" i="27" s="1"/>
  <c r="O129" i="27"/>
  <c r="G129" i="27"/>
  <c r="Q129" i="27" s="1"/>
  <c r="P137" i="27"/>
  <c r="H137" i="27"/>
  <c r="R137" i="27" s="1"/>
  <c r="P135" i="27"/>
  <c r="H135" i="27"/>
  <c r="R135" i="27" s="1"/>
  <c r="P138" i="27"/>
  <c r="H138" i="27"/>
  <c r="R138" i="27" s="1"/>
  <c r="P141" i="27"/>
  <c r="H141" i="27"/>
  <c r="R141" i="27" s="1"/>
  <c r="O123" i="27"/>
  <c r="G123" i="27"/>
  <c r="Q123" i="27" s="1"/>
  <c r="P132" i="27"/>
  <c r="H132" i="27"/>
  <c r="R132" i="27" s="1"/>
  <c r="O122" i="27"/>
  <c r="G122" i="27"/>
  <c r="Q122" i="27" s="1"/>
  <c r="O127" i="27"/>
  <c r="G127" i="27"/>
  <c r="Q127" i="27" s="1"/>
  <c r="O130" i="27"/>
  <c r="G130" i="27"/>
  <c r="Q130" i="27" s="1"/>
  <c r="P140" i="27"/>
  <c r="H140" i="27"/>
  <c r="R140" i="27" s="1"/>
  <c r="P143" i="27"/>
  <c r="H143" i="27"/>
  <c r="R143" i="27" s="1"/>
  <c r="O109" i="27"/>
  <c r="F144" i="27"/>
  <c r="E140" i="27"/>
  <c r="E143" i="27"/>
  <c r="E136" i="27"/>
  <c r="E138" i="27"/>
  <c r="E135" i="27"/>
  <c r="E142" i="27"/>
  <c r="E137" i="27"/>
  <c r="E134" i="27"/>
  <c r="E139" i="27"/>
  <c r="E141" i="27"/>
  <c r="F144" i="29"/>
  <c r="N144" i="29" s="1"/>
  <c r="S144" i="29" s="1"/>
  <c r="Y125" i="84"/>
  <c r="Y127" i="84"/>
  <c r="Y130" i="84"/>
  <c r="Y131" i="84"/>
  <c r="G133" i="85"/>
  <c r="Y126" i="84"/>
  <c r="Y129" i="84"/>
  <c r="Y128" i="84"/>
  <c r="Y124" i="84"/>
  <c r="G133" i="84"/>
  <c r="G145" i="84" s="1"/>
  <c r="L129" i="28"/>
  <c r="L130" i="28"/>
  <c r="L127" i="28"/>
  <c r="L131" i="28"/>
  <c r="L126" i="28"/>
  <c r="L124" i="28"/>
  <c r="L125" i="28"/>
  <c r="L128" i="28"/>
  <c r="L123" i="28"/>
  <c r="CF74" i="39"/>
  <c r="DE73" i="39"/>
  <c r="DI73" i="39"/>
  <c r="DM73" i="39"/>
  <c r="DF73" i="39"/>
  <c r="DJ73" i="39"/>
  <c r="DN73" i="39"/>
  <c r="DC73" i="39"/>
  <c r="DG73" i="39"/>
  <c r="DK73" i="39"/>
  <c r="DO73" i="39"/>
  <c r="DD73" i="39"/>
  <c r="DH73" i="39"/>
  <c r="DL73" i="39"/>
  <c r="DB73" i="39"/>
  <c r="BK62" i="39"/>
  <c r="BL62" i="39"/>
  <c r="BJ63" i="39"/>
  <c r="CV66" i="39"/>
  <c r="DU162" i="6"/>
  <c r="CW60" i="39"/>
  <c r="CY60" i="39"/>
  <c r="DA60" i="39"/>
  <c r="E132" i="27"/>
  <c r="M133" i="28"/>
  <c r="F133" i="29"/>
  <c r="N133" i="29" s="1"/>
  <c r="S133" i="29" s="1"/>
  <c r="F133" i="27"/>
  <c r="O133" i="85" l="1"/>
  <c r="Z98" i="84"/>
  <c r="F56" i="110"/>
  <c r="V13" i="91"/>
  <c r="Q63" i="110"/>
  <c r="S133" i="84"/>
  <c r="O133" i="84"/>
  <c r="U133" i="84" s="1"/>
  <c r="S145" i="84"/>
  <c r="V109" i="27"/>
  <c r="Z109" i="84" s="1"/>
  <c r="L122" i="28"/>
  <c r="Y121" i="84"/>
  <c r="O121" i="27"/>
  <c r="G121" i="27"/>
  <c r="Q121" i="27" s="1"/>
  <c r="V120" i="27"/>
  <c r="Z120" i="84" s="1"/>
  <c r="V28" i="98"/>
  <c r="BG62" i="99"/>
  <c r="BG122" i="39"/>
  <c r="P145" i="86"/>
  <c r="U145" i="86" s="1"/>
  <c r="G134" i="85"/>
  <c r="N134" i="85" s="1"/>
  <c r="S134" i="85" s="1"/>
  <c r="W26" i="98"/>
  <c r="BI120" i="39"/>
  <c r="BI60" i="99"/>
  <c r="AB23" i="98"/>
  <c r="BH57" i="99"/>
  <c r="BH117" i="39"/>
  <c r="N133" i="85"/>
  <c r="G145" i="85"/>
  <c r="N145" i="85" s="1"/>
  <c r="S145" i="85" s="1"/>
  <c r="Q133" i="87"/>
  <c r="AK15" i="91" s="1"/>
  <c r="G145" i="87"/>
  <c r="M145" i="87" s="1"/>
  <c r="Q145" i="87" s="1"/>
  <c r="AK16" i="91" s="1"/>
  <c r="AK6" i="91"/>
  <c r="AK8" i="91"/>
  <c r="AK9" i="91"/>
  <c r="B63" i="110" s="1"/>
  <c r="AK10" i="91"/>
  <c r="C63" i="110" s="1"/>
  <c r="C65" i="110" s="1"/>
  <c r="AK11" i="91"/>
  <c r="D63" i="110" s="1"/>
  <c r="AK12" i="91"/>
  <c r="E63" i="110" s="1"/>
  <c r="K145" i="30"/>
  <c r="G13" i="91"/>
  <c r="I13" i="91" s="1"/>
  <c r="K13" i="91" s="1"/>
  <c r="Y110" i="84"/>
  <c r="Z110" i="84" s="1"/>
  <c r="Y144" i="84"/>
  <c r="N122" i="84"/>
  <c r="T122" i="84" s="1"/>
  <c r="G134" i="84"/>
  <c r="N145" i="84"/>
  <c r="T145" i="84" s="1"/>
  <c r="R145" i="84"/>
  <c r="R133" i="84"/>
  <c r="N133" i="84"/>
  <c r="T133" i="84" s="1"/>
  <c r="R122" i="84"/>
  <c r="O132" i="27"/>
  <c r="G132" i="27"/>
  <c r="Q132" i="27" s="1"/>
  <c r="O141" i="27"/>
  <c r="G141" i="27"/>
  <c r="Q141" i="27" s="1"/>
  <c r="O134" i="27"/>
  <c r="G134" i="27"/>
  <c r="Q134" i="27" s="1"/>
  <c r="O137" i="27"/>
  <c r="G137" i="27"/>
  <c r="Q137" i="27" s="1"/>
  <c r="O135" i="27"/>
  <c r="G135" i="27"/>
  <c r="Q135" i="27" s="1"/>
  <c r="O136" i="27"/>
  <c r="G136" i="27"/>
  <c r="Q136" i="27" s="1"/>
  <c r="O140" i="27"/>
  <c r="G140" i="27"/>
  <c r="Q140" i="27" s="1"/>
  <c r="P133" i="27"/>
  <c r="H133" i="27"/>
  <c r="R133" i="27" s="1"/>
  <c r="O139" i="27"/>
  <c r="G139" i="27"/>
  <c r="Q139" i="27" s="1"/>
  <c r="O142" i="27"/>
  <c r="G142" i="27"/>
  <c r="Q142" i="27" s="1"/>
  <c r="O138" i="27"/>
  <c r="G138" i="27"/>
  <c r="Q138" i="27" s="1"/>
  <c r="O143" i="27"/>
  <c r="G143" i="27"/>
  <c r="Q143" i="27" s="1"/>
  <c r="P144" i="27"/>
  <c r="H144" i="27"/>
  <c r="R144" i="27" s="1"/>
  <c r="F145" i="27"/>
  <c r="E144" i="27"/>
  <c r="G12" i="33"/>
  <c r="I12" i="33" s="1"/>
  <c r="K12" i="33" s="1"/>
  <c r="F145" i="29"/>
  <c r="N145" i="29" s="1"/>
  <c r="S145" i="29" s="1"/>
  <c r="Y132" i="84"/>
  <c r="R8" i="91"/>
  <c r="R9" i="91"/>
  <c r="R12" i="91"/>
  <c r="AC5" i="91"/>
  <c r="AC6" i="91"/>
  <c r="AC8" i="91"/>
  <c r="AC9" i="91"/>
  <c r="AC11" i="91"/>
  <c r="L132" i="28"/>
  <c r="CF75" i="39"/>
  <c r="DE74" i="39"/>
  <c r="DI74" i="39"/>
  <c r="DM74" i="39"/>
  <c r="DF74" i="39"/>
  <c r="DJ74" i="39"/>
  <c r="DN74" i="39"/>
  <c r="DC74" i="39"/>
  <c r="DG74" i="39"/>
  <c r="DK74" i="39"/>
  <c r="DO74" i="39"/>
  <c r="DD74" i="39"/>
  <c r="DH74" i="39"/>
  <c r="DL74" i="39"/>
  <c r="DB74" i="39"/>
  <c r="BL63" i="39"/>
  <c r="BJ64" i="39"/>
  <c r="BK63" i="39"/>
  <c r="CW61" i="39"/>
  <c r="DA61" i="39"/>
  <c r="CY61" i="39"/>
  <c r="CV67" i="39"/>
  <c r="DU163" i="6"/>
  <c r="R13" i="33"/>
  <c r="T13" i="33" s="1"/>
  <c r="V13" i="33" s="1"/>
  <c r="E133" i="27"/>
  <c r="R6" i="33"/>
  <c r="T6" i="33" s="1"/>
  <c r="V6" i="33" s="1"/>
  <c r="R7" i="33"/>
  <c r="T7" i="33" s="1"/>
  <c r="V7" i="33" s="1"/>
  <c r="R9" i="33"/>
  <c r="T9" i="33" s="1"/>
  <c r="V9" i="33" s="1"/>
  <c r="R10" i="33"/>
  <c r="T10" i="33" s="1"/>
  <c r="V10" i="33" s="1"/>
  <c r="R11" i="33"/>
  <c r="T11" i="33" s="1"/>
  <c r="V11" i="33" s="1"/>
  <c r="F55" i="110" l="1"/>
  <c r="F65" i="110" s="1"/>
  <c r="M63" i="110"/>
  <c r="O63" i="110"/>
  <c r="P63" i="110"/>
  <c r="N63" i="110"/>
  <c r="G13" i="33"/>
  <c r="I13" i="33" s="1"/>
  <c r="K13" i="33" s="1"/>
  <c r="V121" i="27"/>
  <c r="Z121" i="84" s="1"/>
  <c r="V29" i="98"/>
  <c r="BG63" i="99"/>
  <c r="BG123" i="39"/>
  <c r="W27" i="98"/>
  <c r="BI61" i="99"/>
  <c r="BI121" i="39"/>
  <c r="AB24" i="98"/>
  <c r="BH58" i="99"/>
  <c r="BH118" i="39"/>
  <c r="N134" i="84"/>
  <c r="T134" i="84" s="1"/>
  <c r="R134" i="84"/>
  <c r="Y145" i="84"/>
  <c r="Y122" i="84"/>
  <c r="O133" i="27"/>
  <c r="G133" i="27"/>
  <c r="Q133" i="27" s="1"/>
  <c r="O144" i="27"/>
  <c r="G144" i="27"/>
  <c r="Q144" i="27" s="1"/>
  <c r="P145" i="27"/>
  <c r="H145" i="27"/>
  <c r="R145" i="27" s="1"/>
  <c r="V131" i="27"/>
  <c r="Z131" i="84" s="1"/>
  <c r="V130" i="27"/>
  <c r="Z130" i="84" s="1"/>
  <c r="V124" i="27"/>
  <c r="Z124" i="84" s="1"/>
  <c r="V125" i="27"/>
  <c r="Z125" i="84" s="1"/>
  <c r="V129" i="27"/>
  <c r="Z129" i="84" s="1"/>
  <c r="V128" i="27"/>
  <c r="Z128" i="84" s="1"/>
  <c r="V123" i="27"/>
  <c r="Z123" i="84" s="1"/>
  <c r="V136" i="27"/>
  <c r="Z136" i="84" s="1"/>
  <c r="V141" i="27"/>
  <c r="Z141" i="84" s="1"/>
  <c r="V143" i="27"/>
  <c r="Z143" i="84" s="1"/>
  <c r="V142" i="27"/>
  <c r="Z142" i="84" s="1"/>
  <c r="V126" i="27"/>
  <c r="Z126" i="84" s="1"/>
  <c r="V122" i="27"/>
  <c r="V127" i="27"/>
  <c r="Z127" i="84" s="1"/>
  <c r="E145" i="27"/>
  <c r="G145" i="27" s="1"/>
  <c r="AE6" i="91"/>
  <c r="AG6" i="91" s="1"/>
  <c r="AE11" i="91"/>
  <c r="AG11" i="91" s="1"/>
  <c r="AE5" i="91"/>
  <c r="AG5" i="91" s="1"/>
  <c r="AE9" i="91"/>
  <c r="AG9" i="91" s="1"/>
  <c r="AE8" i="91"/>
  <c r="AG8" i="91" s="1"/>
  <c r="T8" i="91"/>
  <c r="V8" i="91" s="1"/>
  <c r="T12" i="91"/>
  <c r="T9" i="91"/>
  <c r="Y133" i="84"/>
  <c r="L133" i="28"/>
  <c r="CF76" i="39"/>
  <c r="DE75" i="39"/>
  <c r="DI75" i="39"/>
  <c r="DM75" i="39"/>
  <c r="DF75" i="39"/>
  <c r="DJ75" i="39"/>
  <c r="DN75" i="39"/>
  <c r="DC75" i="39"/>
  <c r="DG75" i="39"/>
  <c r="DK75" i="39"/>
  <c r="DO75" i="39"/>
  <c r="DD75" i="39"/>
  <c r="DH75" i="39"/>
  <c r="DL75" i="39"/>
  <c r="DB75" i="39"/>
  <c r="BJ65" i="39"/>
  <c r="BL64" i="39"/>
  <c r="BK64" i="39"/>
  <c r="CW62" i="39"/>
  <c r="CV68" i="39"/>
  <c r="DU164" i="6"/>
  <c r="CY62" i="39"/>
  <c r="DA62" i="39"/>
  <c r="DX158" i="6"/>
  <c r="G8" i="33"/>
  <c r="I8" i="33" s="1"/>
  <c r="K8" i="33" s="1"/>
  <c r="G9" i="33"/>
  <c r="I9" i="33" s="1"/>
  <c r="K9" i="33" s="1"/>
  <c r="G11" i="33"/>
  <c r="I11" i="33" s="1"/>
  <c r="K11" i="33" s="1"/>
  <c r="D57" i="110" l="1"/>
  <c r="N57" i="110" s="1"/>
  <c r="B57" i="110"/>
  <c r="M57" i="110" s="1"/>
  <c r="E56" i="110"/>
  <c r="O56" i="110" s="1"/>
  <c r="V12" i="91"/>
  <c r="B56" i="110"/>
  <c r="M56" i="110" s="1"/>
  <c r="V9" i="91"/>
  <c r="V30" i="98"/>
  <c r="BG64" i="99"/>
  <c r="BG124" i="39"/>
  <c r="W28" i="98"/>
  <c r="BI62" i="99"/>
  <c r="BI122" i="39"/>
  <c r="AB25" i="98"/>
  <c r="BH59" i="99"/>
  <c r="BH119" i="39"/>
  <c r="Z122" i="84"/>
  <c r="Y134" i="84"/>
  <c r="G16" i="91" s="1"/>
  <c r="O145" i="27"/>
  <c r="Q145" i="27"/>
  <c r="V135" i="27"/>
  <c r="Z135" i="84" s="1"/>
  <c r="V139" i="27"/>
  <c r="Z139" i="84" s="1"/>
  <c r="V134" i="27"/>
  <c r="V140" i="27"/>
  <c r="Z140" i="84" s="1"/>
  <c r="V138" i="27"/>
  <c r="Z138" i="84" s="1"/>
  <c r="V137" i="27"/>
  <c r="Z137" i="84" s="1"/>
  <c r="V144" i="27"/>
  <c r="Z144" i="84" s="1"/>
  <c r="V132" i="27"/>
  <c r="Z132" i="84" s="1"/>
  <c r="G5" i="91"/>
  <c r="G11" i="91"/>
  <c r="G12" i="91"/>
  <c r="G14" i="91"/>
  <c r="G15" i="91"/>
  <c r="CF77" i="39"/>
  <c r="DE76" i="39"/>
  <c r="DI76" i="39"/>
  <c r="DM76" i="39"/>
  <c r="DF76" i="39"/>
  <c r="DJ76" i="39"/>
  <c r="DN76" i="39"/>
  <c r="DC76" i="39"/>
  <c r="DG76" i="39"/>
  <c r="DK76" i="39"/>
  <c r="DO76" i="39"/>
  <c r="DD76" i="39"/>
  <c r="DH76" i="39"/>
  <c r="DL76" i="39"/>
  <c r="DB76" i="39"/>
  <c r="BL65" i="39"/>
  <c r="BJ66" i="39"/>
  <c r="BK65" i="39"/>
  <c r="CW63" i="39"/>
  <c r="DU165" i="6"/>
  <c r="CV69" i="39"/>
  <c r="DA63" i="39"/>
  <c r="CY63" i="39"/>
  <c r="DX159" i="6"/>
  <c r="O57" i="110" l="1"/>
  <c r="P56" i="110"/>
  <c r="B65" i="110"/>
  <c r="V31" i="98"/>
  <c r="BG65" i="99"/>
  <c r="BG125" i="39"/>
  <c r="W29" i="98"/>
  <c r="BI63" i="99"/>
  <c r="BI123" i="39"/>
  <c r="AB26" i="98"/>
  <c r="BH120" i="39"/>
  <c r="BH60" i="99"/>
  <c r="Z134" i="84"/>
  <c r="V133" i="27"/>
  <c r="Z133" i="84" s="1"/>
  <c r="I16" i="91"/>
  <c r="I15" i="91"/>
  <c r="I14" i="91"/>
  <c r="K14" i="91" s="1"/>
  <c r="I5" i="91"/>
  <c r="K5" i="91" s="1"/>
  <c r="I12" i="91"/>
  <c r="K12" i="91" s="1"/>
  <c r="I11" i="91"/>
  <c r="K11" i="91" s="1"/>
  <c r="CF78" i="39"/>
  <c r="DE77" i="39"/>
  <c r="DI77" i="39"/>
  <c r="DM77" i="39"/>
  <c r="DF77" i="39"/>
  <c r="DJ77" i="39"/>
  <c r="DN77" i="39"/>
  <c r="DC77" i="39"/>
  <c r="DG77" i="39"/>
  <c r="DK77" i="39"/>
  <c r="DO77" i="39"/>
  <c r="DD77" i="39"/>
  <c r="DH77" i="39"/>
  <c r="DL77" i="39"/>
  <c r="DB77" i="39"/>
  <c r="BL66" i="39"/>
  <c r="BK66" i="39"/>
  <c r="BJ67" i="39"/>
  <c r="CW64" i="39"/>
  <c r="DX160" i="6"/>
  <c r="CY64" i="39"/>
  <c r="DA64" i="39"/>
  <c r="CV70" i="39"/>
  <c r="DU166" i="6"/>
  <c r="E55" i="110" l="1"/>
  <c r="E65" i="110" s="1"/>
  <c r="D55" i="110"/>
  <c r="D65" i="110" s="1"/>
  <c r="G55" i="110"/>
  <c r="V32" i="98"/>
  <c r="BG66" i="99"/>
  <c r="BG126" i="39"/>
  <c r="W30" i="98"/>
  <c r="BI64" i="99"/>
  <c r="BI124" i="39"/>
  <c r="AB27" i="98"/>
  <c r="BH121" i="39"/>
  <c r="BH61" i="99"/>
  <c r="V145" i="27"/>
  <c r="Z145" i="84" s="1"/>
  <c r="CF79" i="39"/>
  <c r="DE78" i="39"/>
  <c r="DI78" i="39"/>
  <c r="DM78" i="39"/>
  <c r="DF78" i="39"/>
  <c r="DJ78" i="39"/>
  <c r="DN78" i="39"/>
  <c r="DC78" i="39"/>
  <c r="DG78" i="39"/>
  <c r="DK78" i="39"/>
  <c r="DO78" i="39"/>
  <c r="DD78" i="39"/>
  <c r="DH78" i="39"/>
  <c r="DL78" i="39"/>
  <c r="DB78" i="39"/>
  <c r="BL67" i="39"/>
  <c r="BK67" i="39"/>
  <c r="BJ68" i="39"/>
  <c r="DU167" i="6"/>
  <c r="CV71" i="39"/>
  <c r="CW65" i="39"/>
  <c r="CY65" i="39"/>
  <c r="DX161" i="6"/>
  <c r="DA65" i="39"/>
  <c r="P55" i="110" l="1"/>
  <c r="O55" i="110"/>
  <c r="N55" i="110"/>
  <c r="Q55" i="110"/>
  <c r="V33" i="98"/>
  <c r="BG67" i="99"/>
  <c r="BG127" i="39"/>
  <c r="W31" i="98"/>
  <c r="BI65" i="99"/>
  <c r="BI125" i="39"/>
  <c r="AB28" i="98"/>
  <c r="BH62" i="99"/>
  <c r="BH122" i="39"/>
  <c r="CF80" i="39"/>
  <c r="DE79" i="39"/>
  <c r="DI79" i="39"/>
  <c r="DM79" i="39"/>
  <c r="DF79" i="39"/>
  <c r="DJ79" i="39"/>
  <c r="DN79" i="39"/>
  <c r="DC79" i="39"/>
  <c r="DG79" i="39"/>
  <c r="DK79" i="39"/>
  <c r="DO79" i="39"/>
  <c r="DD79" i="39"/>
  <c r="DH79" i="39"/>
  <c r="DL79" i="39"/>
  <c r="DB79" i="39"/>
  <c r="BJ69" i="39"/>
  <c r="BL68" i="39"/>
  <c r="BK68" i="39"/>
  <c r="CV72" i="39"/>
  <c r="DU168" i="6"/>
  <c r="DX162" i="6"/>
  <c r="DA66" i="39"/>
  <c r="CY66" i="39"/>
  <c r="CW66" i="39"/>
  <c r="V34" i="98" l="1"/>
  <c r="BG68" i="99"/>
  <c r="BG128" i="39"/>
  <c r="W32" i="98"/>
  <c r="BI66" i="99"/>
  <c r="BI126" i="39"/>
  <c r="AB29" i="98"/>
  <c r="BH123" i="39"/>
  <c r="BH63" i="99"/>
  <c r="CF81" i="39"/>
  <c r="DE80" i="39"/>
  <c r="DI80" i="39"/>
  <c r="DM80" i="39"/>
  <c r="DF80" i="39"/>
  <c r="DJ80" i="39"/>
  <c r="DN80" i="39"/>
  <c r="DC80" i="39"/>
  <c r="DG80" i="39"/>
  <c r="DK80" i="39"/>
  <c r="DO80" i="39"/>
  <c r="DD80" i="39"/>
  <c r="DH80" i="39"/>
  <c r="DL80" i="39"/>
  <c r="DB80" i="39"/>
  <c r="BK69" i="39"/>
  <c r="BL69" i="39"/>
  <c r="BJ70" i="39"/>
  <c r="G5" i="33"/>
  <c r="I5" i="33" s="1"/>
  <c r="K5" i="33" s="1"/>
  <c r="DU169" i="6"/>
  <c r="CV73" i="39"/>
  <c r="CW67" i="39"/>
  <c r="DX163" i="6"/>
  <c r="DA67" i="39"/>
  <c r="CY67" i="39"/>
  <c r="V35" i="98" l="1"/>
  <c r="BG69" i="99"/>
  <c r="BG129" i="39"/>
  <c r="W33" i="98"/>
  <c r="BI67" i="99"/>
  <c r="BI127" i="39"/>
  <c r="AB30" i="98"/>
  <c r="BH64" i="99"/>
  <c r="BH124" i="39"/>
  <c r="CF82" i="39"/>
  <c r="DE81" i="39"/>
  <c r="DI81" i="39"/>
  <c r="DM81" i="39"/>
  <c r="DF81" i="39"/>
  <c r="DJ81" i="39"/>
  <c r="DN81" i="39"/>
  <c r="DC81" i="39"/>
  <c r="DG81" i="39"/>
  <c r="DK81" i="39"/>
  <c r="DO81" i="39"/>
  <c r="DD81" i="39"/>
  <c r="DH81" i="39"/>
  <c r="DL81" i="39"/>
  <c r="DB81" i="39"/>
  <c r="BK70" i="39"/>
  <c r="BJ71" i="39"/>
  <c r="BL70" i="39"/>
  <c r="DX164" i="6"/>
  <c r="DA68" i="39"/>
  <c r="CY68" i="39"/>
  <c r="CV74" i="39"/>
  <c r="DU170" i="6"/>
  <c r="CW68" i="39"/>
  <c r="V36" i="98" l="1"/>
  <c r="BG70" i="99"/>
  <c r="BG130" i="39"/>
  <c r="W34" i="98"/>
  <c r="BI68" i="99"/>
  <c r="BI128" i="39"/>
  <c r="AB31" i="98"/>
  <c r="BH125" i="39"/>
  <c r="BH65" i="99"/>
  <c r="CF83" i="39"/>
  <c r="DE82" i="39"/>
  <c r="DI82" i="39"/>
  <c r="DM82" i="39"/>
  <c r="DF82" i="39"/>
  <c r="DJ82" i="39"/>
  <c r="DN82" i="39"/>
  <c r="DC82" i="39"/>
  <c r="DG82" i="39"/>
  <c r="DK82" i="39"/>
  <c r="DO82" i="39"/>
  <c r="DD82" i="39"/>
  <c r="DH82" i="39"/>
  <c r="DL82" i="39"/>
  <c r="DB82" i="39"/>
  <c r="BL71" i="39"/>
  <c r="BK71" i="39"/>
  <c r="BJ72" i="39"/>
  <c r="D46" i="36"/>
  <c r="D29" i="111" s="1"/>
  <c r="DA69" i="39"/>
  <c r="DX165" i="6"/>
  <c r="CY69" i="39"/>
  <c r="CW69" i="39"/>
  <c r="CV75" i="39"/>
  <c r="DU171" i="6"/>
  <c r="V37" i="98" l="1"/>
  <c r="BG71" i="99"/>
  <c r="BG131" i="39"/>
  <c r="W35" i="98"/>
  <c r="BI129" i="39"/>
  <c r="BI69" i="99"/>
  <c r="AB32" i="98"/>
  <c r="BH66" i="99"/>
  <c r="BH126" i="39"/>
  <c r="AU6" i="91"/>
  <c r="CF84" i="39"/>
  <c r="DE83" i="39"/>
  <c r="DI83" i="39"/>
  <c r="DM83" i="39"/>
  <c r="DF83" i="39"/>
  <c r="DJ83" i="39"/>
  <c r="DN83" i="39"/>
  <c r="DC83" i="39"/>
  <c r="DG83" i="39"/>
  <c r="DK83" i="39"/>
  <c r="DO83" i="39"/>
  <c r="DD83" i="39"/>
  <c r="DH83" i="39"/>
  <c r="DL83" i="39"/>
  <c r="DB83" i="39"/>
  <c r="BJ73" i="39"/>
  <c r="BK72" i="39"/>
  <c r="BL72" i="39"/>
  <c r="AW6" i="33"/>
  <c r="AX6" i="33" s="1"/>
  <c r="AY6" i="33" s="1"/>
  <c r="CW70" i="39"/>
  <c r="DX166" i="6"/>
  <c r="CY70" i="39"/>
  <c r="DA70" i="39"/>
  <c r="CV76" i="39"/>
  <c r="DU172" i="6"/>
  <c r="V38" i="98" l="1"/>
  <c r="BG72" i="99"/>
  <c r="BG132" i="39"/>
  <c r="W36" i="98"/>
  <c r="BI130" i="39"/>
  <c r="BI70" i="99"/>
  <c r="AB33" i="98"/>
  <c r="BH127" i="39"/>
  <c r="BH67" i="99"/>
  <c r="AV6" i="91"/>
  <c r="AW6" i="91" s="1"/>
  <c r="CF85" i="39"/>
  <c r="DE84" i="39"/>
  <c r="DI84" i="39"/>
  <c r="DM84" i="39"/>
  <c r="DF84" i="39"/>
  <c r="DJ84" i="39"/>
  <c r="DN84" i="39"/>
  <c r="DC84" i="39"/>
  <c r="DG84" i="39"/>
  <c r="DK84" i="39"/>
  <c r="DO84" i="39"/>
  <c r="DD84" i="39"/>
  <c r="DH84" i="39"/>
  <c r="DL84" i="39"/>
  <c r="DB84" i="39"/>
  <c r="BK73" i="39"/>
  <c r="BL73" i="39"/>
  <c r="BJ74" i="39"/>
  <c r="CW71" i="39"/>
  <c r="DX167" i="6"/>
  <c r="CY71" i="39"/>
  <c r="DA71" i="39"/>
  <c r="DU173" i="6"/>
  <c r="CV77" i="39"/>
  <c r="V39" i="98" l="1"/>
  <c r="BG73" i="99"/>
  <c r="BG133" i="39"/>
  <c r="W37" i="98"/>
  <c r="BI131" i="39"/>
  <c r="BI71" i="99"/>
  <c r="AB34" i="98"/>
  <c r="BH128" i="39"/>
  <c r="BH68" i="99"/>
  <c r="CF86" i="39"/>
  <c r="DE85" i="39"/>
  <c r="DI85" i="39"/>
  <c r="DM85" i="39"/>
  <c r="DF85" i="39"/>
  <c r="DJ85" i="39"/>
  <c r="DN85" i="39"/>
  <c r="DC85" i="39"/>
  <c r="DG85" i="39"/>
  <c r="DK85" i="39"/>
  <c r="DO85" i="39"/>
  <c r="DD85" i="39"/>
  <c r="DH85" i="39"/>
  <c r="DL85" i="39"/>
  <c r="DB85" i="39"/>
  <c r="BL74" i="39"/>
  <c r="BK74" i="39"/>
  <c r="BJ75" i="39"/>
  <c r="DX168" i="6"/>
  <c r="CY72" i="39"/>
  <c r="DA72" i="39"/>
  <c r="DU174" i="6"/>
  <c r="CV78" i="39"/>
  <c r="CW72" i="39"/>
  <c r="V40" i="98" l="1"/>
  <c r="BG74" i="99"/>
  <c r="BG134" i="39"/>
  <c r="W38" i="98"/>
  <c r="BI72" i="99"/>
  <c r="BI132" i="39"/>
  <c r="AB35" i="98"/>
  <c r="BH69" i="99"/>
  <c r="BH129" i="39"/>
  <c r="CF87" i="39"/>
  <c r="DE86" i="39"/>
  <c r="DI86" i="39"/>
  <c r="DM86" i="39"/>
  <c r="DF86" i="39"/>
  <c r="DJ86" i="39"/>
  <c r="DN86" i="39"/>
  <c r="DC86" i="39"/>
  <c r="DG86" i="39"/>
  <c r="DK86" i="39"/>
  <c r="DO86" i="39"/>
  <c r="DD86" i="39"/>
  <c r="DH86" i="39"/>
  <c r="DL86" i="39"/>
  <c r="DB86" i="39"/>
  <c r="BL75" i="39"/>
  <c r="BK75" i="39"/>
  <c r="BJ76" i="39"/>
  <c r="CY73" i="39"/>
  <c r="DA73" i="39"/>
  <c r="DX169" i="6"/>
  <c r="CV79" i="39"/>
  <c r="DU175" i="6"/>
  <c r="CW73" i="39"/>
  <c r="V41" i="98" l="1"/>
  <c r="BG75" i="99"/>
  <c r="BG135" i="39"/>
  <c r="W39" i="98"/>
  <c r="BI73" i="99"/>
  <c r="BI133" i="39"/>
  <c r="AB36" i="98"/>
  <c r="BH70" i="99"/>
  <c r="BH130" i="39"/>
  <c r="CF88" i="39"/>
  <c r="DE87" i="39"/>
  <c r="DI87" i="39"/>
  <c r="DM87" i="39"/>
  <c r="DF87" i="39"/>
  <c r="DJ87" i="39"/>
  <c r="DN87" i="39"/>
  <c r="DC87" i="39"/>
  <c r="DG87" i="39"/>
  <c r="DK87" i="39"/>
  <c r="DO87" i="39"/>
  <c r="DD87" i="39"/>
  <c r="DH87" i="39"/>
  <c r="DL87" i="39"/>
  <c r="DB87" i="39"/>
  <c r="BJ77" i="39"/>
  <c r="BK76" i="39"/>
  <c r="BL76" i="39"/>
  <c r="CW74" i="39"/>
  <c r="DX170" i="6"/>
  <c r="CY74" i="39"/>
  <c r="DA74" i="39"/>
  <c r="DU176" i="6"/>
  <c r="CV80" i="39"/>
  <c r="V42" i="98" l="1"/>
  <c r="BG76" i="99"/>
  <c r="BG136" i="39"/>
  <c r="W40" i="98"/>
  <c r="BI134" i="39"/>
  <c r="BI74" i="99"/>
  <c r="AB37" i="98"/>
  <c r="BH71" i="99"/>
  <c r="BH131" i="39"/>
  <c r="CF89" i="39"/>
  <c r="DE88" i="39"/>
  <c r="DI88" i="39"/>
  <c r="DM88" i="39"/>
  <c r="DF88" i="39"/>
  <c r="DJ88" i="39"/>
  <c r="DN88" i="39"/>
  <c r="DC88" i="39"/>
  <c r="DG88" i="39"/>
  <c r="DK88" i="39"/>
  <c r="DO88" i="39"/>
  <c r="DD88" i="39"/>
  <c r="DH88" i="39"/>
  <c r="DL88" i="39"/>
  <c r="DB88" i="39"/>
  <c r="BJ78" i="39"/>
  <c r="BK77" i="39"/>
  <c r="BL77" i="39"/>
  <c r="CW75" i="39"/>
  <c r="CY75" i="39"/>
  <c r="DA75" i="39"/>
  <c r="DX171" i="6"/>
  <c r="CV81" i="39"/>
  <c r="DU177" i="6"/>
  <c r="V43" i="98" l="1"/>
  <c r="BG77" i="99"/>
  <c r="BG137" i="39"/>
  <c r="W41" i="98"/>
  <c r="BI135" i="39"/>
  <c r="BI75" i="99"/>
  <c r="AB38" i="98"/>
  <c r="BH132" i="39"/>
  <c r="BH72" i="99"/>
  <c r="CF90" i="39"/>
  <c r="DE89" i="39"/>
  <c r="DI89" i="39"/>
  <c r="DM89" i="39"/>
  <c r="DF89" i="39"/>
  <c r="DJ89" i="39"/>
  <c r="DN89" i="39"/>
  <c r="DC89" i="39"/>
  <c r="DG89" i="39"/>
  <c r="DK89" i="39"/>
  <c r="DO89" i="39"/>
  <c r="DD89" i="39"/>
  <c r="DH89" i="39"/>
  <c r="DL89" i="39"/>
  <c r="DB89" i="39"/>
  <c r="BL78" i="39"/>
  <c r="BK78" i="39"/>
  <c r="BJ79" i="39"/>
  <c r="CV82" i="39"/>
  <c r="DU178" i="6"/>
  <c r="CW76" i="39"/>
  <c r="DA76" i="39"/>
  <c r="CY76" i="39"/>
  <c r="DX172" i="6"/>
  <c r="V44" i="98" l="1"/>
  <c r="BG78" i="99"/>
  <c r="BG138" i="39"/>
  <c r="W42" i="98"/>
  <c r="BI76" i="99"/>
  <c r="BI136" i="39"/>
  <c r="AB39" i="98"/>
  <c r="BH73" i="99"/>
  <c r="BH133" i="39"/>
  <c r="CF91" i="39"/>
  <c r="DE90" i="39"/>
  <c r="DI90" i="39"/>
  <c r="DM90" i="39"/>
  <c r="DF90" i="39"/>
  <c r="DH90" i="39"/>
  <c r="DN90" i="39"/>
  <c r="DC90" i="39"/>
  <c r="DJ90" i="39"/>
  <c r="DO90" i="39"/>
  <c r="DD90" i="39"/>
  <c r="DK90" i="39"/>
  <c r="DG90" i="39"/>
  <c r="DL90" i="39"/>
  <c r="DB90" i="39"/>
  <c r="BL79" i="39"/>
  <c r="BJ80" i="39"/>
  <c r="BK79" i="39"/>
  <c r="CY77" i="39"/>
  <c r="DA77" i="39"/>
  <c r="DX173" i="6"/>
  <c r="DU179" i="6"/>
  <c r="CV83" i="39"/>
  <c r="CW77" i="39"/>
  <c r="V45" i="98" l="1"/>
  <c r="BG79" i="99"/>
  <c r="BG139" i="39"/>
  <c r="W43" i="98"/>
  <c r="BI77" i="99"/>
  <c r="BI137" i="39"/>
  <c r="AB40" i="98"/>
  <c r="BH74" i="99"/>
  <c r="BH134" i="39"/>
  <c r="CF92" i="39"/>
  <c r="DF91" i="39"/>
  <c r="DJ91" i="39"/>
  <c r="DN91" i="39"/>
  <c r="DC91" i="39"/>
  <c r="DG91" i="39"/>
  <c r="DK91" i="39"/>
  <c r="DO91" i="39"/>
  <c r="DD91" i="39"/>
  <c r="DH91" i="39"/>
  <c r="DL91" i="39"/>
  <c r="DE91" i="39"/>
  <c r="DI91" i="39"/>
  <c r="DM91" i="39"/>
  <c r="DB91" i="39"/>
  <c r="BJ81" i="39"/>
  <c r="BL80" i="39"/>
  <c r="BK80" i="39"/>
  <c r="CV84" i="39"/>
  <c r="DU180" i="6"/>
  <c r="CW78" i="39"/>
  <c r="DX174" i="6"/>
  <c r="CY78" i="39"/>
  <c r="DA78" i="39"/>
  <c r="V46" i="98" l="1"/>
  <c r="BG80" i="99"/>
  <c r="BG140" i="39"/>
  <c r="W44" i="98"/>
  <c r="BI78" i="99"/>
  <c r="BI138" i="39"/>
  <c r="AB41" i="98"/>
  <c r="BH75" i="99"/>
  <c r="BH135" i="39"/>
  <c r="CF93" i="39"/>
  <c r="DF92" i="39"/>
  <c r="DJ92" i="39"/>
  <c r="DN92" i="39"/>
  <c r="DC92" i="39"/>
  <c r="DG92" i="39"/>
  <c r="DK92" i="39"/>
  <c r="DO92" i="39"/>
  <c r="DD92" i="39"/>
  <c r="DH92" i="39"/>
  <c r="DL92" i="39"/>
  <c r="DE92" i="39"/>
  <c r="DI92" i="39"/>
  <c r="DM92" i="39"/>
  <c r="DB92" i="39"/>
  <c r="BL81" i="39"/>
  <c r="BJ82" i="39"/>
  <c r="BK81" i="39"/>
  <c r="DX175" i="6"/>
  <c r="CY79" i="39"/>
  <c r="DA79" i="39"/>
  <c r="CW79" i="39"/>
  <c r="CV85" i="39"/>
  <c r="DU181" i="6"/>
  <c r="C41" i="36"/>
  <c r="C24" i="111" s="1"/>
  <c r="D41" i="36"/>
  <c r="D24" i="111" s="1"/>
  <c r="E41" i="36"/>
  <c r="E24" i="111" s="1"/>
  <c r="V47" i="98" l="1"/>
  <c r="BG81" i="99"/>
  <c r="BG141" i="39"/>
  <c r="W45" i="98"/>
  <c r="BI79" i="99"/>
  <c r="BI139" i="39"/>
  <c r="AB42" i="98"/>
  <c r="BH136" i="39"/>
  <c r="BH76" i="99"/>
  <c r="CF94" i="39"/>
  <c r="DF93" i="39"/>
  <c r="DJ93" i="39"/>
  <c r="DN93" i="39"/>
  <c r="DC93" i="39"/>
  <c r="DG93" i="39"/>
  <c r="DK93" i="39"/>
  <c r="DO93" i="39"/>
  <c r="DD93" i="39"/>
  <c r="DH93" i="39"/>
  <c r="DL93" i="39"/>
  <c r="DE93" i="39"/>
  <c r="DI93" i="39"/>
  <c r="DM93" i="39"/>
  <c r="DB93" i="39"/>
  <c r="BK82" i="39"/>
  <c r="BL82" i="39"/>
  <c r="BJ83" i="39"/>
  <c r="D6" i="32"/>
  <c r="D7" i="32"/>
  <c r="CW80" i="39"/>
  <c r="D4" i="26"/>
  <c r="E4" i="26" s="1"/>
  <c r="D5" i="26"/>
  <c r="E5" i="26" s="1"/>
  <c r="D5" i="32"/>
  <c r="CY80" i="39"/>
  <c r="DA80" i="39"/>
  <c r="DX176" i="6"/>
  <c r="E59" i="111" l="1"/>
  <c r="V48" i="98"/>
  <c r="BG82" i="99"/>
  <c r="BG142" i="39"/>
  <c r="W46" i="98"/>
  <c r="BI140" i="39"/>
  <c r="BI80" i="99"/>
  <c r="AB43" i="98"/>
  <c r="BH77" i="99"/>
  <c r="BH137" i="39"/>
  <c r="CF95" i="39"/>
  <c r="DF94" i="39"/>
  <c r="DJ94" i="39"/>
  <c r="DN94" i="39"/>
  <c r="DC94" i="39"/>
  <c r="DG94" i="39"/>
  <c r="DK94" i="39"/>
  <c r="DO94" i="39"/>
  <c r="DD94" i="39"/>
  <c r="DH94" i="39"/>
  <c r="DL94" i="39"/>
  <c r="DE94" i="39"/>
  <c r="DI94" i="39"/>
  <c r="DM94" i="39"/>
  <c r="DB94" i="39"/>
  <c r="BL83" i="39"/>
  <c r="BK83" i="39"/>
  <c r="BJ84" i="39"/>
  <c r="D14" i="32"/>
  <c r="D15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49" i="32" s="1"/>
  <c r="D50" i="32" s="1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CW81" i="39"/>
  <c r="Z150" i="41"/>
  <c r="Z151" i="41"/>
  <c r="Z152" i="41"/>
  <c r="E46" i="36"/>
  <c r="E29" i="111" s="1"/>
  <c r="DA81" i="39"/>
  <c r="DX177" i="6"/>
  <c r="CY81" i="39"/>
  <c r="J59" i="111" l="1"/>
  <c r="V49" i="98"/>
  <c r="BG83" i="99"/>
  <c r="BG143" i="39"/>
  <c r="W47" i="98"/>
  <c r="BI81" i="99"/>
  <c r="BI141" i="39"/>
  <c r="AB44" i="98"/>
  <c r="BH78" i="99"/>
  <c r="BH138" i="39"/>
  <c r="AU5" i="91"/>
  <c r="AU7" i="91"/>
  <c r="CF96" i="39"/>
  <c r="DF95" i="39"/>
  <c r="DJ95" i="39"/>
  <c r="DN95" i="39"/>
  <c r="DC95" i="39"/>
  <c r="DG95" i="39"/>
  <c r="DK95" i="39"/>
  <c r="DO95" i="39"/>
  <c r="DD95" i="39"/>
  <c r="DH95" i="39"/>
  <c r="DL95" i="39"/>
  <c r="DE95" i="39"/>
  <c r="DI95" i="39"/>
  <c r="DM95" i="39"/>
  <c r="DB95" i="39"/>
  <c r="C14" i="32"/>
  <c r="BJ85" i="39"/>
  <c r="BL84" i="39"/>
  <c r="BK84" i="39"/>
  <c r="DX178" i="6"/>
  <c r="DA82" i="39"/>
  <c r="CY82" i="39"/>
  <c r="T6" i="32"/>
  <c r="T7" i="32"/>
  <c r="AW7" i="33"/>
  <c r="AX7" i="33" s="1"/>
  <c r="AY7" i="33" s="1"/>
  <c r="CW82" i="39"/>
  <c r="AW5" i="33"/>
  <c r="AX5" i="33" s="1"/>
  <c r="AY5" i="33" s="1"/>
  <c r="C46" i="36"/>
  <c r="C29" i="111" s="1"/>
  <c r="T5" i="32"/>
  <c r="E64" i="111" l="1"/>
  <c r="J64" i="111" s="1"/>
  <c r="F10" i="108"/>
  <c r="C15" i="32"/>
  <c r="M41" i="36"/>
  <c r="V50" i="98"/>
  <c r="BG84" i="99"/>
  <c r="BG144" i="39"/>
  <c r="W48" i="98"/>
  <c r="BI82" i="99"/>
  <c r="BI142" i="39"/>
  <c r="AB45" i="98"/>
  <c r="BH139" i="39"/>
  <c r="BH79" i="99"/>
  <c r="AV7" i="91"/>
  <c r="AW7" i="91" s="1"/>
  <c r="AV5" i="91"/>
  <c r="AW5" i="91" s="1"/>
  <c r="CF97" i="39"/>
  <c r="DF96" i="39"/>
  <c r="DJ96" i="39"/>
  <c r="DN96" i="39"/>
  <c r="DC96" i="39"/>
  <c r="DG96" i="39"/>
  <c r="DK96" i="39"/>
  <c r="DO96" i="39"/>
  <c r="DD96" i="39"/>
  <c r="DH96" i="39"/>
  <c r="DL96" i="39"/>
  <c r="DE96" i="39"/>
  <c r="DI96" i="39"/>
  <c r="DM96" i="39"/>
  <c r="DB96" i="39"/>
  <c r="BK85" i="39"/>
  <c r="BL85" i="39"/>
  <c r="BJ86" i="39"/>
  <c r="CW83" i="39"/>
  <c r="DA83" i="39"/>
  <c r="CY83" i="39"/>
  <c r="DX179" i="6"/>
  <c r="M24" i="111" l="1"/>
  <c r="H16" i="110"/>
  <c r="R16" i="110" s="1"/>
  <c r="F11" i="108"/>
  <c r="F15" i="108" s="1"/>
  <c r="N41" i="36"/>
  <c r="I16" i="110" s="1"/>
  <c r="G10" i="108"/>
  <c r="C38" i="32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V51" i="98"/>
  <c r="BG85" i="99"/>
  <c r="BG145" i="39"/>
  <c r="W49" i="98"/>
  <c r="BI83" i="99"/>
  <c r="BI143" i="39"/>
  <c r="AB46" i="98"/>
  <c r="BH140" i="39"/>
  <c r="BH80" i="99"/>
  <c r="CF98" i="39"/>
  <c r="DF97" i="39"/>
  <c r="DJ97" i="39"/>
  <c r="DN97" i="39"/>
  <c r="DC97" i="39"/>
  <c r="DG97" i="39"/>
  <c r="DK97" i="39"/>
  <c r="DO97" i="39"/>
  <c r="DD97" i="39"/>
  <c r="DH97" i="39"/>
  <c r="DL97" i="39"/>
  <c r="DE97" i="39"/>
  <c r="DI97" i="39"/>
  <c r="DM97" i="39"/>
  <c r="DB97" i="39"/>
  <c r="BL86" i="39"/>
  <c r="BJ87" i="39"/>
  <c r="BK86" i="39"/>
  <c r="C43" i="36"/>
  <c r="C26" i="111" s="1"/>
  <c r="D43" i="36"/>
  <c r="D26" i="111" s="1"/>
  <c r="E43" i="36"/>
  <c r="E26" i="111" s="1"/>
  <c r="CW84" i="39"/>
  <c r="CY84" i="39"/>
  <c r="DA84" i="39"/>
  <c r="O24" i="30"/>
  <c r="DX180" i="6"/>
  <c r="D47" i="36"/>
  <c r="D30" i="111" s="1"/>
  <c r="E47" i="36"/>
  <c r="E30" i="111" s="1"/>
  <c r="T15" i="32"/>
  <c r="T38" i="32" s="1"/>
  <c r="S14" i="32"/>
  <c r="S37" i="32" s="1"/>
  <c r="S16" i="110" l="1"/>
  <c r="D124" i="111"/>
  <c r="C137" i="111" s="1"/>
  <c r="E53" i="36"/>
  <c r="N24" i="111"/>
  <c r="G11" i="108"/>
  <c r="G15" i="108" s="1"/>
  <c r="F16" i="108"/>
  <c r="F18" i="108" s="1"/>
  <c r="M46" i="36"/>
  <c r="V52" i="98"/>
  <c r="BG86" i="99"/>
  <c r="BG146" i="39"/>
  <c r="W50" i="98"/>
  <c r="BI84" i="99"/>
  <c r="BI144" i="39"/>
  <c r="AB47" i="98"/>
  <c r="BH81" i="99"/>
  <c r="BH141" i="39"/>
  <c r="BA5" i="91"/>
  <c r="BA6" i="91"/>
  <c r="AU15" i="91"/>
  <c r="BA7" i="91"/>
  <c r="CF99" i="39"/>
  <c r="DF98" i="39"/>
  <c r="DJ98" i="39"/>
  <c r="DN98" i="39"/>
  <c r="DC98" i="39"/>
  <c r="DG98" i="39"/>
  <c r="DK98" i="39"/>
  <c r="DO98" i="39"/>
  <c r="DD98" i="39"/>
  <c r="DH98" i="39"/>
  <c r="DL98" i="39"/>
  <c r="DE98" i="39"/>
  <c r="DI98" i="39"/>
  <c r="DM98" i="39"/>
  <c r="DB98" i="39"/>
  <c r="BL87" i="39"/>
  <c r="BK87" i="39"/>
  <c r="BJ88" i="39"/>
  <c r="AW15" i="33"/>
  <c r="AY15" i="33" s="1"/>
  <c r="S15" i="32"/>
  <c r="N46" i="36" s="1"/>
  <c r="L7" i="32"/>
  <c r="L6" i="32"/>
  <c r="L5" i="32"/>
  <c r="L14" i="32" s="1"/>
  <c r="BC7" i="33"/>
  <c r="BD7" i="33" s="1"/>
  <c r="BE7" i="33" s="1"/>
  <c r="X7" i="32"/>
  <c r="X6" i="32"/>
  <c r="CW85" i="39"/>
  <c r="C42" i="36"/>
  <c r="C25" i="111" s="1"/>
  <c r="D42" i="36"/>
  <c r="D25" i="111" s="1"/>
  <c r="E42" i="36"/>
  <c r="E25" i="111" s="1"/>
  <c r="BC5" i="33"/>
  <c r="BD5" i="33" s="1"/>
  <c r="BE5" i="33" s="1"/>
  <c r="O25" i="30"/>
  <c r="DX181" i="6"/>
  <c r="CY85" i="39"/>
  <c r="DA85" i="39"/>
  <c r="D44" i="36"/>
  <c r="D27" i="111" s="1"/>
  <c r="E44" i="36"/>
  <c r="E27" i="111" s="1"/>
  <c r="C45" i="36"/>
  <c r="C28" i="111" s="1"/>
  <c r="D45" i="36"/>
  <c r="D28" i="111" s="1"/>
  <c r="E45" i="36"/>
  <c r="E28" i="111" s="1"/>
  <c r="X5" i="32"/>
  <c r="BC6" i="33"/>
  <c r="BD6" i="33" s="1"/>
  <c r="BE6" i="33" s="1"/>
  <c r="F42" i="108" l="1"/>
  <c r="I18" i="108"/>
  <c r="D8" i="109" s="1"/>
  <c r="E124" i="111"/>
  <c r="J124" i="111" s="1"/>
  <c r="D137" i="111"/>
  <c r="E137" i="111" s="1"/>
  <c r="N29" i="111"/>
  <c r="D142" i="111" s="1"/>
  <c r="I21" i="110"/>
  <c r="M29" i="111"/>
  <c r="D129" i="111" s="1"/>
  <c r="C142" i="111" s="1"/>
  <c r="H21" i="110"/>
  <c r="R21" i="110" s="1"/>
  <c r="E31" i="111"/>
  <c r="D31" i="111"/>
  <c r="E61" i="111"/>
  <c r="J61" i="111" s="1"/>
  <c r="E65" i="111"/>
  <c r="J65" i="111" s="1"/>
  <c r="G16" i="108"/>
  <c r="G18" i="108" s="1"/>
  <c r="G42" i="108" s="1"/>
  <c r="V53" i="98"/>
  <c r="BG87" i="99"/>
  <c r="BG147" i="39"/>
  <c r="W51" i="98"/>
  <c r="BI145" i="39"/>
  <c r="BI85" i="99"/>
  <c r="AB48" i="98"/>
  <c r="BH82" i="99"/>
  <c r="BH142" i="39"/>
  <c r="C25" i="67"/>
  <c r="N8" i="36"/>
  <c r="T37" i="32"/>
  <c r="L15" i="32"/>
  <c r="L38" i="32" s="1"/>
  <c r="AO7" i="91"/>
  <c r="AO6" i="91"/>
  <c r="AU16" i="91"/>
  <c r="AO5" i="91"/>
  <c r="BB7" i="91"/>
  <c r="BC7" i="91" s="1"/>
  <c r="BB6" i="91"/>
  <c r="BC6" i="91" s="1"/>
  <c r="AW15" i="91"/>
  <c r="BB5" i="91"/>
  <c r="BC5" i="91" s="1"/>
  <c r="CF100" i="39"/>
  <c r="DF99" i="39"/>
  <c r="DJ99" i="39"/>
  <c r="DN99" i="39"/>
  <c r="DC99" i="39"/>
  <c r="DG99" i="39"/>
  <c r="DK99" i="39"/>
  <c r="DO99" i="39"/>
  <c r="DD99" i="39"/>
  <c r="DH99" i="39"/>
  <c r="DL99" i="39"/>
  <c r="DE99" i="39"/>
  <c r="DI99" i="39"/>
  <c r="DM99" i="39"/>
  <c r="DB99" i="39"/>
  <c r="BJ89" i="39"/>
  <c r="BL88" i="39"/>
  <c r="BK88" i="39"/>
  <c r="H7" i="32"/>
  <c r="H6" i="32"/>
  <c r="C44" i="36"/>
  <c r="C27" i="111" s="1"/>
  <c r="C31" i="111" s="1"/>
  <c r="H5" i="32"/>
  <c r="S38" i="32"/>
  <c r="T39" i="32"/>
  <c r="T40" i="32" s="1"/>
  <c r="T41" i="32" s="1"/>
  <c r="T42" i="32" s="1"/>
  <c r="T43" i="32" s="1"/>
  <c r="T44" i="32" s="1"/>
  <c r="T45" i="32" s="1"/>
  <c r="T46" i="32" s="1"/>
  <c r="T47" i="32" s="1"/>
  <c r="T48" i="32" s="1"/>
  <c r="T49" i="32" s="1"/>
  <c r="T50" i="32" s="1"/>
  <c r="T51" i="32" s="1"/>
  <c r="T52" i="32" s="1"/>
  <c r="T53" i="32" s="1"/>
  <c r="T54" i="32" s="1"/>
  <c r="T55" i="32" s="1"/>
  <c r="T56" i="32" s="1"/>
  <c r="T57" i="32" s="1"/>
  <c r="T58" i="32" s="1"/>
  <c r="T59" i="32" s="1"/>
  <c r="T60" i="32" s="1"/>
  <c r="AW16" i="33"/>
  <c r="AY16" i="33" s="1"/>
  <c r="O8" i="36" s="1"/>
  <c r="AB5" i="32"/>
  <c r="AM7" i="33"/>
  <c r="AQ5" i="33"/>
  <c r="AR5" i="33" s="1"/>
  <c r="AS5" i="33" s="1"/>
  <c r="P7" i="32"/>
  <c r="AQ7" i="33"/>
  <c r="AR7" i="33" s="1"/>
  <c r="AS7" i="33" s="1"/>
  <c r="P6" i="32"/>
  <c r="P5" i="32"/>
  <c r="AQ6" i="33"/>
  <c r="AR6" i="33" s="1"/>
  <c r="AS6" i="33" s="1"/>
  <c r="AB6" i="32"/>
  <c r="AB7" i="32"/>
  <c r="E25" i="67"/>
  <c r="Q28" i="35"/>
  <c r="G44" i="108" l="1"/>
  <c r="H43" i="108"/>
  <c r="J18" i="108"/>
  <c r="E8" i="109" s="1"/>
  <c r="F44" i="108"/>
  <c r="F45" i="108" s="1"/>
  <c r="D54" i="108" s="1"/>
  <c r="G43" i="108"/>
  <c r="E142" i="111"/>
  <c r="J142" i="111" s="1"/>
  <c r="S21" i="110"/>
  <c r="M9" i="111"/>
  <c r="H34" i="110" s="1"/>
  <c r="J137" i="111"/>
  <c r="E129" i="111"/>
  <c r="J129" i="111" s="1"/>
  <c r="E62" i="111"/>
  <c r="J62" i="111" s="1"/>
  <c r="E63" i="111"/>
  <c r="J63" i="111" s="1"/>
  <c r="E60" i="111"/>
  <c r="D66" i="111"/>
  <c r="K37" i="32"/>
  <c r="V54" i="98"/>
  <c r="BG88" i="99"/>
  <c r="BG148" i="39"/>
  <c r="W52" i="98"/>
  <c r="BI146" i="39"/>
  <c r="BI86" i="99"/>
  <c r="AB49" i="98"/>
  <c r="BH83" i="99"/>
  <c r="BH143" i="39"/>
  <c r="X19" i="35"/>
  <c r="Y19" i="35" s="1"/>
  <c r="X18" i="35"/>
  <c r="Y18" i="35" s="1"/>
  <c r="X20" i="35"/>
  <c r="Y20" i="35" s="1"/>
  <c r="S19" i="32"/>
  <c r="P14" i="32"/>
  <c r="P15" i="32" s="1"/>
  <c r="AB14" i="32"/>
  <c r="AB15" i="32" s="1"/>
  <c r="AW16" i="91"/>
  <c r="T16" i="26"/>
  <c r="S14" i="26"/>
  <c r="T14" i="26" s="1"/>
  <c r="AP5" i="91"/>
  <c r="AQ5" i="91" s="1"/>
  <c r="AP7" i="91"/>
  <c r="AQ7" i="91" s="1"/>
  <c r="AP6" i="91"/>
  <c r="AQ6" i="91" s="1"/>
  <c r="E58" i="36"/>
  <c r="CF101" i="39"/>
  <c r="DF100" i="39"/>
  <c r="DJ100" i="39"/>
  <c r="DN100" i="39"/>
  <c r="DC100" i="39"/>
  <c r="DG100" i="39"/>
  <c r="DK100" i="39"/>
  <c r="DO100" i="39"/>
  <c r="DD100" i="39"/>
  <c r="DH100" i="39"/>
  <c r="DL100" i="39"/>
  <c r="DE100" i="39"/>
  <c r="DI100" i="39"/>
  <c r="DM100" i="39"/>
  <c r="DB100" i="39"/>
  <c r="BL89" i="39"/>
  <c r="BJ90" i="39"/>
  <c r="BK89" i="39"/>
  <c r="R28" i="35"/>
  <c r="N28" i="36" s="1"/>
  <c r="M19" i="111" s="1"/>
  <c r="H47" i="110" s="1"/>
  <c r="H73" i="110" s="1"/>
  <c r="H15" i="32"/>
  <c r="H38" i="32" s="1"/>
  <c r="S39" i="32"/>
  <c r="S40" i="32" s="1"/>
  <c r="S41" i="32" s="1"/>
  <c r="S42" i="32" s="1"/>
  <c r="S43" i="32" s="1"/>
  <c r="S44" i="32" s="1"/>
  <c r="S45" i="32" s="1"/>
  <c r="S46" i="32" s="1"/>
  <c r="S47" i="32" s="1"/>
  <c r="S48" i="32" s="1"/>
  <c r="S49" i="32" s="1"/>
  <c r="C48" i="36"/>
  <c r="D48" i="36"/>
  <c r="L39" i="32"/>
  <c r="L40" i="32" s="1"/>
  <c r="L41" i="32" s="1"/>
  <c r="L42" i="32" s="1"/>
  <c r="L43" i="32" s="1"/>
  <c r="L44" i="32" s="1"/>
  <c r="L45" i="32" s="1"/>
  <c r="L46" i="32" s="1"/>
  <c r="L47" i="32" s="1"/>
  <c r="L48" i="32" s="1"/>
  <c r="L49" i="32" s="1"/>
  <c r="L50" i="32" s="1"/>
  <c r="L51" i="32" s="1"/>
  <c r="L52" i="32" s="1"/>
  <c r="L53" i="32" s="1"/>
  <c r="L54" i="32" s="1"/>
  <c r="L55" i="32" s="1"/>
  <c r="L56" i="32" s="1"/>
  <c r="L57" i="32" s="1"/>
  <c r="L58" i="32" s="1"/>
  <c r="L59" i="32" s="1"/>
  <c r="L60" i="32" s="1"/>
  <c r="E48" i="36"/>
  <c r="X15" i="32"/>
  <c r="X38" i="32" s="1"/>
  <c r="W14" i="32"/>
  <c r="W37" i="32" s="1"/>
  <c r="K15" i="32"/>
  <c r="N43" i="36" s="1"/>
  <c r="Q29" i="35"/>
  <c r="C19" i="36"/>
  <c r="G45" i="108" l="1"/>
  <c r="N26" i="111"/>
  <c r="D139" i="111" s="1"/>
  <c r="I18" i="110"/>
  <c r="R34" i="110"/>
  <c r="H60" i="110"/>
  <c r="G129" i="111"/>
  <c r="J60" i="111"/>
  <c r="E66" i="111"/>
  <c r="M47" i="36"/>
  <c r="M43" i="36"/>
  <c r="K38" i="32"/>
  <c r="K39" i="32" s="1"/>
  <c r="O14" i="32"/>
  <c r="V55" i="98"/>
  <c r="BG89" i="99"/>
  <c r="BG149" i="39"/>
  <c r="W53" i="98"/>
  <c r="BI87" i="99"/>
  <c r="BI147" i="39"/>
  <c r="AB50" i="98"/>
  <c r="BH84" i="99"/>
  <c r="BH144" i="39"/>
  <c r="G14" i="32"/>
  <c r="R29" i="35"/>
  <c r="E55" i="36"/>
  <c r="BA15" i="91"/>
  <c r="E19" i="36"/>
  <c r="N9" i="111" s="1"/>
  <c r="I34" i="110" s="1"/>
  <c r="I60" i="110" s="1"/>
  <c r="P38" i="32"/>
  <c r="S20" i="32"/>
  <c r="CF102" i="39"/>
  <c r="DF101" i="39"/>
  <c r="DJ101" i="39"/>
  <c r="DN101" i="39"/>
  <c r="DC101" i="39"/>
  <c r="DG101" i="39"/>
  <c r="DK101" i="39"/>
  <c r="DO101" i="39"/>
  <c r="DD101" i="39"/>
  <c r="DH101" i="39"/>
  <c r="DL101" i="39"/>
  <c r="DE101" i="39"/>
  <c r="DI101" i="39"/>
  <c r="DM101" i="39"/>
  <c r="DB101" i="39"/>
  <c r="BL90" i="39"/>
  <c r="BJ91" i="39"/>
  <c r="BK90" i="39"/>
  <c r="W15" i="32"/>
  <c r="N47" i="36" s="1"/>
  <c r="BC15" i="33"/>
  <c r="BE15" i="33" s="1"/>
  <c r="N9" i="36" s="1"/>
  <c r="M10" i="111" s="1"/>
  <c r="H33" i="110" s="1"/>
  <c r="H59" i="110" s="1"/>
  <c r="W38" i="32"/>
  <c r="X39" i="32"/>
  <c r="X40" i="32" s="1"/>
  <c r="X41" i="32" s="1"/>
  <c r="X42" i="32" s="1"/>
  <c r="X43" i="32" s="1"/>
  <c r="X44" i="32" s="1"/>
  <c r="X45" i="32" s="1"/>
  <c r="X46" i="32" s="1"/>
  <c r="X47" i="32" s="1"/>
  <c r="X48" i="32" s="1"/>
  <c r="X49" i="32" s="1"/>
  <c r="X50" i="32" s="1"/>
  <c r="X51" i="32" s="1"/>
  <c r="X52" i="32" s="1"/>
  <c r="X53" i="32" s="1"/>
  <c r="X54" i="32" s="1"/>
  <c r="X55" i="32" s="1"/>
  <c r="X56" i="32" s="1"/>
  <c r="X57" i="32" s="1"/>
  <c r="X58" i="32" s="1"/>
  <c r="X59" i="32" s="1"/>
  <c r="X60" i="32" s="1"/>
  <c r="H39" i="32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S50" i="32"/>
  <c r="S51" i="32" s="1"/>
  <c r="S52" i="32" s="1"/>
  <c r="S53" i="32" s="1"/>
  <c r="S54" i="32" s="1"/>
  <c r="S55" i="32" s="1"/>
  <c r="S56" i="32" s="1"/>
  <c r="S57" i="32" s="1"/>
  <c r="S58" i="32" s="1"/>
  <c r="S59" i="32" s="1"/>
  <c r="S60" i="32" s="1"/>
  <c r="E54" i="108" l="1"/>
  <c r="F54" i="108" s="1"/>
  <c r="N30" i="111"/>
  <c r="D143" i="111" s="1"/>
  <c r="I20" i="110"/>
  <c r="M26" i="111"/>
  <c r="D126" i="111" s="1"/>
  <c r="C139" i="111" s="1"/>
  <c r="E139" i="111" s="1"/>
  <c r="J139" i="111" s="1"/>
  <c r="H18" i="110"/>
  <c r="R18" i="110" s="1"/>
  <c r="M30" i="111"/>
  <c r="D130" i="111" s="1"/>
  <c r="C143" i="111" s="1"/>
  <c r="H20" i="110"/>
  <c r="R20" i="110" s="1"/>
  <c r="F142" i="111"/>
  <c r="I129" i="111"/>
  <c r="K129" i="111" s="1"/>
  <c r="S34" i="110"/>
  <c r="R60" i="110"/>
  <c r="S60" i="110"/>
  <c r="R47" i="110"/>
  <c r="R33" i="110"/>
  <c r="G130" i="111"/>
  <c r="F143" i="111" s="1"/>
  <c r="AO15" i="91"/>
  <c r="AQ15" i="91" s="1"/>
  <c r="O37" i="32"/>
  <c r="G15" i="32"/>
  <c r="G37" i="32"/>
  <c r="F21" i="108"/>
  <c r="AQ15" i="33"/>
  <c r="AS15" i="33" s="1"/>
  <c r="K28" i="35" s="1"/>
  <c r="M42" i="36"/>
  <c r="G38" i="32"/>
  <c r="G39" i="32" s="1"/>
  <c r="M45" i="36"/>
  <c r="O38" i="32"/>
  <c r="V56" i="98"/>
  <c r="BG90" i="99"/>
  <c r="BG150" i="39"/>
  <c r="W54" i="98"/>
  <c r="BI88" i="99"/>
  <c r="BI148" i="39"/>
  <c r="AB51" i="98"/>
  <c r="BH145" i="39"/>
  <c r="BH85" i="99"/>
  <c r="F25" i="67"/>
  <c r="G25" i="67" s="1"/>
  <c r="D36" i="36" s="1"/>
  <c r="O28" i="36"/>
  <c r="N7" i="36"/>
  <c r="C24" i="67"/>
  <c r="H37" i="32"/>
  <c r="X37" i="32"/>
  <c r="O15" i="32"/>
  <c r="P39" i="32"/>
  <c r="P40" i="32" s="1"/>
  <c r="P41" i="32" s="1"/>
  <c r="P42" i="32" s="1"/>
  <c r="P43" i="32" s="1"/>
  <c r="P44" i="32" s="1"/>
  <c r="P45" i="32" s="1"/>
  <c r="P46" i="32" s="1"/>
  <c r="P47" i="32" s="1"/>
  <c r="P48" i="32" s="1"/>
  <c r="P49" i="32" s="1"/>
  <c r="P50" i="32" s="1"/>
  <c r="P51" i="32" s="1"/>
  <c r="P52" i="32" s="1"/>
  <c r="P53" i="32" s="1"/>
  <c r="P54" i="32" s="1"/>
  <c r="P55" i="32" s="1"/>
  <c r="P56" i="32" s="1"/>
  <c r="P57" i="32" s="1"/>
  <c r="P58" i="32" s="1"/>
  <c r="P59" i="32" s="1"/>
  <c r="P60" i="32" s="1"/>
  <c r="BA16" i="91"/>
  <c r="BC15" i="91"/>
  <c r="T20" i="32"/>
  <c r="N111" i="28"/>
  <c r="Q111" i="28" s="1"/>
  <c r="C58" i="36"/>
  <c r="K40" i="32"/>
  <c r="CF103" i="39"/>
  <c r="DF102" i="39"/>
  <c r="DJ102" i="39"/>
  <c r="DN102" i="39"/>
  <c r="DC102" i="39"/>
  <c r="DG102" i="39"/>
  <c r="DK102" i="39"/>
  <c r="DO102" i="39"/>
  <c r="DD102" i="39"/>
  <c r="DH102" i="39"/>
  <c r="DL102" i="39"/>
  <c r="DE102" i="39"/>
  <c r="DI102" i="39"/>
  <c r="DM102" i="39"/>
  <c r="DB102" i="39"/>
  <c r="BJ92" i="39"/>
  <c r="BK91" i="39"/>
  <c r="BL91" i="39"/>
  <c r="S21" i="32"/>
  <c r="W39" i="32"/>
  <c r="W40" i="32" s="1"/>
  <c r="W41" i="32" s="1"/>
  <c r="W42" i="32" s="1"/>
  <c r="W43" i="32" s="1"/>
  <c r="W44" i="32" s="1"/>
  <c r="W45" i="32" s="1"/>
  <c r="W46" i="32" s="1"/>
  <c r="W47" i="32" s="1"/>
  <c r="W48" i="32" s="1"/>
  <c r="W49" i="32" s="1"/>
  <c r="BC16" i="33"/>
  <c r="BE16" i="33" s="1"/>
  <c r="E143" i="111" l="1"/>
  <c r="J143" i="111" s="1"/>
  <c r="S20" i="110"/>
  <c r="S18" i="110"/>
  <c r="M28" i="111"/>
  <c r="D128" i="111" s="1"/>
  <c r="C141" i="111" s="1"/>
  <c r="H22" i="110"/>
  <c r="R22" i="110" s="1"/>
  <c r="M25" i="111"/>
  <c r="M32" i="111" s="1"/>
  <c r="H17" i="110"/>
  <c r="R17" i="110" s="1"/>
  <c r="M8" i="111"/>
  <c r="H35" i="110" s="1"/>
  <c r="R73" i="110"/>
  <c r="R59" i="110"/>
  <c r="E130" i="111"/>
  <c r="J130" i="111" s="1"/>
  <c r="I130" i="111"/>
  <c r="K130" i="111" s="1"/>
  <c r="E126" i="111"/>
  <c r="J126" i="111" s="1"/>
  <c r="C36" i="36"/>
  <c r="E36" i="36" s="1"/>
  <c r="N42" i="36"/>
  <c r="I17" i="110" s="1"/>
  <c r="G21" i="108"/>
  <c r="F22" i="108"/>
  <c r="F26" i="108" s="1"/>
  <c r="M48" i="36"/>
  <c r="AO16" i="91"/>
  <c r="AQ16" i="91" s="1"/>
  <c r="N45" i="36"/>
  <c r="I22" i="110" s="1"/>
  <c r="V57" i="98"/>
  <c r="BG91" i="99"/>
  <c r="BG151" i="39"/>
  <c r="W55" i="98"/>
  <c r="BI89" i="99"/>
  <c r="BI149" i="39"/>
  <c r="AB52" i="98"/>
  <c r="BH86" i="99"/>
  <c r="BH146" i="39"/>
  <c r="O9" i="36"/>
  <c r="C20" i="36" s="1"/>
  <c r="E20" i="36" s="1"/>
  <c r="N10" i="111" s="1"/>
  <c r="W19" i="32"/>
  <c r="G19" i="32"/>
  <c r="AQ16" i="33"/>
  <c r="AS16" i="33" s="1"/>
  <c r="K29" i="35" s="1"/>
  <c r="O39" i="32"/>
  <c r="O40" i="32" s="1"/>
  <c r="O41" i="32" s="1"/>
  <c r="O42" i="32" s="1"/>
  <c r="O43" i="32" s="1"/>
  <c r="O44" i="32" s="1"/>
  <c r="O45" i="32" s="1"/>
  <c r="O46" i="32" s="1"/>
  <c r="O47" i="32" s="1"/>
  <c r="O48" i="32" s="1"/>
  <c r="O49" i="32" s="1"/>
  <c r="O50" i="32" s="1"/>
  <c r="O51" i="32" s="1"/>
  <c r="O52" i="32" s="1"/>
  <c r="O53" i="32" s="1"/>
  <c r="O54" i="32" s="1"/>
  <c r="O55" i="32" s="1"/>
  <c r="O56" i="32" s="1"/>
  <c r="O57" i="32" s="1"/>
  <c r="O58" i="32" s="1"/>
  <c r="O59" i="32" s="1"/>
  <c r="O60" i="32" s="1"/>
  <c r="L28" i="35"/>
  <c r="N27" i="36" s="1"/>
  <c r="M18" i="111" s="1"/>
  <c r="BC16" i="91"/>
  <c r="E59" i="36"/>
  <c r="G40" i="32"/>
  <c r="K41" i="32"/>
  <c r="CF104" i="39"/>
  <c r="DF103" i="39"/>
  <c r="DJ103" i="39"/>
  <c r="DN103" i="39"/>
  <c r="DC103" i="39"/>
  <c r="DG103" i="39"/>
  <c r="DK103" i="39"/>
  <c r="DO103" i="39"/>
  <c r="DD103" i="39"/>
  <c r="DH103" i="39"/>
  <c r="DL103" i="39"/>
  <c r="DE103" i="39"/>
  <c r="DI103" i="39"/>
  <c r="DM103" i="39"/>
  <c r="DB103" i="39"/>
  <c r="BJ93" i="39"/>
  <c r="BL92" i="39"/>
  <c r="BK92" i="39"/>
  <c r="W20" i="32"/>
  <c r="W50" i="32"/>
  <c r="W51" i="32" s="1"/>
  <c r="W52" i="32" s="1"/>
  <c r="W53" i="32" s="1"/>
  <c r="W54" i="32" s="1"/>
  <c r="W55" i="32" s="1"/>
  <c r="W56" i="32" s="1"/>
  <c r="W57" i="32" s="1"/>
  <c r="W58" i="32" s="1"/>
  <c r="W59" i="32" s="1"/>
  <c r="W60" i="32" s="1"/>
  <c r="T21" i="32"/>
  <c r="S22" i="32"/>
  <c r="E24" i="67"/>
  <c r="S22" i="110" l="1"/>
  <c r="M31" i="111"/>
  <c r="D125" i="111"/>
  <c r="D131" i="111" s="1"/>
  <c r="S17" i="110"/>
  <c r="R35" i="110"/>
  <c r="H61" i="110"/>
  <c r="G128" i="111"/>
  <c r="H48" i="110"/>
  <c r="H74" i="110" s="1"/>
  <c r="G143" i="111"/>
  <c r="I143" i="111" s="1"/>
  <c r="K143" i="111" s="1"/>
  <c r="I33" i="110"/>
  <c r="I59" i="110" s="1"/>
  <c r="E128" i="111"/>
  <c r="J128" i="111" s="1"/>
  <c r="E57" i="36"/>
  <c r="N28" i="111"/>
  <c r="D141" i="111" s="1"/>
  <c r="E54" i="36"/>
  <c r="N25" i="111"/>
  <c r="N32" i="111" s="1"/>
  <c r="D58" i="36"/>
  <c r="N19" i="111"/>
  <c r="I47" i="110" s="1"/>
  <c r="F27" i="108"/>
  <c r="F29" i="108" s="1"/>
  <c r="G22" i="108"/>
  <c r="N48" i="36"/>
  <c r="V58" i="98"/>
  <c r="BG92" i="99"/>
  <c r="BG152" i="39"/>
  <c r="W56" i="98"/>
  <c r="BI90" i="99"/>
  <c r="BI150" i="39"/>
  <c r="AB53" i="98"/>
  <c r="BH87" i="99"/>
  <c r="BH147" i="39"/>
  <c r="O7" i="36"/>
  <c r="C18" i="36" s="1"/>
  <c r="E18" i="36" s="1"/>
  <c r="N8" i="111" s="1"/>
  <c r="I35" i="110" s="1"/>
  <c r="I61" i="110" s="1"/>
  <c r="K19" i="32"/>
  <c r="P37" i="32"/>
  <c r="O20" i="32"/>
  <c r="L29" i="35"/>
  <c r="X20" i="32"/>
  <c r="C59" i="36"/>
  <c r="G41" i="32"/>
  <c r="K42" i="32"/>
  <c r="CF105" i="39"/>
  <c r="DF104" i="39"/>
  <c r="DJ104" i="39"/>
  <c r="DN104" i="39"/>
  <c r="DC104" i="39"/>
  <c r="DG104" i="39"/>
  <c r="DK104" i="39"/>
  <c r="DO104" i="39"/>
  <c r="DD104" i="39"/>
  <c r="DH104" i="39"/>
  <c r="DL104" i="39"/>
  <c r="DE104" i="39"/>
  <c r="DI104" i="39"/>
  <c r="DM104" i="39"/>
  <c r="DB104" i="39"/>
  <c r="BL93" i="39"/>
  <c r="BK93" i="39"/>
  <c r="BJ94" i="39"/>
  <c r="W21" i="32"/>
  <c r="O21" i="32"/>
  <c r="G26" i="108" l="1"/>
  <c r="G27" i="108" s="1"/>
  <c r="G29" i="108" s="1"/>
  <c r="J29" i="108" s="1"/>
  <c r="F46" i="108"/>
  <c r="I29" i="108"/>
  <c r="D9" i="109" s="1"/>
  <c r="D11" i="109" s="1"/>
  <c r="C138" i="111"/>
  <c r="C144" i="111" s="1"/>
  <c r="E125" i="111"/>
  <c r="J125" i="111" s="1"/>
  <c r="S47" i="110"/>
  <c r="I73" i="110"/>
  <c r="S73" i="110" s="1"/>
  <c r="E60" i="36"/>
  <c r="F141" i="111"/>
  <c r="I128" i="111"/>
  <c r="K128" i="111" s="1"/>
  <c r="G142" i="111"/>
  <c r="I142" i="111" s="1"/>
  <c r="K142" i="111" s="1"/>
  <c r="S35" i="110"/>
  <c r="R48" i="110"/>
  <c r="R61" i="110"/>
  <c r="S61" i="110"/>
  <c r="S59" i="110"/>
  <c r="S33" i="110"/>
  <c r="E141" i="111"/>
  <c r="J141" i="111" s="1"/>
  <c r="N31" i="111"/>
  <c r="D138" i="111"/>
  <c r="V59" i="98"/>
  <c r="BG93" i="99"/>
  <c r="BG153" i="39"/>
  <c r="W57" i="98"/>
  <c r="BI151" i="39"/>
  <c r="BI91" i="99"/>
  <c r="AB54" i="98"/>
  <c r="BH148" i="39"/>
  <c r="BH88" i="99"/>
  <c r="F24" i="67"/>
  <c r="G24" i="67" s="1"/>
  <c r="O27" i="36"/>
  <c r="O19" i="32"/>
  <c r="P20" i="32" s="1"/>
  <c r="L37" i="32"/>
  <c r="C57" i="36"/>
  <c r="G42" i="32"/>
  <c r="K43" i="32"/>
  <c r="CF106" i="39"/>
  <c r="DF105" i="39"/>
  <c r="DJ105" i="39"/>
  <c r="DN105" i="39"/>
  <c r="DC105" i="39"/>
  <c r="DG105" i="39"/>
  <c r="DK105" i="39"/>
  <c r="DO105" i="39"/>
  <c r="DD105" i="39"/>
  <c r="DH105" i="39"/>
  <c r="DL105" i="39"/>
  <c r="DE105" i="39"/>
  <c r="DI105" i="39"/>
  <c r="DM105" i="39"/>
  <c r="DB105" i="39"/>
  <c r="BK94" i="39"/>
  <c r="BL94" i="39"/>
  <c r="BJ95" i="39"/>
  <c r="P21" i="32"/>
  <c r="O22" i="32"/>
  <c r="X21" i="32"/>
  <c r="W22" i="32"/>
  <c r="G46" i="108" l="1"/>
  <c r="E9" i="109"/>
  <c r="E11" i="109" s="1"/>
  <c r="H47" i="108"/>
  <c r="G48" i="108"/>
  <c r="F48" i="108"/>
  <c r="F49" i="108" s="1"/>
  <c r="G47" i="108"/>
  <c r="E131" i="111"/>
  <c r="R74" i="110"/>
  <c r="E138" i="111"/>
  <c r="D144" i="111"/>
  <c r="C35" i="36"/>
  <c r="V60" i="98"/>
  <c r="BG94" i="99"/>
  <c r="BG154" i="39"/>
  <c r="W58" i="98"/>
  <c r="BI152" i="39"/>
  <c r="BI92" i="99"/>
  <c r="AB55" i="98"/>
  <c r="BH149" i="39"/>
  <c r="BH89" i="99"/>
  <c r="G43" i="32"/>
  <c r="K44" i="32"/>
  <c r="CF107" i="39"/>
  <c r="DF106" i="39"/>
  <c r="DJ106" i="39"/>
  <c r="DN106" i="39"/>
  <c r="DC106" i="39"/>
  <c r="DG106" i="39"/>
  <c r="DK106" i="39"/>
  <c r="DO106" i="39"/>
  <c r="DD106" i="39"/>
  <c r="DH106" i="39"/>
  <c r="DL106" i="39"/>
  <c r="DE106" i="39"/>
  <c r="DI106" i="39"/>
  <c r="DM106" i="39"/>
  <c r="DB106" i="39"/>
  <c r="BK95" i="39"/>
  <c r="BL95" i="39"/>
  <c r="BJ96" i="39"/>
  <c r="D35" i="36"/>
  <c r="D55" i="108" l="1"/>
  <c r="G49" i="108"/>
  <c r="E55" i="108" s="1"/>
  <c r="E56" i="108" s="1"/>
  <c r="E35" i="36"/>
  <c r="N18" i="111" s="1"/>
  <c r="J138" i="111"/>
  <c r="E144" i="111"/>
  <c r="V61" i="98"/>
  <c r="BG95" i="99"/>
  <c r="BG155" i="39"/>
  <c r="W59" i="98"/>
  <c r="BI153" i="39"/>
  <c r="BI93" i="99"/>
  <c r="AB56" i="98"/>
  <c r="BH90" i="99"/>
  <c r="BH150" i="39"/>
  <c r="G44" i="32"/>
  <c r="K45" i="32"/>
  <c r="CF108" i="39"/>
  <c r="DF107" i="39"/>
  <c r="DJ107" i="39"/>
  <c r="DN107" i="39"/>
  <c r="DC107" i="39"/>
  <c r="DG107" i="39"/>
  <c r="DK107" i="39"/>
  <c r="DO107" i="39"/>
  <c r="DD107" i="39"/>
  <c r="DH107" i="39"/>
  <c r="DL107" i="39"/>
  <c r="DE107" i="39"/>
  <c r="DI107" i="39"/>
  <c r="DM107" i="39"/>
  <c r="DB107" i="39"/>
  <c r="BJ97" i="39"/>
  <c r="BL96" i="39"/>
  <c r="BK96" i="39"/>
  <c r="F55" i="108" l="1"/>
  <c r="D56" i="108"/>
  <c r="F56" i="108" s="1"/>
  <c r="D57" i="36"/>
  <c r="G141" i="111"/>
  <c r="I141" i="111" s="1"/>
  <c r="K141" i="111" s="1"/>
  <c r="I48" i="110"/>
  <c r="I74" i="110" s="1"/>
  <c r="V62" i="98"/>
  <c r="BG96" i="99"/>
  <c r="BG156" i="39"/>
  <c r="W60" i="98"/>
  <c r="BI94" i="99"/>
  <c r="BI154" i="39"/>
  <c r="AB57" i="98"/>
  <c r="BH91" i="99"/>
  <c r="BH151" i="39"/>
  <c r="G45" i="32"/>
  <c r="K46" i="32"/>
  <c r="CF109" i="39"/>
  <c r="DF108" i="39"/>
  <c r="DJ108" i="39"/>
  <c r="DN108" i="39"/>
  <c r="DC108" i="39"/>
  <c r="DG108" i="39"/>
  <c r="DK108" i="39"/>
  <c r="DO108" i="39"/>
  <c r="DD108" i="39"/>
  <c r="DH108" i="39"/>
  <c r="DL108" i="39"/>
  <c r="DE108" i="39"/>
  <c r="DI108" i="39"/>
  <c r="DM108" i="39"/>
  <c r="DB108" i="39"/>
  <c r="BL97" i="39"/>
  <c r="BK97" i="39"/>
  <c r="BJ98" i="39"/>
  <c r="S74" i="110" l="1"/>
  <c r="S48" i="110"/>
  <c r="V63" i="98"/>
  <c r="BG97" i="99"/>
  <c r="BG157" i="39"/>
  <c r="W61" i="98"/>
  <c r="BI95" i="99"/>
  <c r="BI155" i="39"/>
  <c r="AB58" i="98"/>
  <c r="BH152" i="39"/>
  <c r="BH92" i="99"/>
  <c r="G46" i="32"/>
  <c r="K47" i="32"/>
  <c r="CF110" i="39"/>
  <c r="DF109" i="39"/>
  <c r="DJ109" i="39"/>
  <c r="DN109" i="39"/>
  <c r="DC109" i="39"/>
  <c r="DG109" i="39"/>
  <c r="DK109" i="39"/>
  <c r="DO109" i="39"/>
  <c r="DD109" i="39"/>
  <c r="DH109" i="39"/>
  <c r="DL109" i="39"/>
  <c r="DE109" i="39"/>
  <c r="DI109" i="39"/>
  <c r="DM109" i="39"/>
  <c r="DB109" i="39"/>
  <c r="BL98" i="39"/>
  <c r="BK98" i="39"/>
  <c r="BJ99" i="39"/>
  <c r="V64" i="98" l="1"/>
  <c r="BG98" i="99"/>
  <c r="BG158" i="39"/>
  <c r="W62" i="98"/>
  <c r="BI96" i="99"/>
  <c r="BI156" i="39"/>
  <c r="AB59" i="98"/>
  <c r="BH153" i="39"/>
  <c r="BH93" i="99"/>
  <c r="G47" i="32"/>
  <c r="K48" i="32"/>
  <c r="CF111" i="39"/>
  <c r="DF110" i="39"/>
  <c r="DJ110" i="39"/>
  <c r="DN110" i="39"/>
  <c r="DC110" i="39"/>
  <c r="DG110" i="39"/>
  <c r="DK110" i="39"/>
  <c r="DO110" i="39"/>
  <c r="DD110" i="39"/>
  <c r="DH110" i="39"/>
  <c r="DL110" i="39"/>
  <c r="DE110" i="39"/>
  <c r="DI110" i="39"/>
  <c r="DM110" i="39"/>
  <c r="DB110" i="39"/>
  <c r="BK99" i="39"/>
  <c r="BL99" i="39"/>
  <c r="BJ100" i="39"/>
  <c r="V65" i="98" l="1"/>
  <c r="BG99" i="99"/>
  <c r="BG159" i="39"/>
  <c r="W63" i="98"/>
  <c r="BI97" i="99"/>
  <c r="BI157" i="39"/>
  <c r="AB60" i="98"/>
  <c r="BH94" i="99"/>
  <c r="BH154" i="39"/>
  <c r="K20" i="32"/>
  <c r="L20" i="32" s="1"/>
  <c r="G48" i="32"/>
  <c r="K49" i="32"/>
  <c r="CF112" i="39"/>
  <c r="DF111" i="39"/>
  <c r="DJ111" i="39"/>
  <c r="DN111" i="39"/>
  <c r="DC111" i="39"/>
  <c r="DG111" i="39"/>
  <c r="DK111" i="39"/>
  <c r="DO111" i="39"/>
  <c r="DD111" i="39"/>
  <c r="DH111" i="39"/>
  <c r="DL111" i="39"/>
  <c r="DE111" i="39"/>
  <c r="DI111" i="39"/>
  <c r="DM111" i="39"/>
  <c r="DB111" i="39"/>
  <c r="BJ101" i="39"/>
  <c r="BL100" i="39"/>
  <c r="BK100" i="39"/>
  <c r="V66" i="98" l="1"/>
  <c r="BG100" i="99"/>
  <c r="BG160" i="39"/>
  <c r="W64" i="98"/>
  <c r="BI158" i="39"/>
  <c r="BI98" i="99"/>
  <c r="AB61" i="98"/>
  <c r="BH155" i="39"/>
  <c r="BH95" i="99"/>
  <c r="N134" i="28"/>
  <c r="Q134" i="28" s="1"/>
  <c r="G20" i="32"/>
  <c r="G49" i="32"/>
  <c r="S122" i="85" s="1"/>
  <c r="K50" i="32"/>
  <c r="CF113" i="39"/>
  <c r="DF112" i="39"/>
  <c r="DJ112" i="39"/>
  <c r="DN112" i="39"/>
  <c r="DC112" i="39"/>
  <c r="DG112" i="39"/>
  <c r="DK112" i="39"/>
  <c r="DO112" i="39"/>
  <c r="DD112" i="39"/>
  <c r="DH112" i="39"/>
  <c r="DL112" i="39"/>
  <c r="DE112" i="39"/>
  <c r="DI112" i="39"/>
  <c r="DM112" i="39"/>
  <c r="DB112" i="39"/>
  <c r="BJ102" i="39"/>
  <c r="BL101" i="39"/>
  <c r="BK101" i="39"/>
  <c r="V67" i="98" l="1"/>
  <c r="BG101" i="99"/>
  <c r="BG161" i="39"/>
  <c r="W65" i="98"/>
  <c r="BI159" i="39"/>
  <c r="BI99" i="99"/>
  <c r="AB62" i="98"/>
  <c r="BH156" i="39"/>
  <c r="BH96" i="99"/>
  <c r="N135" i="28"/>
  <c r="Q135" i="28" s="1"/>
  <c r="H20" i="32"/>
  <c r="N122" i="28"/>
  <c r="Q122" i="28" s="1"/>
  <c r="G50" i="32"/>
  <c r="P123" i="85" s="1"/>
  <c r="S123" i="85" s="1"/>
  <c r="K51" i="32"/>
  <c r="CF114" i="39"/>
  <c r="DF113" i="39"/>
  <c r="DJ113" i="39"/>
  <c r="DN113" i="39"/>
  <c r="DC113" i="39"/>
  <c r="DG113" i="39"/>
  <c r="DK113" i="39"/>
  <c r="DO113" i="39"/>
  <c r="DD113" i="39"/>
  <c r="DH113" i="39"/>
  <c r="DL113" i="39"/>
  <c r="DE113" i="39"/>
  <c r="DI113" i="39"/>
  <c r="DM113" i="39"/>
  <c r="DB113" i="39"/>
  <c r="BK102" i="39"/>
  <c r="BL102" i="39"/>
  <c r="BJ103" i="39"/>
  <c r="V68" i="98" l="1"/>
  <c r="BG102" i="99"/>
  <c r="BG162" i="39"/>
  <c r="W66" i="98"/>
  <c r="BI100" i="99"/>
  <c r="BI160" i="39"/>
  <c r="AB63" i="98"/>
  <c r="BH97" i="99"/>
  <c r="BH157" i="39"/>
  <c r="N136" i="28"/>
  <c r="Q136" i="28" s="1"/>
  <c r="G51" i="32"/>
  <c r="P124" i="85" s="1"/>
  <c r="S124" i="85" s="1"/>
  <c r="N123" i="28"/>
  <c r="Q123" i="28" s="1"/>
  <c r="K52" i="32"/>
  <c r="CF115" i="39"/>
  <c r="DF114" i="39"/>
  <c r="DJ114" i="39"/>
  <c r="DN114" i="39"/>
  <c r="DC114" i="39"/>
  <c r="DG114" i="39"/>
  <c r="DK114" i="39"/>
  <c r="DO114" i="39"/>
  <c r="DD114" i="39"/>
  <c r="DH114" i="39"/>
  <c r="DL114" i="39"/>
  <c r="DE114" i="39"/>
  <c r="DI114" i="39"/>
  <c r="DM114" i="39"/>
  <c r="DB114" i="39"/>
  <c r="BL103" i="39"/>
  <c r="BJ104" i="39"/>
  <c r="BK103" i="39"/>
  <c r="V69" i="98" l="1"/>
  <c r="BG103" i="99"/>
  <c r="BG163" i="39"/>
  <c r="W67" i="98"/>
  <c r="BI101" i="99"/>
  <c r="BI161" i="39"/>
  <c r="AB64" i="98"/>
  <c r="BH98" i="99"/>
  <c r="BH158" i="39"/>
  <c r="N137" i="28"/>
  <c r="Q137" i="28" s="1"/>
  <c r="N124" i="28"/>
  <c r="Q124" i="28" s="1"/>
  <c r="G52" i="32"/>
  <c r="P125" i="85" s="1"/>
  <c r="S125" i="85" s="1"/>
  <c r="K53" i="32"/>
  <c r="CF116" i="39"/>
  <c r="DF115" i="39"/>
  <c r="DJ115" i="39"/>
  <c r="DN115" i="39"/>
  <c r="DC115" i="39"/>
  <c r="DG115" i="39"/>
  <c r="DK115" i="39"/>
  <c r="DO115" i="39"/>
  <c r="DD115" i="39"/>
  <c r="DH115" i="39"/>
  <c r="DL115" i="39"/>
  <c r="DM115" i="39"/>
  <c r="DB115" i="39"/>
  <c r="DE115" i="39"/>
  <c r="DI115" i="39"/>
  <c r="BJ105" i="39"/>
  <c r="BK104" i="39"/>
  <c r="BL104" i="39"/>
  <c r="V70" i="98" l="1"/>
  <c r="BG104" i="99"/>
  <c r="BG164" i="39"/>
  <c r="W68" i="98"/>
  <c r="BI102" i="99"/>
  <c r="BI162" i="39"/>
  <c r="AB65" i="98"/>
  <c r="BH159" i="39"/>
  <c r="BH99" i="99"/>
  <c r="N138" i="28"/>
  <c r="G53" i="32"/>
  <c r="P126" i="85" s="1"/>
  <c r="S126" i="85" s="1"/>
  <c r="N125" i="28"/>
  <c r="Q125" i="28" s="1"/>
  <c r="K54" i="32"/>
  <c r="CF117" i="39"/>
  <c r="DF116" i="39"/>
  <c r="DJ116" i="39"/>
  <c r="DC116" i="39"/>
  <c r="DG116" i="39"/>
  <c r="DK116" i="39"/>
  <c r="DO116" i="39"/>
  <c r="DH116" i="39"/>
  <c r="DN116" i="39"/>
  <c r="DI116" i="39"/>
  <c r="DD116" i="39"/>
  <c r="DL116" i="39"/>
  <c r="DB116" i="39"/>
  <c r="DE116" i="39"/>
  <c r="DM116" i="39"/>
  <c r="BL105" i="39"/>
  <c r="BJ106" i="39"/>
  <c r="BK105" i="39"/>
  <c r="V71" i="98" l="1"/>
  <c r="BG105" i="99"/>
  <c r="BG165" i="39"/>
  <c r="W69" i="98"/>
  <c r="BI103" i="99"/>
  <c r="BI163" i="39"/>
  <c r="AB66" i="98"/>
  <c r="BH160" i="39"/>
  <c r="BH100" i="99"/>
  <c r="N139" i="28"/>
  <c r="Q139" i="28" s="1"/>
  <c r="N126" i="28"/>
  <c r="Q126" i="28" s="1"/>
  <c r="G54" i="32"/>
  <c r="P127" i="85" s="1"/>
  <c r="S127" i="85" s="1"/>
  <c r="K55" i="32"/>
  <c r="CF118" i="39"/>
  <c r="DC117" i="39"/>
  <c r="DG117" i="39"/>
  <c r="DK117" i="39"/>
  <c r="DO117" i="39"/>
  <c r="DH117" i="39"/>
  <c r="DM117" i="39"/>
  <c r="DD117" i="39"/>
  <c r="DI117" i="39"/>
  <c r="DN117" i="39"/>
  <c r="DE117" i="39"/>
  <c r="DJ117" i="39"/>
  <c r="DF117" i="39"/>
  <c r="DL117" i="39"/>
  <c r="DB117" i="39"/>
  <c r="BL106" i="39"/>
  <c r="BJ107" i="39"/>
  <c r="BK106" i="39"/>
  <c r="V72" i="98" l="1"/>
  <c r="BG106" i="99"/>
  <c r="BG166" i="39"/>
  <c r="W70" i="98"/>
  <c r="BI164" i="39"/>
  <c r="BI104" i="99"/>
  <c r="AB67" i="98"/>
  <c r="BH101" i="99"/>
  <c r="BH161" i="39"/>
  <c r="N140" i="28"/>
  <c r="Q140" i="28" s="1"/>
  <c r="G55" i="32"/>
  <c r="P128" i="85" s="1"/>
  <c r="S128" i="85" s="1"/>
  <c r="N127" i="28"/>
  <c r="Q127" i="28" s="1"/>
  <c r="K56" i="32"/>
  <c r="CF119" i="39"/>
  <c r="DC118" i="39"/>
  <c r="DG118" i="39"/>
  <c r="DK118" i="39"/>
  <c r="DF118" i="39"/>
  <c r="DL118" i="39"/>
  <c r="DB118" i="39"/>
  <c r="DH118" i="39"/>
  <c r="DM118" i="39"/>
  <c r="DD118" i="39"/>
  <c r="DI118" i="39"/>
  <c r="DN118" i="39"/>
  <c r="DE118" i="39"/>
  <c r="DJ118" i="39"/>
  <c r="DO118" i="39"/>
  <c r="BJ108" i="39"/>
  <c r="BK107" i="39"/>
  <c r="BL107" i="39"/>
  <c r="V73" i="98" l="1"/>
  <c r="BG107" i="99"/>
  <c r="BG167" i="39"/>
  <c r="W71" i="98"/>
  <c r="BI105" i="99"/>
  <c r="BI165" i="39"/>
  <c r="AB68" i="98"/>
  <c r="BH102" i="99"/>
  <c r="BH162" i="39"/>
  <c r="N141" i="28"/>
  <c r="Q141" i="28" s="1"/>
  <c r="G14" i="33"/>
  <c r="I14" i="33" s="1"/>
  <c r="G15" i="33"/>
  <c r="I15" i="33" s="1"/>
  <c r="N128" i="28"/>
  <c r="Q128" i="28" s="1"/>
  <c r="G56" i="32"/>
  <c r="P129" i="85" s="1"/>
  <c r="S129" i="85" s="1"/>
  <c r="K57" i="32"/>
  <c r="CF120" i="39"/>
  <c r="DD119" i="39"/>
  <c r="DH119" i="39"/>
  <c r="DL119" i="39"/>
  <c r="DE119" i="39"/>
  <c r="DI119" i="39"/>
  <c r="DM119" i="39"/>
  <c r="DB119" i="39"/>
  <c r="DF119" i="39"/>
  <c r="DJ119" i="39"/>
  <c r="DN119" i="39"/>
  <c r="DC119" i="39"/>
  <c r="DG119" i="39"/>
  <c r="DK119" i="39"/>
  <c r="DO119" i="39"/>
  <c r="BJ109" i="39"/>
  <c r="BK108" i="39"/>
  <c r="BL108" i="39"/>
  <c r="G16" i="33"/>
  <c r="I16" i="33" s="1"/>
  <c r="G6" i="33"/>
  <c r="I6" i="33" s="1"/>
  <c r="K6" i="33" s="1"/>
  <c r="G7" i="33"/>
  <c r="I7" i="33" s="1"/>
  <c r="K7" i="33" s="1"/>
  <c r="K14" i="33" l="1"/>
  <c r="M3" i="36" s="1"/>
  <c r="V74" i="98"/>
  <c r="BG108" i="99"/>
  <c r="BG168" i="39"/>
  <c r="W72" i="98"/>
  <c r="BI166" i="39"/>
  <c r="BI106" i="99"/>
  <c r="AB69" i="98"/>
  <c r="BH103" i="99"/>
  <c r="BH163" i="39"/>
  <c r="I7" i="67"/>
  <c r="N142" i="28"/>
  <c r="Q142" i="28" s="1"/>
  <c r="G57" i="32"/>
  <c r="P130" i="85" s="1"/>
  <c r="S130" i="85" s="1"/>
  <c r="N129" i="28"/>
  <c r="Q129" i="28" s="1"/>
  <c r="K58" i="32"/>
  <c r="CF121" i="39"/>
  <c r="DD120" i="39"/>
  <c r="DH120" i="39"/>
  <c r="DL120" i="39"/>
  <c r="DE120" i="39"/>
  <c r="DI120" i="39"/>
  <c r="DM120" i="39"/>
  <c r="DF120" i="39"/>
  <c r="DJ120" i="39"/>
  <c r="DN120" i="39"/>
  <c r="DB120" i="39"/>
  <c r="DC120" i="39"/>
  <c r="DG120" i="39"/>
  <c r="DK120" i="39"/>
  <c r="DO120" i="39"/>
  <c r="BL109" i="39"/>
  <c r="BK109" i="39"/>
  <c r="BJ110" i="39"/>
  <c r="N7" i="26"/>
  <c r="O7" i="26" s="1"/>
  <c r="V75" i="98" l="1"/>
  <c r="BG109" i="99"/>
  <c r="BG169" i="39"/>
  <c r="W73" i="98"/>
  <c r="BI107" i="99"/>
  <c r="BI167" i="39"/>
  <c r="AB70" i="98"/>
  <c r="BH164" i="39"/>
  <c r="BH104" i="99"/>
  <c r="J7" i="67"/>
  <c r="D14" i="36" s="1"/>
  <c r="N143" i="28"/>
  <c r="Q143" i="28" s="1"/>
  <c r="G58" i="32"/>
  <c r="P131" i="85" s="1"/>
  <c r="S131" i="85" s="1"/>
  <c r="N130" i="28"/>
  <c r="Q130" i="28" s="1"/>
  <c r="K59" i="32"/>
  <c r="CF122" i="39"/>
  <c r="DD121" i="39"/>
  <c r="DH121" i="39"/>
  <c r="DL121" i="39"/>
  <c r="DE121" i="39"/>
  <c r="DI121" i="39"/>
  <c r="DM121" i="39"/>
  <c r="DF121" i="39"/>
  <c r="DJ121" i="39"/>
  <c r="DN121" i="39"/>
  <c r="DC121" i="39"/>
  <c r="DG121" i="39"/>
  <c r="DK121" i="39"/>
  <c r="DO121" i="39"/>
  <c r="DB121" i="39"/>
  <c r="BL110" i="39"/>
  <c r="BK110" i="39"/>
  <c r="BJ111" i="39"/>
  <c r="V76" i="98" l="1"/>
  <c r="BG110" i="99"/>
  <c r="BG170" i="39"/>
  <c r="W74" i="98"/>
  <c r="BI108" i="99"/>
  <c r="BI168" i="39"/>
  <c r="AB71" i="98"/>
  <c r="BH105" i="99"/>
  <c r="BH165" i="39"/>
  <c r="N144" i="28"/>
  <c r="Q144" i="28" s="1"/>
  <c r="G59" i="32"/>
  <c r="P132" i="85" s="1"/>
  <c r="S132" i="85" s="1"/>
  <c r="N131" i="28"/>
  <c r="Q131" i="28" s="1"/>
  <c r="K60" i="32"/>
  <c r="CF123" i="39"/>
  <c r="DD122" i="39"/>
  <c r="DH122" i="39"/>
  <c r="DL122" i="39"/>
  <c r="DB122" i="39"/>
  <c r="DE122" i="39"/>
  <c r="DI122" i="39"/>
  <c r="DM122" i="39"/>
  <c r="DF122" i="39"/>
  <c r="DJ122" i="39"/>
  <c r="DN122" i="39"/>
  <c r="DC122" i="39"/>
  <c r="DG122" i="39"/>
  <c r="DK122" i="39"/>
  <c r="DO122" i="39"/>
  <c r="BK111" i="39"/>
  <c r="BL111" i="39"/>
  <c r="BJ112" i="39"/>
  <c r="V77" i="98" l="1"/>
  <c r="BG111" i="99"/>
  <c r="BG171" i="39"/>
  <c r="W75" i="98"/>
  <c r="BI109" i="99"/>
  <c r="BI169" i="39"/>
  <c r="AB72" i="98"/>
  <c r="BH106" i="99"/>
  <c r="BH166" i="39"/>
  <c r="N145" i="28"/>
  <c r="Q145" i="28" s="1"/>
  <c r="N132" i="28"/>
  <c r="Q132" i="28" s="1"/>
  <c r="G60" i="32"/>
  <c r="P133" i="85" s="1"/>
  <c r="S133" i="85" s="1"/>
  <c r="K21" i="32"/>
  <c r="CF124" i="39"/>
  <c r="DD123" i="39"/>
  <c r="DH123" i="39"/>
  <c r="DL123" i="39"/>
  <c r="DE123" i="39"/>
  <c r="DI123" i="39"/>
  <c r="DM123" i="39"/>
  <c r="DB123" i="39"/>
  <c r="DF123" i="39"/>
  <c r="DJ123" i="39"/>
  <c r="DN123" i="39"/>
  <c r="DC123" i="39"/>
  <c r="DG123" i="39"/>
  <c r="DK123" i="39"/>
  <c r="DO123" i="39"/>
  <c r="BJ113" i="39"/>
  <c r="BL112" i="39"/>
  <c r="BK112" i="39"/>
  <c r="V78" i="98" l="1"/>
  <c r="BG112" i="99"/>
  <c r="BG172" i="39"/>
  <c r="W76" i="98"/>
  <c r="BI170" i="39"/>
  <c r="BI110" i="99"/>
  <c r="AB73" i="98"/>
  <c r="BH107" i="99"/>
  <c r="BH167" i="39"/>
  <c r="R14" i="91"/>
  <c r="T14" i="91" s="1"/>
  <c r="R15" i="91"/>
  <c r="AC16" i="91"/>
  <c r="AE16" i="91" s="1"/>
  <c r="AC14" i="91"/>
  <c r="AE14" i="91" s="1"/>
  <c r="AG14" i="91" s="1"/>
  <c r="AC15" i="91"/>
  <c r="AE15" i="91" s="1"/>
  <c r="R16" i="91"/>
  <c r="N133" i="28"/>
  <c r="Q133" i="28" s="1"/>
  <c r="R15" i="33" s="1"/>
  <c r="T15" i="33" s="1"/>
  <c r="G21" i="32"/>
  <c r="L21" i="32"/>
  <c r="K22" i="32"/>
  <c r="CF125" i="39"/>
  <c r="DD124" i="39"/>
  <c r="DH124" i="39"/>
  <c r="DL124" i="39"/>
  <c r="DE124" i="39"/>
  <c r="DI124" i="39"/>
  <c r="DM124" i="39"/>
  <c r="DF124" i="39"/>
  <c r="DJ124" i="39"/>
  <c r="DN124" i="39"/>
  <c r="DB124" i="39"/>
  <c r="DC124" i="39"/>
  <c r="DG124" i="39"/>
  <c r="DK124" i="39"/>
  <c r="DO124" i="39"/>
  <c r="BL113" i="39"/>
  <c r="BK113" i="39"/>
  <c r="BJ114" i="39"/>
  <c r="G57" i="110" l="1"/>
  <c r="Q57" i="110" s="1"/>
  <c r="G56" i="110"/>
  <c r="Q56" i="110" s="1"/>
  <c r="V14" i="91"/>
  <c r="V79" i="98"/>
  <c r="BG113" i="99"/>
  <c r="BG173" i="39"/>
  <c r="W77" i="98"/>
  <c r="BI111" i="99"/>
  <c r="BI171" i="39"/>
  <c r="AB74" i="98"/>
  <c r="BH168" i="39"/>
  <c r="BH108" i="99"/>
  <c r="R16" i="33"/>
  <c r="T16" i="33" s="1"/>
  <c r="R14" i="33"/>
  <c r="T14" i="33" s="1"/>
  <c r="T15" i="91"/>
  <c r="T16" i="91"/>
  <c r="H21" i="32"/>
  <c r="G22" i="32"/>
  <c r="CF126" i="39"/>
  <c r="DD125" i="39"/>
  <c r="DH125" i="39"/>
  <c r="DL125" i="39"/>
  <c r="DE125" i="39"/>
  <c r="DI125" i="39"/>
  <c r="DM125" i="39"/>
  <c r="DF125" i="39"/>
  <c r="DJ125" i="39"/>
  <c r="DN125" i="39"/>
  <c r="DC125" i="39"/>
  <c r="DG125" i="39"/>
  <c r="DK125" i="39"/>
  <c r="DO125" i="39"/>
  <c r="DB125" i="39"/>
  <c r="BK114" i="39"/>
  <c r="BL114" i="39"/>
  <c r="BJ115" i="39"/>
  <c r="G65" i="110" l="1"/>
  <c r="J65" i="110" s="1"/>
  <c r="V14" i="33"/>
  <c r="M4" i="36" s="1"/>
  <c r="V80" i="98"/>
  <c r="BG114" i="99"/>
  <c r="BG174" i="39"/>
  <c r="W78" i="98"/>
  <c r="BI112" i="99"/>
  <c r="BI172" i="39"/>
  <c r="AB75" i="98"/>
  <c r="BH109" i="99"/>
  <c r="BH169" i="39"/>
  <c r="I8" i="67"/>
  <c r="CF127" i="39"/>
  <c r="DD126" i="39"/>
  <c r="DH126" i="39"/>
  <c r="DL126" i="39"/>
  <c r="DB126" i="39"/>
  <c r="DE126" i="39"/>
  <c r="DI126" i="39"/>
  <c r="DM126" i="39"/>
  <c r="DF126" i="39"/>
  <c r="DJ126" i="39"/>
  <c r="DN126" i="39"/>
  <c r="DC126" i="39"/>
  <c r="DG126" i="39"/>
  <c r="DK126" i="39"/>
  <c r="DO126" i="39"/>
  <c r="BK115" i="39"/>
  <c r="BL115" i="39"/>
  <c r="BJ116" i="39"/>
  <c r="V81" i="98" l="1"/>
  <c r="BG115" i="99"/>
  <c r="BG175" i="39"/>
  <c r="W79" i="98"/>
  <c r="BI113" i="99"/>
  <c r="BI173" i="39"/>
  <c r="AB76" i="98"/>
  <c r="BH110" i="99"/>
  <c r="BH170" i="39"/>
  <c r="J8" i="67"/>
  <c r="D15" i="36" s="1"/>
  <c r="CF128" i="39"/>
  <c r="DD127" i="39"/>
  <c r="DH127" i="39"/>
  <c r="DL127" i="39"/>
  <c r="DE127" i="39"/>
  <c r="DI127" i="39"/>
  <c r="DM127" i="39"/>
  <c r="DB127" i="39"/>
  <c r="DF127" i="39"/>
  <c r="DJ127" i="39"/>
  <c r="DN127" i="39"/>
  <c r="DC127" i="39"/>
  <c r="DG127" i="39"/>
  <c r="DK127" i="39"/>
  <c r="DO127" i="39"/>
  <c r="BJ117" i="39"/>
  <c r="BL116" i="39"/>
  <c r="BK116" i="39"/>
  <c r="V82" i="98" l="1"/>
  <c r="BG116" i="99"/>
  <c r="BG176" i="39"/>
  <c r="W80" i="98"/>
  <c r="BI174" i="39"/>
  <c r="BI114" i="99"/>
  <c r="AB77" i="98"/>
  <c r="BH111" i="99"/>
  <c r="BH171" i="39"/>
  <c r="CF129" i="39"/>
  <c r="DD128" i="39"/>
  <c r="DH128" i="39"/>
  <c r="DL128" i="39"/>
  <c r="DE128" i="39"/>
  <c r="DI128" i="39"/>
  <c r="DM128" i="39"/>
  <c r="DF128" i="39"/>
  <c r="DJ128" i="39"/>
  <c r="DN128" i="39"/>
  <c r="DB128" i="39"/>
  <c r="DC128" i="39"/>
  <c r="DG128" i="39"/>
  <c r="DK128" i="39"/>
  <c r="DO128" i="39"/>
  <c r="BL117" i="39"/>
  <c r="BK117" i="39"/>
  <c r="BJ118" i="39"/>
  <c r="V83" i="98" l="1"/>
  <c r="BG117" i="99"/>
  <c r="BG177" i="39"/>
  <c r="W81" i="98"/>
  <c r="BI175" i="39"/>
  <c r="BI115" i="99"/>
  <c r="AB78" i="98"/>
  <c r="BH112" i="99"/>
  <c r="BH172" i="39"/>
  <c r="CF130" i="39"/>
  <c r="DD129" i="39"/>
  <c r="DH129" i="39"/>
  <c r="DL129" i="39"/>
  <c r="DE129" i="39"/>
  <c r="DI129" i="39"/>
  <c r="DM129" i="39"/>
  <c r="DF129" i="39"/>
  <c r="DJ129" i="39"/>
  <c r="DN129" i="39"/>
  <c r="DC129" i="39"/>
  <c r="DG129" i="39"/>
  <c r="DK129" i="39"/>
  <c r="DO129" i="39"/>
  <c r="DB129" i="39"/>
  <c r="BL118" i="39"/>
  <c r="BK118" i="39"/>
  <c r="BJ119" i="39"/>
  <c r="W82" i="98" l="1"/>
  <c r="BI116" i="99"/>
  <c r="BI176" i="39"/>
  <c r="V84" i="98"/>
  <c r="BG178" i="39"/>
  <c r="BG118" i="99"/>
  <c r="AB79" i="98"/>
  <c r="BH173" i="39"/>
  <c r="BH113" i="99"/>
  <c r="CF131" i="39"/>
  <c r="DD130" i="39"/>
  <c r="DH130" i="39"/>
  <c r="DL130" i="39"/>
  <c r="DB130" i="39"/>
  <c r="DE130" i="39"/>
  <c r="DI130" i="39"/>
  <c r="DM130" i="39"/>
  <c r="DF130" i="39"/>
  <c r="DJ130" i="39"/>
  <c r="DN130" i="39"/>
  <c r="DC130" i="39"/>
  <c r="DG130" i="39"/>
  <c r="DK130" i="39"/>
  <c r="DO130" i="39"/>
  <c r="BL119" i="39"/>
  <c r="BJ120" i="39"/>
  <c r="BK119" i="39"/>
  <c r="V85" i="98" l="1"/>
  <c r="BG119" i="99"/>
  <c r="BG179" i="39"/>
  <c r="W83" i="98"/>
  <c r="BI117" i="99"/>
  <c r="BI177" i="39"/>
  <c r="AB80" i="98"/>
  <c r="BH114" i="99"/>
  <c r="BH174" i="39"/>
  <c r="CF132" i="39"/>
  <c r="DD131" i="39"/>
  <c r="DH131" i="39"/>
  <c r="DL131" i="39"/>
  <c r="DE131" i="39"/>
  <c r="DI131" i="39"/>
  <c r="DM131" i="39"/>
  <c r="DB131" i="39"/>
  <c r="DF131" i="39"/>
  <c r="DJ131" i="39"/>
  <c r="DN131" i="39"/>
  <c r="DC131" i="39"/>
  <c r="DG131" i="39"/>
  <c r="DK131" i="39"/>
  <c r="DO131" i="39"/>
  <c r="BJ121" i="39"/>
  <c r="BL120" i="39"/>
  <c r="BK120" i="39"/>
  <c r="W84" i="98" l="1"/>
  <c r="BI178" i="39"/>
  <c r="BI118" i="99"/>
  <c r="V86" i="98"/>
  <c r="BG120" i="99"/>
  <c r="BG180" i="39"/>
  <c r="AB81" i="98"/>
  <c r="BH115" i="99"/>
  <c r="BH175" i="39"/>
  <c r="CF133" i="39"/>
  <c r="DD132" i="39"/>
  <c r="DH132" i="39"/>
  <c r="DL132" i="39"/>
  <c r="DE132" i="39"/>
  <c r="DI132" i="39"/>
  <c r="DM132" i="39"/>
  <c r="DF132" i="39"/>
  <c r="DJ132" i="39"/>
  <c r="DN132" i="39"/>
  <c r="DB132" i="39"/>
  <c r="DC132" i="39"/>
  <c r="DG132" i="39"/>
  <c r="DK132" i="39"/>
  <c r="DO132" i="39"/>
  <c r="BL121" i="39"/>
  <c r="BJ122" i="39"/>
  <c r="BK121" i="39"/>
  <c r="AB82" i="98" l="1"/>
  <c r="BH116" i="99"/>
  <c r="BH176" i="39"/>
  <c r="BG181" i="39"/>
  <c r="BG121" i="99"/>
  <c r="W85" i="98"/>
  <c r="BI179" i="39"/>
  <c r="BI119" i="99"/>
  <c r="CF134" i="39"/>
  <c r="DD133" i="39"/>
  <c r="DH133" i="39"/>
  <c r="DL133" i="39"/>
  <c r="DE133" i="39"/>
  <c r="DI133" i="39"/>
  <c r="DM133" i="39"/>
  <c r="DF133" i="39"/>
  <c r="DJ133" i="39"/>
  <c r="DN133" i="39"/>
  <c r="DC133" i="39"/>
  <c r="DG133" i="39"/>
  <c r="DK133" i="39"/>
  <c r="DO133" i="39"/>
  <c r="DB133" i="39"/>
  <c r="BL122" i="39"/>
  <c r="BJ123" i="39"/>
  <c r="BK122" i="39"/>
  <c r="W86" i="98" l="1"/>
  <c r="BI120" i="99"/>
  <c r="BI180" i="39"/>
  <c r="AB83" i="98"/>
  <c r="BH117" i="99"/>
  <c r="BH177" i="39"/>
  <c r="Z156" i="41"/>
  <c r="CF135" i="39"/>
  <c r="DD134" i="39"/>
  <c r="DH134" i="39"/>
  <c r="DL134" i="39"/>
  <c r="DB134" i="39"/>
  <c r="DE134" i="39"/>
  <c r="DI134" i="39"/>
  <c r="DM134" i="39"/>
  <c r="DF134" i="39"/>
  <c r="DJ134" i="39"/>
  <c r="DN134" i="39"/>
  <c r="DC134" i="39"/>
  <c r="DG134" i="39"/>
  <c r="DK134" i="39"/>
  <c r="DO134" i="39"/>
  <c r="BJ124" i="39"/>
  <c r="BK123" i="39"/>
  <c r="BL123" i="39"/>
  <c r="BH178" i="39" l="1"/>
  <c r="BH118" i="99"/>
  <c r="AB84" i="98"/>
  <c r="BI121" i="99"/>
  <c r="BI181" i="39"/>
  <c r="CF138" i="39"/>
  <c r="DD135" i="39"/>
  <c r="DH135" i="39"/>
  <c r="DL135" i="39"/>
  <c r="DE135" i="39"/>
  <c r="DI135" i="39"/>
  <c r="DM135" i="39"/>
  <c r="DB135" i="39"/>
  <c r="DF135" i="39"/>
  <c r="DJ135" i="39"/>
  <c r="DN135" i="39"/>
  <c r="DC135" i="39"/>
  <c r="DG135" i="39"/>
  <c r="DK135" i="39"/>
  <c r="DO135" i="39"/>
  <c r="BJ125" i="39"/>
  <c r="BL124" i="39"/>
  <c r="BK124" i="39"/>
  <c r="BH119" i="99" l="1"/>
  <c r="AB85" i="98"/>
  <c r="BH179" i="39"/>
  <c r="CF139" i="39"/>
  <c r="DF138" i="39"/>
  <c r="DJ138" i="39"/>
  <c r="DN138" i="39"/>
  <c r="DB138" i="39"/>
  <c r="DC138" i="39"/>
  <c r="DG138" i="39"/>
  <c r="DK138" i="39"/>
  <c r="DO138" i="39"/>
  <c r="DD138" i="39"/>
  <c r="DH138" i="39"/>
  <c r="DL138" i="39"/>
  <c r="DI138" i="39"/>
  <c r="DM138" i="39"/>
  <c r="DE138" i="39"/>
  <c r="BL125" i="39"/>
  <c r="BK125" i="39"/>
  <c r="BJ126" i="39"/>
  <c r="AB86" i="98" l="1"/>
  <c r="BH180" i="39"/>
  <c r="BH120" i="99"/>
  <c r="CF140" i="39"/>
  <c r="DF139" i="39"/>
  <c r="DJ139" i="39"/>
  <c r="DN139" i="39"/>
  <c r="DC139" i="39"/>
  <c r="DG139" i="39"/>
  <c r="DK139" i="39"/>
  <c r="DO139" i="39"/>
  <c r="DB139" i="39"/>
  <c r="DD139" i="39"/>
  <c r="DH139" i="39"/>
  <c r="DL139" i="39"/>
  <c r="DM139" i="39"/>
  <c r="DE139" i="39"/>
  <c r="DI139" i="39"/>
  <c r="BL126" i="39"/>
  <c r="BK126" i="39"/>
  <c r="BJ127" i="39"/>
  <c r="BH181" i="39" l="1"/>
  <c r="BH121" i="99"/>
  <c r="CF141" i="39"/>
  <c r="DF140" i="39"/>
  <c r="DJ140" i="39"/>
  <c r="DN140" i="39"/>
  <c r="DC140" i="39"/>
  <c r="DG140" i="39"/>
  <c r="DK140" i="39"/>
  <c r="DO140" i="39"/>
  <c r="DD140" i="39"/>
  <c r="DH140" i="39"/>
  <c r="DL140" i="39"/>
  <c r="DB140" i="39"/>
  <c r="DE140" i="39"/>
  <c r="DI140" i="39"/>
  <c r="DM140" i="39"/>
  <c r="BK127" i="39"/>
  <c r="BL127" i="39"/>
  <c r="BJ128" i="39"/>
  <c r="CF142" i="39" l="1"/>
  <c r="DF141" i="39"/>
  <c r="DJ141" i="39"/>
  <c r="DN141" i="39"/>
  <c r="DC141" i="39"/>
  <c r="DG141" i="39"/>
  <c r="DK141" i="39"/>
  <c r="DO141" i="39"/>
  <c r="DD141" i="39"/>
  <c r="DH141" i="39"/>
  <c r="DL141" i="39"/>
  <c r="DE141" i="39"/>
  <c r="DI141" i="39"/>
  <c r="DB141" i="39"/>
  <c r="DM141" i="39"/>
  <c r="BJ129" i="39"/>
  <c r="BK128" i="39"/>
  <c r="BL128" i="39"/>
  <c r="CF143" i="39" l="1"/>
  <c r="DF142" i="39"/>
  <c r="DJ142" i="39"/>
  <c r="DN142" i="39"/>
  <c r="DB142" i="39"/>
  <c r="DC142" i="39"/>
  <c r="DG142" i="39"/>
  <c r="DK142" i="39"/>
  <c r="DO142" i="39"/>
  <c r="DD142" i="39"/>
  <c r="DH142" i="39"/>
  <c r="DL142" i="39"/>
  <c r="DI142" i="39"/>
  <c r="DM142" i="39"/>
  <c r="DE142" i="39"/>
  <c r="BL129" i="39"/>
  <c r="BK129" i="39"/>
  <c r="BJ130" i="39"/>
  <c r="G100" i="103" l="1"/>
  <c r="I115" i="103" s="1"/>
  <c r="CF144" i="39"/>
  <c r="DF143" i="39"/>
  <c r="DJ143" i="39"/>
  <c r="DN143" i="39"/>
  <c r="DC143" i="39"/>
  <c r="DG143" i="39"/>
  <c r="DK143" i="39"/>
  <c r="DO143" i="39"/>
  <c r="DB143" i="39"/>
  <c r="DD143" i="39"/>
  <c r="DH143" i="39"/>
  <c r="DL143" i="39"/>
  <c r="DM143" i="39"/>
  <c r="DE143" i="39"/>
  <c r="DI143" i="39"/>
  <c r="BL130" i="39"/>
  <c r="BK130" i="39"/>
  <c r="BJ131" i="39"/>
  <c r="I114" i="103" l="1"/>
  <c r="I112" i="103"/>
  <c r="I113" i="103"/>
  <c r="O13" i="103"/>
  <c r="O16" i="103" s="1"/>
  <c r="I99" i="103" s="1"/>
  <c r="I100" i="103" s="1"/>
  <c r="CF145" i="39"/>
  <c r="DF144" i="39"/>
  <c r="DJ144" i="39"/>
  <c r="DN144" i="39"/>
  <c r="DC144" i="39"/>
  <c r="DG144" i="39"/>
  <c r="DK144" i="39"/>
  <c r="DO144" i="39"/>
  <c r="DD144" i="39"/>
  <c r="DH144" i="39"/>
  <c r="DL144" i="39"/>
  <c r="DB144" i="39"/>
  <c r="DE144" i="39"/>
  <c r="DI144" i="39"/>
  <c r="DM144" i="39"/>
  <c r="BK131" i="39"/>
  <c r="BL131" i="39"/>
  <c r="BJ132" i="39"/>
  <c r="I98" i="103" l="1"/>
  <c r="P13" i="103"/>
  <c r="P16" i="103" s="1"/>
  <c r="CF147" i="39"/>
  <c r="DF145" i="39"/>
  <c r="DJ145" i="39"/>
  <c r="DN145" i="39"/>
  <c r="DC145" i="39"/>
  <c r="DG145" i="39"/>
  <c r="DK145" i="39"/>
  <c r="DO145" i="39"/>
  <c r="DD145" i="39"/>
  <c r="DH145" i="39"/>
  <c r="DL145" i="39"/>
  <c r="DE145" i="39"/>
  <c r="DI145" i="39"/>
  <c r="DM145" i="39"/>
  <c r="DB145" i="39"/>
  <c r="BJ133" i="39"/>
  <c r="BL132" i="39"/>
  <c r="BK132" i="39"/>
  <c r="Q13" i="103" l="1"/>
  <c r="Q16" i="103" s="1"/>
  <c r="CF148" i="39"/>
  <c r="DN147" i="39"/>
  <c r="DM147" i="39"/>
  <c r="DL147" i="39"/>
  <c r="DK147" i="39"/>
  <c r="DJ147" i="39"/>
  <c r="DI147" i="39"/>
  <c r="DH147" i="39"/>
  <c r="DB147" i="39"/>
  <c r="DG147" i="39"/>
  <c r="DF147" i="39"/>
  <c r="DE147" i="39"/>
  <c r="DD147" i="39"/>
  <c r="DC147" i="39"/>
  <c r="DO147" i="39"/>
  <c r="BK133" i="39"/>
  <c r="BL133" i="39"/>
  <c r="BJ134" i="39"/>
  <c r="R13" i="103" l="1"/>
  <c r="R16" i="103" s="1"/>
  <c r="CF149" i="39"/>
  <c r="DO148" i="39"/>
  <c r="DN148" i="39"/>
  <c r="DM148" i="39"/>
  <c r="DB148" i="39"/>
  <c r="DL148" i="39"/>
  <c r="DK148" i="39"/>
  <c r="DJ148" i="39"/>
  <c r="DI148" i="39"/>
  <c r="DH148" i="39"/>
  <c r="DG148" i="39"/>
  <c r="DF148" i="39"/>
  <c r="DE148" i="39"/>
  <c r="DD148" i="39"/>
  <c r="DC148" i="39"/>
  <c r="BK134" i="39"/>
  <c r="BJ135" i="39"/>
  <c r="BL134" i="39"/>
  <c r="S13" i="103" l="1"/>
  <c r="S16" i="103" s="1"/>
  <c r="CF150" i="39"/>
  <c r="DF149" i="39"/>
  <c r="DE149" i="39"/>
  <c r="DD149" i="39"/>
  <c r="DC149" i="39"/>
  <c r="DB149" i="39"/>
  <c r="DO149" i="39"/>
  <c r="DN149" i="39"/>
  <c r="DM149" i="39"/>
  <c r="DL149" i="39"/>
  <c r="DK149" i="39"/>
  <c r="DJ149" i="39"/>
  <c r="DI149" i="39"/>
  <c r="DH149" i="39"/>
  <c r="DG149" i="39"/>
  <c r="BJ136" i="39"/>
  <c r="BL135" i="39"/>
  <c r="BK135" i="39"/>
  <c r="T13" i="103" l="1"/>
  <c r="T16" i="103" s="1"/>
  <c r="CF151" i="39"/>
  <c r="DB150" i="39"/>
  <c r="DJ150" i="39"/>
  <c r="DI150" i="39"/>
  <c r="DH150" i="39"/>
  <c r="DG150" i="39"/>
  <c r="DF150" i="39"/>
  <c r="DE150" i="39"/>
  <c r="DD150" i="39"/>
  <c r="DC150" i="39"/>
  <c r="DO150" i="39"/>
  <c r="DN150" i="39"/>
  <c r="DM150" i="39"/>
  <c r="DL150" i="39"/>
  <c r="DK150" i="39"/>
  <c r="BK136" i="39"/>
  <c r="BJ137" i="39"/>
  <c r="BL136" i="39"/>
  <c r="U13" i="103" l="1"/>
  <c r="U16" i="103" s="1"/>
  <c r="CF152" i="39"/>
  <c r="DN151" i="39"/>
  <c r="DM151" i="39"/>
  <c r="DL151" i="39"/>
  <c r="DB151" i="39"/>
  <c r="DK151" i="39"/>
  <c r="DJ151" i="39"/>
  <c r="DI151" i="39"/>
  <c r="DH151" i="39"/>
  <c r="DG151" i="39"/>
  <c r="DF151" i="39"/>
  <c r="DE151" i="39"/>
  <c r="DD151" i="39"/>
  <c r="DC151" i="39"/>
  <c r="DO151" i="39"/>
  <c r="BJ138" i="39"/>
  <c r="BK137" i="39"/>
  <c r="BL137" i="39"/>
  <c r="V13" i="103" l="1"/>
  <c r="V16" i="103" s="1"/>
  <c r="CF153" i="39"/>
  <c r="DB152" i="39"/>
  <c r="DO152" i="39"/>
  <c r="DN152" i="39"/>
  <c r="DM152" i="39"/>
  <c r="DL152" i="39"/>
  <c r="DK152" i="39"/>
  <c r="DJ152" i="39"/>
  <c r="DI152" i="39"/>
  <c r="DH152" i="39"/>
  <c r="DG152" i="39"/>
  <c r="DF152" i="39"/>
  <c r="DE152" i="39"/>
  <c r="DD152" i="39"/>
  <c r="DC152" i="39"/>
  <c r="BJ139" i="39"/>
  <c r="BK138" i="39"/>
  <c r="BL138" i="39"/>
  <c r="W13" i="103" l="1"/>
  <c r="W16" i="103" s="1"/>
  <c r="CF154" i="39"/>
  <c r="DF153" i="39"/>
  <c r="DB153" i="39"/>
  <c r="DE153" i="39"/>
  <c r="DD153" i="39"/>
  <c r="DC153" i="39"/>
  <c r="DO153" i="39"/>
  <c r="DN153" i="39"/>
  <c r="DM153" i="39"/>
  <c r="DL153" i="39"/>
  <c r="DK153" i="39"/>
  <c r="DJ153" i="39"/>
  <c r="DI153" i="39"/>
  <c r="DH153" i="39"/>
  <c r="DG153" i="39"/>
  <c r="BJ140" i="39"/>
  <c r="BK139" i="39"/>
  <c r="BL139" i="39"/>
  <c r="X13" i="103" l="1"/>
  <c r="X16" i="103" s="1"/>
  <c r="CF155" i="39"/>
  <c r="DJ154" i="39"/>
  <c r="DI154" i="39"/>
  <c r="DH154" i="39"/>
  <c r="DG154" i="39"/>
  <c r="DF154" i="39"/>
  <c r="DE154" i="39"/>
  <c r="DD154" i="39"/>
  <c r="DC154" i="39"/>
  <c r="DO154" i="39"/>
  <c r="DB154" i="39"/>
  <c r="DN154" i="39"/>
  <c r="DM154" i="39"/>
  <c r="DL154" i="39"/>
  <c r="DK154" i="39"/>
  <c r="BK140" i="39"/>
  <c r="BL140" i="39"/>
  <c r="BJ141" i="39"/>
  <c r="CF156" i="39" l="1"/>
  <c r="DJ155" i="39"/>
  <c r="DM155" i="39"/>
  <c r="DL155" i="39"/>
  <c r="DK155" i="39"/>
  <c r="DI155" i="39"/>
  <c r="DH155" i="39"/>
  <c r="DG155" i="39"/>
  <c r="DN155" i="39"/>
  <c r="DE155" i="39"/>
  <c r="DD155" i="39"/>
  <c r="DC155" i="39"/>
  <c r="DF155" i="39"/>
  <c r="DB155" i="39"/>
  <c r="DO155" i="39"/>
  <c r="BJ142" i="39"/>
  <c r="BK141" i="39"/>
  <c r="BL141" i="39"/>
  <c r="CF157" i="39" l="1"/>
  <c r="DN156" i="39"/>
  <c r="DJ156" i="39"/>
  <c r="DO156" i="39"/>
  <c r="DM156" i="39"/>
  <c r="DL156" i="39"/>
  <c r="DK156" i="39"/>
  <c r="DF156" i="39"/>
  <c r="DI156" i="39"/>
  <c r="DH156" i="39"/>
  <c r="DG156" i="39"/>
  <c r="DE156" i="39"/>
  <c r="DB156" i="39"/>
  <c r="DD156" i="39"/>
  <c r="DC156" i="39"/>
  <c r="BL142" i="39"/>
  <c r="BJ143" i="39"/>
  <c r="BK142" i="39"/>
  <c r="CF159" i="39" l="1"/>
  <c r="DN157" i="39"/>
  <c r="DE157" i="39"/>
  <c r="DD157" i="39"/>
  <c r="DC157" i="39"/>
  <c r="DO157" i="39"/>
  <c r="DJ157" i="39"/>
  <c r="DM157" i="39"/>
  <c r="DL157" i="39"/>
  <c r="DK157" i="39"/>
  <c r="DF157" i="39"/>
  <c r="DB157" i="39"/>
  <c r="DI157" i="39"/>
  <c r="DH157" i="39"/>
  <c r="DG157" i="39"/>
  <c r="BL143" i="39"/>
  <c r="BK143" i="39"/>
  <c r="BJ144" i="39"/>
  <c r="CF160" i="39" l="1"/>
  <c r="DF159" i="39"/>
  <c r="DJ159" i="39"/>
  <c r="DN159" i="39"/>
  <c r="DE159" i="39"/>
  <c r="DD159" i="39"/>
  <c r="DK159" i="39"/>
  <c r="DG159" i="39"/>
  <c r="DB159" i="39"/>
  <c r="DO159" i="39"/>
  <c r="DM159" i="39"/>
  <c r="DL159" i="39"/>
  <c r="DC159" i="39"/>
  <c r="DI159" i="39"/>
  <c r="DH159" i="39"/>
  <c r="BK144" i="39"/>
  <c r="BJ145" i="39"/>
  <c r="BL144" i="39"/>
  <c r="CF161" i="39" l="1"/>
  <c r="DF160" i="39"/>
  <c r="DJ160" i="39"/>
  <c r="DN160" i="39"/>
  <c r="DI160" i="39"/>
  <c r="DH160" i="39"/>
  <c r="DO160" i="39"/>
  <c r="DE160" i="39"/>
  <c r="DD160" i="39"/>
  <c r="DK160" i="39"/>
  <c r="DB160" i="39"/>
  <c r="DG160" i="39"/>
  <c r="DM160" i="39"/>
  <c r="DL160" i="39"/>
  <c r="DC160" i="39"/>
  <c r="BL145" i="39"/>
  <c r="BK145" i="39"/>
  <c r="BJ146" i="39"/>
  <c r="CF162" i="39" l="1"/>
  <c r="DJ161" i="39"/>
  <c r="DN161" i="39"/>
  <c r="DB161" i="39"/>
  <c r="DF161" i="39"/>
  <c r="DM161" i="39"/>
  <c r="DL161" i="39"/>
  <c r="DC161" i="39"/>
  <c r="DI161" i="39"/>
  <c r="DH161" i="39"/>
  <c r="DO161" i="39"/>
  <c r="DE161" i="39"/>
  <c r="DD161" i="39"/>
  <c r="DK161" i="39"/>
  <c r="DG161" i="39"/>
  <c r="BJ147" i="39"/>
  <c r="BL146" i="39"/>
  <c r="BK146" i="39"/>
  <c r="CF163" i="39" l="1"/>
  <c r="DN162" i="39"/>
  <c r="DF162" i="39"/>
  <c r="DJ162" i="39"/>
  <c r="DG162" i="39"/>
  <c r="DM162" i="39"/>
  <c r="DL162" i="39"/>
  <c r="DC162" i="39"/>
  <c r="DI162" i="39"/>
  <c r="DH162" i="39"/>
  <c r="DB162" i="39"/>
  <c r="DE162" i="39"/>
  <c r="DD162" i="39"/>
  <c r="DO162" i="39"/>
  <c r="DK162" i="39"/>
  <c r="BL147" i="39"/>
  <c r="BJ148" i="39"/>
  <c r="BK147" i="39"/>
  <c r="CF164" i="39" l="1"/>
  <c r="DF163" i="39"/>
  <c r="DJ163" i="39"/>
  <c r="DN163" i="39"/>
  <c r="DE163" i="39"/>
  <c r="DD163" i="39"/>
  <c r="DK163" i="39"/>
  <c r="DG163" i="39"/>
  <c r="DM163" i="39"/>
  <c r="DB163" i="39"/>
  <c r="DL163" i="39"/>
  <c r="DC163" i="39"/>
  <c r="DI163" i="39"/>
  <c r="DH163" i="39"/>
  <c r="DO163" i="39"/>
  <c r="BJ149" i="39"/>
  <c r="BK148" i="39"/>
  <c r="BL148" i="39"/>
  <c r="CF165" i="39" l="1"/>
  <c r="DF164" i="39"/>
  <c r="DJ164" i="39"/>
  <c r="DN164" i="39"/>
  <c r="DI164" i="39"/>
  <c r="DH164" i="39"/>
  <c r="DO164" i="39"/>
  <c r="DE164" i="39"/>
  <c r="DD164" i="39"/>
  <c r="DK164" i="39"/>
  <c r="DB164" i="39"/>
  <c r="DG164" i="39"/>
  <c r="DM164" i="39"/>
  <c r="DL164" i="39"/>
  <c r="DC164" i="39"/>
  <c r="BK149" i="39"/>
  <c r="BJ150" i="39"/>
  <c r="BL149" i="39"/>
  <c r="CF166" i="39" l="1"/>
  <c r="DJ165" i="39"/>
  <c r="DN165" i="39"/>
  <c r="DB165" i="39"/>
  <c r="DF165" i="39"/>
  <c r="DM165" i="39"/>
  <c r="DL165" i="39"/>
  <c r="DC165" i="39"/>
  <c r="DI165" i="39"/>
  <c r="DH165" i="39"/>
  <c r="DO165" i="39"/>
  <c r="DK165" i="39"/>
  <c r="DG165" i="39"/>
  <c r="DE165" i="39"/>
  <c r="DD165" i="39"/>
  <c r="BJ151" i="39"/>
  <c r="BK150" i="39"/>
  <c r="BL150" i="39"/>
  <c r="CF167" i="39" l="1"/>
  <c r="DN166" i="39"/>
  <c r="DF166" i="39"/>
  <c r="DJ166" i="39"/>
  <c r="DG166" i="39"/>
  <c r="DM166" i="39"/>
  <c r="DL166" i="39"/>
  <c r="DB166" i="39"/>
  <c r="DC166" i="39"/>
  <c r="DO166" i="39"/>
  <c r="DK166" i="39"/>
  <c r="DI166" i="39"/>
  <c r="DH166" i="39"/>
  <c r="DE166" i="39"/>
  <c r="DD166" i="39"/>
  <c r="BK151" i="39"/>
  <c r="BL151" i="39"/>
  <c r="BJ152" i="39"/>
  <c r="CF168" i="39" l="1"/>
  <c r="DF167" i="39"/>
  <c r="DJ167" i="39"/>
  <c r="DN167" i="39"/>
  <c r="DE167" i="39"/>
  <c r="DD167" i="39"/>
  <c r="DK167" i="39"/>
  <c r="DB167" i="39"/>
  <c r="DG167" i="39"/>
  <c r="DO167" i="39"/>
  <c r="DM167" i="39"/>
  <c r="DL167" i="39"/>
  <c r="DC167" i="39"/>
  <c r="DI167" i="39"/>
  <c r="DH167" i="39"/>
  <c r="BL152" i="39"/>
  <c r="BK152" i="39"/>
  <c r="BJ153" i="39"/>
  <c r="CF169" i="39" l="1"/>
  <c r="DF168" i="39"/>
  <c r="DJ168" i="39"/>
  <c r="DN168" i="39"/>
  <c r="DI168" i="39"/>
  <c r="DH168" i="39"/>
  <c r="DO168" i="39"/>
  <c r="DB168" i="39"/>
  <c r="DE168" i="39"/>
  <c r="DD168" i="39"/>
  <c r="DK168" i="39"/>
  <c r="DG168" i="39"/>
  <c r="DM168" i="39"/>
  <c r="DL168" i="39"/>
  <c r="DC168" i="39"/>
  <c r="BK153" i="39"/>
  <c r="BL153" i="39"/>
  <c r="BJ154" i="39"/>
  <c r="DC169" i="39" l="1"/>
  <c r="DJ169" i="39"/>
  <c r="DB169" i="39"/>
  <c r="DN169" i="39"/>
  <c r="DF169" i="39"/>
  <c r="DM169" i="39"/>
  <c r="DL169" i="39"/>
  <c r="DG169" i="39"/>
  <c r="DI169" i="39"/>
  <c r="DH169" i="39"/>
  <c r="DE169" i="39"/>
  <c r="DD169" i="39"/>
  <c r="DO169" i="39"/>
  <c r="DK169" i="39"/>
  <c r="BJ155" i="39"/>
  <c r="BL154" i="39"/>
  <c r="BK154" i="39"/>
  <c r="D6" i="26" l="1"/>
  <c r="D7" i="26"/>
  <c r="E7" i="26" s="1"/>
  <c r="D8" i="26"/>
  <c r="E8" i="26" s="1"/>
  <c r="D9" i="26"/>
  <c r="E9" i="26" s="1"/>
  <c r="D10" i="26"/>
  <c r="E10" i="26" s="1"/>
  <c r="D11" i="26"/>
  <c r="E11" i="26" s="1"/>
  <c r="BL155" i="39"/>
  <c r="BJ156" i="39"/>
  <c r="BK155" i="39"/>
  <c r="D14" i="26" l="1"/>
  <c r="E14" i="26" s="1"/>
  <c r="E6" i="26"/>
  <c r="E16" i="26" s="1"/>
  <c r="E17" i="26"/>
  <c r="Z153" i="41"/>
  <c r="Z137" i="41"/>
  <c r="Z139" i="41"/>
  <c r="Z141" i="41"/>
  <c r="Z154" i="41"/>
  <c r="Z155" i="41"/>
  <c r="Z142" i="41"/>
  <c r="Z145" i="41"/>
  <c r="Z146" i="41"/>
  <c r="Z147" i="41"/>
  <c r="Z138" i="41"/>
  <c r="Z140" i="41"/>
  <c r="Z143" i="41"/>
  <c r="Z144" i="41"/>
  <c r="Z157" i="41"/>
  <c r="Z158" i="41"/>
  <c r="Z159" i="41"/>
  <c r="BL156" i="39"/>
  <c r="BJ157" i="39"/>
  <c r="BK156" i="39"/>
  <c r="BJ158" i="39" l="1"/>
  <c r="BL157" i="39"/>
  <c r="BK157" i="39"/>
  <c r="Y147" i="58" l="1"/>
  <c r="BL158" i="39"/>
  <c r="BK158" i="39"/>
  <c r="BJ159" i="39"/>
  <c r="BK159" i="39" l="1"/>
  <c r="BJ160" i="39"/>
  <c r="BL159" i="39"/>
  <c r="BJ161" i="39" l="1"/>
  <c r="BL160" i="39"/>
  <c r="BK160" i="39"/>
  <c r="BJ162" i="39" l="1"/>
  <c r="BK161" i="39"/>
  <c r="BL161" i="39"/>
  <c r="BJ163" i="39" l="1"/>
  <c r="BK162" i="39"/>
  <c r="BL162" i="39"/>
  <c r="BJ164" i="39" l="1"/>
  <c r="BL163" i="39"/>
  <c r="BK163" i="39"/>
  <c r="BL164" i="39" l="1"/>
  <c r="BK164" i="39"/>
  <c r="BJ165" i="39"/>
  <c r="BL165" i="39" l="1"/>
  <c r="BK165" i="39"/>
  <c r="BJ166" i="39"/>
  <c r="BK166" i="39" l="1"/>
  <c r="BL166" i="39"/>
  <c r="BJ167" i="39"/>
  <c r="BK167" i="39" l="1"/>
  <c r="BL167" i="39"/>
  <c r="BJ168" i="39"/>
  <c r="BL168" i="39" l="1"/>
  <c r="BJ169" i="39"/>
  <c r="BK168" i="39"/>
  <c r="BL169" i="39" l="1"/>
  <c r="BK169" i="39"/>
  <c r="N4" i="26" l="1"/>
  <c r="O4" i="26" s="1"/>
  <c r="N5" i="26"/>
  <c r="O5" i="26" s="1"/>
  <c r="N6" i="26"/>
  <c r="O6" i="26" s="1"/>
  <c r="N8" i="26"/>
  <c r="O8" i="26" s="1"/>
  <c r="N9" i="26"/>
  <c r="O9" i="26" s="1"/>
  <c r="N10" i="26"/>
  <c r="O10" i="26" s="1"/>
  <c r="N11" i="26"/>
  <c r="O11" i="26" s="1"/>
  <c r="O16" i="26" l="1"/>
  <c r="N14" i="26"/>
  <c r="O14" i="26" s="1"/>
  <c r="O17" i="26"/>
  <c r="Z139" i="58"/>
  <c r="Z128" i="58"/>
  <c r="Z129" i="58"/>
  <c r="Z130" i="58"/>
  <c r="Z140" i="58"/>
  <c r="Z132" i="58"/>
  <c r="Z133" i="58"/>
  <c r="Z134" i="58"/>
  <c r="Z135" i="58"/>
  <c r="Z136" i="58"/>
  <c r="Z126" i="58"/>
  <c r="Z141" i="58"/>
  <c r="Z131" i="58"/>
  <c r="Z125" i="58"/>
  <c r="Z127" i="58"/>
  <c r="Z142" i="58"/>
  <c r="Z143" i="58"/>
  <c r="Z144" i="58"/>
  <c r="Z145" i="58"/>
  <c r="Z146" i="58"/>
  <c r="Z147" i="58"/>
  <c r="Y138" i="58"/>
  <c r="Y139" i="58"/>
  <c r="Y140" i="58"/>
  <c r="Y129" i="58"/>
  <c r="Y130" i="58"/>
  <c r="Y131" i="58"/>
  <c r="Y132" i="58"/>
  <c r="Y133" i="58"/>
  <c r="Y134" i="58"/>
  <c r="Y136" i="58"/>
  <c r="Y126" i="58"/>
  <c r="Y127" i="58"/>
  <c r="Y128" i="58"/>
  <c r="Y141" i="58"/>
  <c r="Y125" i="58"/>
  <c r="Y142" i="58"/>
  <c r="Y143" i="58"/>
  <c r="Y144" i="58"/>
  <c r="Y145" i="58"/>
  <c r="Y146" i="58"/>
  <c r="AC5" i="33" l="1"/>
  <c r="AE5" i="33" s="1"/>
  <c r="AC10" i="33"/>
  <c r="AE10" i="33" s="1"/>
  <c r="AC12" i="33"/>
  <c r="AE12" i="33" s="1"/>
  <c r="AC14" i="33"/>
  <c r="AE14" i="33" s="1"/>
  <c r="C27" i="35" s="1"/>
  <c r="AC15" i="33"/>
  <c r="AE15" i="33" s="1"/>
  <c r="AC16" i="33"/>
  <c r="AE16" i="33" s="1"/>
  <c r="AC6" i="33"/>
  <c r="AE6" i="33" s="1"/>
  <c r="AG6" i="33" s="1"/>
  <c r="AC7" i="33"/>
  <c r="AE7" i="33" s="1"/>
  <c r="AG7" i="33" s="1"/>
  <c r="AC8" i="33"/>
  <c r="AE8" i="33" s="1"/>
  <c r="AG8" i="33" s="1"/>
  <c r="AC9" i="33"/>
  <c r="AE9" i="33" s="1"/>
  <c r="AG9" i="33" s="1"/>
  <c r="AC11" i="33"/>
  <c r="AE11" i="33" s="1"/>
  <c r="AG11" i="33" s="1"/>
  <c r="AC13" i="33"/>
  <c r="AE13" i="33" s="1"/>
  <c r="AG13" i="33" s="1"/>
  <c r="AG14" i="33" l="1"/>
  <c r="M5" i="36" s="1"/>
  <c r="M10" i="36" s="1"/>
  <c r="C25" i="35"/>
  <c r="D25" i="35" s="1"/>
  <c r="E70" i="110" s="1"/>
  <c r="AG12" i="33"/>
  <c r="C23" i="35"/>
  <c r="D23" i="35" s="1"/>
  <c r="C70" i="110" s="1"/>
  <c r="AG10" i="33"/>
  <c r="C18" i="35"/>
  <c r="D18" i="35" s="1"/>
  <c r="AG5" i="33"/>
  <c r="C22" i="67"/>
  <c r="F14" i="67"/>
  <c r="I9" i="67"/>
  <c r="C28" i="35"/>
  <c r="C21" i="35"/>
  <c r="D21" i="35" s="1"/>
  <c r="C26" i="35"/>
  <c r="D26" i="35" s="1"/>
  <c r="F70" i="110" s="1"/>
  <c r="C20" i="35"/>
  <c r="D20" i="35" s="1"/>
  <c r="C24" i="35"/>
  <c r="D24" i="35" s="1"/>
  <c r="D70" i="110" s="1"/>
  <c r="C19" i="35"/>
  <c r="D19" i="35" s="1"/>
  <c r="C22" i="35"/>
  <c r="D22" i="35" s="1"/>
  <c r="C29" i="35"/>
  <c r="B70" i="110" l="1"/>
  <c r="M76" i="110"/>
  <c r="N70" i="110"/>
  <c r="P70" i="110"/>
  <c r="J9" i="67"/>
  <c r="D16" i="36" s="1"/>
  <c r="D21" i="36" s="1"/>
  <c r="E14" i="67"/>
  <c r="J14" i="67" s="1"/>
  <c r="O70" i="110" l="1"/>
  <c r="M70" i="110"/>
  <c r="D22" i="67"/>
  <c r="D26" i="67" s="1"/>
  <c r="E22" i="67" l="1"/>
  <c r="AA19" i="32" l="1"/>
  <c r="AB40" i="32"/>
  <c r="AB41" i="32" s="1"/>
  <c r="AB42" i="32" s="1"/>
  <c r="AB43" i="32" s="1"/>
  <c r="AB44" i="32" s="1"/>
  <c r="AB45" i="32" s="1"/>
  <c r="AB46" i="32" s="1"/>
  <c r="AB47" i="32" s="1"/>
  <c r="AB48" i="32" s="1"/>
  <c r="AB49" i="32" s="1"/>
  <c r="AB50" i="32" s="1"/>
  <c r="AB51" i="32" s="1"/>
  <c r="AB52" i="32" s="1"/>
  <c r="AB53" i="32" s="1"/>
  <c r="AB54" i="32" s="1"/>
  <c r="AB55" i="32" s="1"/>
  <c r="AB56" i="32" s="1"/>
  <c r="AB57" i="32" s="1"/>
  <c r="AB58" i="32" s="1"/>
  <c r="AB59" i="32" s="1"/>
  <c r="AB60" i="32" s="1"/>
  <c r="N123" i="30" l="1"/>
  <c r="O123" i="30" s="1"/>
  <c r="N124" i="30" l="1"/>
  <c r="O124" i="30" s="1"/>
  <c r="N125" i="30" l="1"/>
  <c r="O125" i="30" s="1"/>
  <c r="N126" i="30" l="1"/>
  <c r="O126" i="30" s="1"/>
  <c r="N127" i="30" l="1"/>
  <c r="O127" i="30" s="1"/>
  <c r="N128" i="30" l="1"/>
  <c r="O128" i="30" s="1"/>
  <c r="N129" i="30" l="1"/>
  <c r="O129" i="30" s="1"/>
  <c r="N130" i="30" l="1"/>
  <c r="O130" i="30" s="1"/>
  <c r="N131" i="30" l="1"/>
  <c r="O131" i="30" s="1"/>
  <c r="N132" i="30" l="1"/>
  <c r="O132" i="30" s="1"/>
  <c r="N133" i="30" l="1"/>
  <c r="O133" i="30" s="1"/>
  <c r="AA20" i="32"/>
  <c r="AB20" i="32" s="1"/>
  <c r="N134" i="30" l="1"/>
  <c r="O134" i="30" s="1"/>
  <c r="N135" i="30" l="1"/>
  <c r="O135" i="30" s="1"/>
  <c r="N136" i="30" l="1"/>
  <c r="O136" i="30" s="1"/>
  <c r="N137" i="30" l="1"/>
  <c r="O137" i="30" s="1"/>
  <c r="N138" i="30" l="1"/>
  <c r="O138" i="30" s="1"/>
  <c r="N139" i="30" l="1"/>
  <c r="O139" i="30" s="1"/>
  <c r="N140" i="30" l="1"/>
  <c r="O140" i="30" s="1"/>
  <c r="N141" i="30" l="1"/>
  <c r="O141" i="30" s="1"/>
  <c r="N142" i="30" l="1"/>
  <c r="O142" i="30" s="1"/>
  <c r="N143" i="30" l="1"/>
  <c r="O143" i="30" s="1"/>
  <c r="N144" i="30" l="1"/>
  <c r="O144" i="30" s="1"/>
  <c r="N145" i="30" l="1"/>
  <c r="O145" i="30" s="1"/>
  <c r="AA21" i="32"/>
  <c r="AB21" i="32" l="1"/>
  <c r="AA22" i="32"/>
  <c r="AM15" i="33"/>
  <c r="AM16" i="33"/>
  <c r="N6" i="36" l="1"/>
  <c r="X28" i="35"/>
  <c r="C23" i="67"/>
  <c r="X29" i="35"/>
  <c r="O6" i="36"/>
  <c r="M7" i="111" l="1"/>
  <c r="C17" i="36"/>
  <c r="E23" i="67"/>
  <c r="E26" i="67" s="1"/>
  <c r="C26" i="67"/>
  <c r="M17" i="111" l="1"/>
  <c r="H37" i="110"/>
  <c r="H63" i="110" s="1"/>
  <c r="E17" i="36"/>
  <c r="N7" i="111" s="1"/>
  <c r="R63" i="110" l="1"/>
  <c r="G127" i="111"/>
  <c r="H50" i="110"/>
  <c r="I37" i="110"/>
  <c r="R37" i="110"/>
  <c r="C56" i="36"/>
  <c r="R50" i="110" l="1"/>
  <c r="H76" i="110"/>
  <c r="S37" i="110"/>
  <c r="I63" i="110"/>
  <c r="F140" i="111"/>
  <c r="I127" i="111"/>
  <c r="K127" i="111" s="1"/>
  <c r="D29" i="35"/>
  <c r="D27" i="35"/>
  <c r="G70" i="110" s="1"/>
  <c r="D28" i="35"/>
  <c r="S63" i="110" l="1"/>
  <c r="Q70" i="110"/>
  <c r="F22" i="67"/>
  <c r="G22" i="67" s="1"/>
  <c r="D33" i="36" s="1"/>
  <c r="M25" i="36"/>
  <c r="Y27" i="35" l="1"/>
  <c r="Y28" i="35"/>
  <c r="N26" i="36" s="1"/>
  <c r="Y29" i="35"/>
  <c r="O26" i="36" s="1"/>
  <c r="M26" i="36" l="1"/>
  <c r="M29" i="36" s="1"/>
  <c r="G76" i="110"/>
  <c r="K20" i="111"/>
  <c r="F23" i="67"/>
  <c r="G23" i="67" s="1"/>
  <c r="G26" i="67" s="1"/>
  <c r="C34" i="36"/>
  <c r="Q76" i="110" l="1"/>
  <c r="R76" i="110"/>
  <c r="J20" i="111"/>
  <c r="I20" i="111"/>
  <c r="F26" i="67"/>
  <c r="D34" i="36"/>
  <c r="D37" i="36" s="1"/>
  <c r="E34" i="36" l="1"/>
  <c r="N17" i="111" l="1"/>
  <c r="I50" i="110" s="1"/>
  <c r="D56" i="36"/>
  <c r="S50" i="110" l="1"/>
  <c r="I76" i="110"/>
  <c r="S76" i="110" s="1"/>
  <c r="G140" i="111"/>
  <c r="I140" i="111" l="1"/>
  <c r="K140" i="111" s="1"/>
  <c r="C20" i="32"/>
  <c r="D20" i="32" l="1"/>
  <c r="C21" i="32"/>
  <c r="D21" i="32" l="1"/>
  <c r="C22" i="32"/>
  <c r="G93" i="103" l="1"/>
  <c r="G105" i="103" s="1"/>
  <c r="G90" i="103" l="1"/>
  <c r="G102" i="103"/>
  <c r="G103" i="103"/>
  <c r="G104" i="103" s="1"/>
  <c r="J115" i="103" s="1"/>
  <c r="M9" i="103"/>
  <c r="M10" i="103" s="1"/>
  <c r="J112" i="103" l="1"/>
  <c r="F119" i="103" s="1"/>
  <c r="J113" i="103"/>
  <c r="F120" i="103" s="1"/>
  <c r="J114" i="103"/>
  <c r="F121" i="103" s="1"/>
  <c r="D4" i="109"/>
  <c r="D16" i="109" s="1"/>
  <c r="M55" i="103"/>
  <c r="M54" i="103"/>
  <c r="F122" i="103" l="1"/>
  <c r="D5" i="109"/>
  <c r="D17" i="109" s="1"/>
  <c r="U15" i="33" s="1"/>
  <c r="V15" i="33" s="1"/>
  <c r="N4" i="36" s="1"/>
  <c r="M56" i="103"/>
  <c r="D6" i="109"/>
  <c r="M60" i="103"/>
  <c r="G6" i="109" s="1"/>
  <c r="G18" i="109" s="1"/>
  <c r="J15" i="91"/>
  <c r="K15" i="91" s="1"/>
  <c r="J15" i="33"/>
  <c r="K15" i="33" s="1"/>
  <c r="N3" i="36" s="1"/>
  <c r="M4" i="111" s="1"/>
  <c r="R36" i="111" s="1"/>
  <c r="D18" i="109" l="1"/>
  <c r="U15" i="91"/>
  <c r="V15" i="91" s="1"/>
  <c r="S36" i="111"/>
  <c r="D19" i="109"/>
  <c r="G124" i="111"/>
  <c r="H29" i="110"/>
  <c r="G7" i="109"/>
  <c r="AF15" i="91"/>
  <c r="AG15" i="91" s="1"/>
  <c r="AF15" i="33"/>
  <c r="AG15" i="33" s="1"/>
  <c r="N5" i="36" s="1"/>
  <c r="M6" i="111" s="1"/>
  <c r="D7" i="109"/>
  <c r="M5" i="111"/>
  <c r="G28" i="35"/>
  <c r="H28" i="35" s="1"/>
  <c r="N25" i="36" s="1"/>
  <c r="N29" i="36" s="1"/>
  <c r="G19" i="109"/>
  <c r="R29" i="110" l="1"/>
  <c r="H55" i="110"/>
  <c r="R55" i="110" s="1"/>
  <c r="F137" i="111"/>
  <c r="I124" i="111"/>
  <c r="K124" i="111" s="1"/>
  <c r="H31" i="110"/>
  <c r="M16" i="111"/>
  <c r="N10" i="36"/>
  <c r="G125" i="111"/>
  <c r="H30" i="110"/>
  <c r="M11" i="111"/>
  <c r="R19" i="111" s="1"/>
  <c r="S19" i="111" s="1"/>
  <c r="M12" i="111"/>
  <c r="R53" i="111" s="1"/>
  <c r="S53" i="111" l="1"/>
  <c r="H44" i="110"/>
  <c r="M20" i="111"/>
  <c r="G126" i="111"/>
  <c r="G131" i="111" s="1"/>
  <c r="R31" i="110"/>
  <c r="H57" i="110"/>
  <c r="R57" i="110" s="1"/>
  <c r="I125" i="111"/>
  <c r="K125" i="111" s="1"/>
  <c r="F138" i="111"/>
  <c r="R30" i="110"/>
  <c r="H56" i="110"/>
  <c r="F139" i="111" l="1"/>
  <c r="F144" i="111" s="1"/>
  <c r="I126" i="111"/>
  <c r="K126" i="111" s="1"/>
  <c r="H70" i="110"/>
  <c r="R70" i="110" s="1"/>
  <c r="R44" i="110"/>
  <c r="H65" i="110"/>
  <c r="R56" i="110"/>
  <c r="H102" i="103"/>
  <c r="L103" i="103" s="1"/>
  <c r="H93" i="103"/>
  <c r="H105" i="103" s="1"/>
  <c r="N9" i="103"/>
  <c r="N10" i="103" s="1"/>
  <c r="O10" i="103" s="1"/>
  <c r="P10" i="103" s="1"/>
  <c r="Q10" i="103" s="1"/>
  <c r="R10" i="103" s="1"/>
  <c r="S10" i="103" s="1"/>
  <c r="T10" i="103" s="1"/>
  <c r="U10" i="103" s="1"/>
  <c r="V10" i="103" s="1"/>
  <c r="W10" i="103" s="1"/>
  <c r="X10" i="103" s="1"/>
  <c r="H90" i="103" l="1"/>
  <c r="H103" i="103"/>
  <c r="I104" i="103" l="1"/>
  <c r="H104" i="103"/>
  <c r="M115" i="103" s="1"/>
  <c r="N55" i="103"/>
  <c r="E6" i="109" s="1"/>
  <c r="E4" i="109"/>
  <c r="N54" i="103"/>
  <c r="E16" i="109" l="1"/>
  <c r="J16" i="91" s="1"/>
  <c r="K16" i="91" s="1"/>
  <c r="M112" i="103"/>
  <c r="G119" i="103" s="1"/>
  <c r="H119" i="103" s="1"/>
  <c r="M113" i="103"/>
  <c r="G120" i="103" s="1"/>
  <c r="H120" i="103" s="1"/>
  <c r="M114" i="103"/>
  <c r="G121" i="103" s="1"/>
  <c r="H121" i="103" s="1"/>
  <c r="E5" i="109"/>
  <c r="E7" i="109" s="1"/>
  <c r="N56" i="103"/>
  <c r="J16" i="33"/>
  <c r="K16" i="33" s="1"/>
  <c r="O3" i="36" s="1"/>
  <c r="C14" i="36" s="1"/>
  <c r="E14" i="36" s="1"/>
  <c r="N60" i="103"/>
  <c r="H6" i="109" s="1"/>
  <c r="E17" i="109" l="1"/>
  <c r="G122" i="103"/>
  <c r="H122" i="103" s="1"/>
  <c r="N4" i="111"/>
  <c r="R37" i="111" s="1"/>
  <c r="S37" i="111" s="1"/>
  <c r="S39" i="111" s="1" a="1"/>
  <c r="S39" i="111" s="1"/>
  <c r="S40" i="111" s="1"/>
  <c r="C53" i="36"/>
  <c r="E18" i="109"/>
  <c r="E19" i="109" s="1"/>
  <c r="H7" i="109"/>
  <c r="H18" i="109"/>
  <c r="U16" i="33"/>
  <c r="V16" i="33" s="1"/>
  <c r="O4" i="36" s="1"/>
  <c r="U16" i="91"/>
  <c r="V16" i="91" s="1"/>
  <c r="G137" i="111" l="1"/>
  <c r="I137" i="111" s="1"/>
  <c r="K137" i="111" s="1"/>
  <c r="I29" i="110"/>
  <c r="C15" i="36"/>
  <c r="G29" i="35"/>
  <c r="H29" i="35" s="1"/>
  <c r="O25" i="36" s="1"/>
  <c r="H19" i="109"/>
  <c r="AF16" i="33"/>
  <c r="AG16" i="33" s="1"/>
  <c r="O5" i="36" s="1"/>
  <c r="C16" i="36" s="1"/>
  <c r="E16" i="36" s="1"/>
  <c r="AF16" i="91"/>
  <c r="AG16" i="91" s="1"/>
  <c r="I55" i="110" l="1"/>
  <c r="S55" i="110" s="1"/>
  <c r="S29" i="110"/>
  <c r="O10" i="36"/>
  <c r="C55" i="36"/>
  <c r="N6" i="111"/>
  <c r="I31" i="110" s="1"/>
  <c r="C33" i="36"/>
  <c r="O29" i="36"/>
  <c r="C21" i="36"/>
  <c r="E15" i="36"/>
  <c r="N5" i="111" l="1"/>
  <c r="C54" i="36"/>
  <c r="E21" i="36"/>
  <c r="C37" i="36"/>
  <c r="E33" i="36"/>
  <c r="S31" i="110"/>
  <c r="I57" i="110"/>
  <c r="S57" i="110" s="1"/>
  <c r="G138" i="111" l="1"/>
  <c r="N12" i="111"/>
  <c r="R54" i="111" s="1"/>
  <c r="S54" i="111" s="1"/>
  <c r="S56" i="111" s="1" a="1"/>
  <c r="S56" i="111" s="1"/>
  <c r="S57" i="111" s="1"/>
  <c r="N11" i="111"/>
  <c r="R20" i="111" s="1"/>
  <c r="S20" i="111" s="1"/>
  <c r="S22" i="111" s="1" a="1"/>
  <c r="S22" i="111" s="1"/>
  <c r="S23" i="111" s="1"/>
  <c r="I30" i="110"/>
  <c r="N16" i="111"/>
  <c r="E37" i="36"/>
  <c r="D55" i="36"/>
  <c r="C60" i="36"/>
  <c r="D60" i="36" l="1"/>
  <c r="I44" i="110"/>
  <c r="N20" i="111"/>
  <c r="G139" i="111"/>
  <c r="I139" i="111" s="1"/>
  <c r="K139" i="111" s="1"/>
  <c r="I56" i="110"/>
  <c r="S30" i="110"/>
  <c r="I138" i="111"/>
  <c r="K138" i="111" s="1"/>
  <c r="G144" i="111" l="1"/>
  <c r="I65" i="110"/>
  <c r="S56" i="110"/>
  <c r="I70" i="110"/>
  <c r="S70" i="110" s="1"/>
  <c r="S44" i="1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121" authorId="0" shapeId="0" xr:uid="{219E5026-6FB5-4CD1-B874-4D4F85F8220D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 demand is not available now. So using average of last 2 years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181" authorId="0" shapeId="0" xr:uid="{90FBC12C-B1BC-4F75-85B6-3ADDFB73EF21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 demand is not available now. So using average of last 2 years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<sst xmlns="http://schemas.openxmlformats.org/spreadsheetml/2006/main" count="2614" uniqueCount="641">
  <si>
    <t>Date</t>
  </si>
  <si>
    <t>Year</t>
  </si>
  <si>
    <t>ReskWh</t>
  </si>
  <si>
    <t>ReskWh_CDM</t>
  </si>
  <si>
    <t>ReskWh_NoCDM</t>
  </si>
  <si>
    <t>ResCust</t>
  </si>
  <si>
    <t>GSlt50kWh</t>
  </si>
  <si>
    <t>GSlt50kWh_CDM</t>
  </si>
  <si>
    <t>GSlt50kWh_NoCDM</t>
  </si>
  <si>
    <t>GSlt50Cust</t>
  </si>
  <si>
    <t>GSgt50kWh</t>
  </si>
  <si>
    <t>GSgt50kWh_CDM</t>
  </si>
  <si>
    <t>GSgt50kWh_NoCDM</t>
  </si>
  <si>
    <t>GSgt50kW</t>
  </si>
  <si>
    <t>GSgt50Cust</t>
  </si>
  <si>
    <t>StreetkWh</t>
  </si>
  <si>
    <t>StreetkW</t>
  </si>
  <si>
    <t>StreetCust</t>
  </si>
  <si>
    <t>SentkWh</t>
  </si>
  <si>
    <t>SentkW</t>
  </si>
  <si>
    <t>SentCust</t>
  </si>
  <si>
    <t>USLkWh</t>
  </si>
  <si>
    <t>USLCust</t>
  </si>
  <si>
    <t>EDkWh</t>
  </si>
  <si>
    <t>EDkW</t>
  </si>
  <si>
    <t>EDCust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</si>
  <si>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</si>
  <si>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</si>
  <si>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</si>
  <si>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</si>
  <si>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</si>
  <si>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</si>
  <si>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</si>
  <si>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</si>
  <si>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</si>
  <si>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</si>
  <si>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</si>
  <si>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</si>
  <si>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</si>
  <si>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</si>
  <si>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MeanTemp</t>
  </si>
  <si>
    <t>Adj.Ont_FTE</t>
  </si>
  <si>
    <t>Ont_FTE</t>
  </si>
  <si>
    <t>Adj.Windsor_FTE</t>
  </si>
  <si>
    <t>Windsor_FTE</t>
  </si>
  <si>
    <t>Ont_GDP</t>
  </si>
  <si>
    <t>AgGen_GDP</t>
  </si>
  <si>
    <t>Crop&amp;Anim_GDP</t>
  </si>
  <si>
    <t>AgSupport_GDP</t>
  </si>
  <si>
    <t>Greenhouse_GDP</t>
  </si>
  <si>
    <t>Cannabis_GDP</t>
  </si>
  <si>
    <t>MinGenGDP</t>
  </si>
  <si>
    <t>O&amp;G_GDP</t>
  </si>
  <si>
    <t>O&amp;GSupport_GDP</t>
  </si>
  <si>
    <t>Total_OEA</t>
  </si>
  <si>
    <t>Ag_OEA</t>
  </si>
  <si>
    <t>Gas_OEA</t>
  </si>
  <si>
    <t>Chem&amp;Petrol_GDP</t>
  </si>
  <si>
    <t>OntEV</t>
  </si>
  <si>
    <t>EssexEV</t>
  </si>
  <si>
    <t>WindsorEV</t>
  </si>
  <si>
    <t>Trend</t>
  </si>
  <si>
    <t>TrendLog</t>
  </si>
  <si>
    <t>Trend2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</si>
  <si>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</si>
  <si>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</si>
  <si>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</si>
  <si>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</si>
  <si>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</si>
  <si>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</si>
  <si>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</si>
  <si>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</si>
  <si>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</si>
  <si>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</si>
  <si>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</si>
  <si>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</si>
  <si>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</si>
  <si>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</si>
  <si>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</si>
  <si>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Month Days</t>
  </si>
  <si>
    <t>Peak Days</t>
  </si>
  <si>
    <t>COVID</t>
  </si>
  <si>
    <t>COVID_AM</t>
  </si>
  <si>
    <t>COVID_WFH</t>
  </si>
  <si>
    <t>COVID2020</t>
  </si>
  <si>
    <t>COVIDHDD20</t>
  </si>
  <si>
    <t>COVIDCDD20</t>
  </si>
  <si>
    <t>COVIDHDD18</t>
  </si>
  <si>
    <t>COVIDCDD18</t>
  </si>
  <si>
    <t>COVIDHDD16</t>
  </si>
  <si>
    <t>COVIDCDD16</t>
  </si>
  <si>
    <t>COVIDHDD14</t>
  </si>
  <si>
    <t>COVIDCDD14</t>
  </si>
  <si>
    <t>COVIDHDD12</t>
  </si>
  <si>
    <t>COVIDCDD12</t>
  </si>
  <si>
    <t>COVIDHDD10</t>
  </si>
  <si>
    <t>COVIDCDD10</t>
  </si>
  <si>
    <t>COVIDHDD8</t>
  </si>
  <si>
    <t>COVIDCDD8</t>
  </si>
  <si>
    <t>Avg.Res</t>
  </si>
  <si>
    <t>Avg. GSlt50</t>
  </si>
  <si>
    <t>AvgGSgt50PD</t>
  </si>
  <si>
    <t>AvgEDPD</t>
  </si>
  <si>
    <t>AvgGSgt50MD</t>
  </si>
  <si>
    <t>AvgEDMD</t>
  </si>
  <si>
    <t>CWFH_HDD20</t>
  </si>
  <si>
    <t>CWFH_CDD20</t>
  </si>
  <si>
    <t>CWFH_HDD18</t>
  </si>
  <si>
    <t>CWFH_CDD18</t>
  </si>
  <si>
    <t>CWFH_HDD16</t>
  </si>
  <si>
    <t>CWFH_CDD16</t>
  </si>
  <si>
    <t>CWFH_HDD14</t>
  </si>
  <si>
    <t>CWFH_CDD14</t>
  </si>
  <si>
    <t>CWFH_HDD12</t>
  </si>
  <si>
    <t>CWFH_CDD12</t>
  </si>
  <si>
    <t>CWFH_HDD10</t>
  </si>
  <si>
    <t>CWFH_CDD10</t>
  </si>
  <si>
    <t>CWFH_HDD8</t>
  </si>
  <si>
    <t>CWFH_CDD8</t>
  </si>
  <si>
    <t>Trend16</t>
  </si>
  <si>
    <t>Trend17</t>
  </si>
  <si>
    <t>Trend18</t>
  </si>
  <si>
    <t>Trend19</t>
  </si>
  <si>
    <t>Trend20</t>
  </si>
  <si>
    <t>EDCustAlt</t>
  </si>
  <si>
    <t>AvgEDMDAlt</t>
  </si>
  <si>
    <t>EDkWh2016</t>
  </si>
  <si>
    <t>WindsorFTE</t>
  </si>
  <si>
    <t xml:space="preserve">                             -   </t>
  </si>
  <si>
    <t xml:space="preserve">                       -  </t>
  </si>
  <si>
    <t>IESO Total CDM Savings Figure</t>
  </si>
  <si>
    <t>Implementation Year</t>
  </si>
  <si>
    <t>Persistence Year</t>
  </si>
  <si>
    <t>Residential</t>
  </si>
  <si>
    <t>GS&lt;50</t>
  </si>
  <si>
    <t>GS&gt;50</t>
  </si>
  <si>
    <t>Embedded Distributor</t>
  </si>
  <si>
    <t>Sentinel Light</t>
  </si>
  <si>
    <t>Street Light</t>
  </si>
  <si>
    <t>USL</t>
  </si>
  <si>
    <t>Total</t>
  </si>
  <si>
    <t>First Year</t>
  </si>
  <si>
    <t>Adj.</t>
  </si>
  <si>
    <t>Source</t>
  </si>
  <si>
    <t>2011-2014 Final Results Report_EPLC</t>
  </si>
  <si>
    <t>Participation and Cost Report - Essex Powerlines Corporation 2019 04</t>
  </si>
  <si>
    <t>(no savings post CFF cancellation)</t>
  </si>
  <si>
    <t>(2021-2024 Framework)</t>
  </si>
  <si>
    <t>2011-2022</t>
  </si>
  <si>
    <t>&amp; 1/2 of 2023</t>
  </si>
  <si>
    <t>Persisting to</t>
  </si>
  <si>
    <t>Month</t>
  </si>
  <si>
    <t>10-year</t>
  </si>
  <si>
    <t>June</t>
  </si>
  <si>
    <t>July</t>
  </si>
  <si>
    <t>August</t>
  </si>
  <si>
    <t>10 Year Average</t>
  </si>
  <si>
    <t>Windsor A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</si>
  <si>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</si>
  <si>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</si>
  <si>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</si>
  <si>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</si>
  <si>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</si>
  <si>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</si>
  <si>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</si>
  <si>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</si>
  <si>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ON Employment</t>
  </si>
  <si>
    <t>Windsor</t>
  </si>
  <si>
    <t>GDP (StatCan)</t>
  </si>
  <si>
    <t>GDP (Ontario Economic Accounts)</t>
  </si>
  <si>
    <t>Seasonally Adjusted</t>
  </si>
  <si>
    <t>Unadjusted</t>
  </si>
  <si>
    <t>Ontario</t>
  </si>
  <si>
    <t>Ag Gen</t>
  </si>
  <si>
    <t>Crop&amp;An</t>
  </si>
  <si>
    <t>Crop Production</t>
  </si>
  <si>
    <t>Greenhouse</t>
  </si>
  <si>
    <t>Cannabis</t>
  </si>
  <si>
    <t>Min Gen</t>
  </si>
  <si>
    <t>O&amp;G</t>
  </si>
  <si>
    <t>O&amp;G Support</t>
  </si>
  <si>
    <t>Total (40)</t>
  </si>
  <si>
    <t>3.       Agriculture, Forestry, Fishing &amp; Hunting</t>
  </si>
  <si>
    <t>7.       Natural Gas, Water and Other</t>
  </si>
  <si>
    <t>16.      Chemical and Petroleum Products</t>
  </si>
  <si>
    <t>14-10-0380-01</t>
  </si>
  <si>
    <t>36-10-0402-01</t>
  </si>
  <si>
    <t>Table 15</t>
  </si>
  <si>
    <t>Q1</t>
  </si>
  <si>
    <t>Latest Figures as of Mar. 14, 2024</t>
  </si>
  <si>
    <t>Q2</t>
  </si>
  <si>
    <t>TD</t>
  </si>
  <si>
    <t>BMO</t>
  </si>
  <si>
    <t>Scotia</t>
  </si>
  <si>
    <t>RBC</t>
  </si>
  <si>
    <t>Average Used</t>
  </si>
  <si>
    <t>Average</t>
  </si>
  <si>
    <t>Q3</t>
  </si>
  <si>
    <t>GDP</t>
  </si>
  <si>
    <t>Q4</t>
  </si>
  <si>
    <t>FTE</t>
  </si>
  <si>
    <t>All industries  [T001] 10</t>
  </si>
  <si>
    <t>Agriculture, forestry, fishing and hunting  [11]</t>
  </si>
  <si>
    <t>Crop and animal production  [11A] 11</t>
  </si>
  <si>
    <t>Crop production  [111]</t>
  </si>
  <si>
    <t>Greenhouse, nursery and floriculture production (except cannabis)  [1114A] 12</t>
  </si>
  <si>
    <t>Cannabis production  [111C] 11</t>
  </si>
  <si>
    <t>Mining, quarrying, and oil and gas extraction  [21]</t>
  </si>
  <si>
    <t>Oil and gas extraction  [211]</t>
  </si>
  <si>
    <t>Support activities for oil and gas extraction  [21311A] 12</t>
  </si>
  <si>
    <t>Model 206: Prais-Winsten, using observations 2013:01-2023:06 (T = 126)</t>
  </si>
  <si>
    <t>Model 207: Prais-Winsten, using observations 2013:01-2023:06 (T = 126)</t>
  </si>
  <si>
    <t>Model 208: Prais-Winsten, using observations 2013:01-2023:06 (T = 126)</t>
  </si>
  <si>
    <t>Dependent variable: ReskWh_NoCDM</t>
  </si>
  <si>
    <t>rho = 0.12847</t>
  </si>
  <si>
    <t>rho = 0.199231</t>
  </si>
  <si>
    <t>rho = 0.185888</t>
  </si>
  <si>
    <t>coefficient</t>
  </si>
  <si>
    <t>std. error</t>
  </si>
  <si>
    <t>t-ratio</t>
  </si>
  <si>
    <t>p-value</t>
  </si>
  <si>
    <t>const</t>
  </si>
  <si>
    <t>AdjWindsor_FTE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</si>
  <si>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</si>
  <si>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</si>
  <si>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</si>
  <si>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</si>
  <si>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</si>
  <si>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</si>
  <si>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</si>
  <si>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F(5, 120)</t>
  </si>
  <si>
    <t>P-value(F)</t>
  </si>
  <si>
    <t>rho</t>
  </si>
  <si>
    <t>Durbin-Watson</t>
  </si>
  <si>
    <t>Model 211: Prais-Winsten, using observations 2013:01-2023:06 (T = 126)</t>
  </si>
  <si>
    <t>Model 212: Prais-Winsten, using observations 2013:01-2023:06 (T = 126)</t>
  </si>
  <si>
    <t>Model 213: Prais-Winsten, using observations 2013:01-2023:06 (T = 126)</t>
  </si>
  <si>
    <t>rho = 0.148691</t>
  </si>
  <si>
    <t>rho = 0.24207</t>
  </si>
  <si>
    <t>rho = 0.132928</t>
  </si>
  <si>
    <t>MonthDays</t>
  </si>
  <si>
    <t>F(7, 118)</t>
  </si>
  <si>
    <t>Predicted</t>
  </si>
  <si>
    <t>Model Error</t>
  </si>
  <si>
    <t>Model 7: Prais-Winsten, using observations 2014:01-2023:12 (T = 120)</t>
  </si>
  <si>
    <t>rho = 0.164919</t>
  </si>
  <si>
    <t>F(7, 112)</t>
  </si>
  <si>
    <t>Statistics based on the original data</t>
  </si>
  <si>
    <t>Diff</t>
  </si>
  <si>
    <t>Model 1: Prais-Winsten, using observations 2014:01-2023:12 (T = 120)</t>
  </si>
  <si>
    <t>Dependent variable: GSlt50kWh_NoCDM</t>
  </si>
  <si>
    <t>rho = 0.71701</t>
  </si>
  <si>
    <t>F(5, 114)</t>
  </si>
  <si>
    <t>Model 6: Prais-Winsten, using observations 2014:01-2023:12 (T = 120)</t>
  </si>
  <si>
    <t>Dependent variable: GSgt50kWh_NoCDM</t>
  </si>
  <si>
    <t>rho = 0.527279</t>
  </si>
  <si>
    <t>PeakDays</t>
  </si>
  <si>
    <t>F(6, 113)</t>
  </si>
  <si>
    <t>Model 8: Prais-Winsten, using observations 2015:11-2023:12 (T = 98)</t>
  </si>
  <si>
    <t>Dependent variable: EDkWh2016</t>
  </si>
  <si>
    <t>rho = 0.714295</t>
  </si>
  <si>
    <t>F(4, 93)</t>
  </si>
  <si>
    <t>Predicted Avg</t>
  </si>
  <si>
    <t>Model 9: Prais-Winsten, using observations 2014:01-2023:12 (T = 120)</t>
  </si>
  <si>
    <t>Dependent variable: AvgEDMDAlt</t>
  </si>
  <si>
    <t>rho = 0.668356</t>
  </si>
  <si>
    <t>F(4, 115)</t>
  </si>
  <si>
    <t>Essex</t>
  </si>
  <si>
    <t>Res kWh</t>
  </si>
  <si>
    <t>Absolute</t>
  </si>
  <si>
    <t>GS &lt; 50 kWh</t>
  </si>
  <si>
    <t>GS &gt; 50 kWh</t>
  </si>
  <si>
    <t>Embedded Distributor kWh</t>
  </si>
  <si>
    <t>CDM Added Back</t>
  </si>
  <si>
    <t>Error (%)</t>
  </si>
  <si>
    <t>Mean Absolute Percentage Error (Annual)</t>
  </si>
  <si>
    <t>Mean Absolute Percentage Error (Monthly)</t>
  </si>
  <si>
    <t>Statscan New zero-emission vehicle registrations, quarterly 20-10-0025-01</t>
  </si>
  <si>
    <t>Quarterly Increase</t>
  </si>
  <si>
    <t>Cumulative</t>
  </si>
  <si>
    <t>Table: 20-10-0024-01</t>
  </si>
  <si>
    <t>Geography</t>
  </si>
  <si>
    <t>Windsor, Ontario</t>
  </si>
  <si>
    <t>Leamington, Ontario</t>
  </si>
  <si>
    <t>Amherstburg</t>
  </si>
  <si>
    <t>LaSalle</t>
  </si>
  <si>
    <t>Tecumseh</t>
  </si>
  <si>
    <t>Essex Total (Calc)</t>
  </si>
  <si>
    <t>Fuel type</t>
  </si>
  <si>
    <t>All fuel types</t>
  </si>
  <si>
    <t>Battery electric</t>
  </si>
  <si>
    <t>Hybrid electric</t>
  </si>
  <si>
    <t>Plug-in hybrid electric</t>
  </si>
  <si>
    <t>Q1 2017</t>
  </si>
  <si>
    <t>Vehicle type</t>
  </si>
  <si>
    <t>Total, vehicle type 1</t>
  </si>
  <si>
    <t>Passenger cars</t>
  </si>
  <si>
    <t>Pickup trucks 2</t>
  </si>
  <si>
    <t>Multi-purpose vehicles 3</t>
  </si>
  <si>
    <t>Vans 4</t>
  </si>
  <si>
    <t>Q2 2017</t>
  </si>
  <si>
    <t>Reference period</t>
  </si>
  <si>
    <t>Q3 2017</t>
  </si>
  <si>
    <t>Units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</si>
  <si>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</si>
  <si>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</si>
  <si>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</si>
  <si>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</si>
  <si>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</si>
  <si>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</si>
  <si>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</si>
  <si>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</si>
  <si>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</si>
  <si>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</si>
  <si>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</si>
  <si>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</si>
  <si>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</si>
  <si>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</si>
  <si>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</si>
  <si>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</si>
  <si>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</si>
  <si>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</si>
  <si>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</si>
  <si>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</si>
  <si>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</si>
  <si>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</si>
  <si>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</si>
  <si>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</si>
  <si>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</si>
  <si>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Avg. Distance</t>
  </si>
  <si>
    <t>Avg. Efficiency</t>
  </si>
  <si>
    <t>km</t>
  </si>
  <si>
    <t>kWh/ 100 km</t>
  </si>
  <si>
    <t>Passenger</t>
  </si>
  <si>
    <t>Multi-purpose vehicles (SUV)</t>
  </si>
  <si>
    <t>Van</t>
  </si>
  <si>
    <t>Pick-Up Truck</t>
  </si>
  <si>
    <t>Total EVs</t>
  </si>
  <si>
    <t>New</t>
  </si>
  <si>
    <t>% of Population in Essex</t>
  </si>
  <si>
    <t>Passenger + SUV EVs</t>
  </si>
  <si>
    <t>kWh/EV</t>
  </si>
  <si>
    <t>New kWh</t>
  </si>
  <si>
    <t>Cumulative kWh</t>
  </si>
  <si>
    <t>% of Other Evs that are Light Duty</t>
  </si>
  <si>
    <t>Van EVs</t>
  </si>
  <si>
    <t>Pickup Trucks</t>
  </si>
  <si>
    <t>EVs</t>
  </si>
  <si>
    <t>Passenger EV</t>
  </si>
  <si>
    <t>Multi-purpose vehicles (SUV) EV</t>
  </si>
  <si>
    <t>Van EV</t>
  </si>
  <si>
    <t>Pick-Up Truck EV</t>
  </si>
  <si>
    <t>All Vehicles</t>
  </si>
  <si>
    <t>All Passenger</t>
  </si>
  <si>
    <t>All Multi-purpose vehicles (SUV)</t>
  </si>
  <si>
    <t>All Van</t>
  </si>
  <si>
    <t>All Pick-Up Truck</t>
  </si>
  <si>
    <t>Essex % of ON EVs</t>
  </si>
  <si>
    <t>ON EVs as % of All Vehicles</t>
  </si>
  <si>
    <t>Passenger EV as % of EV</t>
  </si>
  <si>
    <t>Multi-Purpose EV as % of EV</t>
  </si>
  <si>
    <t>Van EV as % of EV</t>
  </si>
  <si>
    <t>Pickup Truck EV as % of EV</t>
  </si>
  <si>
    <t>New Incremental kWh</t>
  </si>
  <si>
    <t>Passenger/SUV</t>
  </si>
  <si>
    <t>Pick-up Truck</t>
  </si>
  <si>
    <t>EV kWh by Class</t>
  </si>
  <si>
    <t>New Incremental kW</t>
  </si>
  <si>
    <t>Load Factor</t>
  </si>
  <si>
    <t>Essex EVs</t>
  </si>
  <si>
    <t>A</t>
  </si>
  <si>
    <t>ON EVs</t>
  </si>
  <si>
    <t>B</t>
  </si>
  <si>
    <t>C = A / B</t>
  </si>
  <si>
    <t>ON Passenger EVs</t>
  </si>
  <si>
    <t>D</t>
  </si>
  <si>
    <t>ON Multi-Purpose Vehicles EVs</t>
  </si>
  <si>
    <t>E</t>
  </si>
  <si>
    <t>ON Vans EVs</t>
  </si>
  <si>
    <t>F</t>
  </si>
  <si>
    <t>ON Pickup Truck EVs</t>
  </si>
  <si>
    <t xml:space="preserve">G </t>
  </si>
  <si>
    <t>H = D / B</t>
  </si>
  <si>
    <t>I = E / B</t>
  </si>
  <si>
    <t>J = F / B</t>
  </si>
  <si>
    <t>K = G / B</t>
  </si>
  <si>
    <t>New Vehicles in Essex</t>
  </si>
  <si>
    <t>L = A</t>
  </si>
  <si>
    <t>Passenger &amp; Multi-Purpose EVs</t>
  </si>
  <si>
    <t>M = L * (H + I)</t>
  </si>
  <si>
    <t>N = L * J</t>
  </si>
  <si>
    <t>Pickup Truck Evs</t>
  </si>
  <si>
    <t>O = L * K</t>
  </si>
  <si>
    <t xml:space="preserve">Basis of Forecast </t>
  </si>
  <si>
    <t>All Vehicles in Ontario</t>
  </si>
  <si>
    <t>P</t>
  </si>
  <si>
    <t>Average 2017-2023</t>
  </si>
  <si>
    <t>New EV Target</t>
  </si>
  <si>
    <t>Q</t>
  </si>
  <si>
    <t>Trajectory to 2026 Target</t>
  </si>
  <si>
    <t>R</t>
  </si>
  <si>
    <t>Trajectory to Essex share of population in 2026</t>
  </si>
  <si>
    <t>Total New Essex EVs</t>
  </si>
  <si>
    <t>S = P * Q * R</t>
  </si>
  <si>
    <t>Total vehicles times share of EVs times Essex share of EVs</t>
  </si>
  <si>
    <t>T = S * (H + I)</t>
  </si>
  <si>
    <t>Total Essex EVs times 2023 share of vehicle type</t>
  </si>
  <si>
    <t>U = S * J</t>
  </si>
  <si>
    <t>Pickup Truck EVs</t>
  </si>
  <si>
    <t>V = S * K</t>
  </si>
  <si>
    <t xml:space="preserve">   Cumulative EVs</t>
  </si>
  <si>
    <t xml:space="preserve">   Cumulative kWh</t>
  </si>
  <si>
    <t>C = ( Bt-1 + A/2 ) * 4,000</t>
  </si>
  <si>
    <t xml:space="preserve">   Incremental kWh</t>
  </si>
  <si>
    <t>D = C - Ct-1</t>
  </si>
  <si>
    <t>G = (Ft-1 + E/2) * 5,000</t>
  </si>
  <si>
    <t>H = G - Gt-1</t>
  </si>
  <si>
    <t>I</t>
  </si>
  <si>
    <t>J</t>
  </si>
  <si>
    <t>K = ( Jt-1 + I) * 6,000</t>
  </si>
  <si>
    <t>L = K - Kt-1</t>
  </si>
  <si>
    <t>2024 Incremental</t>
  </si>
  <si>
    <t>2025 Incremental</t>
  </si>
  <si>
    <t>2025 Incremental +  2024 Full</t>
  </si>
  <si>
    <t>Small Business</t>
  </si>
  <si>
    <t>Consumption per Year</t>
  </si>
  <si>
    <t>m3/year</t>
  </si>
  <si>
    <t>Typical Enbridge Residential Customer</t>
  </si>
  <si>
    <t>Heating Profile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</si>
  <si>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</si>
  <si>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</si>
  <si>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</si>
  <si>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</si>
  <si>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</si>
  <si>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Convert GJ to kWh</t>
  </si>
  <si>
    <t>kWh/GJ</t>
  </si>
  <si>
    <t>Convert m3 to kWh</t>
  </si>
  <si>
    <t>kWh/m3</t>
  </si>
  <si>
    <t>kWh per Customer</t>
  </si>
  <si>
    <t>kWh/Customer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</si>
  <si>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</si>
  <si>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</si>
  <si>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</si>
  <si>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</si>
  <si>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</si>
  <si>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</si>
  <si>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</si>
  <si>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Seasonal Adjustment</t>
  </si>
  <si>
    <t>Total kWh</t>
  </si>
  <si>
    <t>Incremental Load (kW)</t>
  </si>
  <si>
    <t>Maximum billed load in normal weather year</t>
  </si>
  <si>
    <t>Time Frame</t>
  </si>
  <si>
    <t>kWh</t>
  </si>
  <si>
    <t>kW</t>
  </si>
  <si>
    <t>GS &gt; 50 kW (Known conversion)</t>
  </si>
  <si>
    <t>Amherstburg NG to electricity</t>
  </si>
  <si>
    <t>Fall 2025</t>
  </si>
  <si>
    <t>Residential kWh</t>
  </si>
  <si>
    <t xml:space="preserve">  Winter</t>
  </si>
  <si>
    <t xml:space="preserve">  Summer</t>
  </si>
  <si>
    <t>Seasonally Adjusted kWh</t>
  </si>
  <si>
    <t>GS &lt; 50</t>
  </si>
  <si>
    <t>Peak Loads (kW)</t>
  </si>
  <si>
    <t>Billed Loads</t>
  </si>
  <si>
    <t>Timeframe</t>
  </si>
  <si>
    <t>Current Loads</t>
  </si>
  <si>
    <t>Expanded Loads</t>
  </si>
  <si>
    <t>Peak/Billed Ratio</t>
  </si>
  <si>
    <t>Avg. Monthly Billed Loads</t>
  </si>
  <si>
    <t>Leamington</t>
  </si>
  <si>
    <t>Billed Loads (kW)</t>
  </si>
  <si>
    <t>Half-Year Adj.</t>
  </si>
  <si>
    <t>Incremental Monthly Billed Loads</t>
  </si>
  <si>
    <t>Incremental Annual Billed Loads</t>
  </si>
  <si>
    <t>Consumption (kWh)</t>
  </si>
  <si>
    <t>Incremental kWh</t>
  </si>
  <si>
    <t>Heating</t>
  </si>
  <si>
    <t>Loads are incremental to loads forecasted based on 10-year consumption</t>
  </si>
  <si>
    <t>Figures are added in 'Normalized Annual Summary' and 'kW Forecast'</t>
  </si>
  <si>
    <t>Customer</t>
  </si>
  <si>
    <t>Expansions</t>
  </si>
  <si>
    <t>GS&lt;50 kWh</t>
  </si>
  <si>
    <t>GS&gt;50 kWh</t>
  </si>
  <si>
    <t>ED kWh</t>
  </si>
  <si>
    <t>Actual</t>
  </si>
  <si>
    <t>Cumulative Persisting CDM</t>
  </si>
  <si>
    <t>Actual No CDM</t>
  </si>
  <si>
    <t>Normalized No CDM</t>
  </si>
  <si>
    <t>Normalized</t>
  </si>
  <si>
    <t>Adjustments</t>
  </si>
  <si>
    <t>Normalized w. Adjustments</t>
  </si>
  <si>
    <t>Lamps / Devices</t>
  </si>
  <si>
    <t>Average per Connection</t>
  </si>
  <si>
    <t>Normal Forecast</t>
  </si>
  <si>
    <t>C = A + B</t>
  </si>
  <si>
    <t>E = B</t>
  </si>
  <si>
    <t>F = D - E</t>
  </si>
  <si>
    <t>G</t>
  </si>
  <si>
    <t>H = F + G</t>
  </si>
  <si>
    <t>Percent of Prior Year</t>
  </si>
  <si>
    <t>GS &gt; 50</t>
  </si>
  <si>
    <t>St. Lights</t>
  </si>
  <si>
    <t>Sen Lights</t>
  </si>
  <si>
    <t>ED</t>
  </si>
  <si>
    <t>Customers</t>
  </si>
  <si>
    <t>5-Year Average</t>
  </si>
  <si>
    <t>Maintain 2019-2023 count</t>
  </si>
  <si>
    <t>Monthly Average</t>
  </si>
  <si>
    <t>(Check)</t>
  </si>
  <si>
    <t>Sep</t>
  </si>
  <si>
    <t>Sentinel</t>
  </si>
  <si>
    <t>Ratio</t>
  </si>
  <si>
    <t>Ratio Moving Average</t>
  </si>
  <si>
    <t>C = B / A</t>
  </si>
  <si>
    <t>kWh Normalized</t>
  </si>
  <si>
    <t>kW Normalized</t>
  </si>
  <si>
    <t>Additional Load</t>
  </si>
  <si>
    <t>E = D * F</t>
  </si>
  <si>
    <t>H</t>
  </si>
  <si>
    <t>I = E + H</t>
  </si>
  <si>
    <t>E = D * H</t>
  </si>
  <si>
    <t>Divergence</t>
  </si>
  <si>
    <t>5-year change</t>
  </si>
  <si>
    <t>10-year change</t>
  </si>
  <si>
    <t>5-Year Average Used</t>
  </si>
  <si>
    <t>1-Year Used</t>
  </si>
  <si>
    <t>In year energy savings (GWh)</t>
  </si>
  <si>
    <t>In year energy savings (kWh)</t>
  </si>
  <si>
    <t>Essex Share</t>
  </si>
  <si>
    <t>Retrofit</t>
  </si>
  <si>
    <t>% of provincial kWh</t>
  </si>
  <si>
    <t xml:space="preserve">Energy Performance </t>
  </si>
  <si>
    <t>Energy Management</t>
  </si>
  <si>
    <t>Total by Year</t>
  </si>
  <si>
    <t>Industrial Energy Efficiency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</si>
  <si>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</si>
  <si>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</si>
  <si>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</si>
  <si>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</si>
  <si>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</si>
  <si>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</si>
  <si>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</si>
  <si>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 2022-12-15</t>
  </si>
  <si>
    <t>5-Year Avg.</t>
  </si>
  <si>
    <t>Province</t>
  </si>
  <si>
    <t>Cummulative</t>
  </si>
  <si>
    <t>w/ 1/2 Year Adj.</t>
  </si>
  <si>
    <t>Essex % Share</t>
  </si>
  <si>
    <t>OEB Open Data (RRR): Section 2.1.5.4 Demand and Revenue</t>
  </si>
  <si>
    <t>Low-Income Measure</t>
  </si>
  <si>
    <t>2021 Used</t>
  </si>
  <si>
    <t xml:space="preserve"> Amherstburg</t>
  </si>
  <si>
    <t xml:space="preserve"> LaSalle</t>
  </si>
  <si>
    <t xml:space="preserve"> Leamington</t>
  </si>
  <si>
    <t xml:space="preserve"> Tecumseh</t>
  </si>
  <si>
    <t>Essex Total</t>
  </si>
  <si>
    <t>Essex %</t>
  </si>
  <si>
    <t>Statistics Canada - Population and dwelling counts: Canada and census subdivisions Table 98-10-0002-01</t>
  </si>
  <si>
    <t>[Census Family Low Income Measure (CFLIM-AT) Table 11-10-0020-01 data not available for Essex service area)</t>
  </si>
  <si>
    <t>Total CDM</t>
  </si>
  <si>
    <t>GS&lt; 50</t>
  </si>
  <si>
    <t>CDM</t>
  </si>
  <si>
    <t>2023-2025 Forecasted kWh Savings by Rate Class</t>
  </si>
  <si>
    <t>Rate Class</t>
  </si>
  <si>
    <t>CDM Adjustment</t>
  </si>
  <si>
    <t>CDM Adj Weight</t>
  </si>
  <si>
    <t>Amount</t>
  </si>
  <si>
    <t>C = A * B</t>
  </si>
  <si>
    <t>G = E * F</t>
  </si>
  <si>
    <t>H = C + D + G</t>
  </si>
  <si>
    <t>TOTAL</t>
  </si>
  <si>
    <t>2023-2025 kW Forcasted Savings by Rate Class</t>
  </si>
  <si>
    <t>2025 Forecast kWh</t>
  </si>
  <si>
    <t>2025 Forecast kW</t>
  </si>
  <si>
    <t>Weather-Normal Forecast</t>
  </si>
  <si>
    <t>% Savings</t>
  </si>
  <si>
    <t>E = C * D</t>
  </si>
  <si>
    <t>2014 Actual</t>
  </si>
  <si>
    <t>2015 Actual</t>
  </si>
  <si>
    <t>2016 Actual</t>
  </si>
  <si>
    <t>2017 Actual</t>
  </si>
  <si>
    <t>2018 Actual</t>
  </si>
  <si>
    <t>2019 Actual</t>
  </si>
  <si>
    <t>2020 Actual</t>
  </si>
  <si>
    <t>2021 Actual</t>
  </si>
  <si>
    <t>2022 Actual</t>
  </si>
  <si>
    <t>2023 Actual</t>
  </si>
  <si>
    <t>2023 Normal</t>
  </si>
  <si>
    <t>2024 Forecast</t>
  </si>
  <si>
    <t>2025 Forecast</t>
  </si>
  <si>
    <t>CDM Adjusted</t>
  </si>
  <si>
    <t>2025 Weather Normal Forecast</t>
  </si>
  <si>
    <t>2025 CDM Adjusted Forecast</t>
  </si>
  <si>
    <t>Customers / Connections</t>
  </si>
  <si>
    <t>Count</t>
  </si>
  <si>
    <t>Summary</t>
  </si>
  <si>
    <t>Appendix 2-IB</t>
  </si>
  <si>
    <t>Customer, Connections, Load Forecast and Revenues Data and Analysis</t>
  </si>
  <si>
    <t>This sheet is to be filled in accordance with the instructions documented in section 2.3.2 of Chapter 2 of the Filing Requirements for Distribution Rate Applications, in terms of one set of tables per customer class.</t>
  </si>
  <si>
    <t>Costumers/Connections</t>
  </si>
  <si>
    <t>Costumers/Connections Variance Analysis</t>
  </si>
  <si>
    <t>Historical 2018</t>
  </si>
  <si>
    <t>Historical 2019</t>
  </si>
  <si>
    <t>Historical 2020</t>
  </si>
  <si>
    <t>Historical 2021</t>
  </si>
  <si>
    <t>Historical 2022</t>
  </si>
  <si>
    <t>Historical 2023</t>
  </si>
  <si>
    <t>Bridge Year 2024</t>
  </si>
  <si>
    <t>Test Year 2025</t>
  </si>
  <si>
    <t>General Service &lt; 50 kW</t>
  </si>
  <si>
    <t>General Service &gt;= 50 kW</t>
  </si>
  <si>
    <t>Large User</t>
  </si>
  <si>
    <t>Unmetered Scattered Load Connections</t>
  </si>
  <si>
    <t>Sentinel Lighting Connections</t>
  </si>
  <si>
    <t>Street Lighting Connections</t>
  </si>
  <si>
    <t>Wholesale Market Participants</t>
  </si>
  <si>
    <t>Embedded Distributor(s)</t>
  </si>
  <si>
    <t>Sub Transmission Customers</t>
  </si>
  <si>
    <t>Consumption (Actual)</t>
  </si>
  <si>
    <t>Consumption (Actual) Variance Analysis</t>
  </si>
  <si>
    <t>Demand (Actual)</t>
  </si>
  <si>
    <t>Demand (Actual) Variance Analysis</t>
  </si>
  <si>
    <t>Consumption (Weather Normalized)</t>
  </si>
  <si>
    <t>Consumption (Weather Normalized) Variance Analysis</t>
  </si>
  <si>
    <t>Demand (Weather Normalized)</t>
  </si>
  <si>
    <t>Demand (Weather Normalized) Variance Analysis</t>
  </si>
  <si>
    <t>Bridge</t>
  </si>
  <si>
    <t>Test</t>
  </si>
  <si>
    <t xml:space="preserve"> / Devices</t>
  </si>
  <si>
    <t>HDD</t>
  </si>
  <si>
    <t>CDD</t>
  </si>
  <si>
    <t>Diff #</t>
  </si>
  <si>
    <t>Diff %</t>
  </si>
  <si>
    <t>Customers/Devices</t>
  </si>
  <si>
    <t>Volumes</t>
  </si>
  <si>
    <t>Volumetric Difference</t>
  </si>
  <si>
    <t>2018 Approved</t>
  </si>
  <si>
    <t>Diff.</t>
  </si>
  <si>
    <t>kWh / kW</t>
  </si>
  <si>
    <t>GS &lt; 50 kW</t>
  </si>
  <si>
    <t>GS &gt; 50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</si>
</sst>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&quot;$&quot;#,##0.00;[Red]\-&quot;$&quot;#,##0.00"/>
    <numFmt numFmtId="167" formatCode="_-&quot;$&quot;* #,##0_-;\-&quot;$&quot;* #,##0_-;_-&quot;$&quot;* &quot;-&quot;_-;_-@_-"/>
    <numFmt numFmtId="168" formatCode="_-* #,##0_-;\-* #,##0_-;_-* &quot;-&quot;_-;_-@_-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(* #,##0_);_(* \(#,##0\);_(* &quot;-&quot;??_);_(@_)"/>
    <numFmt numFmtId="172" formatCode="_-* #,##0_-;\-* #,##0_-;_-* &quot;-&quot;??_-;_-@_-"/>
    <numFmt numFmtId="173" formatCode="0.0%"/>
    <numFmt numFmtId="174" formatCode="0.000000"/>
    <numFmt numFmtId="175" formatCode="0.0"/>
    <numFmt numFmtId="176" formatCode="_(* #,##0.0_);_(* \(#,##0.0\);_(* &quot;-&quot;??_);_(@_)"/>
    <numFmt numFmtId="177" formatCode="_(* #,##0.000_);_(* \(#,##0.000\);_(* &quot;-&quot;??_);_(@_)"/>
    <numFmt numFmtId="178" formatCode="0_);\(0\)"/>
    <numFmt numFmtId="179" formatCode="_(* #,##0.0000_);_(* \(#,##0.0000\);_(* &quot;-&quot;??_);_(@_)"/>
    <numFmt numFmtId="180" formatCode="#,##0.000"/>
    <numFmt numFmtId="181" formatCode="#,##0.0000000"/>
    <numFmt numFmtId="182" formatCode="0.000"/>
    <numFmt numFmtId="183" formatCode="#,##0.0"/>
    <numFmt numFmtId="184" formatCode="0.0000"/>
    <numFmt numFmtId="185" formatCode="mm/dd/yyyy"/>
    <numFmt numFmtId="186" formatCode="0\-0"/>
    <numFmt numFmtId="187" formatCode="##\-#"/>
    <numFmt numFmtId="188" formatCode="&quot;£ &quot;#,##0.00;[Red]\-&quot;£ &quot;#,##0.00"/>
    <numFmt numFmtId="189" formatCode="_-* #,##0.00_-;\-* #,##0.00_-;_-* \-??_-;_-@_-"/>
    <numFmt numFmtId="190" formatCode="_(* #,##0.00000_);_(* \(#,##0.00000\);_(* &quot;-&quot;??_);_(@_)"/>
    <numFmt numFmtId="191" formatCode="0.00000"/>
    <numFmt numFmtId="192" formatCode="mmm\-yyyy"/>
    <numFmt numFmtId="193" formatCode="0.000%"/>
    <numFmt numFmtId="194" formatCode="#,##0.0000"/>
    <numFmt numFmtId="195" formatCode="#,##0.0_);\(#,##0.0\)"/>
    <numFmt numFmtId="196" formatCode="&quot;$&quot;_(#,##0.00_);&quot;$&quot;\(#,##0.00\)"/>
    <numFmt numFmtId="197" formatCode="_(&quot;$&quot;* #,##0.00000000000000000_);_(&quot;$&quot;* \(#,##0.00000000000000000\);_(&quot;$&quot;* &quot;-&quot;??_);_(@_)"/>
    <numFmt numFmtId="198" formatCode="_-&quot;£&quot;* #,##0.00_-;\-&quot;£&quot;* #,##0.00_-;_-&quot;£&quot;* &quot;-&quot;??_-;_-@_-"/>
    <numFmt numFmtId="199" formatCode="#,##0.0_)\x;\(#,##0.0\)\x"/>
    <numFmt numFmtId="200" formatCode="_(&quot;$&quot;* #,##0.00000000_);_(&quot;$&quot;* \(#,##0.00000000\);_(&quot;$&quot;* &quot;-&quot;??_);_(@_)"/>
    <numFmt numFmtId="201" formatCode="_(&quot;$&quot;* #,##0.00000000000_);_(&quot;$&quot;* \(#,##0.00000000000\);_(&quot;$&quot;* &quot;-&quot;??_);_(@_)"/>
    <numFmt numFmtId="202" formatCode="_(&quot;$&quot;* #,##0.000000000000_);_(&quot;$&quot;* \(#,##0.000000000000\);_(&quot;$&quot;* &quot;-&quot;??_);_(@_)"/>
    <numFmt numFmtId="203" formatCode="_-&quot;£&quot;* #,##0_-;\-&quot;£&quot;* #,##0_-;_-&quot;£&quot;* &quot;-&quot;_-;_-@_-"/>
    <numFmt numFmtId="204" formatCode="#,##0.0_)_x;\(#,##0.0\)_x"/>
    <numFmt numFmtId="205" formatCode="_(* #,##0.0_);_(* \(#,##0.0\);_(* &quot;-&quot;?_);_(@_)"/>
    <numFmt numFmtId="206" formatCode="#,##0.0_)_x;\(#,##0.0\)_x;0.0_)_x;@_)_x"/>
    <numFmt numFmtId="207" formatCode="_(&quot;$&quot;* #,##0.00000000000000_);_(&quot;$&quot;* \(#,##0.00000000000000\);_(&quot;$&quot;* &quot;-&quot;??_);_(@_)"/>
    <numFmt numFmtId="208" formatCode="0.0_)\%;\(0.0\)\%"/>
    <numFmt numFmtId="209" formatCode="_(&quot;$&quot;* #,##0.000000000000000_);_(&quot;$&quot;* \(#,##0.000000000000000\);_(&quot;$&quot;* &quot;-&quot;??_);_(@_)"/>
    <numFmt numFmtId="210" formatCode="#,##0.0_)_%;\(#,##0.0\)_%"/>
    <numFmt numFmtId="211" formatCode="#,##0.0_);\(#,##0.0\);0_._0_)"/>
    <numFmt numFmtId="212" formatCode="\¥\ #,##0_);[Red]\(\¥\ #,##0\)"/>
    <numFmt numFmtId="213" formatCode="[&gt;1]&quot;10Q: &quot;0&quot; qtrs&quot;;&quot;10Q: &quot;0&quot; qtr&quot;"/>
    <numFmt numFmtId="214" formatCode="0.0%;[Red]\(0.0%\)"/>
    <numFmt numFmtId="215" formatCode="#,##0.0\ \ \ _);\(#,##0.0\)\ \ "/>
    <numFmt numFmtId="216" formatCode="#,##0.00;[Red]\(#,##0.00\)"/>
    <numFmt numFmtId="217" formatCode="_-* #,##0.00\ _F_-;\-* #,##0.00\ _F_-;_-* &quot;-&quot;??\ _F_-;_-@_-"/>
    <numFmt numFmtId="218" formatCode="m\-d\-yy"/>
    <numFmt numFmtId="219" formatCode="&quot;£&quot;#,##0.00_);[Red]\(&quot;£&quot;#,##0.00\)"/>
    <numFmt numFmtId="220" formatCode="0.0_)"/>
    <numFmt numFmtId="221" formatCode="m/yy"/>
    <numFmt numFmtId="222" formatCode="#,###.0#"/>
    <numFmt numFmtId="223" formatCode="#,###.#"/>
    <numFmt numFmtId="224" formatCode="&quot;$&quot;#,##0.00"/>
    <numFmt numFmtId="225" formatCode="0000\ \-\ 0000"/>
    <numFmt numFmtId="226" formatCode="[Red][&gt;0.0000001]\+#,##0.?#;[Red][&lt;-0.0000001]\-#,##0.?#;[Green]&quot;=  &quot;"/>
    <numFmt numFmtId="227" formatCode="#.#######\x"/>
    <numFmt numFmtId="228" formatCode="0.00000E+00"/>
    <numFmt numFmtId="229" formatCode="_(* #,##0.0_);_(* \(#,##0.0\);_(* &quot;-&quot;_);_(@_)"/>
    <numFmt numFmtId="230" formatCode="_-* #,##0.00\ _D_M_-;\-* #,##0.00\ _D_M_-;_-* &quot;-&quot;??\ _D_M_-;_-@_-"/>
    <numFmt numFmtId="231" formatCode="#,##0_%_);\(#,##0\)_%;#,##0_%_);@_%_)"/>
    <numFmt numFmtId="232" formatCode="#,##0.00_%_);\(#,##0.00\)_%;**;@_%_)"/>
    <numFmt numFmtId="233" formatCode="0.000\x"/>
    <numFmt numFmtId="234" formatCode="&quot;$&quot;#,##0.00_);[Red]\(&quot;$&quot;#,##0.00\);&quot;--  &quot;;_(@_)"/>
    <numFmt numFmtId="235" formatCode="_(&quot;$&quot;* #,##0.0_);_(&quot;$&quot;* \(#,##0.0\);_(&quot;$&quot;* &quot;-&quot;_);_(@_)"/>
    <numFmt numFmtId="236" formatCode="_(&quot;$&quot;* #,##0_);_(&quot;$&quot;* \(#,##0\);_(&quot;$&quot;* &quot;-&quot;??_);_(@_)"/>
    <numFmt numFmtId="237" formatCode="&quot;$&quot;#,##0.00_%_);\(&quot;$&quot;#,##0.00\)_%;**;@_%_)"/>
    <numFmt numFmtId="238" formatCode="&quot;$&quot;#,##0.00_%_);\(&quot;$&quot;#,##0.00\)_%;&quot;$&quot;###0.00_%_);@_%_)"/>
    <numFmt numFmtId="239" formatCode="_(\§\ #,##0.00_);[Red]\(\§\ #,##0.00\);&quot; - &quot;_0_0;_(@_)"/>
    <numFmt numFmtId="240" formatCode="###0.00_)"/>
    <numFmt numFmtId="241" formatCode="mmm\-dd\-yyyy"/>
    <numFmt numFmtId="242" formatCode="mmm\-d\-yyyy"/>
    <numFmt numFmtId="243" formatCode="m/d/yy_%_);;**"/>
    <numFmt numFmtId="244" formatCode="#,##0.0_);[Red]\(#,##0.0\)"/>
    <numFmt numFmtId="245" formatCode="_([$€-2]* #,##0.00_);_([$€-2]* \(#,##0.00\);_([$€-2]* &quot;-&quot;??_)"/>
    <numFmt numFmtId="246" formatCode="&quot;$&quot;#,##0.000_);[Red]\(&quot;$&quot;#,##0.000\)"/>
    <numFmt numFmtId="247" formatCode="0.0000000000000"/>
    <numFmt numFmtId="248" formatCode="0_)"/>
    <numFmt numFmtId="249" formatCode="[$-409]d\-mmm\-yy;@"/>
    <numFmt numFmtId="250" formatCode="#,##0.00_);[Red]\(#,##0.00\);\-\-\ \ \ "/>
    <numFmt numFmtId="251" formatCode="General_)"/>
    <numFmt numFmtId="252" formatCode="&quot;&quot;"/>
    <numFmt numFmtId="253" formatCode="#,##0.0\ ;\(#,##0.0\ \)"/>
    <numFmt numFmtId="254" formatCode="0.0%;0.0%;\-\ "/>
    <numFmt numFmtId="255" formatCode="0.0%\ ;\(0.0%\)"/>
    <numFmt numFmtId="256" formatCode="_ * #,##0.00_)\ _$_ ;_ * \(#,##0.00\)\ _$_ ;_ * &quot;-&quot;??_)\ _$_ ;_ @_ "/>
    <numFmt numFmtId="257" formatCode="#,##0.00000\ ;\(#,##0.00000\ \)"/>
    <numFmt numFmtId="258" formatCode="0.000000000000"/>
    <numFmt numFmtId="259" formatCode="_ * #,##0.00_)\ &quot;$&quot;_ ;_ * \(#,##0.00\)\ &quot;$&quot;_ ;_ * &quot;-&quot;??_)\ &quot;$&quot;_ ;_ @_ "/>
    <numFmt numFmtId="260" formatCode="#,##0.0000\ ;\(#,##0.0000\ \)"/>
    <numFmt numFmtId="261" formatCode="0.000%\ ;\(0.000%\)"/>
    <numFmt numFmtId="262" formatCode="#,##0.0\x_)_);\(#,##0.0\x\)_);#,##0.0\x_)_);@_%_)"/>
    <numFmt numFmtId="263" formatCode="_(* #,##0.00000_);_(* \(#,##0.00000\);_(* &quot;-&quot;?_);_(@_)"/>
    <numFmt numFmtId="264" formatCode="#,##0.0_);[Red]\(#,##0.0\);&quot;--  &quot;"/>
    <numFmt numFmtId="265" formatCode="0.00_)"/>
    <numFmt numFmtId="266" formatCode="#,##0.000_);[Red]\(#,##0.000\)"/>
    <numFmt numFmtId="267" formatCode="#,##0.00&quot;x&quot;_);[Red]\(#,##0.00&quot;x&quot;\)"/>
    <numFmt numFmtId="268" formatCode="#,##0_);\(#,##0\);&quot;-  &quot;"/>
    <numFmt numFmtId="269" formatCode="#,##0.0_);\(#,##0.0\);&quot;-  &quot;"/>
    <numFmt numFmtId="270" formatCode="#,##0.0_);\(#,##0.0\);\-_)"/>
    <numFmt numFmtId="271" formatCode="0.00000000"/>
    <numFmt numFmtId="272" formatCode="#,##0.0%_);[Red]\(#,##0.0%\)"/>
    <numFmt numFmtId="273" formatCode="#,##0.00%_);[Red]\(#,##0.00%\)"/>
    <numFmt numFmtId="274" formatCode="0.0%_);\(0.0%\);&quot;-  &quot;"/>
    <numFmt numFmtId="275" formatCode="#,##0.0\%_);\(#,##0.0\%\);#,##0.0\%_);@_%_)"/>
    <numFmt numFmtId="276" formatCode="mm/dd/yy"/>
    <numFmt numFmtId="277" formatCode="0.00\ ;\-0.00\ ;&quot;- &quot;"/>
    <numFmt numFmtId="278" formatCode="#,##0\ ;[Red]\(#,##0\);\ \-\ "/>
    <numFmt numFmtId="279" formatCode="#,##0.00_);\(#,##0.00\);#,##0.00_);@_)"/>
    <numFmt numFmtId="280" formatCode="[White]General"/>
    <numFmt numFmtId="281" formatCode="#,###.##"/>
    <numFmt numFmtId="282" formatCode="&quot;$&quot;#,##0.000000_);[Red]\(&quot;$&quot;#,##0.000000\)"/>
    <numFmt numFmtId="283" formatCode="&quot;Table &quot;0"/>
    <numFmt numFmtId="284" formatCode="_(General_)"/>
    <numFmt numFmtId="285" formatCode="0.00\ "/>
    <numFmt numFmtId="286" formatCode="_-&quot;L.&quot;\ * #,##0.00_-;\-&quot;L.&quot;\ * #,##0.00_-;_-&quot;L.&quot;\ * &quot;-&quot;??_-;_-@_-"/>
    <numFmt numFmtId="287" formatCode="0_%_);\(0\)_%;0_%_);@_%_)"/>
    <numFmt numFmtId="288" formatCode="0,000\x"/>
    <numFmt numFmtId="289" formatCode="yyyy&quot;A&quot;"/>
    <numFmt numFmtId="290" formatCode="_-* #,##0\ _D_M_-;\-* #,##0\ _D_M_-;_-* &quot;-&quot;\ _D_M_-;_-@_-"/>
    <numFmt numFmtId="291" formatCode="&quot;@ &quot;0.00"/>
    <numFmt numFmtId="292" formatCode="&quot;Yes&quot;_%_);&quot;Error&quot;_%_);&quot;No&quot;_%_);&quot;--&quot;_%_)"/>
    <numFmt numFmtId="293" formatCode="[$-1009]d\-mmm\-yy;@"/>
    <numFmt numFmtId="294" formatCode="0.0000%"/>
    <numFmt numFmtId="295" formatCode="#,##0.000000"/>
    <numFmt numFmtId="296" formatCode="0.000000000"/>
    <numFmt numFmtId="297" formatCode="0.0000000"/>
    <numFmt numFmtId="298" formatCode="#,##0.000000000"/>
    <numFmt numFmtId="299" formatCode="_(* #,##0_);_(* \(#,##0\);_(* &quot;-&quot;?_);_(@_)"/>
    <numFmt numFmtId="300" formatCode="_(* #,##0.000000_);_(* \(#,##0.000000\);_(* &quot;-&quot;??_);_(@_)"/>
    <numFmt numFmtId="301" formatCode="_-* #,##0_-;\-* #,##0_-;_-* &quot;-&quot;?_-;_-@_-"/>
    <numFmt numFmtId="302" formatCode="_-* #,##0.0000_-;\-* #,##0.0000_-;_-* &quot;-&quot;??_-;_-@_-"/>
  </numFmts>
  <fonts count="21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1"/>
      <color theme="0"/>
      <name val="Arial"/>
      <family val="2"/>
    </font>
    <font>
      <sz val="8"/>
      <color indexed="12"/>
      <name val="Arial"/>
      <family val="2"/>
    </font>
    <font>
      <sz val="10"/>
      <name val="Geneva"/>
    </font>
    <font>
      <sz val="10"/>
      <name val="Book Antiqua"/>
      <family val="1"/>
    </font>
    <font>
      <sz val="10"/>
      <name val="Helv"/>
      <charset val="204"/>
    </font>
    <font>
      <sz val="10"/>
      <name val="Frutiger 45 Light"/>
    </font>
    <font>
      <sz val="10"/>
      <name val="Frutiger 45 Light"/>
      <family val="2"/>
    </font>
    <font>
      <sz val="12"/>
      <name val="Times New Roman"/>
      <family val="1"/>
    </font>
    <font>
      <sz val="12"/>
      <color theme="1"/>
      <name val="Times New Roman"/>
      <family val="2"/>
    </font>
    <font>
      <sz val="11"/>
      <color theme="0"/>
      <name val="Arial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9"/>
      <name val="Times New Roman"/>
      <family val="1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b/>
      <sz val="7"/>
      <name val="Arial"/>
      <family val="2"/>
    </font>
    <font>
      <b/>
      <sz val="11"/>
      <color rgb="FFFA7D0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8"/>
      <name val="Palatino"/>
      <family val="1"/>
    </font>
    <font>
      <sz val="12"/>
      <color theme="1"/>
      <name val="Calibri"/>
      <family val="2"/>
    </font>
    <font>
      <sz val="12"/>
      <name val="Goudy Old Style"/>
      <family val="1"/>
    </font>
    <font>
      <sz val="10"/>
      <name val="Verdana"/>
      <family val="2"/>
    </font>
    <font>
      <sz val="12"/>
      <color indexed="8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9"/>
      <name val="Arial"/>
      <family val="2"/>
    </font>
    <font>
      <sz val="11"/>
      <color indexed="12"/>
      <name val="Book Antiqua"/>
      <family val="1"/>
    </font>
    <font>
      <sz val="10"/>
      <color indexed="8"/>
      <name val="Arial"/>
      <family val="2"/>
    </font>
    <font>
      <sz val="8"/>
      <color indexed="16"/>
      <name val="Palatino"/>
      <family val="1"/>
    </font>
    <font>
      <sz val="10"/>
      <name val="Helv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sz val="7"/>
      <name val="Palatino"/>
      <family val="1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9.35"/>
      <color theme="10"/>
      <name val="Calibri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b/>
      <sz val="15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name val="Helv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11"/>
      <color rgb="FFFF0000"/>
      <name val="Arial"/>
      <family val="2"/>
    </font>
    <font>
      <sz val="8"/>
      <color indexed="12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i/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0000"/>
      <name val="Arial"/>
      <family val="2"/>
    </font>
    <font>
      <b/>
      <i/>
      <sz val="11"/>
      <color theme="1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DD6EE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28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auto="1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469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3" fillId="0" borderId="0"/>
    <xf numFmtId="17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53" borderId="0" applyNumberFormat="0" applyBorder="0" applyAlignment="0" applyProtection="0"/>
    <xf numFmtId="0" fontId="45" fillId="37" borderId="0" applyNumberFormat="0" applyBorder="0" applyAlignment="0" applyProtection="0"/>
    <xf numFmtId="0" fontId="46" fillId="54" borderId="43" applyNumberFormat="0" applyAlignment="0" applyProtection="0"/>
    <xf numFmtId="0" fontId="47" fillId="55" borderId="44" applyNumberFormat="0" applyAlignment="0" applyProtection="0"/>
    <xf numFmtId="169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8" borderId="0" applyNumberFormat="0" applyBorder="0" applyAlignment="0" applyProtection="0"/>
    <xf numFmtId="0" fontId="50" fillId="0" borderId="45" applyNumberFormat="0" applyFill="0" applyAlignment="0" applyProtection="0"/>
    <xf numFmtId="0" fontId="51" fillId="0" borderId="46" applyNumberFormat="0" applyFill="0" applyAlignment="0" applyProtection="0"/>
    <xf numFmtId="0" fontId="52" fillId="0" borderId="47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53" fillId="41" borderId="43" applyNumberFormat="0" applyAlignment="0" applyProtection="0"/>
    <xf numFmtId="0" fontId="54" fillId="0" borderId="48" applyNumberFormat="0" applyFill="0" applyAlignment="0" applyProtection="0"/>
    <xf numFmtId="0" fontId="55" fillId="56" borderId="0" applyNumberFormat="0" applyBorder="0" applyAlignment="0" applyProtection="0"/>
    <xf numFmtId="0" fontId="3" fillId="57" borderId="49" applyNumberFormat="0" applyFont="0" applyAlignment="0" applyProtection="0"/>
    <xf numFmtId="0" fontId="56" fillId="54" borderId="50" applyNumberFormat="0" applyAlignment="0" applyProtection="0"/>
    <xf numFmtId="0" fontId="57" fillId="0" borderId="0" applyNumberFormat="0" applyFill="0" applyBorder="0" applyAlignment="0" applyProtection="0"/>
    <xf numFmtId="0" fontId="58" fillId="0" borderId="51" applyNumberFormat="0" applyFill="0" applyAlignment="0" applyProtection="0"/>
    <xf numFmtId="0" fontId="5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62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8" fillId="35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6" fontId="3" fillId="0" borderId="0"/>
    <xf numFmtId="183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85" fontId="3" fillId="0" borderId="0"/>
    <xf numFmtId="186" fontId="3" fillId="0" borderId="0"/>
    <xf numFmtId="185" fontId="3" fillId="0" borderId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3" fillId="58" borderId="0" applyNumberFormat="0" applyBorder="0" applyAlignment="0" applyProtection="0"/>
    <xf numFmtId="10" fontId="43" fillId="59" borderId="28" applyNumberFormat="0" applyBorder="0" applyAlignment="0" applyProtection="0"/>
    <xf numFmtId="187" fontId="3" fillId="0" borderId="0"/>
    <xf numFmtId="171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8" fontId="3" fillId="0" borderId="0"/>
    <xf numFmtId="10" fontId="3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189" fontId="64" fillId="0" borderId="0" applyFill="0" applyBorder="0" applyAlignment="0" applyProtection="0"/>
    <xf numFmtId="9" fontId="64" fillId="0" borderId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5" fillId="0" borderId="0"/>
    <xf numFmtId="0" fontId="6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0" borderId="17" applyNumberFormat="0" applyFill="0" applyAlignment="0" applyProtection="0"/>
    <xf numFmtId="9" fontId="78" fillId="0" borderId="0">
      <alignment horizontal="right"/>
    </xf>
    <xf numFmtId="164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0" fontId="79" fillId="0" borderId="0" applyFont="0" applyFill="0" applyBorder="0" applyAlignment="0" applyProtection="0"/>
    <xf numFmtId="0" fontId="3" fillId="62" borderId="43" applyNumberFormat="0">
      <alignment horizontal="centerContinuous" vertical="center" wrapText="1"/>
    </xf>
    <xf numFmtId="0" fontId="3" fillId="62" borderId="43" applyNumberFormat="0">
      <alignment horizontal="centerContinuous" vertical="center" wrapText="1"/>
    </xf>
    <xf numFmtId="0" fontId="3" fillId="62" borderId="43" applyNumberFormat="0">
      <alignment horizontal="centerContinuous" vertical="center" wrapText="1"/>
    </xf>
    <xf numFmtId="0" fontId="3" fillId="63" borderId="43" applyNumberFormat="0">
      <alignment horizontal="left" vertical="center"/>
    </xf>
    <xf numFmtId="0" fontId="3" fillId="63" borderId="43" applyNumberFormat="0">
      <alignment horizontal="left" vertical="center"/>
    </xf>
    <xf numFmtId="0" fontId="3" fillId="63" borderId="43" applyNumberFormat="0">
      <alignment horizontal="left" vertical="center"/>
    </xf>
    <xf numFmtId="170" fontId="80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81" fillId="0" borderId="0"/>
    <xf numFmtId="0" fontId="82" fillId="0" borderId="0" applyFont="0" applyFill="0" applyBorder="0" applyAlignment="0" applyProtection="0"/>
    <xf numFmtId="19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81" fillId="0" borderId="0"/>
    <xf numFmtId="0" fontId="3" fillId="0" borderId="0">
      <alignment vertical="top"/>
    </xf>
    <xf numFmtId="9" fontId="82" fillId="0" borderId="0">
      <alignment horizontal="right"/>
    </xf>
    <xf numFmtId="0" fontId="83" fillId="0" borderId="0" applyNumberFormat="0" applyFill="0">
      <alignment horizontal="left" vertical="center" wrapText="1"/>
    </xf>
    <xf numFmtId="199" fontId="3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4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6" fontId="3" fillId="0" borderId="0" applyFont="0" applyFill="0" applyBorder="0" applyProtection="0">
      <alignment horizontal="right"/>
    </xf>
    <xf numFmtId="20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" fillId="0" borderId="0"/>
    <xf numFmtId="0" fontId="3" fillId="0" borderId="0"/>
    <xf numFmtId="0" fontId="84" fillId="0" borderId="0" applyFont="0" applyFill="0" applyBorder="0" applyAlignment="0" applyProtection="0"/>
    <xf numFmtId="212" fontId="84" fillId="0" borderId="0" applyFont="0" applyFill="0" applyBorder="0" applyAlignment="0" applyProtection="0"/>
    <xf numFmtId="0" fontId="2" fillId="0" borderId="0" applyNumberFormat="0" applyFill="0" applyBorder="0" applyAlignment="0" applyProtection="0"/>
    <xf numFmtId="174" fontId="83" fillId="0" borderId="0" applyNumberFormat="0" applyFill="0">
      <alignment horizontal="left" vertical="center" wrapText="1"/>
    </xf>
    <xf numFmtId="0" fontId="83" fillId="64" borderId="0" applyFont="0" applyFill="0" applyProtection="0"/>
    <xf numFmtId="195" fontId="3" fillId="0" borderId="0"/>
    <xf numFmtId="213" fontId="74" fillId="0" borderId="0" applyFill="0" applyBorder="0" applyAlignment="0" applyProtection="0">
      <alignment horizontal="right"/>
    </xf>
    <xf numFmtId="0" fontId="1" fillId="36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85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" fillId="3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85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8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85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39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85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0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85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1" fillId="41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85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1" fillId="42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85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" fillId="43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85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44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85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39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85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42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85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" fillId="45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85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4" fillId="46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28" fillId="15" borderId="0" applyNumberFormat="0" applyBorder="0" applyAlignment="0" applyProtection="0"/>
    <xf numFmtId="0" fontId="44" fillId="43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28" fillId="19" borderId="0" applyNumberFormat="0" applyBorder="0" applyAlignment="0" applyProtection="0"/>
    <xf numFmtId="0" fontId="44" fillId="44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28" fillId="23" borderId="0" applyNumberFormat="0" applyBorder="0" applyAlignment="0" applyProtection="0"/>
    <xf numFmtId="0" fontId="44" fillId="4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28" fillId="27" borderId="0" applyNumberFormat="0" applyBorder="0" applyAlignment="0" applyProtection="0"/>
    <xf numFmtId="0" fontId="44" fillId="48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28" fillId="31" borderId="0" applyNumberFormat="0" applyBorder="0" applyAlignment="0" applyProtection="0"/>
    <xf numFmtId="0" fontId="44" fillId="49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28" fillId="35" borderId="0" applyNumberFormat="0" applyBorder="0" applyAlignment="0" applyProtection="0"/>
    <xf numFmtId="214" fontId="3" fillId="0" borderId="54">
      <alignment horizontal="right"/>
    </xf>
    <xf numFmtId="0" fontId="44" fillId="50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28" fillId="12" borderId="0" applyNumberFormat="0" applyBorder="0" applyAlignment="0" applyProtection="0"/>
    <xf numFmtId="0" fontId="44" fillId="51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28" fillId="16" borderId="0" applyNumberFormat="0" applyBorder="0" applyAlignment="0" applyProtection="0"/>
    <xf numFmtId="0" fontId="44" fillId="52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28" fillId="20" borderId="0" applyNumberFormat="0" applyBorder="0" applyAlignment="0" applyProtection="0"/>
    <xf numFmtId="0" fontId="44" fillId="47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28" fillId="24" borderId="0" applyNumberFormat="0" applyBorder="0" applyAlignment="0" applyProtection="0"/>
    <xf numFmtId="0" fontId="44" fillId="4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28" fillId="28" borderId="0" applyNumberFormat="0" applyBorder="0" applyAlignment="0" applyProtection="0"/>
    <xf numFmtId="0" fontId="44" fillId="53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28" fillId="32" borderId="0" applyNumberFormat="0" applyBorder="0" applyAlignment="0" applyProtection="0"/>
    <xf numFmtId="167" fontId="87" fillId="0" borderId="0" applyFont="0"/>
    <xf numFmtId="167" fontId="87" fillId="0" borderId="56" applyFont="0"/>
    <xf numFmtId="168" fontId="87" fillId="0" borderId="0" applyFont="0"/>
    <xf numFmtId="215" fontId="88" fillId="0" borderId="54">
      <alignment horizontal="right"/>
    </xf>
    <xf numFmtId="215" fontId="88" fillId="0" borderId="54" applyFill="0">
      <alignment horizontal="right"/>
    </xf>
    <xf numFmtId="216" fontId="3" fillId="0" borderId="54">
      <alignment horizontal="right"/>
    </xf>
    <xf numFmtId="3" fontId="3" fillId="0" borderId="54" applyFill="0">
      <alignment horizontal="right"/>
    </xf>
    <xf numFmtId="217" fontId="88" fillId="0" borderId="54" applyFill="0">
      <alignment horizontal="right"/>
    </xf>
    <xf numFmtId="3" fontId="89" fillId="0" borderId="54" applyFill="0">
      <alignment horizontal="right"/>
    </xf>
    <xf numFmtId="218" fontId="8" fillId="65" borderId="57">
      <alignment horizontal="center" vertical="center"/>
    </xf>
    <xf numFmtId="0" fontId="3" fillId="0" borderId="0"/>
    <xf numFmtId="195" fontId="90" fillId="0" borderId="0"/>
    <xf numFmtId="0" fontId="3" fillId="0" borderId="0"/>
    <xf numFmtId="219" fontId="3" fillId="0" borderId="54">
      <alignment horizontal="right"/>
      <protection locked="0"/>
    </xf>
    <xf numFmtId="165" fontId="88" fillId="0" borderId="54" applyNumberFormat="0" applyFont="0" applyBorder="0" applyProtection="0">
      <alignment horizontal="right"/>
    </xf>
    <xf numFmtId="220" fontId="91" fillId="66" borderId="58"/>
    <xf numFmtId="220" fontId="91" fillId="66" borderId="58"/>
    <xf numFmtId="220" fontId="91" fillId="66" borderId="58"/>
    <xf numFmtId="0" fontId="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2" fillId="0" borderId="0"/>
    <xf numFmtId="0" fontId="45" fillId="37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20" fillId="6" borderId="0" applyNumberFormat="0" applyBorder="0" applyAlignment="0" applyProtection="0"/>
    <xf numFmtId="1" fontId="94" fillId="67" borderId="39" applyNumberFormat="0" applyBorder="0" applyAlignment="0">
      <alignment horizontal="center" vertical="top" wrapText="1"/>
      <protection hidden="1"/>
    </xf>
    <xf numFmtId="0" fontId="95" fillId="59" borderId="0"/>
    <xf numFmtId="0" fontId="96" fillId="0" borderId="0" applyAlignment="0"/>
    <xf numFmtId="0" fontId="97" fillId="0" borderId="25" applyNumberFormat="0" applyFill="0" applyAlignment="0" applyProtection="0"/>
    <xf numFmtId="0" fontId="89" fillId="0" borderId="2" applyNumberFormat="0" applyFont="0" applyFill="0" applyAlignment="0" applyProtection="0"/>
    <xf numFmtId="0" fontId="98" fillId="0" borderId="59" applyNumberFormat="0" applyFont="0" applyFill="0" applyAlignment="0" applyProtection="0">
      <alignment horizontal="centerContinuous"/>
    </xf>
    <xf numFmtId="0" fontId="79" fillId="0" borderId="25" applyNumberFormat="0" applyFont="0" applyFill="0" applyAlignment="0" applyProtection="0"/>
    <xf numFmtId="0" fontId="79" fillId="0" borderId="39" applyNumberFormat="0" applyFont="0" applyFill="0" applyAlignment="0" applyProtection="0"/>
    <xf numFmtId="0" fontId="79" fillId="0" borderId="40" applyNumberFormat="0" applyFont="0" applyFill="0" applyAlignment="0" applyProtection="0"/>
    <xf numFmtId="0" fontId="79" fillId="0" borderId="37" applyNumberFormat="0" applyFont="0" applyFill="0" applyAlignment="0" applyProtection="0"/>
    <xf numFmtId="0" fontId="79" fillId="0" borderId="37" applyNumberFormat="0" applyFont="0" applyFill="0" applyAlignment="0" applyProtection="0"/>
    <xf numFmtId="0" fontId="79" fillId="0" borderId="37" applyNumberFormat="0" applyFont="0" applyFill="0" applyAlignment="0" applyProtection="0"/>
    <xf numFmtId="221" fontId="3" fillId="0" borderId="0" applyFont="0" applyFill="0" applyBorder="0" applyAlignment="0" applyProtection="0"/>
    <xf numFmtId="0" fontId="2" fillId="0" borderId="0">
      <alignment horizontal="right"/>
    </xf>
    <xf numFmtId="0" fontId="84" fillId="0" borderId="0" applyFont="0" applyFill="0" applyBorder="0" applyAlignment="0" applyProtection="0"/>
    <xf numFmtId="222" fontId="2" fillId="0" borderId="0" applyFill="0" applyBorder="0" applyAlignment="0"/>
    <xf numFmtId="223" fontId="2" fillId="0" borderId="0" applyFill="0" applyBorder="0" applyAlignment="0"/>
    <xf numFmtId="224" fontId="2" fillId="0" borderId="0" applyFill="0" applyBorder="0" applyAlignment="0"/>
    <xf numFmtId="225" fontId="2" fillId="0" borderId="0" applyFill="0" applyBorder="0" applyAlignment="0"/>
    <xf numFmtId="224" fontId="3" fillId="0" borderId="0" applyFill="0" applyBorder="0" applyAlignment="0"/>
    <xf numFmtId="222" fontId="2" fillId="0" borderId="0" applyFill="0" applyBorder="0" applyAlignment="0"/>
    <xf numFmtId="225" fontId="3" fillId="0" borderId="0" applyFill="0" applyBorder="0" applyAlignment="0"/>
    <xf numFmtId="223" fontId="2" fillId="0" borderId="0" applyFill="0" applyBorder="0" applyAlignment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99" fillId="9" borderId="15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24" fillId="9" borderId="15" applyNumberFormat="0" applyAlignment="0" applyProtection="0"/>
    <xf numFmtId="195" fontId="89" fillId="68" borderId="0" applyNumberFormat="0" applyFont="0" applyBorder="0" applyAlignment="0">
      <alignment horizontal="left"/>
    </xf>
    <xf numFmtId="226" fontId="3" fillId="0" borderId="0" applyFont="0" applyFill="0" applyBorder="0" applyProtection="0">
      <alignment horizontal="center" vertical="center"/>
    </xf>
    <xf numFmtId="0" fontId="47" fillId="55" borderId="44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26" fillId="10" borderId="18" applyNumberFormat="0" applyAlignment="0" applyProtection="0"/>
    <xf numFmtId="227" fontId="3" fillId="0" borderId="0" applyNumberFormat="0" applyFont="0" applyFill="0" applyAlignment="0" applyProtection="0"/>
    <xf numFmtId="0" fontId="97" fillId="0" borderId="25" applyNumberFormat="0" applyFill="0" applyProtection="0">
      <alignment horizontal="left" vertical="center"/>
    </xf>
    <xf numFmtId="0" fontId="100" fillId="0" borderId="0">
      <alignment horizontal="center" wrapText="1"/>
      <protection hidden="1"/>
    </xf>
    <xf numFmtId="0" fontId="101" fillId="0" borderId="0">
      <alignment horizontal="right"/>
    </xf>
    <xf numFmtId="175" fontId="74" fillId="0" borderId="0" applyBorder="0">
      <alignment horizontal="right"/>
    </xf>
    <xf numFmtId="175" fontId="74" fillId="0" borderId="2" applyAlignment="0">
      <alignment horizontal="right"/>
    </xf>
    <xf numFmtId="228" fontId="2" fillId="0" borderId="0"/>
    <xf numFmtId="228" fontId="2" fillId="0" borderId="0"/>
    <xf numFmtId="228" fontId="2" fillId="0" borderId="0"/>
    <xf numFmtId="228" fontId="2" fillId="0" borderId="0"/>
    <xf numFmtId="228" fontId="2" fillId="0" borderId="0"/>
    <xf numFmtId="228" fontId="2" fillId="0" borderId="0"/>
    <xf numFmtId="228" fontId="2" fillId="0" borderId="0"/>
    <xf numFmtId="228" fontId="2" fillId="0" borderId="0"/>
    <xf numFmtId="168" fontId="102" fillId="0" borderId="0" applyFont="0" applyBorder="0">
      <alignment horizontal="right"/>
    </xf>
    <xf numFmtId="222" fontId="2" fillId="0" borderId="0" applyFont="0" applyFill="0" applyBorder="0" applyAlignment="0" applyProtection="0"/>
    <xf numFmtId="229" fontId="3" fillId="0" borderId="0" applyFont="0"/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184" fontId="3" fillId="0" borderId="0" applyFont="0" applyFill="0" applyBorder="0" applyAlignment="0" applyProtection="0">
      <alignment horizontal="right"/>
    </xf>
    <xf numFmtId="230" fontId="3" fillId="0" borderId="0" applyFont="0" applyFill="0" applyBorder="0" applyAlignment="0" applyProtection="0"/>
    <xf numFmtId="231" fontId="104" fillId="0" borderId="0" applyFont="0" applyFill="0" applyBorder="0" applyAlignment="0" applyProtection="0">
      <alignment horizontal="right"/>
    </xf>
    <xf numFmtId="170" fontId="4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1" fontId="3" fillId="0" borderId="0" applyFont="0" applyFill="0" applyBorder="0" applyAlignment="0" applyProtection="0">
      <alignment horizontal="right"/>
    </xf>
    <xf numFmtId="171" fontId="3" fillId="0" borderId="0" applyFont="0" applyFill="0" applyBorder="0" applyAlignment="0" applyProtection="0">
      <alignment horizontal="right"/>
    </xf>
    <xf numFmtId="171" fontId="3" fillId="0" borderId="0" applyFont="0" applyFill="0" applyBorder="0" applyAlignment="0" applyProtection="0">
      <alignment horizontal="right"/>
    </xf>
    <xf numFmtId="171" fontId="3" fillId="0" borderId="0" applyFont="0" applyFill="0" applyBorder="0" applyAlignment="0" applyProtection="0">
      <alignment horizontal="right"/>
    </xf>
    <xf numFmtId="170" fontId="3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6" fillId="0" borderId="0" applyFont="0" applyFill="0" applyBorder="0" applyAlignment="0" applyProtection="0"/>
    <xf numFmtId="171" fontId="3" fillId="0" borderId="0" applyFont="0" applyFill="0" applyBorder="0" applyAlignment="0" applyProtection="0">
      <alignment horizontal="right"/>
    </xf>
    <xf numFmtId="171" fontId="3" fillId="0" borderId="0" applyFont="0" applyFill="0" applyBorder="0" applyAlignment="0" applyProtection="0">
      <alignment horizontal="right"/>
    </xf>
    <xf numFmtId="171" fontId="3" fillId="0" borderId="0" applyFont="0" applyFill="0" applyBorder="0" applyAlignment="0" applyProtection="0">
      <alignment horizontal="right"/>
    </xf>
    <xf numFmtId="171" fontId="3" fillId="0" borderId="0" applyFont="0" applyFill="0" applyBorder="0" applyAlignment="0" applyProtection="0">
      <alignment horizontal="right"/>
    </xf>
    <xf numFmtId="170" fontId="100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232" fontId="10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0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0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7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8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95" fontId="109" fillId="0" borderId="0"/>
    <xf numFmtId="0" fontId="110" fillId="0" borderId="0"/>
    <xf numFmtId="0" fontId="111" fillId="69" borderId="0">
      <alignment horizontal="center" vertical="center" wrapText="1"/>
    </xf>
    <xf numFmtId="233" fontId="3" fillId="0" borderId="0" applyFill="0" applyBorder="0">
      <alignment horizontal="right"/>
      <protection locked="0"/>
    </xf>
    <xf numFmtId="234" fontId="43" fillId="0" borderId="60" applyFont="0" applyFill="0" applyBorder="0" applyAlignment="0" applyProtection="0"/>
    <xf numFmtId="223" fontId="2" fillId="0" borderId="0" applyFont="0" applyFill="0" applyBorder="0" applyAlignment="0" applyProtection="0"/>
    <xf numFmtId="235" fontId="112" fillId="0" borderId="0">
      <alignment horizontal="right"/>
    </xf>
    <xf numFmtId="166" fontId="113" fillId="0" borderId="61">
      <protection locked="0"/>
    </xf>
    <xf numFmtId="166" fontId="113" fillId="0" borderId="61">
      <protection locked="0"/>
    </xf>
    <xf numFmtId="166" fontId="113" fillId="0" borderId="61">
      <protection locked="0"/>
    </xf>
    <xf numFmtId="0" fontId="103" fillId="0" borderId="0" applyFont="0" applyFill="0" applyBorder="0" applyProtection="0">
      <alignment horizontal="right"/>
    </xf>
    <xf numFmtId="204" fontId="3" fillId="0" borderId="0" applyFont="0" applyFill="0" applyBorder="0" applyAlignment="0" applyProtection="0">
      <alignment horizontal="right"/>
    </xf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07" fillId="0" borderId="0" applyFont="0" applyFill="0" applyBorder="0" applyAlignment="0" applyProtection="0"/>
    <xf numFmtId="169" fontId="72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36" fontId="3" fillId="0" borderId="0" applyFont="0" applyFill="0" applyBorder="0" applyAlignment="0" applyProtection="0">
      <alignment horizontal="right"/>
    </xf>
    <xf numFmtId="236" fontId="3" fillId="0" borderId="0" applyFont="0" applyFill="0" applyBorder="0" applyAlignment="0" applyProtection="0">
      <alignment horizontal="right"/>
    </xf>
    <xf numFmtId="236" fontId="3" fillId="0" borderId="0" applyFont="0" applyFill="0" applyBorder="0" applyAlignment="0" applyProtection="0">
      <alignment horizontal="right"/>
    </xf>
    <xf numFmtId="236" fontId="3" fillId="0" borderId="0" applyFont="0" applyFill="0" applyBorder="0" applyAlignment="0" applyProtection="0">
      <alignment horizontal="right"/>
    </xf>
    <xf numFmtId="169" fontId="3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236" fontId="3" fillId="0" borderId="0" applyFont="0" applyFill="0" applyBorder="0" applyAlignment="0" applyProtection="0">
      <alignment horizontal="right"/>
    </xf>
    <xf numFmtId="236" fontId="3" fillId="0" borderId="0" applyFont="0" applyFill="0" applyBorder="0" applyAlignment="0" applyProtection="0">
      <alignment horizontal="right"/>
    </xf>
    <xf numFmtId="236" fontId="3" fillId="0" borderId="0" applyFont="0" applyFill="0" applyBorder="0" applyAlignment="0" applyProtection="0">
      <alignment horizontal="right"/>
    </xf>
    <xf numFmtId="236" fontId="3" fillId="0" borderId="0" applyFont="0" applyFill="0" applyBorder="0" applyAlignment="0" applyProtection="0">
      <alignment horizontal="right"/>
    </xf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3" fillId="0" borderId="0" applyFont="0" applyFill="0" applyBorder="0" applyAlignment="0" applyProtection="0"/>
    <xf numFmtId="237" fontId="11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75" fillId="0" borderId="0" applyFont="0" applyFill="0" applyBorder="0" applyAlignment="0" applyProtection="0"/>
    <xf numFmtId="169" fontId="107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07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107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1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238" fontId="2" fillId="0" borderId="0" applyFont="0" applyFill="0" applyBorder="0" applyProtection="0">
      <alignment horizontal="right"/>
    </xf>
    <xf numFmtId="239" fontId="88" fillId="0" borderId="0" applyFont="0" applyFill="0" applyBorder="0" applyAlignment="0" applyProtection="0">
      <alignment vertical="center"/>
    </xf>
    <xf numFmtId="0" fontId="100" fillId="0" borderId="0" applyFont="0" applyFill="0" applyBorder="0" applyAlignment="0">
      <protection locked="0"/>
    </xf>
    <xf numFmtId="0" fontId="84" fillId="0" borderId="0" applyFont="0" applyFill="0" applyBorder="0" applyAlignment="0" applyProtection="0"/>
    <xf numFmtId="240" fontId="116" fillId="0" borderId="62" applyNumberFormat="0" applyFill="0">
      <alignment horizontal="right"/>
    </xf>
    <xf numFmtId="240" fontId="116" fillId="0" borderId="62" applyNumberFormat="0" applyFill="0">
      <alignment horizontal="right"/>
    </xf>
    <xf numFmtId="1" fontId="117" fillId="0" borderId="0"/>
    <xf numFmtId="241" fontId="43" fillId="0" borderId="0" applyFont="0" applyFill="0" applyBorder="0" applyAlignment="0" applyProtection="0"/>
    <xf numFmtId="241" fontId="43" fillId="0" borderId="0" applyFont="0" applyFill="0" applyBorder="0" applyAlignment="0" applyProtection="0"/>
    <xf numFmtId="242" fontId="78" fillId="59" borderId="53" applyFont="0" applyFill="0" applyBorder="0" applyAlignment="0" applyProtection="0"/>
    <xf numFmtId="192" fontId="74" fillId="0" borderId="25" applyFont="0" applyFill="0" applyBorder="0" applyAlignment="0" applyProtection="0"/>
    <xf numFmtId="196" fontId="3" fillId="0" borderId="0" applyFont="0" applyFill="0" applyBorder="0" applyAlignment="0" applyProtection="0"/>
    <xf numFmtId="243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14" fontId="114" fillId="0" borderId="0" applyFill="0" applyBorder="0" applyAlignment="0"/>
    <xf numFmtId="0" fontId="3" fillId="0" borderId="0">
      <alignment horizontal="left" vertical="top"/>
    </xf>
    <xf numFmtId="167" fontId="118" fillId="0" borderId="0"/>
    <xf numFmtId="0" fontId="43" fillId="0" borderId="0"/>
    <xf numFmtId="168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19" fillId="0" borderId="0">
      <protection locked="0"/>
    </xf>
    <xf numFmtId="0" fontId="3" fillId="0" borderId="0"/>
    <xf numFmtId="167" fontId="2" fillId="0" borderId="0"/>
    <xf numFmtId="175" fontId="3" fillId="0" borderId="63" applyNumberFormat="0" applyFont="0" applyFill="0" applyAlignment="0" applyProtection="0"/>
    <xf numFmtId="175" fontId="3" fillId="0" borderId="63" applyNumberFormat="0" applyFont="0" applyFill="0" applyAlignment="0" applyProtection="0"/>
    <xf numFmtId="175" fontId="3" fillId="0" borderId="63" applyNumberFormat="0" applyFont="0" applyFill="0" applyAlignment="0" applyProtection="0"/>
    <xf numFmtId="167" fontId="120" fillId="0" borderId="0" applyFill="0" applyBorder="0" applyAlignment="0" applyProtection="0"/>
    <xf numFmtId="1" fontId="89" fillId="0" borderId="0"/>
    <xf numFmtId="244" fontId="121" fillId="0" borderId="0">
      <protection locked="0"/>
    </xf>
    <xf numFmtId="244" fontId="121" fillId="0" borderId="0">
      <protection locked="0"/>
    </xf>
    <xf numFmtId="222" fontId="2" fillId="0" borderId="0" applyFill="0" applyBorder="0" applyAlignment="0"/>
    <xf numFmtId="223" fontId="2" fillId="0" borderId="0" applyFill="0" applyBorder="0" applyAlignment="0"/>
    <xf numFmtId="222" fontId="2" fillId="0" borderId="0" applyFill="0" applyBorder="0" applyAlignment="0"/>
    <xf numFmtId="225" fontId="3" fillId="0" borderId="0" applyFill="0" applyBorder="0" applyAlignment="0"/>
    <xf numFmtId="223" fontId="2" fillId="0" borderId="0" applyFill="0" applyBorder="0" applyAlignment="0"/>
    <xf numFmtId="245" fontId="8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246" fontId="100" fillId="70" borderId="39">
      <alignment horizontal="left"/>
    </xf>
    <xf numFmtId="1" fontId="123" fillId="71" borderId="36" applyNumberFormat="0" applyBorder="0" applyAlignment="0">
      <alignment horizontal="centerContinuous" vertical="center"/>
      <protection locked="0"/>
    </xf>
    <xf numFmtId="1" fontId="123" fillId="71" borderId="36" applyNumberFormat="0" applyBorder="0" applyAlignment="0">
      <alignment horizontal="centerContinuous" vertical="center"/>
      <protection locked="0"/>
    </xf>
    <xf numFmtId="1" fontId="123" fillId="71" borderId="36" applyNumberFormat="0" applyBorder="0" applyAlignment="0">
      <alignment horizontal="centerContinuous" vertical="center"/>
      <protection locked="0"/>
    </xf>
    <xf numFmtId="247" fontId="3" fillId="0" borderId="0">
      <protection locked="0"/>
    </xf>
    <xf numFmtId="227" fontId="3" fillId="0" borderId="0">
      <protection locked="0"/>
    </xf>
    <xf numFmtId="0" fontId="124" fillId="0" borderId="0" applyFill="0" applyBorder="0" applyProtection="0">
      <alignment horizontal="left"/>
    </xf>
    <xf numFmtId="0" fontId="49" fillId="38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9" fillId="5" borderId="0" applyNumberFormat="0" applyBorder="0" applyAlignment="0" applyProtection="0"/>
    <xf numFmtId="0" fontId="126" fillId="0" borderId="0" applyNumberForma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173" fontId="3" fillId="72" borderId="28" applyNumberFormat="0" applyFont="0" applyBorder="0" applyAlignment="0" applyProtection="0"/>
    <xf numFmtId="199" fontId="3" fillId="0" borderId="0" applyFont="0" applyFill="0" applyBorder="0" applyAlignment="0" applyProtection="0">
      <alignment horizontal="right"/>
    </xf>
    <xf numFmtId="195" fontId="127" fillId="72" borderId="0" applyNumberFormat="0" applyFont="0" applyAlignment="0"/>
    <xf numFmtId="0" fontId="128" fillId="0" borderId="0" applyProtection="0">
      <alignment horizontal="right"/>
    </xf>
    <xf numFmtId="0" fontId="12" fillId="0" borderId="52" applyNumberFormat="0" applyAlignment="0" applyProtection="0">
      <alignment horizontal="left" vertical="center"/>
    </xf>
    <xf numFmtId="0" fontId="12" fillId="0" borderId="29">
      <alignment horizontal="left" vertical="center"/>
    </xf>
    <xf numFmtId="49" fontId="129" fillId="0" borderId="0">
      <alignment horizontal="centerContinuous"/>
    </xf>
    <xf numFmtId="0" fontId="50" fillId="0" borderId="45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30" fillId="0" borderId="0" applyNumberFormat="0" applyFill="0" applyBorder="0" applyAlignment="0" applyProtection="0"/>
    <xf numFmtId="0" fontId="51" fillId="0" borderId="46" applyNumberFormat="0" applyFill="0" applyAlignment="0" applyProtection="0"/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7" fillId="0" borderId="13" applyNumberFormat="0" applyFill="0" applyAlignment="0" applyProtection="0"/>
    <xf numFmtId="0" fontId="131" fillId="0" borderId="0" applyProtection="0">
      <alignment horizontal="left"/>
    </xf>
    <xf numFmtId="0" fontId="52" fillId="0" borderId="47" applyNumberFormat="0" applyFill="0" applyAlignment="0" applyProtection="0"/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3" fillId="0" borderId="14" applyNumberFormat="0" applyFill="0" applyAlignment="0" applyProtection="0"/>
    <xf numFmtId="0" fontId="18" fillId="0" borderId="14" applyNumberFormat="0" applyFill="0" applyAlignment="0" applyProtection="0"/>
    <xf numFmtId="0" fontId="132" fillId="0" borderId="0" applyProtection="0">
      <alignment horizontal="left"/>
    </xf>
    <xf numFmtId="0" fontId="5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/>
    <xf numFmtId="0" fontId="92" fillId="0" borderId="0"/>
    <xf numFmtId="248" fontId="87" fillId="0" borderId="0">
      <alignment horizontal="centerContinuous"/>
    </xf>
    <xf numFmtId="0" fontId="135" fillId="0" borderId="64" applyNumberFormat="0" applyFill="0" applyBorder="0" applyAlignment="0" applyProtection="0">
      <alignment horizontal="left"/>
    </xf>
    <xf numFmtId="248" fontId="87" fillId="0" borderId="65">
      <alignment horizontal="center"/>
    </xf>
    <xf numFmtId="0" fontId="3" fillId="0" borderId="0" applyNumberFormat="0" applyFill="0" applyBorder="0" applyProtection="0">
      <alignment wrapText="1"/>
    </xf>
    <xf numFmtId="0" fontId="3" fillId="0" borderId="0" applyNumberFormat="0" applyFill="0" applyBorder="0" applyProtection="0">
      <alignment horizontal="justify" vertical="top" wrapText="1"/>
    </xf>
    <xf numFmtId="0" fontId="136" fillId="0" borderId="66">
      <alignment horizontal="left" vertical="center"/>
    </xf>
    <xf numFmtId="0" fontId="136" fillId="73" borderId="0">
      <alignment horizontal="centerContinuous" wrapText="1"/>
    </xf>
    <xf numFmtId="0" fontId="137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249" fontId="4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3" fillId="0" borderId="0">
      <alignment horizontal="right"/>
    </xf>
    <xf numFmtId="0" fontId="53" fillId="41" borderId="43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141" fillId="8" borderId="15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22" fillId="8" borderId="15" applyNumberFormat="0" applyAlignment="0" applyProtection="0"/>
    <xf numFmtId="250" fontId="100" fillId="0" borderId="0" applyNumberFormat="0" applyFill="0" applyBorder="0" applyAlignment="0" applyProtection="0"/>
    <xf numFmtId="0" fontId="3" fillId="0" borderId="0" applyNumberFormat="0" applyFill="0" applyBorder="0" applyAlignment="0">
      <protection locked="0"/>
    </xf>
    <xf numFmtId="0" fontId="142" fillId="59" borderId="0" applyNumberFormat="0" applyFont="0" applyBorder="0" applyAlignment="0">
      <alignment horizontal="right"/>
      <protection locked="0"/>
    </xf>
    <xf numFmtId="0" fontId="143" fillId="56" borderId="0" applyNumberFormat="0" applyFont="0" applyBorder="0" applyAlignment="0">
      <alignment horizontal="right" vertical="top"/>
      <protection locked="0"/>
    </xf>
    <xf numFmtId="251" fontId="3" fillId="59" borderId="67" applyNumberFormat="0" applyFont="0" applyBorder="0" applyAlignment="0">
      <alignment horizontal="right" vertical="center"/>
      <protection locked="0"/>
    </xf>
    <xf numFmtId="0" fontId="143" fillId="56" borderId="0" applyNumberFormat="0" applyFont="0" applyBorder="0" applyAlignment="0">
      <alignment horizontal="right" vertical="top"/>
      <protection locked="0"/>
    </xf>
    <xf numFmtId="0" fontId="100" fillId="0" borderId="0" applyFill="0" applyBorder="0">
      <alignment horizontal="right"/>
      <protection locked="0"/>
    </xf>
    <xf numFmtId="252" fontId="144" fillId="0" borderId="68" applyFont="0" applyFill="0" applyBorder="0" applyAlignment="0" applyProtection="0"/>
    <xf numFmtId="253" fontId="3" fillId="0" borderId="0" applyFill="0" applyBorder="0">
      <alignment horizontal="right"/>
      <protection locked="0"/>
    </xf>
    <xf numFmtId="0" fontId="145" fillId="0" borderId="0" applyFill="0" applyBorder="0"/>
    <xf numFmtId="0" fontId="146" fillId="74" borderId="69">
      <alignment horizontal="left" vertical="center" wrapText="1"/>
    </xf>
    <xf numFmtId="0" fontId="146" fillId="74" borderId="69">
      <alignment horizontal="left" vertical="center" wrapText="1"/>
    </xf>
    <xf numFmtId="0" fontId="146" fillId="74" borderId="69">
      <alignment horizontal="left" vertical="center" wrapText="1"/>
    </xf>
    <xf numFmtId="0" fontId="84" fillId="0" borderId="0" applyNumberFormat="0" applyFill="0" applyBorder="0" applyProtection="0">
      <alignment horizontal="left" vertical="center"/>
    </xf>
    <xf numFmtId="0" fontId="147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2" fillId="75" borderId="0" applyNumberFormat="0" applyFont="0" applyBorder="0" applyProtection="0"/>
    <xf numFmtId="2" fontId="148" fillId="0" borderId="25"/>
    <xf numFmtId="222" fontId="2" fillId="0" borderId="0" applyFill="0" applyBorder="0" applyAlignment="0"/>
    <xf numFmtId="223" fontId="2" fillId="0" borderId="0" applyFill="0" applyBorder="0" applyAlignment="0"/>
    <xf numFmtId="222" fontId="2" fillId="0" borderId="0" applyFill="0" applyBorder="0" applyAlignment="0"/>
    <xf numFmtId="225" fontId="3" fillId="0" borderId="0" applyFill="0" applyBorder="0" applyAlignment="0"/>
    <xf numFmtId="223" fontId="2" fillId="0" borderId="0" applyFill="0" applyBorder="0" applyAlignment="0"/>
    <xf numFmtId="0" fontId="54" fillId="0" borderId="48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14" fontId="74" fillId="0" borderId="25" applyFont="0" applyFill="0" applyBorder="0" applyAlignment="0" applyProtection="0"/>
    <xf numFmtId="3" fontId="3" fillId="0" borderId="0"/>
    <xf numFmtId="1" fontId="150" fillId="0" borderId="0"/>
    <xf numFmtId="254" fontId="151" fillId="76" borderId="0" applyBorder="0" applyAlignment="0">
      <alignment horizontal="right"/>
    </xf>
    <xf numFmtId="168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256" fontId="4" fillId="0" borderId="0" applyFont="0" applyFill="0" applyBorder="0" applyAlignment="0" applyProtection="0"/>
    <xf numFmtId="257" fontId="3" fillId="0" borderId="0" applyFont="0" applyFill="0" applyBorder="0" applyAlignment="0" applyProtection="0"/>
    <xf numFmtId="14" fontId="79" fillId="0" borderId="0" applyFont="0" applyFill="0" applyBorder="0" applyAlignment="0" applyProtection="0"/>
    <xf numFmtId="3" fontId="84" fillId="0" borderId="0"/>
    <xf numFmtId="3" fontId="84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9" fontId="4" fillId="0" borderId="0" applyFont="0" applyFill="0" applyBorder="0" applyAlignment="0" applyProtection="0"/>
    <xf numFmtId="260" fontId="3" fillId="0" borderId="0" applyFont="0" applyFill="0" applyBorder="0" applyAlignment="0" applyProtection="0"/>
    <xf numFmtId="261" fontId="3" fillId="0" borderId="0">
      <protection locked="0"/>
    </xf>
    <xf numFmtId="192" fontId="43" fillId="59" borderId="0">
      <alignment horizontal="center"/>
    </xf>
    <xf numFmtId="262" fontId="104" fillId="0" borderId="0" applyFont="0" applyFill="0" applyBorder="0" applyProtection="0">
      <alignment horizontal="right"/>
    </xf>
    <xf numFmtId="26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175" fontId="3" fillId="0" borderId="0" applyFont="0" applyFill="0" applyBorder="0" applyProtection="0">
      <alignment horizontal="right"/>
    </xf>
    <xf numFmtId="0" fontId="3" fillId="0" borderId="55" applyBorder="0" applyAlignment="0" applyProtection="0">
      <alignment horizontal="center"/>
    </xf>
    <xf numFmtId="0" fontId="55" fillId="56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62" fillId="7" borderId="0" applyNumberFormat="0" applyBorder="0" applyAlignment="0" applyProtection="0"/>
    <xf numFmtId="0" fontId="96" fillId="0" borderId="0"/>
    <xf numFmtId="251" fontId="88" fillId="0" borderId="0" applyNumberFormat="0" applyFont="0" applyFill="0" applyBorder="0" applyAlignment="0" applyProtection="0">
      <alignment vertical="center"/>
    </xf>
    <xf numFmtId="37" fontId="153" fillId="0" borderId="0"/>
    <xf numFmtId="0" fontId="154" fillId="0" borderId="0"/>
    <xf numFmtId="0" fontId="112" fillId="77" borderId="0" applyNumberFormat="0" applyBorder="0" applyAlignment="0">
      <alignment horizontal="right"/>
      <protection hidden="1"/>
    </xf>
    <xf numFmtId="251" fontId="155" fillId="0" borderId="0" applyNumberFormat="0" applyFill="0" applyBorder="0" applyAlignment="0" applyProtection="0">
      <alignment vertical="center"/>
    </xf>
    <xf numFmtId="1" fontId="84" fillId="0" borderId="0"/>
    <xf numFmtId="264" fontId="43" fillId="0" borderId="0" applyFont="0" applyFill="0" applyBorder="0" applyAlignment="0" applyProtection="0">
      <alignment horizontal="right"/>
    </xf>
    <xf numFmtId="265" fontId="156" fillId="0" borderId="0"/>
    <xf numFmtId="37" fontId="78" fillId="78" borderId="0" applyFont="0" applyFill="0" applyBorder="0" applyAlignment="0" applyProtection="0"/>
    <xf numFmtId="244" fontId="3" fillId="0" borderId="0" applyFont="0" applyFill="0" applyBorder="0" applyAlignment="0"/>
    <xf numFmtId="266" fontId="43" fillId="0" borderId="0" applyFont="0" applyFill="0" applyBorder="0" applyAlignment="0"/>
    <xf numFmtId="178" fontId="43" fillId="0" borderId="0" applyFont="0" applyFill="0" applyBorder="0" applyAlignment="0"/>
    <xf numFmtId="266" fontId="43" fillId="0" borderId="0" applyFont="0" applyFill="0" applyBorder="0" applyAlignment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0" fillId="0" borderId="0"/>
    <xf numFmtId="0" fontId="4" fillId="0" borderId="0"/>
    <xf numFmtId="0" fontId="7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14" fillId="0" borderId="0">
      <alignment vertical="top"/>
    </xf>
    <xf numFmtId="0" fontId="114" fillId="0" borderId="0">
      <alignment vertical="top"/>
    </xf>
    <xf numFmtId="0" fontId="100" fillId="0" borderId="0"/>
    <xf numFmtId="0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264" fontId="43" fillId="0" borderId="0" applyFont="0" applyFill="0" applyBorder="0" applyAlignment="0" applyProtection="0">
      <alignment horizontal="right"/>
    </xf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0" fontId="37" fillId="0" borderId="0"/>
    <xf numFmtId="0" fontId="3" fillId="0" borderId="0"/>
    <xf numFmtId="0" fontId="37" fillId="0" borderId="0"/>
    <xf numFmtId="0" fontId="100" fillId="0" borderId="0"/>
    <xf numFmtId="0" fontId="3" fillId="0" borderId="0"/>
    <xf numFmtId="0" fontId="3" fillId="0" borderId="0"/>
    <xf numFmtId="0" fontId="100" fillId="0" borderId="0"/>
    <xf numFmtId="0" fontId="100" fillId="0" borderId="0"/>
    <xf numFmtId="249" fontId="3" fillId="0" borderId="0"/>
    <xf numFmtId="0" fontId="37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72" fillId="0" borderId="0"/>
    <xf numFmtId="249" fontId="3" fillId="0" borderId="0"/>
    <xf numFmtId="0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3" fillId="0" borderId="0"/>
    <xf numFmtId="0" fontId="3" fillId="0" borderId="0"/>
    <xf numFmtId="0" fontId="3" fillId="0" borderId="0"/>
    <xf numFmtId="249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26" fillId="0" borderId="0"/>
    <xf numFmtId="249" fontId="3" fillId="0" borderId="0"/>
    <xf numFmtId="0" fontId="100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64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126" fillId="0" borderId="0"/>
    <xf numFmtId="0" fontId="3" fillId="0" borderId="0"/>
    <xf numFmtId="0" fontId="107" fillId="0" borderId="0"/>
    <xf numFmtId="0" fontId="107" fillId="0" borderId="0"/>
    <xf numFmtId="0" fontId="100" fillId="0" borderId="0"/>
    <xf numFmtId="0" fontId="10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2" fillId="0" borderId="0"/>
    <xf numFmtId="0" fontId="100" fillId="0" borderId="0"/>
    <xf numFmtId="0" fontId="107" fillId="0" borderId="0"/>
    <xf numFmtId="0" fontId="107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/>
    <xf numFmtId="0" fontId="3" fillId="0" borderId="0"/>
    <xf numFmtId="0" fontId="100" fillId="0" borderId="0"/>
    <xf numFmtId="0" fontId="3" fillId="0" borderId="0"/>
    <xf numFmtId="0" fontId="107" fillId="0" borderId="0"/>
    <xf numFmtId="0" fontId="3" fillId="0" borderId="0"/>
    <xf numFmtId="0" fontId="3" fillId="0" borderId="0"/>
    <xf numFmtId="0" fontId="10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/>
    <xf numFmtId="0" fontId="126" fillId="0" borderId="0"/>
    <xf numFmtId="0" fontId="100" fillId="0" borderId="0"/>
    <xf numFmtId="0" fontId="107" fillId="0" borderId="0"/>
    <xf numFmtId="0" fontId="3" fillId="0" borderId="0"/>
    <xf numFmtId="0" fontId="3" fillId="0" borderId="0"/>
    <xf numFmtId="0" fontId="7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0" fontId="100" fillId="0" borderId="0"/>
    <xf numFmtId="0" fontId="100" fillId="0" borderId="0"/>
    <xf numFmtId="264" fontId="43" fillId="0" borderId="0" applyFont="0" applyFill="0" applyBorder="0" applyAlignment="0" applyProtection="0">
      <alignment horizontal="right"/>
    </xf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70" fillId="0" borderId="0"/>
    <xf numFmtId="0" fontId="100" fillId="0" borderId="0"/>
    <xf numFmtId="249" fontId="3" fillId="0" borderId="0"/>
    <xf numFmtId="0" fontId="72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9" fontId="3" fillId="0" borderId="0"/>
    <xf numFmtId="0" fontId="107" fillId="0" borderId="0"/>
    <xf numFmtId="0" fontId="4" fillId="0" borderId="0"/>
    <xf numFmtId="0" fontId="107" fillId="0" borderId="0"/>
    <xf numFmtId="0" fontId="100" fillId="0" borderId="0"/>
    <xf numFmtId="249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0" fontId="4" fillId="0" borderId="0"/>
    <xf numFmtId="249" fontId="3" fillId="0" borderId="0"/>
    <xf numFmtId="0" fontId="100" fillId="0" borderId="0"/>
    <xf numFmtId="24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9" fontId="3" fillId="0" borderId="0"/>
    <xf numFmtId="0" fontId="3" fillId="0" borderId="0"/>
    <xf numFmtId="0" fontId="100" fillId="0" borderId="0"/>
    <xf numFmtId="0" fontId="3" fillId="0" borderId="0"/>
    <xf numFmtId="249" fontId="3" fillId="0" borderId="0"/>
    <xf numFmtId="0" fontId="3" fillId="0" borderId="0"/>
    <xf numFmtId="249" fontId="3" fillId="0" borderId="0"/>
    <xf numFmtId="0" fontId="3" fillId="0" borderId="0"/>
    <xf numFmtId="249" fontId="3" fillId="0" borderId="0"/>
    <xf numFmtId="0" fontId="4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3" fillId="0" borderId="0"/>
    <xf numFmtId="249" fontId="3" fillId="0" borderId="0"/>
    <xf numFmtId="0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4" fontId="43" fillId="0" borderId="0" applyFont="0" applyFill="0" applyBorder="0" applyAlignment="0" applyProtection="0">
      <alignment horizontal="right"/>
    </xf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0" fontId="37" fillId="0" borderId="0"/>
    <xf numFmtId="0" fontId="3" fillId="0" borderId="0">
      <alignment wrapText="1"/>
    </xf>
    <xf numFmtId="0" fontId="3" fillId="0" borderId="0">
      <alignment wrapText="1"/>
    </xf>
    <xf numFmtId="0" fontId="72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3" fillId="0" borderId="0"/>
    <xf numFmtId="249" fontId="3" fillId="0" borderId="0"/>
    <xf numFmtId="0" fontId="4" fillId="0" borderId="0"/>
    <xf numFmtId="0" fontId="3" fillId="0" borderId="0"/>
    <xf numFmtId="0" fontId="4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3" fillId="0" borderId="0"/>
    <xf numFmtId="249" fontId="3" fillId="0" borderId="0"/>
    <xf numFmtId="0" fontId="3" fillId="0" borderId="0"/>
    <xf numFmtId="249" fontId="3" fillId="0" borderId="0"/>
    <xf numFmtId="0" fontId="3" fillId="0" borderId="0"/>
    <xf numFmtId="249" fontId="3" fillId="0" borderId="0"/>
    <xf numFmtId="0" fontId="3" fillId="0" borderId="0"/>
    <xf numFmtId="249" fontId="3" fillId="0" borderId="0"/>
    <xf numFmtId="0" fontId="3" fillId="0" borderId="0"/>
    <xf numFmtId="249" fontId="3" fillId="0" borderId="0"/>
    <xf numFmtId="0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264" fontId="43" fillId="0" borderId="0" applyFont="0" applyFill="0" applyBorder="0" applyAlignment="0" applyProtection="0">
      <alignment horizontal="right"/>
    </xf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0" fontId="3" fillId="0" borderId="0">
      <alignment wrapText="1"/>
    </xf>
    <xf numFmtId="0" fontId="63" fillId="0" borderId="0"/>
    <xf numFmtId="0" fontId="63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63" fillId="0" borderId="0"/>
    <xf numFmtId="0" fontId="6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4" fillId="0" borderId="0"/>
    <xf numFmtId="249" fontId="3" fillId="0" borderId="0"/>
    <xf numFmtId="0" fontId="3" fillId="0" borderId="0">
      <alignment wrapText="1"/>
    </xf>
    <xf numFmtId="0" fontId="100" fillId="0" borderId="0"/>
    <xf numFmtId="0" fontId="3" fillId="0" borderId="0">
      <alignment wrapText="1"/>
    </xf>
    <xf numFmtId="0" fontId="100" fillId="0" borderId="0"/>
    <xf numFmtId="249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100" fillId="0" borderId="0"/>
    <xf numFmtId="249" fontId="3" fillId="0" borderId="0"/>
    <xf numFmtId="0" fontId="3" fillId="0" borderId="0">
      <alignment wrapText="1"/>
    </xf>
    <xf numFmtId="249" fontId="3" fillId="0" borderId="0"/>
    <xf numFmtId="0" fontId="3" fillId="0" borderId="0">
      <alignment wrapText="1"/>
    </xf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100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249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4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7" fillId="0" borderId="0"/>
    <xf numFmtId="0" fontId="11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4" fillId="0" borderId="0"/>
    <xf numFmtId="0" fontId="114" fillId="0" borderId="0"/>
    <xf numFmtId="249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07" fillId="0" borderId="0"/>
    <xf numFmtId="0" fontId="3" fillId="0" borderId="0"/>
    <xf numFmtId="264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57" fillId="0" borderId="0"/>
    <xf numFmtId="0" fontId="3" fillId="0" borderId="0"/>
    <xf numFmtId="0" fontId="158" fillId="0" borderId="0"/>
    <xf numFmtId="267" fontId="43" fillId="0" borderId="0" applyFont="0" applyFill="0" applyBorder="0" applyAlignment="0" applyProtection="0"/>
    <xf numFmtId="0" fontId="1" fillId="57" borderId="4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59" fillId="11" borderId="19" applyNumberFormat="0" applyFont="0" applyAlignment="0" applyProtection="0"/>
    <xf numFmtId="0" fontId="63" fillId="11" borderId="19" applyNumberFormat="0" applyFont="0" applyAlignment="0" applyProtection="0"/>
    <xf numFmtId="0" fontId="4" fillId="11" borderId="19" applyNumberFormat="0" applyFont="0" applyAlignment="0" applyProtection="0"/>
    <xf numFmtId="0" fontId="63" fillId="11" borderId="19" applyNumberFormat="0" applyFont="0" applyAlignment="0" applyProtection="0"/>
    <xf numFmtId="0" fontId="4" fillId="11" borderId="1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59" fillId="11" borderId="19" applyNumberFormat="0" applyFont="0" applyAlignment="0" applyProtection="0"/>
    <xf numFmtId="0" fontId="4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268" fontId="160" fillId="0" borderId="0" applyBorder="0" applyProtection="0">
      <alignment horizontal="right"/>
    </xf>
    <xf numFmtId="268" fontId="161" fillId="79" borderId="0" applyBorder="0" applyProtection="0">
      <alignment horizontal="right"/>
    </xf>
    <xf numFmtId="268" fontId="162" fillId="0" borderId="29" applyBorder="0"/>
    <xf numFmtId="268" fontId="163" fillId="0" borderId="0" applyBorder="0" applyProtection="0">
      <alignment horizontal="right"/>
    </xf>
    <xf numFmtId="269" fontId="163" fillId="0" borderId="0" applyBorder="0" applyProtection="0">
      <alignment horizontal="right"/>
    </xf>
    <xf numFmtId="269" fontId="164" fillId="79" borderId="0" applyProtection="0">
      <alignment horizontal="right"/>
    </xf>
    <xf numFmtId="37" fontId="83" fillId="0" borderId="0" applyFill="0" applyBorder="0" applyProtection="0">
      <alignment horizontal="right"/>
    </xf>
    <xf numFmtId="205" fontId="78" fillId="0" borderId="0" applyFont="0" applyFill="0" applyBorder="0" applyProtection="0">
      <alignment horizontal="right"/>
    </xf>
    <xf numFmtId="270" fontId="160" fillId="0" borderId="0" applyFill="0" applyBorder="0" applyProtection="0"/>
    <xf numFmtId="0" fontId="95" fillId="59" borderId="0">
      <alignment horizontal="right"/>
    </xf>
    <xf numFmtId="0" fontId="3" fillId="0" borderId="0">
      <alignment horizontal="right"/>
    </xf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165" fillId="9" borderId="16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23" fillId="9" borderId="16" applyNumberFormat="0" applyAlignment="0" applyProtection="0"/>
    <xf numFmtId="0" fontId="166" fillId="0" borderId="0" applyProtection="0">
      <alignment horizontal="left"/>
    </xf>
    <xf numFmtId="0" fontId="166" fillId="0" borderId="0" applyFill="0" applyBorder="0" applyProtection="0">
      <alignment horizontal="left"/>
    </xf>
    <xf numFmtId="0" fontId="167" fillId="0" borderId="0" applyFill="0" applyBorder="0" applyProtection="0">
      <alignment horizontal="left"/>
    </xf>
    <xf numFmtId="1" fontId="168" fillId="0" borderId="0" applyProtection="0">
      <alignment horizontal="right" vertical="center"/>
    </xf>
    <xf numFmtId="251" fontId="169" fillId="0" borderId="25">
      <alignment vertical="center"/>
    </xf>
    <xf numFmtId="2" fontId="89" fillId="0" borderId="0"/>
    <xf numFmtId="173" fontId="170" fillId="0" borderId="0" applyFill="0" applyBorder="0" applyAlignment="0" applyProtection="0"/>
    <xf numFmtId="224" fontId="3" fillId="0" borderId="0" applyFont="0" applyFill="0" applyBorder="0" applyAlignment="0" applyProtection="0"/>
    <xf numFmtId="271" fontId="2" fillId="0" borderId="0" applyFont="0" applyFill="0" applyBorder="0" applyAlignment="0" applyProtection="0"/>
    <xf numFmtId="272" fontId="73" fillId="59" borderId="28" applyFill="0" applyBorder="0" applyAlignment="0" applyProtection="0">
      <alignment horizontal="right"/>
      <protection locked="0"/>
    </xf>
    <xf numFmtId="273" fontId="73" fillId="58" borderId="0" applyFill="0" applyBorder="0" applyAlignment="0" applyProtection="0">
      <protection hidden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74" fontId="160" fillId="0" borderId="0" applyBorder="0" applyProtection="0">
      <alignment horizontal="right"/>
    </xf>
    <xf numFmtId="274" fontId="161" fillId="79" borderId="0" applyProtection="0">
      <alignment horizontal="right"/>
    </xf>
    <xf numFmtId="274" fontId="163" fillId="0" borderId="0" applyFont="0" applyBorder="0" applyProtection="0">
      <alignment horizontal="right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75" fontId="89" fillId="0" borderId="0" applyFont="0" applyFill="0" applyBorder="0" applyProtection="0">
      <alignment horizontal="right"/>
    </xf>
    <xf numFmtId="9" fontId="3" fillId="0" borderId="0"/>
    <xf numFmtId="276" fontId="3" fillId="0" borderId="0" applyFill="0" applyBorder="0">
      <alignment horizontal="right"/>
      <protection locked="0"/>
    </xf>
    <xf numFmtId="1" fontId="84" fillId="0" borderId="0"/>
    <xf numFmtId="261" fontId="3" fillId="0" borderId="0">
      <protection locked="0"/>
    </xf>
    <xf numFmtId="173" fontId="3" fillId="0" borderId="0" applyFont="0" applyFill="0" applyBorder="0" applyAlignment="0" applyProtection="0"/>
    <xf numFmtId="222" fontId="2" fillId="0" borderId="0" applyFill="0" applyBorder="0" applyAlignment="0"/>
    <xf numFmtId="223" fontId="2" fillId="0" borderId="0" applyFill="0" applyBorder="0" applyAlignment="0"/>
    <xf numFmtId="222" fontId="2" fillId="0" borderId="0" applyFill="0" applyBorder="0" applyAlignment="0"/>
    <xf numFmtId="225" fontId="3" fillId="0" borderId="0" applyFill="0" applyBorder="0" applyAlignment="0"/>
    <xf numFmtId="223" fontId="2" fillId="0" borderId="0" applyFill="0" applyBorder="0" applyAlignment="0"/>
    <xf numFmtId="10" fontId="89" fillId="0" borderId="0"/>
    <xf numFmtId="10" fontId="89" fillId="74" borderId="0"/>
    <xf numFmtId="9" fontId="89" fillId="0" borderId="0" applyFont="0" applyFill="0" applyBorder="0" applyAlignment="0" applyProtection="0"/>
    <xf numFmtId="175" fontId="114" fillId="0" borderId="0"/>
    <xf numFmtId="277" fontId="171" fillId="58" borderId="0" applyBorder="0" applyAlignment="0">
      <protection hidden="1"/>
    </xf>
    <xf numFmtId="1" fontId="171" fillId="58" borderId="0">
      <alignment horizontal="center"/>
    </xf>
    <xf numFmtId="0" fontId="100" fillId="0" borderId="0" applyNumberFormat="0" applyFont="0" applyFill="0" applyBorder="0" applyAlignment="0" applyProtection="0">
      <alignment horizontal="left"/>
    </xf>
    <xf numFmtId="15" fontId="100" fillId="0" borderId="0" applyFont="0" applyFill="0" applyBorder="0" applyAlignment="0" applyProtection="0"/>
    <xf numFmtId="4" fontId="100" fillId="0" borderId="0" applyFont="0" applyFill="0" applyBorder="0" applyAlignment="0" applyProtection="0"/>
    <xf numFmtId="0" fontId="146" fillId="0" borderId="2">
      <alignment horizontal="center"/>
    </xf>
    <xf numFmtId="3" fontId="100" fillId="0" borderId="0" applyFont="0" applyFill="0" applyBorder="0" applyAlignment="0" applyProtection="0"/>
    <xf numFmtId="0" fontId="100" fillId="80" borderId="0" applyNumberFormat="0" applyFont="0" applyBorder="0" applyAlignment="0" applyProtection="0"/>
    <xf numFmtId="0" fontId="100" fillId="0" borderId="0">
      <alignment horizontal="right"/>
      <protection locked="0"/>
    </xf>
    <xf numFmtId="244" fontId="172" fillId="0" borderId="0" applyNumberFormat="0" applyFill="0" applyBorder="0" applyAlignment="0" applyProtection="0">
      <alignment horizontal="left"/>
    </xf>
    <xf numFmtId="0" fontId="173" fillId="70" borderId="0"/>
    <xf numFmtId="0" fontId="84" fillId="0" borderId="0" applyNumberFormat="0" applyFill="0" applyBorder="0" applyProtection="0">
      <alignment horizontal="right" vertical="center"/>
    </xf>
    <xf numFmtId="0" fontId="174" fillId="0" borderId="70">
      <alignment vertical="center"/>
    </xf>
    <xf numFmtId="194" fontId="3" fillId="0" borderId="0" applyFill="0" applyBorder="0">
      <alignment horizontal="right"/>
      <protection hidden="1"/>
    </xf>
    <xf numFmtId="0" fontId="175" fillId="69" borderId="28">
      <alignment horizontal="center" vertical="center" wrapText="1"/>
      <protection hidden="1"/>
    </xf>
    <xf numFmtId="0" fontId="100" fillId="81" borderId="71"/>
    <xf numFmtId="0" fontId="2" fillId="82" borderId="0" applyNumberFormat="0" applyFont="0" applyBorder="0" applyAlignment="0" applyProtection="0"/>
    <xf numFmtId="167" fontId="176" fillId="0" borderId="0" applyFill="0" applyBorder="0" applyAlignment="0" applyProtection="0"/>
    <xf numFmtId="168" fontId="177" fillId="0" borderId="0"/>
    <xf numFmtId="0" fontId="43" fillId="0" borderId="0"/>
    <xf numFmtId="0" fontId="178" fillId="0" borderId="0">
      <alignment horizontal="right"/>
    </xf>
    <xf numFmtId="0" fontId="117" fillId="0" borderId="0">
      <alignment horizontal="left"/>
    </xf>
    <xf numFmtId="173" fontId="179" fillId="0" borderId="65"/>
    <xf numFmtId="278" fontId="88" fillId="76" borderId="0" applyFont="0" applyBorder="0"/>
    <xf numFmtId="174" fontId="83" fillId="0" borderId="0" applyNumberFormat="0" applyFill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>
      <alignment vertical="top"/>
    </xf>
    <xf numFmtId="168" fontId="3" fillId="0" borderId="0" applyFont="0" applyFill="0" applyBorder="0" applyAlignment="0" applyProtection="0"/>
    <xf numFmtId="0" fontId="11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80" fillId="82" borderId="28" applyNumberFormat="0" applyProtection="0">
      <alignment horizontal="center" vertical="center"/>
    </xf>
    <xf numFmtId="0" fontId="2" fillId="0" borderId="0">
      <alignment vertical="top"/>
    </xf>
    <xf numFmtId="0" fontId="8" fillId="82" borderId="28" applyNumberFormat="0" applyProtection="0">
      <alignment horizontal="center" vertical="center"/>
    </xf>
    <xf numFmtId="0" fontId="2" fillId="0" borderId="0">
      <alignment vertical="top"/>
    </xf>
    <xf numFmtId="0" fontId="2" fillId="0" borderId="0">
      <alignment vertical="top"/>
    </xf>
    <xf numFmtId="0" fontId="76" fillId="0" borderId="0" applyNumberFormat="0" applyFill="0" applyBorder="0" applyAlignment="0" applyProtection="0"/>
    <xf numFmtId="0" fontId="3" fillId="64" borderId="28" applyNumberFormat="0" applyProtection="0">
      <alignment horizontal="left" vertical="center"/>
    </xf>
    <xf numFmtId="0" fontId="3" fillId="64" borderId="28" applyNumberFormat="0" applyProtection="0">
      <alignment horizontal="left" vertical="center"/>
    </xf>
    <xf numFmtId="0" fontId="2" fillId="0" borderId="0">
      <alignment vertical="top"/>
    </xf>
    <xf numFmtId="0" fontId="8" fillId="62" borderId="28" applyNumberFormat="0" applyProtection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12" fillId="0" borderId="0" applyNumberFormat="0" applyFill="0" applyBorder="0" applyAlignment="0" applyProtection="0"/>
    <xf numFmtId="0" fontId="3" fillId="64" borderId="28" applyNumberFormat="0" applyProtection="0">
      <alignment horizontal="left" vertical="center" wrapText="1"/>
    </xf>
    <xf numFmtId="0" fontId="3" fillId="64" borderId="28" applyNumberFormat="0" applyProtection="0">
      <alignment horizontal="left" vertical="center" wrapText="1"/>
    </xf>
    <xf numFmtId="0" fontId="2" fillId="0" borderId="0">
      <alignment vertical="top"/>
    </xf>
    <xf numFmtId="0" fontId="8" fillId="62" borderId="28" applyNumberFormat="0" applyProtection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181" fillId="83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70" fontId="8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98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69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279" fontId="89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279" fontId="89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4" fillId="0" borderId="0" applyNumberFormat="0" applyBorder="0" applyAlignment="0"/>
    <xf numFmtId="0" fontId="182" fillId="0" borderId="0" applyNumberFormat="0" applyBorder="0" applyAlignment="0"/>
    <xf numFmtId="0" fontId="183" fillId="0" borderId="0" applyNumberFormat="0" applyBorder="0" applyAlignment="0"/>
    <xf numFmtId="0" fontId="97" fillId="0" borderId="0" applyNumberFormat="0" applyFill="0" applyBorder="0" applyProtection="0">
      <alignment horizontal="left" vertical="center"/>
    </xf>
    <xf numFmtId="0" fontId="97" fillId="0" borderId="29" applyNumberFormat="0" applyFill="0" applyProtection="0">
      <alignment horizontal="left" vertical="center"/>
    </xf>
    <xf numFmtId="280" fontId="88" fillId="84" borderId="0" applyNumberFormat="0" applyFont="0" applyBorder="0">
      <alignment horizontal="center" vertical="center"/>
      <protection locked="0"/>
    </xf>
    <xf numFmtId="9" fontId="3" fillId="0" borderId="0"/>
    <xf numFmtId="0" fontId="98" fillId="0" borderId="0" applyFill="0" applyBorder="0" applyProtection="0">
      <alignment horizontal="center" vertical="center"/>
    </xf>
    <xf numFmtId="0" fontId="184" fillId="0" borderId="0" applyBorder="0" applyProtection="0">
      <alignment vertical="center"/>
    </xf>
    <xf numFmtId="175" fontId="3" fillId="0" borderId="25" applyBorder="0" applyProtection="0">
      <alignment horizontal="right" vertical="center"/>
    </xf>
    <xf numFmtId="0" fontId="185" fillId="85" borderId="0" applyBorder="0" applyProtection="0">
      <alignment horizontal="centerContinuous" vertical="center"/>
    </xf>
    <xf numFmtId="0" fontId="185" fillId="83" borderId="25" applyBorder="0" applyProtection="0">
      <alignment horizontal="centerContinuous" vertical="center"/>
    </xf>
    <xf numFmtId="0" fontId="186" fillId="0" borderId="0"/>
    <xf numFmtId="0" fontId="98" fillId="0" borderId="0" applyFill="0" applyBorder="0" applyProtection="0"/>
    <xf numFmtId="0" fontId="158" fillId="0" borderId="0"/>
    <xf numFmtId="0" fontId="187" fillId="0" borderId="0" applyFill="0" applyBorder="0" applyProtection="0">
      <alignment horizontal="left"/>
    </xf>
    <xf numFmtId="0" fontId="188" fillId="0" borderId="0" applyFill="0" applyBorder="0" applyProtection="0">
      <alignment horizontal="left" vertical="top"/>
    </xf>
    <xf numFmtId="0" fontId="189" fillId="0" borderId="0">
      <alignment horizontal="centerContinuous"/>
    </xf>
    <xf numFmtId="251" fontId="3" fillId="64" borderId="72" applyNumberFormat="0" applyAlignment="0">
      <alignment vertical="center"/>
    </xf>
    <xf numFmtId="251" fontId="190" fillId="86" borderId="73" applyNumberFormat="0" applyBorder="0" applyAlignment="0" applyProtection="0">
      <alignment vertical="center"/>
    </xf>
    <xf numFmtId="251" fontId="190" fillId="86" borderId="73" applyNumberFormat="0" applyBorder="0" applyAlignment="0" applyProtection="0">
      <alignment vertical="center"/>
    </xf>
    <xf numFmtId="251" fontId="190" fillId="86" borderId="73" applyNumberFormat="0" applyBorder="0" applyAlignment="0" applyProtection="0">
      <alignment vertical="center"/>
    </xf>
    <xf numFmtId="251" fontId="3" fillId="64" borderId="72" applyNumberFormat="0" applyProtection="0">
      <alignment horizontal="centerContinuous" vertical="center"/>
    </xf>
    <xf numFmtId="251" fontId="191" fillId="87" borderId="0" applyNumberFormat="0" applyBorder="0" applyAlignment="0" applyProtection="0">
      <alignment vertical="center"/>
    </xf>
    <xf numFmtId="251" fontId="3" fillId="86" borderId="0" applyBorder="0" applyAlignment="0" applyProtection="0">
      <alignment vertical="center"/>
    </xf>
    <xf numFmtId="49" fontId="83" fillId="0" borderId="25">
      <alignment vertical="center"/>
    </xf>
    <xf numFmtId="0" fontId="192" fillId="0" borderId="0"/>
    <xf numFmtId="0" fontId="193" fillId="0" borderId="0"/>
    <xf numFmtId="49" fontId="114" fillId="0" borderId="0" applyFill="0" applyBorder="0" applyAlignment="0"/>
    <xf numFmtId="281" fontId="2" fillId="0" borderId="0" applyFill="0" applyBorder="0" applyAlignment="0"/>
    <xf numFmtId="282" fontId="2" fillId="0" borderId="0" applyFill="0" applyBorder="0" applyAlignment="0"/>
    <xf numFmtId="0" fontId="79" fillId="0" borderId="0" applyNumberFormat="0" applyFont="0" applyFill="0" applyBorder="0" applyProtection="0">
      <alignment horizontal="left" vertical="top" wrapText="1"/>
    </xf>
    <xf numFmtId="18" fontId="43" fillId="0" borderId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40" fontId="194" fillId="0" borderId="0"/>
    <xf numFmtId="0" fontId="57" fillId="0" borderId="0" applyNumberFormat="0" applyFill="0" applyBorder="0" applyAlignment="0" applyProtection="0"/>
    <xf numFmtId="0" fontId="195" fillId="0" borderId="0" applyNumberFormat="0" applyBorder="0" applyAlignment="0" applyProtection="0"/>
    <xf numFmtId="0" fontId="195" fillId="0" borderId="0" applyNumberFormat="0" applyBorder="0" applyAlignment="0" applyProtection="0"/>
    <xf numFmtId="283" fontId="196" fillId="83" borderId="0" applyNumberFormat="0" applyProtection="0">
      <alignment horizontal="left" vertical="center"/>
    </xf>
    <xf numFmtId="0" fontId="197" fillId="0" borderId="0" applyNumberFormat="0" applyProtection="0">
      <alignment horizontal="left" vertical="center"/>
    </xf>
    <xf numFmtId="0" fontId="198" fillId="0" borderId="0">
      <alignment horizontal="left"/>
    </xf>
    <xf numFmtId="0" fontId="100" fillId="0" borderId="0" applyBorder="0"/>
    <xf numFmtId="1" fontId="2" fillId="73" borderId="0" applyNumberFormat="0" applyFont="0" applyBorder="0" applyProtection="0">
      <alignment horizontal="left"/>
    </xf>
    <xf numFmtId="284" fontId="3" fillId="0" borderId="0" applyNumberFormat="0" applyFill="0" applyBorder="0" applyProtection="0">
      <alignment vertical="top"/>
    </xf>
    <xf numFmtId="0" fontId="58" fillId="0" borderId="51" applyNumberFormat="0" applyFill="0" applyAlignment="0" applyProtection="0"/>
    <xf numFmtId="0" fontId="5" fillId="0" borderId="20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60" fillId="0" borderId="20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199" fillId="0" borderId="20" applyNumberFormat="0" applyFill="0" applyAlignment="0" applyProtection="0"/>
    <xf numFmtId="39" fontId="3" fillId="0" borderId="56">
      <protection locked="0"/>
    </xf>
    <xf numFmtId="165" fontId="189" fillId="0" borderId="56" applyFill="0" applyAlignment="0" applyProtection="0"/>
    <xf numFmtId="175" fontId="74" fillId="0" borderId="74"/>
    <xf numFmtId="0" fontId="200" fillId="0" borderId="0">
      <alignment horizontal="fill"/>
    </xf>
    <xf numFmtId="285" fontId="171" fillId="58" borderId="39" applyBorder="0">
      <alignment horizontal="right" vertical="center"/>
      <protection locked="0"/>
    </xf>
    <xf numFmtId="167" fontId="3" fillId="0" borderId="0" applyFont="0" applyFill="0" applyBorder="0" applyAlignment="0" applyProtection="0"/>
    <xf numFmtId="28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84" fontId="201" fillId="86" borderId="0" applyNumberFormat="0" applyBorder="0" applyProtection="0">
      <alignment horizontal="centerContinuous" vertical="center"/>
    </xf>
    <xf numFmtId="0" fontId="59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03" fillId="0" borderId="0"/>
    <xf numFmtId="1" fontId="203" fillId="0" borderId="0"/>
    <xf numFmtId="287" fontId="89" fillId="0" borderId="0" applyFont="0" applyFill="0" applyBorder="0" applyProtection="0">
      <alignment horizontal="right"/>
    </xf>
    <xf numFmtId="288" fontId="3" fillId="0" borderId="0"/>
    <xf numFmtId="289" fontId="160" fillId="0" borderId="0" applyFill="0" applyBorder="0" applyProtection="0"/>
    <xf numFmtId="0" fontId="3" fillId="0" borderId="0">
      <alignment horizontal="center"/>
    </xf>
    <xf numFmtId="290" fontId="83" fillId="0" borderId="25">
      <alignment horizontal="right"/>
    </xf>
    <xf numFmtId="291" fontId="3" fillId="0" borderId="0" applyFont="0" applyFill="0" applyBorder="0" applyAlignment="0" applyProtection="0"/>
    <xf numFmtId="292" fontId="91" fillId="0" borderId="0" applyFont="0" applyFill="0" applyBorder="0" applyProtection="0">
      <alignment horizontal="right"/>
    </xf>
    <xf numFmtId="0" fontId="3" fillId="0" borderId="0"/>
    <xf numFmtId="293" fontId="3" fillId="0" borderId="0"/>
    <xf numFmtId="0" fontId="71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</cellStyleXfs>
  <cellXfs count="589">
    <xf numFmtId="0" fontId="0" fillId="0" borderId="0" xfId="0"/>
    <xf numFmtId="0" fontId="0" fillId="0" borderId="0" xfId="0" applyAlignment="1">
      <alignment horizontal="right"/>
    </xf>
    <xf numFmtId="171" fontId="1" fillId="0" borderId="0" xfId="1" applyNumberFormat="1"/>
    <xf numFmtId="17" fontId="0" fillId="0" borderId="0" xfId="0" applyNumberFormat="1"/>
    <xf numFmtId="3" fontId="0" fillId="0" borderId="0" xfId="0" applyNumberFormat="1"/>
    <xf numFmtId="171" fontId="0" fillId="0" borderId="0" xfId="1" applyNumberFormat="1" applyFont="1" applyAlignment="1">
      <alignment horizontal="right"/>
    </xf>
    <xf numFmtId="171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73" fontId="0" fillId="0" borderId="0" xfId="4" applyNumberFormat="1" applyFont="1"/>
    <xf numFmtId="173" fontId="0" fillId="0" borderId="0" xfId="0" applyNumberFormat="1"/>
    <xf numFmtId="171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73" fontId="0" fillId="0" borderId="0" xfId="7" applyNumberFormat="1" applyFont="1"/>
    <xf numFmtId="173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73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3" borderId="0" xfId="5" applyFill="1" applyAlignment="1">
      <alignment horizontal="right"/>
    </xf>
    <xf numFmtId="0" fontId="3" fillId="3" borderId="0" xfId="5" applyFill="1"/>
    <xf numFmtId="3" fontId="3" fillId="3" borderId="0" xfId="5" applyNumberFormat="1" applyFill="1"/>
    <xf numFmtId="3" fontId="11" fillId="3" borderId="0" xfId="5" applyNumberFormat="1" applyFont="1" applyFill="1"/>
    <xf numFmtId="0" fontId="11" fillId="3" borderId="0" xfId="5" applyFont="1" applyFill="1"/>
    <xf numFmtId="0" fontId="3" fillId="3" borderId="0" xfId="5" applyFill="1" applyAlignment="1">
      <alignment horizontal="right" wrapText="1"/>
    </xf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74" fontId="3" fillId="0" borderId="0" xfId="5" applyNumberFormat="1"/>
    <xf numFmtId="172" fontId="0" fillId="0" borderId="0" xfId="9" applyNumberFormat="1" applyFont="1"/>
    <xf numFmtId="172" fontId="8" fillId="0" borderId="0" xfId="9" applyNumberFormat="1" applyFont="1" applyAlignment="1">
      <alignment horizontal="center"/>
    </xf>
    <xf numFmtId="171" fontId="3" fillId="0" borderId="0" xfId="1" applyNumberFormat="1" applyFont="1"/>
    <xf numFmtId="171" fontId="8" fillId="0" borderId="0" xfId="1" applyNumberFormat="1" applyFont="1"/>
    <xf numFmtId="0" fontId="12" fillId="3" borderId="0" xfId="5" applyFont="1" applyFill="1"/>
    <xf numFmtId="0" fontId="8" fillId="2" borderId="7" xfId="5" applyFont="1" applyFill="1" applyBorder="1" applyAlignment="1">
      <alignment vertical="center"/>
    </xf>
    <xf numFmtId="0" fontId="8" fillId="2" borderId="8" xfId="5" applyFont="1" applyFill="1" applyBorder="1" applyAlignment="1">
      <alignment vertical="center"/>
    </xf>
    <xf numFmtId="0" fontId="8" fillId="3" borderId="9" xfId="5" applyFont="1" applyFill="1" applyBorder="1" applyAlignment="1">
      <alignment horizontal="center"/>
    </xf>
    <xf numFmtId="3" fontId="3" fillId="3" borderId="1" xfId="5" applyNumberFormat="1" applyFill="1" applyBorder="1"/>
    <xf numFmtId="0" fontId="8" fillId="3" borderId="10" xfId="5" applyFont="1" applyFill="1" applyBorder="1" applyAlignment="1">
      <alignment horizontal="center"/>
    </xf>
    <xf numFmtId="0" fontId="8" fillId="2" borderId="11" xfId="5" applyFont="1" applyFill="1" applyBorder="1" applyAlignment="1">
      <alignment horizontal="center"/>
    </xf>
    <xf numFmtId="3" fontId="3" fillId="2" borderId="2" xfId="5" applyNumberFormat="1" applyFill="1" applyBorder="1"/>
    <xf numFmtId="3" fontId="3" fillId="2" borderId="3" xfId="5" applyNumberFormat="1" applyFill="1" applyBorder="1"/>
    <xf numFmtId="0" fontId="8" fillId="2" borderId="7" xfId="5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171" fontId="13" fillId="0" borderId="0" xfId="1" applyNumberFormat="1" applyFont="1"/>
    <xf numFmtId="175" fontId="6" fillId="0" borderId="0" xfId="0" applyNumberFormat="1" applyFont="1"/>
    <xf numFmtId="176" fontId="0" fillId="0" borderId="0" xfId="1" applyNumberFormat="1" applyFont="1"/>
    <xf numFmtId="43" fontId="14" fillId="0" borderId="0" xfId="1" applyFont="1"/>
    <xf numFmtId="0" fontId="9" fillId="0" borderId="0" xfId="0" applyFont="1" applyAlignment="1">
      <alignment horizontal="right" vertical="center"/>
    </xf>
    <xf numFmtId="10" fontId="0" fillId="0" borderId="0" xfId="4" applyNumberFormat="1" applyFont="1"/>
    <xf numFmtId="171" fontId="0" fillId="0" borderId="0" xfId="1" applyNumberFormat="1" applyFont="1" applyAlignment="1">
      <alignment horizontal="left"/>
    </xf>
    <xf numFmtId="176" fontId="0" fillId="0" borderId="0" xfId="1" applyNumberFormat="1" applyFont="1" applyAlignment="1">
      <alignment horizontal="right"/>
    </xf>
    <xf numFmtId="43" fontId="0" fillId="0" borderId="0" xfId="1" applyFont="1" applyAlignment="1">
      <alignment horizontal="right"/>
    </xf>
    <xf numFmtId="3" fontId="5" fillId="0" borderId="0" xfId="6" applyNumberFormat="1" applyFont="1"/>
    <xf numFmtId="173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7" fontId="0" fillId="0" borderId="0" xfId="1" applyNumberFormat="1" applyFont="1"/>
    <xf numFmtId="174" fontId="8" fillId="0" borderId="0" xfId="5" applyNumberFormat="1" applyFont="1" applyAlignment="1">
      <alignment horizontal="center"/>
    </xf>
    <xf numFmtId="171" fontId="11" fillId="0" borderId="0" xfId="1" applyNumberFormat="1" applyFont="1"/>
    <xf numFmtId="0" fontId="5" fillId="0" borderId="0" xfId="0" applyFont="1" applyAlignment="1">
      <alignment horizontal="center"/>
    </xf>
    <xf numFmtId="0" fontId="30" fillId="0" borderId="0" xfId="0" applyFont="1"/>
    <xf numFmtId="171" fontId="3" fillId="0" borderId="0" xfId="1" applyNumberFormat="1" applyFont="1" applyAlignment="1">
      <alignment horizontal="center"/>
    </xf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74" fontId="32" fillId="0" borderId="0" xfId="5" applyNumberFormat="1" applyFont="1"/>
    <xf numFmtId="9" fontId="3" fillId="0" borderId="0" xfId="5" applyNumberFormat="1"/>
    <xf numFmtId="176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6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71" fontId="0" fillId="0" borderId="28" xfId="0" applyNumberFormat="1" applyBorder="1" applyAlignment="1">
      <alignment vertical="top"/>
    </xf>
    <xf numFmtId="171" fontId="3" fillId="0" borderId="28" xfId="5" applyNumberFormat="1" applyBorder="1"/>
    <xf numFmtId="173" fontId="0" fillId="0" borderId="28" xfId="4" applyNumberFormat="1" applyFont="1" applyBorder="1" applyAlignment="1">
      <alignment vertical="top"/>
    </xf>
    <xf numFmtId="171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71" fontId="0" fillId="0" borderId="35" xfId="0" applyNumberFormat="1" applyBorder="1" applyAlignment="1">
      <alignment vertical="top"/>
    </xf>
    <xf numFmtId="174" fontId="34" fillId="0" borderId="0" xfId="5" applyNumberFormat="1" applyFont="1"/>
    <xf numFmtId="175" fontId="0" fillId="0" borderId="0" xfId="0" applyNumberFormat="1"/>
    <xf numFmtId="43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177" fontId="0" fillId="0" borderId="0" xfId="0" applyNumberFormat="1"/>
    <xf numFmtId="179" fontId="0" fillId="0" borderId="0" xfId="1" applyNumberFormat="1" applyFont="1"/>
    <xf numFmtId="174" fontId="11" fillId="0" borderId="0" xfId="5" applyNumberFormat="1" applyFont="1"/>
    <xf numFmtId="9" fontId="3" fillId="3" borderId="0" xfId="5" applyNumberFormat="1" applyFill="1"/>
    <xf numFmtId="9" fontId="3" fillId="3" borderId="0" xfId="5" applyNumberFormat="1" applyFill="1" applyAlignment="1">
      <alignment horizontal="right"/>
    </xf>
    <xf numFmtId="0" fontId="8" fillId="3" borderId="0" xfId="5" applyFont="1" applyFill="1"/>
    <xf numFmtId="174" fontId="8" fillId="0" borderId="0" xfId="5" applyNumberFormat="1" applyFont="1"/>
    <xf numFmtId="174" fontId="38" fillId="0" borderId="0" xfId="5" applyNumberFormat="1" applyFont="1"/>
    <xf numFmtId="171" fontId="0" fillId="0" borderId="0" xfId="1" applyNumberFormat="1" applyFont="1" applyBorder="1"/>
    <xf numFmtId="43" fontId="13" fillId="0" borderId="0" xfId="1" applyFont="1"/>
    <xf numFmtId="17" fontId="13" fillId="0" borderId="0" xfId="0" applyNumberFormat="1" applyFont="1"/>
    <xf numFmtId="17" fontId="30" fillId="0" borderId="0" xfId="0" applyNumberFormat="1" applyFont="1"/>
    <xf numFmtId="43" fontId="30" fillId="0" borderId="0" xfId="1" applyFont="1"/>
    <xf numFmtId="0" fontId="3" fillId="0" borderId="0" xfId="0" applyFont="1" applyAlignment="1">
      <alignment horizontal="center"/>
    </xf>
    <xf numFmtId="176" fontId="6" fillId="0" borderId="0" xfId="1" applyNumberFormat="1" applyFont="1"/>
    <xf numFmtId="180" fontId="0" fillId="0" borderId="0" xfId="0" applyNumberFormat="1"/>
    <xf numFmtId="180" fontId="34" fillId="0" borderId="0" xfId="5" applyNumberFormat="1" applyFont="1" applyAlignment="1">
      <alignment horizontal="center"/>
    </xf>
    <xf numFmtId="181" fontId="0" fillId="0" borderId="0" xfId="0" applyNumberFormat="1"/>
    <xf numFmtId="0" fontId="5" fillId="0" borderId="31" xfId="0" applyFont="1" applyBorder="1" applyAlignment="1">
      <alignment wrapText="1"/>
    </xf>
    <xf numFmtId="171" fontId="5" fillId="0" borderId="32" xfId="0" applyNumberFormat="1" applyFont="1" applyBorder="1"/>
    <xf numFmtId="171" fontId="5" fillId="0" borderId="32" xfId="1" applyNumberFormat="1" applyFont="1" applyBorder="1"/>
    <xf numFmtId="171" fontId="5" fillId="0" borderId="33" xfId="1" applyNumberFormat="1" applyFont="1" applyBorder="1"/>
    <xf numFmtId="0" fontId="39" fillId="0" borderId="0" xfId="0" applyFont="1"/>
    <xf numFmtId="0" fontId="40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71" fontId="0" fillId="0" borderId="0" xfId="57" applyNumberFormat="1" applyFont="1"/>
    <xf numFmtId="0" fontId="3" fillId="4" borderId="0" xfId="0" applyFont="1" applyFill="1"/>
    <xf numFmtId="0" fontId="8" fillId="0" borderId="0" xfId="0" applyFont="1"/>
    <xf numFmtId="171" fontId="8" fillId="0" borderId="0" xfId="0" applyNumberFormat="1" applyFont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40" xfId="0" applyFont="1" applyBorder="1"/>
    <xf numFmtId="171" fontId="3" fillId="0" borderId="0" xfId="57" applyNumberFormat="1" applyFont="1" applyBorder="1"/>
    <xf numFmtId="10" fontId="3" fillId="0" borderId="0" xfId="58" applyNumberFormat="1" applyFont="1" applyBorder="1"/>
    <xf numFmtId="171" fontId="3" fillId="0" borderId="0" xfId="57" applyNumberFormat="1" applyFont="1" applyBorder="1" applyAlignment="1">
      <alignment vertical="top" wrapText="1"/>
    </xf>
    <xf numFmtId="171" fontId="8" fillId="0" borderId="40" xfId="0" applyNumberFormat="1" applyFont="1" applyBorder="1"/>
    <xf numFmtId="171" fontId="37" fillId="0" borderId="0" xfId="57" applyNumberFormat="1" applyFont="1" applyBorder="1"/>
    <xf numFmtId="10" fontId="8" fillId="0" borderId="40" xfId="58" applyNumberFormat="1" applyFont="1" applyBorder="1"/>
    <xf numFmtId="10" fontId="8" fillId="0" borderId="0" xfId="58" applyNumberFormat="1" applyFont="1"/>
    <xf numFmtId="0" fontId="8" fillId="0" borderId="40" xfId="0" applyFont="1" applyBorder="1"/>
    <xf numFmtId="3" fontId="35" fillId="0" borderId="0" xfId="0" applyNumberFormat="1" applyFont="1" applyAlignment="1">
      <alignment horizontal="right" vertical="center"/>
    </xf>
    <xf numFmtId="0" fontId="3" fillId="0" borderId="41" xfId="0" applyFont="1" applyBorder="1"/>
    <xf numFmtId="0" fontId="3" fillId="0" borderId="25" xfId="0" applyFont="1" applyBorder="1"/>
    <xf numFmtId="0" fontId="3" fillId="0" borderId="42" xfId="0" applyFont="1" applyBorder="1"/>
    <xf numFmtId="0" fontId="0" fillId="0" borderId="36" xfId="0" applyBorder="1"/>
    <xf numFmtId="0" fontId="0" fillId="0" borderId="37" xfId="0" applyBorder="1"/>
    <xf numFmtId="171" fontId="0" fillId="0" borderId="37" xfId="57" applyNumberFormat="1" applyFont="1" applyBorder="1"/>
    <xf numFmtId="171" fontId="0" fillId="0" borderId="38" xfId="57" applyNumberFormat="1" applyFont="1" applyBorder="1"/>
    <xf numFmtId="0" fontId="0" fillId="0" borderId="39" xfId="0" applyBorder="1"/>
    <xf numFmtId="171" fontId="0" fillId="0" borderId="0" xfId="57" applyNumberFormat="1" applyFont="1" applyBorder="1"/>
    <xf numFmtId="171" fontId="0" fillId="0" borderId="40" xfId="57" applyNumberFormat="1" applyFont="1" applyBorder="1"/>
    <xf numFmtId="0" fontId="3" fillId="0" borderId="39" xfId="0" applyFont="1" applyBorder="1" applyAlignment="1">
      <alignment horizontal="right"/>
    </xf>
    <xf numFmtId="0" fontId="0" fillId="0" borderId="39" xfId="0" applyBorder="1" applyAlignment="1">
      <alignment horizontal="right"/>
    </xf>
    <xf numFmtId="0" fontId="3" fillId="0" borderId="39" xfId="0" applyFont="1" applyBorder="1" applyAlignment="1">
      <alignment horizontal="center"/>
    </xf>
    <xf numFmtId="171" fontId="8" fillId="0" borderId="39" xfId="0" applyNumberFormat="1" applyFont="1" applyBorder="1"/>
    <xf numFmtId="0" fontId="0" fillId="0" borderId="40" xfId="0" applyBorder="1"/>
    <xf numFmtId="10" fontId="8" fillId="0" borderId="39" xfId="58" applyNumberFormat="1" applyFont="1" applyBorder="1"/>
    <xf numFmtId="171" fontId="0" fillId="0" borderId="40" xfId="0" applyNumberFormat="1" applyBorder="1"/>
    <xf numFmtId="0" fontId="0" fillId="0" borderId="41" xfId="0" applyBorder="1"/>
    <xf numFmtId="0" fontId="8" fillId="0" borderId="25" xfId="0" applyFont="1" applyBorder="1"/>
    <xf numFmtId="171" fontId="8" fillId="0" borderId="25" xfId="0" applyNumberFormat="1" applyFont="1" applyBorder="1"/>
    <xf numFmtId="171" fontId="8" fillId="0" borderId="42" xfId="0" applyNumberFormat="1" applyFont="1" applyBorder="1"/>
    <xf numFmtId="0" fontId="39" fillId="0" borderId="37" xfId="0" applyFont="1" applyBorder="1"/>
    <xf numFmtId="0" fontId="0" fillId="0" borderId="38" xfId="0" applyBorder="1"/>
    <xf numFmtId="0" fontId="39" fillId="0" borderId="0" xfId="0" applyFont="1" applyAlignment="1">
      <alignment horizontal="center"/>
    </xf>
    <xf numFmtId="0" fontId="3" fillId="4" borderId="39" xfId="0" applyFont="1" applyFill="1" applyBorder="1"/>
    <xf numFmtId="171" fontId="3" fillId="4" borderId="0" xfId="57" applyNumberFormat="1" applyFont="1" applyFill="1" applyBorder="1"/>
    <xf numFmtId="0" fontId="0" fillId="0" borderId="25" xfId="0" applyBorder="1"/>
    <xf numFmtId="0" fontId="0" fillId="0" borderId="42" xfId="0" applyBorder="1"/>
    <xf numFmtId="173" fontId="0" fillId="0" borderId="0" xfId="4" applyNumberFormat="1" applyFont="1" applyFill="1" applyBorder="1"/>
    <xf numFmtId="171" fontId="0" fillId="0" borderId="25" xfId="0" applyNumberFormat="1" applyBorder="1"/>
    <xf numFmtId="0" fontId="8" fillId="2" borderId="6" xfId="5" applyFont="1" applyFill="1" applyBorder="1" applyAlignment="1">
      <alignment horizontal="center" vertical="center"/>
    </xf>
    <xf numFmtId="3" fontId="8" fillId="2" borderId="2" xfId="5" applyNumberFormat="1" applyFont="1" applyFill="1" applyBorder="1"/>
    <xf numFmtId="3" fontId="8" fillId="2" borderId="3" xfId="5" applyNumberFormat="1" applyFont="1" applyFill="1" applyBorder="1"/>
    <xf numFmtId="171" fontId="0" fillId="0" borderId="0" xfId="1" applyNumberFormat="1" applyFont="1" applyFill="1" applyAlignment="1">
      <alignment horizontal="right"/>
    </xf>
    <xf numFmtId="182" fontId="12" fillId="3" borderId="0" xfId="5" applyNumberFormat="1" applyFont="1" applyFill="1"/>
    <xf numFmtId="43" fontId="3" fillId="3" borderId="0" xfId="5" applyNumberFormat="1" applyFill="1"/>
    <xf numFmtId="0" fontId="36" fillId="0" borderId="0" xfId="56"/>
    <xf numFmtId="15" fontId="0" fillId="0" borderId="0" xfId="0" applyNumberFormat="1" applyAlignment="1">
      <alignment horizontal="center"/>
    </xf>
    <xf numFmtId="0" fontId="41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73" fontId="13" fillId="0" borderId="0" xfId="5" applyNumberFormat="1" applyFont="1"/>
    <xf numFmtId="183" fontId="11" fillId="0" borderId="0" xfId="5" applyNumberFormat="1" applyFont="1"/>
    <xf numFmtId="190" fontId="0" fillId="0" borderId="0" xfId="1" applyNumberFormat="1" applyFont="1"/>
    <xf numFmtId="11" fontId="0" fillId="0" borderId="0" xfId="1" applyNumberFormat="1" applyFont="1"/>
    <xf numFmtId="191" fontId="0" fillId="0" borderId="0" xfId="0" applyNumberFormat="1"/>
    <xf numFmtId="184" fontId="0" fillId="0" borderId="0" xfId="0" applyNumberFormat="1"/>
    <xf numFmtId="182" fontId="0" fillId="0" borderId="0" xfId="0" applyNumberFormat="1"/>
    <xf numFmtId="192" fontId="0" fillId="0" borderId="0" xfId="0" applyNumberFormat="1"/>
    <xf numFmtId="0" fontId="63" fillId="0" borderId="27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/>
    </xf>
    <xf numFmtId="0" fontId="63" fillId="0" borderId="27" xfId="0" applyFont="1" applyBorder="1" applyAlignment="1">
      <alignment vertical="center" wrapText="1"/>
    </xf>
    <xf numFmtId="171" fontId="63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71" fontId="63" fillId="0" borderId="28" xfId="1" applyNumberFormat="1" applyFont="1" applyBorder="1" applyAlignment="1">
      <alignment horizontal="right" vertical="center"/>
    </xf>
    <xf numFmtId="171" fontId="63" fillId="0" borderId="28" xfId="1" applyNumberFormat="1" applyFont="1" applyBorder="1" applyAlignment="1">
      <alignment vertical="center"/>
    </xf>
    <xf numFmtId="0" fontId="63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71" fontId="8" fillId="0" borderId="32" xfId="0" applyNumberFormat="1" applyFont="1" applyBorder="1"/>
    <xf numFmtId="171" fontId="8" fillId="0" borderId="32" xfId="1" applyNumberFormat="1" applyFont="1" applyBorder="1"/>
    <xf numFmtId="171" fontId="8" fillId="0" borderId="32" xfId="1" applyNumberFormat="1" applyFont="1" applyBorder="1" applyAlignment="1">
      <alignment vertical="top"/>
    </xf>
    <xf numFmtId="0" fontId="8" fillId="0" borderId="30" xfId="5" applyFont="1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8" fillId="0" borderId="30" xfId="5" applyFont="1" applyBorder="1" applyAlignment="1">
      <alignment horizontal="center"/>
    </xf>
    <xf numFmtId="171" fontId="3" fillId="0" borderId="30" xfId="1" applyNumberFormat="1" applyFont="1" applyBorder="1" applyAlignment="1">
      <alignment vertical="center"/>
    </xf>
    <xf numFmtId="171" fontId="8" fillId="0" borderId="33" xfId="1" applyNumberFormat="1" applyFont="1" applyBorder="1" applyAlignment="1">
      <alignment vertical="center"/>
    </xf>
    <xf numFmtId="193" fontId="3" fillId="3" borderId="0" xfId="4" applyNumberFormat="1" applyFont="1" applyFill="1"/>
    <xf numFmtId="171" fontId="3" fillId="0" borderId="0" xfId="189" applyNumberFormat="1" applyFont="1" applyBorder="1" applyAlignment="1">
      <alignment horizontal="center"/>
    </xf>
    <xf numFmtId="171" fontId="0" fillId="0" borderId="0" xfId="189" applyNumberFormat="1" applyFont="1" applyBorder="1"/>
    <xf numFmtId="171" fontId="0" fillId="0" borderId="40" xfId="189" applyNumberFormat="1" applyFont="1" applyBorder="1"/>
    <xf numFmtId="171" fontId="0" fillId="0" borderId="39" xfId="189" applyNumberFormat="1" applyFont="1" applyBorder="1"/>
    <xf numFmtId="171" fontId="3" fillId="0" borderId="39" xfId="189" applyNumberFormat="1" applyFont="1" applyBorder="1" applyAlignment="1">
      <alignment horizontal="center"/>
    </xf>
    <xf numFmtId="0" fontId="5" fillId="0" borderId="0" xfId="0" applyFont="1"/>
    <xf numFmtId="171" fontId="1" fillId="0" borderId="0" xfId="1" applyNumberFormat="1" applyBorder="1"/>
    <xf numFmtId="2" fontId="67" fillId="0" borderId="0" xfId="0" applyNumberFormat="1" applyFont="1"/>
    <xf numFmtId="183" fontId="0" fillId="0" borderId="0" xfId="0" applyNumberFormat="1"/>
    <xf numFmtId="171" fontId="31" fillId="0" borderId="0" xfId="1" applyNumberFormat="1" applyFont="1" applyFill="1"/>
    <xf numFmtId="1" fontId="0" fillId="0" borderId="0" xfId="0" applyNumberFormat="1"/>
    <xf numFmtId="43" fontId="0" fillId="0" borderId="0" xfId="1" applyFont="1"/>
    <xf numFmtId="176" fontId="68" fillId="0" borderId="0" xfId="1" applyNumberFormat="1" applyFont="1"/>
    <xf numFmtId="10" fontId="11" fillId="60" borderId="0" xfId="8" applyNumberFormat="1" applyFont="1" applyFill="1"/>
    <xf numFmtId="183" fontId="11" fillId="60" borderId="0" xfId="5" applyNumberFormat="1" applyFont="1" applyFill="1"/>
    <xf numFmtId="173" fontId="3" fillId="3" borderId="0" xfId="4" applyNumberFormat="1" applyFont="1" applyFill="1"/>
    <xf numFmtId="0" fontId="41" fillId="61" borderId="28" xfId="5" applyFont="1" applyFill="1" applyBorder="1" applyAlignment="1">
      <alignment horizontal="center" vertical="center" wrapText="1"/>
    </xf>
    <xf numFmtId="0" fontId="41" fillId="61" borderId="4" xfId="5" applyFont="1" applyFill="1" applyBorder="1" applyAlignment="1">
      <alignment horizontal="center" vertical="center" wrapText="1"/>
    </xf>
    <xf numFmtId="0" fontId="41" fillId="61" borderId="5" xfId="5" applyFont="1" applyFill="1" applyBorder="1" applyAlignment="1">
      <alignment horizontal="center" vertical="center" wrapText="1"/>
    </xf>
    <xf numFmtId="0" fontId="41" fillId="61" borderId="28" xfId="5" applyFont="1" applyFill="1" applyBorder="1" applyAlignment="1">
      <alignment horizontal="center" vertical="center"/>
    </xf>
    <xf numFmtId="0" fontId="41" fillId="61" borderId="4" xfId="5" applyFont="1" applyFill="1" applyBorder="1" applyAlignment="1">
      <alignment horizontal="center" vertical="center"/>
    </xf>
    <xf numFmtId="0" fontId="41" fillId="61" borderId="5" xfId="5" applyFont="1" applyFill="1" applyBorder="1" applyAlignment="1">
      <alignment horizontal="center" vertical="center"/>
    </xf>
    <xf numFmtId="0" fontId="13" fillId="3" borderId="28" xfId="5" applyFont="1" applyFill="1" applyBorder="1" applyAlignment="1">
      <alignment horizontal="center" vertical="center"/>
    </xf>
    <xf numFmtId="3" fontId="13" fillId="3" borderId="28" xfId="5" applyNumberFormat="1" applyFont="1" applyFill="1" applyBorder="1" applyAlignment="1">
      <alignment horizontal="center" vertical="center"/>
    </xf>
    <xf numFmtId="3" fontId="13" fillId="3" borderId="4" xfId="5" applyNumberFormat="1" applyFont="1" applyFill="1" applyBorder="1" applyAlignment="1">
      <alignment horizontal="center" vertical="center"/>
    </xf>
    <xf numFmtId="3" fontId="13" fillId="3" borderId="5" xfId="5" applyNumberFormat="1" applyFont="1" applyFill="1" applyBorder="1" applyAlignment="1">
      <alignment horizontal="center" vertical="center"/>
    </xf>
    <xf numFmtId="0" fontId="6" fillId="3" borderId="28" xfId="5" applyFont="1" applyFill="1" applyBorder="1" applyAlignment="1">
      <alignment horizontal="center" vertical="center"/>
    </xf>
    <xf numFmtId="0" fontId="6" fillId="3" borderId="4" xfId="5" applyFont="1" applyFill="1" applyBorder="1" applyAlignment="1">
      <alignment horizontal="center" vertical="center"/>
    </xf>
    <xf numFmtId="3" fontId="6" fillId="3" borderId="5" xfId="5" applyNumberFormat="1" applyFont="1" applyFill="1" applyBorder="1" applyAlignment="1">
      <alignment horizontal="center" vertical="center"/>
    </xf>
    <xf numFmtId="3" fontId="6" fillId="3" borderId="28" xfId="5" applyNumberFormat="1" applyFont="1" applyFill="1" applyBorder="1" applyAlignment="1">
      <alignment horizontal="center" vertical="center"/>
    </xf>
    <xf numFmtId="0" fontId="41" fillId="61" borderId="35" xfId="5" applyFont="1" applyFill="1" applyBorder="1" applyAlignment="1">
      <alignment horizontal="center" vertical="center"/>
    </xf>
    <xf numFmtId="0" fontId="41" fillId="61" borderId="35" xfId="5" applyFont="1" applyFill="1" applyBorder="1" applyAlignment="1">
      <alignment horizontal="center" vertical="center" wrapText="1"/>
    </xf>
    <xf numFmtId="0" fontId="41" fillId="61" borderId="53" xfId="5" applyFont="1" applyFill="1" applyBorder="1" applyAlignment="1">
      <alignment horizontal="center" vertical="center"/>
    </xf>
    <xf numFmtId="0" fontId="3" fillId="3" borderId="0" xfId="5" applyFill="1" applyAlignment="1">
      <alignment horizontal="center"/>
    </xf>
    <xf numFmtId="0" fontId="65" fillId="0" borderId="0" xfId="190"/>
    <xf numFmtId="175" fontId="65" fillId="0" borderId="0" xfId="190" applyNumberFormat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0" fontId="8" fillId="0" borderId="0" xfId="58" applyNumberFormat="1" applyFont="1" applyFill="1" applyBorder="1"/>
    <xf numFmtId="3" fontId="69" fillId="0" borderId="0" xfId="0" applyNumberFormat="1" applyFont="1" applyAlignment="1">
      <alignment horizontal="right" vertical="center"/>
    </xf>
    <xf numFmtId="0" fontId="8" fillId="0" borderId="39" xfId="0" applyFont="1" applyBorder="1"/>
    <xf numFmtId="10" fontId="0" fillId="0" borderId="0" xfId="0" applyNumberFormat="1" applyAlignment="1">
      <alignment horizontal="center"/>
    </xf>
    <xf numFmtId="171" fontId="5" fillId="0" borderId="0" xfId="0" applyNumberFormat="1" applyFont="1"/>
    <xf numFmtId="0" fontId="0" fillId="0" borderId="0" xfId="0" applyAlignment="1">
      <alignment vertical="center" wrapText="1"/>
    </xf>
    <xf numFmtId="3" fontId="5" fillId="0" borderId="0" xfId="0" applyNumberFormat="1" applyFont="1"/>
    <xf numFmtId="10" fontId="6" fillId="0" borderId="0" xfId="4" applyNumberFormat="1" applyFont="1" applyFill="1"/>
    <xf numFmtId="10" fontId="11" fillId="0" borderId="0" xfId="8" applyNumberFormat="1" applyFont="1" applyFill="1"/>
    <xf numFmtId="10" fontId="3" fillId="0" borderId="0" xfId="8" applyNumberFormat="1" applyFont="1" applyFill="1"/>
    <xf numFmtId="177" fontId="8" fillId="0" borderId="0" xfId="1" applyNumberFormat="1" applyFont="1"/>
    <xf numFmtId="176" fontId="8" fillId="0" borderId="0" xfId="1" applyNumberFormat="1" applyFont="1"/>
    <xf numFmtId="10" fontId="3" fillId="88" borderId="0" xfId="0" applyNumberFormat="1" applyFont="1" applyFill="1" applyAlignment="1">
      <alignment horizontal="center"/>
    </xf>
    <xf numFmtId="175" fontId="37" fillId="0" borderId="0" xfId="0" applyNumberFormat="1" applyFont="1" applyAlignment="1">
      <alignment horizontal="center"/>
    </xf>
    <xf numFmtId="9" fontId="0" fillId="0" borderId="40" xfId="58" applyFont="1" applyBorder="1"/>
    <xf numFmtId="9" fontId="0" fillId="0" borderId="0" xfId="0" applyNumberFormat="1"/>
    <xf numFmtId="171" fontId="0" fillId="0" borderId="0" xfId="1" applyNumberFormat="1" applyFont="1" applyFill="1"/>
    <xf numFmtId="0" fontId="39" fillId="88" borderId="0" xfId="0" applyFont="1" applyFill="1" applyAlignment="1">
      <alignment horizontal="center"/>
    </xf>
    <xf numFmtId="0" fontId="8" fillId="0" borderId="0" xfId="57" applyNumberFormat="1" applyFont="1" applyBorder="1"/>
    <xf numFmtId="0" fontId="8" fillId="0" borderId="40" xfId="0" applyFont="1" applyBorder="1" applyAlignment="1">
      <alignment horizontal="center"/>
    </xf>
    <xf numFmtId="0" fontId="0" fillId="0" borderId="39" xfId="0" applyBorder="1" applyAlignment="1">
      <alignment wrapText="1"/>
    </xf>
    <xf numFmtId="0" fontId="0" fillId="0" borderId="40" xfId="0" applyBorder="1" applyAlignment="1">
      <alignment wrapText="1"/>
    </xf>
    <xf numFmtId="17" fontId="0" fillId="0" borderId="39" xfId="0" applyNumberFormat="1" applyBorder="1"/>
    <xf numFmtId="17" fontId="0" fillId="0" borderId="40" xfId="0" applyNumberFormat="1" applyBorder="1"/>
    <xf numFmtId="17" fontId="0" fillId="0" borderId="41" xfId="0" applyNumberFormat="1" applyBorder="1"/>
    <xf numFmtId="17" fontId="0" fillId="0" borderId="42" xfId="0" applyNumberFormat="1" applyBorder="1"/>
    <xf numFmtId="171" fontId="0" fillId="0" borderId="39" xfId="1" applyNumberFormat="1" applyFont="1" applyBorder="1"/>
    <xf numFmtId="171" fontId="0" fillId="0" borderId="40" xfId="1" applyNumberFormat="1" applyFont="1" applyBorder="1"/>
    <xf numFmtId="171" fontId="0" fillId="0" borderId="41" xfId="1" applyNumberFormat="1" applyFont="1" applyBorder="1"/>
    <xf numFmtId="171" fontId="0" fillId="0" borderId="25" xfId="1" applyNumberFormat="1" applyFont="1" applyBorder="1"/>
    <xf numFmtId="171" fontId="0" fillId="0" borderId="42" xfId="1" applyNumberFormat="1" applyFont="1" applyBorder="1"/>
    <xf numFmtId="171" fontId="1" fillId="88" borderId="0" xfId="1" applyNumberFormat="1" applyFill="1"/>
    <xf numFmtId="176" fontId="67" fillId="0" borderId="0" xfId="1" applyNumberFormat="1" applyFont="1"/>
    <xf numFmtId="0" fontId="0" fillId="0" borderId="36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8" xfId="0" applyBorder="1" applyAlignment="1">
      <alignment horizontal="center" vertical="center" wrapText="1"/>
    </xf>
    <xf numFmtId="173" fontId="5" fillId="0" borderId="32" xfId="4" applyNumberFormat="1" applyFont="1" applyBorder="1"/>
    <xf numFmtId="205" fontId="0" fillId="0" borderId="0" xfId="0" applyNumberFormat="1"/>
    <xf numFmtId="10" fontId="3" fillId="3" borderId="0" xfId="4" applyNumberFormat="1" applyFont="1" applyFill="1"/>
    <xf numFmtId="0" fontId="0" fillId="0" borderId="28" xfId="0" applyBorder="1"/>
    <xf numFmtId="171" fontId="0" fillId="88" borderId="0" xfId="1" applyNumberFormat="1" applyFont="1" applyFill="1"/>
    <xf numFmtId="0" fontId="5" fillId="0" borderId="0" xfId="0" applyFont="1" applyAlignment="1">
      <alignment vertical="center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0" fillId="0" borderId="38" xfId="0" applyBorder="1" applyAlignment="1">
      <alignment vertical="center" wrapText="1"/>
    </xf>
    <xf numFmtId="173" fontId="0" fillId="88" borderId="0" xfId="4" applyNumberFormat="1" applyFont="1" applyFill="1"/>
    <xf numFmtId="193" fontId="0" fillId="0" borderId="0" xfId="4" applyNumberFormat="1" applyFont="1"/>
    <xf numFmtId="9" fontId="0" fillId="0" borderId="0" xfId="4" applyFont="1"/>
    <xf numFmtId="10" fontId="0" fillId="0" borderId="0" xfId="0" applyNumberFormat="1" applyAlignment="1">
      <alignment horizontal="left"/>
    </xf>
    <xf numFmtId="9" fontId="0" fillId="0" borderId="0" xfId="0" applyNumberFormat="1" applyAlignment="1">
      <alignment horizontal="left"/>
    </xf>
    <xf numFmtId="43" fontId="0" fillId="0" borderId="0" xfId="1" applyFont="1" applyAlignment="1"/>
    <xf numFmtId="43" fontId="0" fillId="0" borderId="0" xfId="1" applyFont="1" applyAlignment="1">
      <alignment horizontal="center"/>
    </xf>
    <xf numFmtId="43" fontId="0" fillId="0" borderId="0" xfId="1" applyFont="1" applyAlignment="1">
      <alignment wrapText="1"/>
    </xf>
    <xf numFmtId="171" fontId="0" fillId="88" borderId="0" xfId="189" applyNumberFormat="1" applyFont="1" applyFill="1" applyBorder="1"/>
    <xf numFmtId="10" fontId="13" fillId="0" borderId="0" xfId="0" applyNumberFormat="1" applyFont="1"/>
    <xf numFmtId="193" fontId="11" fillId="0" borderId="0" xfId="8" applyNumberFormat="1" applyFont="1"/>
    <xf numFmtId="294" fontId="11" fillId="0" borderId="0" xfId="8" applyNumberFormat="1" applyFont="1"/>
    <xf numFmtId="194" fontId="0" fillId="0" borderId="0" xfId="0" applyNumberFormat="1"/>
    <xf numFmtId="177" fontId="11" fillId="0" borderId="0" xfId="1" applyNumberFormat="1" applyFont="1"/>
    <xf numFmtId="295" fontId="11" fillId="0" borderId="0" xfId="5" applyNumberFormat="1" applyFont="1"/>
    <xf numFmtId="296" fontId="0" fillId="0" borderId="0" xfId="0" applyNumberFormat="1"/>
    <xf numFmtId="297" fontId="0" fillId="0" borderId="0" xfId="0" applyNumberFormat="1"/>
    <xf numFmtId="174" fontId="0" fillId="0" borderId="0" xfId="0" applyNumberFormat="1"/>
    <xf numFmtId="298" fontId="0" fillId="0" borderId="0" xfId="0" applyNumberFormat="1"/>
    <xf numFmtId="176" fontId="0" fillId="0" borderId="0" xfId="0" applyNumberFormat="1"/>
    <xf numFmtId="0" fontId="0" fillId="0" borderId="29" xfId="0" applyBorder="1"/>
    <xf numFmtId="0" fontId="0" fillId="0" borderId="2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171" fontId="0" fillId="0" borderId="79" xfId="1" applyNumberFormat="1" applyFont="1" applyBorder="1"/>
    <xf numFmtId="171" fontId="0" fillId="0" borderId="80" xfId="1" applyNumberFormat="1" applyFont="1" applyBorder="1"/>
    <xf numFmtId="171" fontId="0" fillId="0" borderId="81" xfId="1" applyNumberFormat="1" applyFont="1" applyBorder="1"/>
    <xf numFmtId="171" fontId="0" fillId="0" borderId="82" xfId="1" applyNumberFormat="1" applyFont="1" applyBorder="1"/>
    <xf numFmtId="0" fontId="0" fillId="0" borderId="34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83" xfId="0" applyBorder="1" applyAlignment="1">
      <alignment horizontal="center"/>
    </xf>
    <xf numFmtId="9" fontId="0" fillId="0" borderId="10" xfId="0" applyNumberFormat="1" applyBorder="1" applyAlignment="1">
      <alignment horizontal="center"/>
    </xf>
    <xf numFmtId="171" fontId="0" fillId="0" borderId="1" xfId="0" applyNumberFormat="1" applyBorder="1"/>
    <xf numFmtId="0" fontId="0" fillId="0" borderId="10" xfId="0" applyBorder="1" applyAlignment="1">
      <alignment horizontal="center"/>
    </xf>
    <xf numFmtId="0" fontId="0" fillId="0" borderId="1" xfId="0" applyBorder="1"/>
    <xf numFmtId="9" fontId="0" fillId="0" borderId="11" xfId="0" applyNumberFormat="1" applyBorder="1" applyAlignment="1">
      <alignment horizontal="center"/>
    </xf>
    <xf numFmtId="0" fontId="0" fillId="0" borderId="3" xfId="0" applyBorder="1"/>
    <xf numFmtId="0" fontId="0" fillId="0" borderId="27" xfId="0" applyBorder="1" applyAlignment="1">
      <alignment horizontal="center" wrapText="1"/>
    </xf>
    <xf numFmtId="171" fontId="0" fillId="0" borderId="79" xfId="0" applyNumberFormat="1" applyBorder="1"/>
    <xf numFmtId="0" fontId="0" fillId="0" borderId="79" xfId="0" applyBorder="1"/>
    <xf numFmtId="171" fontId="5" fillId="0" borderId="81" xfId="0" applyNumberFormat="1" applyFont="1" applyBorder="1"/>
    <xf numFmtId="171" fontId="5" fillId="0" borderId="3" xfId="0" applyNumberFormat="1" applyFont="1" applyBorder="1"/>
    <xf numFmtId="171" fontId="5" fillId="0" borderId="2" xfId="0" applyNumberFormat="1" applyFont="1" applyBorder="1"/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9" xfId="0" applyBorder="1"/>
    <xf numFmtId="0" fontId="0" fillId="0" borderId="9" xfId="0" applyBorder="1"/>
    <xf numFmtId="0" fontId="0" fillId="0" borderId="10" xfId="0" applyBorder="1"/>
    <xf numFmtId="0" fontId="0" fillId="0" borderId="81" xfId="0" applyBorder="1"/>
    <xf numFmtId="0" fontId="0" fillId="0" borderId="2" xfId="0" applyBorder="1"/>
    <xf numFmtId="0" fontId="0" fillId="0" borderId="84" xfId="0" applyBorder="1" applyAlignment="1">
      <alignment horizontal="center" vertical="center" wrapText="1"/>
    </xf>
    <xf numFmtId="171" fontId="0" fillId="0" borderId="87" xfId="0" applyNumberFormat="1" applyBorder="1"/>
    <xf numFmtId="171" fontId="5" fillId="0" borderId="88" xfId="0" applyNumberFormat="1" applyFont="1" applyBorder="1"/>
    <xf numFmtId="43" fontId="3" fillId="0" borderId="0" xfId="5" applyNumberFormat="1"/>
    <xf numFmtId="179" fontId="3" fillId="0" borderId="0" xfId="5" applyNumberFormat="1"/>
    <xf numFmtId="0" fontId="0" fillId="0" borderId="2" xfId="0" applyBorder="1" applyAlignment="1">
      <alignment horizontal="center"/>
    </xf>
    <xf numFmtId="0" fontId="0" fillId="0" borderId="90" xfId="0" applyBorder="1" applyAlignment="1">
      <alignment horizontal="center" vertical="center" wrapText="1"/>
    </xf>
    <xf numFmtId="9" fontId="0" fillId="0" borderId="87" xfId="4" applyFont="1" applyBorder="1" applyAlignment="1">
      <alignment horizontal="center"/>
    </xf>
    <xf numFmtId="171" fontId="5" fillId="0" borderId="0" xfId="1" applyNumberFormat="1" applyFont="1"/>
    <xf numFmtId="173" fontId="5" fillId="0" borderId="0" xfId="0" applyNumberFormat="1" applyFont="1"/>
    <xf numFmtId="299" fontId="0" fillId="0" borderId="0" xfId="0" applyNumberFormat="1"/>
    <xf numFmtId="0" fontId="0" fillId="0" borderId="0" xfId="0" quotePrefix="1"/>
    <xf numFmtId="205" fontId="68" fillId="0" borderId="0" xfId="0" applyNumberFormat="1" applyFont="1"/>
    <xf numFmtId="205" fontId="5" fillId="0" borderId="0" xfId="0" applyNumberFormat="1" applyFont="1"/>
    <xf numFmtId="0" fontId="0" fillId="3" borderId="0" xfId="0" applyFill="1"/>
    <xf numFmtId="0" fontId="0" fillId="3" borderId="39" xfId="0" applyFill="1" applyBorder="1"/>
    <xf numFmtId="0" fontId="0" fillId="3" borderId="40" xfId="0" applyFill="1" applyBorder="1"/>
    <xf numFmtId="0" fontId="0" fillId="3" borderId="36" xfId="0" applyFill="1" applyBorder="1"/>
    <xf numFmtId="0" fontId="0" fillId="3" borderId="37" xfId="0" applyFill="1" applyBorder="1"/>
    <xf numFmtId="171" fontId="0" fillId="3" borderId="36" xfId="1" applyNumberFormat="1" applyFont="1" applyFill="1" applyBorder="1"/>
    <xf numFmtId="171" fontId="0" fillId="3" borderId="38" xfId="1" applyNumberFormat="1" applyFont="1" applyFill="1" applyBorder="1"/>
    <xf numFmtId="171" fontId="0" fillId="3" borderId="0" xfId="1" applyNumberFormat="1" applyFont="1" applyFill="1" applyBorder="1"/>
    <xf numFmtId="171" fontId="0" fillId="3" borderId="39" xfId="1" applyNumberFormat="1" applyFont="1" applyFill="1" applyBorder="1"/>
    <xf numFmtId="171" fontId="0" fillId="3" borderId="40" xfId="1" applyNumberFormat="1" applyFont="1" applyFill="1" applyBorder="1"/>
    <xf numFmtId="0" fontId="0" fillId="3" borderId="41" xfId="0" applyFill="1" applyBorder="1"/>
    <xf numFmtId="0" fontId="5" fillId="3" borderId="25" xfId="0" applyFont="1" applyFill="1" applyBorder="1"/>
    <xf numFmtId="171" fontId="5" fillId="3" borderId="41" xfId="0" applyNumberFormat="1" applyFont="1" applyFill="1" applyBorder="1"/>
    <xf numFmtId="171" fontId="5" fillId="3" borderId="42" xfId="0" applyNumberFormat="1" applyFont="1" applyFill="1" applyBorder="1"/>
    <xf numFmtId="171" fontId="5" fillId="3" borderId="0" xfId="0" applyNumberFormat="1" applyFont="1" applyFill="1"/>
    <xf numFmtId="171" fontId="0" fillId="3" borderId="0" xfId="0" applyNumberFormat="1" applyFill="1"/>
    <xf numFmtId="0" fontId="5" fillId="3" borderId="39" xfId="0" applyFont="1" applyFill="1" applyBorder="1"/>
    <xf numFmtId="176" fontId="206" fillId="0" borderId="0" xfId="1" applyNumberFormat="1" applyFont="1"/>
    <xf numFmtId="0" fontId="13" fillId="0" borderId="0" xfId="0" applyFont="1" applyAlignment="1">
      <alignment horizontal="center"/>
    </xf>
    <xf numFmtId="191" fontId="6" fillId="0" borderId="0" xfId="0" applyNumberFormat="1" applyFont="1"/>
    <xf numFmtId="174" fontId="6" fillId="0" borderId="0" xfId="0" applyNumberFormat="1" applyFont="1"/>
    <xf numFmtId="174" fontId="13" fillId="0" borderId="0" xfId="0" applyNumberFormat="1" applyFont="1"/>
    <xf numFmtId="300" fontId="0" fillId="0" borderId="0" xfId="1" applyNumberFormat="1" applyFont="1"/>
    <xf numFmtId="0" fontId="6" fillId="88" borderId="0" xfId="0" applyFont="1" applyFill="1"/>
    <xf numFmtId="0" fontId="207" fillId="2" borderId="7" xfId="5" applyFont="1" applyFill="1" applyBorder="1" applyAlignment="1">
      <alignment vertical="center"/>
    </xf>
    <xf numFmtId="3" fontId="38" fillId="3" borderId="0" xfId="5" applyNumberFormat="1" applyFont="1" applyFill="1"/>
    <xf numFmtId="3" fontId="38" fillId="2" borderId="2" xfId="5" applyNumberFormat="1" applyFont="1" applyFill="1" applyBorder="1"/>
    <xf numFmtId="0" fontId="8" fillId="2" borderId="6" xfId="5" applyFont="1" applyFill="1" applyBorder="1" applyAlignment="1">
      <alignment horizontal="center"/>
    </xf>
    <xf numFmtId="0" fontId="3" fillId="0" borderId="0" xfId="5" applyProtection="1">
      <protection locked="0"/>
    </xf>
    <xf numFmtId="0" fontId="76" fillId="0" borderId="0" xfId="5" applyFont="1" applyProtection="1">
      <protection locked="0"/>
    </xf>
    <xf numFmtId="0" fontId="76" fillId="0" borderId="0" xfId="5" applyFont="1" applyAlignment="1" applyProtection="1">
      <alignment vertical="top" wrapText="1"/>
      <protection locked="0"/>
    </xf>
    <xf numFmtId="0" fontId="209" fillId="0" borderId="0" xfId="5" applyFont="1" applyAlignment="1">
      <alignment vertical="top"/>
    </xf>
    <xf numFmtId="0" fontId="206" fillId="0" borderId="0" xfId="5" applyFont="1"/>
    <xf numFmtId="0" fontId="3" fillId="0" borderId="0" xfId="5" applyAlignment="1">
      <alignment horizontal="center" vertical="center" wrapText="1"/>
    </xf>
    <xf numFmtId="0" fontId="5" fillId="0" borderId="28" xfId="5" applyFont="1" applyBorder="1" applyAlignment="1">
      <alignment horizontal="center" vertical="center"/>
    </xf>
    <xf numFmtId="0" fontId="8" fillId="0" borderId="28" xfId="5" applyFont="1" applyBorder="1" applyAlignment="1">
      <alignment horizontal="center" vertical="center" wrapText="1"/>
    </xf>
    <xf numFmtId="0" fontId="3" fillId="0" borderId="28" xfId="5" applyBorder="1"/>
    <xf numFmtId="171" fontId="3" fillId="0" borderId="28" xfId="9" applyNumberFormat="1" applyFont="1" applyBorder="1"/>
    <xf numFmtId="171" fontId="3" fillId="89" borderId="28" xfId="9" applyNumberFormat="1" applyFont="1" applyFill="1" applyBorder="1"/>
    <xf numFmtId="1" fontId="3" fillId="0" borderId="0" xfId="5" applyNumberFormat="1"/>
    <xf numFmtId="0" fontId="3" fillId="90" borderId="28" xfId="5" applyFill="1" applyBorder="1"/>
    <xf numFmtId="9" fontId="0" fillId="0" borderId="28" xfId="58" applyFont="1" applyBorder="1"/>
    <xf numFmtId="0" fontId="210" fillId="0" borderId="0" xfId="5" applyFont="1"/>
    <xf numFmtId="0" fontId="211" fillId="0" borderId="0" xfId="5" applyFont="1"/>
    <xf numFmtId="0" fontId="212" fillId="0" borderId="0" xfId="5" applyFont="1"/>
    <xf numFmtId="9" fontId="3" fillId="0" borderId="0" xfId="58" applyFont="1" applyBorder="1"/>
    <xf numFmtId="0" fontId="3" fillId="0" borderId="0" xfId="5" quotePrefix="1"/>
    <xf numFmtId="171" fontId="8" fillId="0" borderId="0" xfId="5" applyNumberFormat="1" applyFont="1"/>
    <xf numFmtId="171" fontId="3" fillId="0" borderId="28" xfId="1" applyNumberFormat="1" applyFont="1" applyBorder="1"/>
    <xf numFmtId="171" fontId="8" fillId="0" borderId="0" xfId="57" applyNumberFormat="1" applyFont="1"/>
    <xf numFmtId="171" fontId="3" fillId="0" borderId="0" xfId="5" applyNumberFormat="1"/>
    <xf numFmtId="171" fontId="3" fillId="0" borderId="0" xfId="5" applyNumberFormat="1" applyAlignment="1">
      <alignment horizontal="center"/>
    </xf>
    <xf numFmtId="173" fontId="0" fillId="0" borderId="0" xfId="58" applyNumberFormat="1" applyFont="1" applyAlignment="1">
      <alignment horizontal="center"/>
    </xf>
    <xf numFmtId="0" fontId="213" fillId="91" borderId="93" xfId="5" applyFont="1" applyFill="1" applyBorder="1" applyAlignment="1">
      <alignment horizontal="center" vertical="center" wrapText="1"/>
    </xf>
    <xf numFmtId="0" fontId="213" fillId="91" borderId="88" xfId="5" applyFont="1" applyFill="1" applyBorder="1" applyAlignment="1">
      <alignment horizontal="center" vertical="center" wrapText="1"/>
    </xf>
    <xf numFmtId="0" fontId="213" fillId="91" borderId="3" xfId="5" applyFont="1" applyFill="1" applyBorder="1" applyAlignment="1">
      <alignment horizontal="center" vertical="center" wrapText="1"/>
    </xf>
    <xf numFmtId="0" fontId="213" fillId="0" borderId="0" xfId="5" applyFont="1" applyAlignment="1">
      <alignment horizontal="center" vertical="center" wrapText="1"/>
    </xf>
    <xf numFmtId="0" fontId="71" fillId="0" borderId="88" xfId="5" applyFont="1" applyBorder="1" applyAlignment="1">
      <alignment horizontal="justify" vertical="center" wrapText="1"/>
    </xf>
    <xf numFmtId="3" fontId="71" fillId="0" borderId="88" xfId="5" applyNumberFormat="1" applyFont="1" applyBorder="1" applyAlignment="1">
      <alignment horizontal="right" vertical="center" wrapText="1"/>
    </xf>
    <xf numFmtId="3" fontId="71" fillId="0" borderId="3" xfId="5" applyNumberFormat="1" applyFont="1" applyBorder="1" applyAlignment="1">
      <alignment horizontal="right" vertical="center" wrapText="1"/>
    </xf>
    <xf numFmtId="173" fontId="0" fillId="0" borderId="0" xfId="58" applyNumberFormat="1" applyFont="1"/>
    <xf numFmtId="0" fontId="71" fillId="0" borderId="0" xfId="5" applyFont="1" applyAlignment="1">
      <alignment horizontal="justify" vertical="center" wrapText="1"/>
    </xf>
    <xf numFmtId="171" fontId="71" fillId="0" borderId="0" xfId="5" applyNumberFormat="1" applyFont="1" applyAlignment="1">
      <alignment horizontal="right" vertical="center" wrapText="1"/>
    </xf>
    <xf numFmtId="173" fontId="71" fillId="0" borderId="0" xfId="5" applyNumberFormat="1" applyFont="1" applyAlignment="1">
      <alignment horizontal="center" vertical="center" wrapText="1"/>
    </xf>
    <xf numFmtId="0" fontId="7" fillId="0" borderId="88" xfId="5" applyFont="1" applyBorder="1" applyAlignment="1">
      <alignment horizontal="justify" vertical="center" wrapText="1"/>
    </xf>
    <xf numFmtId="3" fontId="7" fillId="0" borderId="88" xfId="5" applyNumberFormat="1" applyFont="1" applyBorder="1" applyAlignment="1">
      <alignment horizontal="right" vertical="center" wrapText="1"/>
    </xf>
    <xf numFmtId="3" fontId="7" fillId="0" borderId="3" xfId="5" applyNumberFormat="1" applyFont="1" applyBorder="1" applyAlignment="1">
      <alignment horizontal="right" vertical="center" wrapText="1"/>
    </xf>
    <xf numFmtId="0" fontId="2" fillId="0" borderId="3" xfId="5" applyFont="1" applyBorder="1" applyAlignment="1">
      <alignment vertical="top" wrapText="1"/>
    </xf>
    <xf numFmtId="0" fontId="7" fillId="0" borderId="0" xfId="5" applyFont="1" applyAlignment="1">
      <alignment horizontal="justify" vertical="center" wrapText="1"/>
    </xf>
    <xf numFmtId="171" fontId="7" fillId="0" borderId="0" xfId="5" applyNumberFormat="1" applyFont="1" applyAlignment="1">
      <alignment horizontal="right" vertical="center" wrapText="1"/>
    </xf>
    <xf numFmtId="173" fontId="7" fillId="0" borderId="0" xfId="5" applyNumberFormat="1" applyFont="1" applyAlignment="1">
      <alignment horizontal="center" vertical="center" wrapText="1"/>
    </xf>
    <xf numFmtId="43" fontId="3" fillId="0" borderId="0" xfId="1" applyFont="1"/>
    <xf numFmtId="176" fontId="3" fillId="0" borderId="0" xfId="1" applyNumberFormat="1" applyFont="1"/>
    <xf numFmtId="176" fontId="3" fillId="0" borderId="0" xfId="5" applyNumberFormat="1"/>
    <xf numFmtId="3" fontId="71" fillId="0" borderId="3" xfId="5" applyNumberFormat="1" applyFont="1" applyBorder="1" applyAlignment="1">
      <alignment horizontal="center" vertical="center" wrapText="1"/>
    </xf>
    <xf numFmtId="173" fontId="3" fillId="0" borderId="0" xfId="4" applyNumberFormat="1" applyFont="1"/>
    <xf numFmtId="10" fontId="3" fillId="0" borderId="0" xfId="5" applyNumberFormat="1"/>
    <xf numFmtId="10" fontId="3" fillId="0" borderId="0" xfId="4" applyNumberFormat="1" applyFont="1"/>
    <xf numFmtId="171" fontId="68" fillId="0" borderId="0" xfId="1" applyNumberFormat="1" applyFont="1"/>
    <xf numFmtId="171" fontId="6" fillId="0" borderId="0" xfId="1" applyNumberFormat="1" applyFont="1"/>
    <xf numFmtId="183" fontId="3" fillId="0" borderId="0" xfId="5" applyNumberFormat="1"/>
    <xf numFmtId="1" fontId="3" fillId="0" borderId="0" xfId="0" applyNumberFormat="1" applyFont="1"/>
    <xf numFmtId="1" fontId="0" fillId="0" borderId="0" xfId="1" applyNumberFormat="1" applyFont="1"/>
    <xf numFmtId="1" fontId="3" fillId="4" borderId="0" xfId="0" applyNumberFormat="1" applyFont="1" applyFill="1"/>
    <xf numFmtId="171" fontId="0" fillId="0" borderId="28" xfId="0" applyNumberFormat="1" applyBorder="1"/>
    <xf numFmtId="171" fontId="5" fillId="0" borderId="28" xfId="0" applyNumberFormat="1" applyFont="1" applyBorder="1"/>
    <xf numFmtId="171" fontId="68" fillId="0" borderId="28" xfId="0" applyNumberFormat="1" applyFont="1" applyBorder="1"/>
    <xf numFmtId="171" fontId="214" fillId="0" borderId="28" xfId="0" applyNumberFormat="1" applyFont="1" applyBorder="1"/>
    <xf numFmtId="10" fontId="0" fillId="0" borderId="28" xfId="0" applyNumberFormat="1" applyBorder="1"/>
    <xf numFmtId="10" fontId="68" fillId="0" borderId="28" xfId="0" applyNumberFormat="1" applyFont="1" applyBorder="1"/>
    <xf numFmtId="173" fontId="0" fillId="0" borderId="28" xfId="0" applyNumberFormat="1" applyBorder="1"/>
    <xf numFmtId="173" fontId="68" fillId="0" borderId="28" xfId="0" applyNumberFormat="1" applyFont="1" applyBorder="1"/>
    <xf numFmtId="170" fontId="0" fillId="0" borderId="0" xfId="0" applyNumberFormat="1"/>
    <xf numFmtId="0" fontId="5" fillId="0" borderId="37" xfId="0" applyFont="1" applyBorder="1" applyAlignment="1">
      <alignment vertical="center"/>
    </xf>
    <xf numFmtId="171" fontId="0" fillId="0" borderId="37" xfId="1" applyNumberFormat="1" applyFont="1" applyBorder="1"/>
    <xf numFmtId="171" fontId="0" fillId="60" borderId="37" xfId="0" applyNumberFormat="1" applyFill="1" applyBorder="1"/>
    <xf numFmtId="171" fontId="0" fillId="60" borderId="38" xfId="0" applyNumberFormat="1" applyFill="1" applyBorder="1"/>
    <xf numFmtId="0" fontId="5" fillId="0" borderId="25" xfId="0" applyFont="1" applyBorder="1" applyAlignment="1">
      <alignment vertical="center"/>
    </xf>
    <xf numFmtId="43" fontId="0" fillId="0" borderId="37" xfId="0" applyNumberFormat="1" applyBorder="1"/>
    <xf numFmtId="176" fontId="0" fillId="0" borderId="40" xfId="0" applyNumberFormat="1" applyBorder="1"/>
    <xf numFmtId="17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71" fontId="0" fillId="0" borderId="0" xfId="1" applyNumberFormat="1" applyFont="1" applyFill="1" applyBorder="1"/>
    <xf numFmtId="171" fontId="0" fillId="0" borderId="40" xfId="1" applyNumberFormat="1" applyFont="1" applyFill="1" applyBorder="1"/>
    <xf numFmtId="193" fontId="0" fillId="0" borderId="0" xfId="4" applyNumberFormat="1" applyFont="1" applyAlignment="1">
      <alignment horizontal="center"/>
    </xf>
    <xf numFmtId="176" fontId="0" fillId="0" borderId="37" xfId="0" applyNumberFormat="1" applyBorder="1"/>
    <xf numFmtId="173" fontId="0" fillId="0" borderId="37" xfId="4" applyNumberFormat="1" applyFont="1" applyBorder="1"/>
    <xf numFmtId="173" fontId="0" fillId="0" borderId="38" xfId="4" applyNumberFormat="1" applyFont="1" applyBorder="1"/>
    <xf numFmtId="173" fontId="0" fillId="0" borderId="0" xfId="4" applyNumberFormat="1" applyFont="1" applyBorder="1"/>
    <xf numFmtId="173" fontId="0" fillId="0" borderId="40" xfId="4" applyNumberFormat="1" applyFont="1" applyBorder="1"/>
    <xf numFmtId="171" fontId="0" fillId="0" borderId="42" xfId="0" applyNumberFormat="1" applyBorder="1"/>
    <xf numFmtId="0" fontId="0" fillId="0" borderId="4" xfId="0" applyBorder="1"/>
    <xf numFmtId="170" fontId="0" fillId="0" borderId="38" xfId="0" applyNumberFormat="1" applyBorder="1"/>
    <xf numFmtId="171" fontId="0" fillId="0" borderId="39" xfId="0" applyNumberFormat="1" applyBorder="1"/>
    <xf numFmtId="171" fontId="0" fillId="0" borderId="41" xfId="0" applyNumberFormat="1" applyBorder="1"/>
    <xf numFmtId="173" fontId="0" fillId="0" borderId="36" xfId="4" applyNumberFormat="1" applyFont="1" applyBorder="1"/>
    <xf numFmtId="173" fontId="0" fillId="0" borderId="39" xfId="4" applyNumberFormat="1" applyFont="1" applyBorder="1"/>
    <xf numFmtId="173" fontId="0" fillId="0" borderId="41" xfId="4" applyNumberFormat="1" applyFont="1" applyBorder="1"/>
    <xf numFmtId="173" fontId="0" fillId="0" borderId="25" xfId="4" applyNumberFormat="1" applyFont="1" applyBorder="1"/>
    <xf numFmtId="173" fontId="0" fillId="0" borderId="42" xfId="4" applyNumberFormat="1" applyFont="1" applyBorder="1"/>
    <xf numFmtId="43" fontId="0" fillId="0" borderId="28" xfId="0" applyNumberFormat="1" applyBorder="1"/>
    <xf numFmtId="0" fontId="5" fillId="0" borderId="41" xfId="0" applyFont="1" applyBorder="1"/>
    <xf numFmtId="0" fontId="68" fillId="0" borderId="28" xfId="0" applyFont="1" applyBorder="1"/>
    <xf numFmtId="9" fontId="0" fillId="0" borderId="0" xfId="4" applyFont="1" applyAlignment="1">
      <alignment horizontal="center"/>
    </xf>
    <xf numFmtId="172" fontId="0" fillId="0" borderId="0" xfId="0" applyNumberFormat="1"/>
    <xf numFmtId="172" fontId="5" fillId="0" borderId="0" xfId="0" applyNumberFormat="1" applyFont="1"/>
    <xf numFmtId="172" fontId="0" fillId="0" borderId="0" xfId="1" applyNumberFormat="1" applyFont="1"/>
    <xf numFmtId="176" fontId="5" fillId="0" borderId="0" xfId="1" applyNumberFormat="1" applyFont="1"/>
    <xf numFmtId="301" fontId="0" fillId="0" borderId="0" xfId="0" applyNumberFormat="1"/>
    <xf numFmtId="171" fontId="3" fillId="3" borderId="0" xfId="1" applyNumberFormat="1" applyFont="1" applyFill="1"/>
    <xf numFmtId="170" fontId="3" fillId="3" borderId="0" xfId="5" applyNumberFormat="1" applyFill="1"/>
    <xf numFmtId="171" fontId="3" fillId="3" borderId="0" xfId="5" applyNumberFormat="1" applyFill="1"/>
    <xf numFmtId="172" fontId="3" fillId="3" borderId="0" xfId="5" applyNumberFormat="1" applyFill="1"/>
    <xf numFmtId="194" fontId="3" fillId="3" borderId="0" xfId="5" applyNumberFormat="1" applyFill="1"/>
    <xf numFmtId="302" fontId="3" fillId="3" borderId="0" xfId="5" applyNumberFormat="1" applyFill="1"/>
    <xf numFmtId="179" fontId="3" fillId="3" borderId="0" xfId="1" applyNumberFormat="1" applyFont="1" applyFill="1"/>
    <xf numFmtId="2" fontId="3" fillId="3" borderId="0" xfId="5" applyNumberFormat="1" applyFill="1"/>
    <xf numFmtId="2" fontId="0" fillId="88" borderId="0" xfId="0" applyNumberFormat="1" applyFill="1"/>
    <xf numFmtId="0" fontId="0" fillId="88" borderId="0" xfId="0" applyFill="1"/>
    <xf numFmtId="0" fontId="0" fillId="0" borderId="0" xfId="0" applyAlignment="1">
      <alignment horizontal="center" wrapText="1"/>
    </xf>
    <xf numFmtId="43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43" fontId="10" fillId="0" borderId="0" xfId="1" applyFont="1" applyAlignment="1">
      <alignment horizontal="center"/>
    </xf>
    <xf numFmtId="0" fontId="66" fillId="0" borderId="0" xfId="0" applyFont="1" applyAlignment="1">
      <alignment horizontal="center"/>
    </xf>
    <xf numFmtId="0" fontId="4" fillId="0" borderId="0" xfId="6" applyAlignment="1">
      <alignment horizontal="center"/>
    </xf>
    <xf numFmtId="0" fontId="0" fillId="0" borderId="0" xfId="6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71" fontId="5" fillId="0" borderId="39" xfId="0" applyNumberFormat="1" applyFont="1" applyBorder="1" applyAlignment="1">
      <alignment horizontal="center"/>
    </xf>
    <xf numFmtId="171" fontId="5" fillId="0" borderId="0" xfId="0" applyNumberFormat="1" applyFont="1" applyAlignment="1">
      <alignment horizontal="center"/>
    </xf>
    <xf numFmtId="0" fontId="0" fillId="0" borderId="3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0" fontId="0" fillId="0" borderId="0" xfId="4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171" fontId="0" fillId="0" borderId="6" xfId="1" applyNumberFormat="1" applyFont="1" applyBorder="1" applyAlignment="1">
      <alignment horizontal="center"/>
    </xf>
    <xf numFmtId="171" fontId="0" fillId="0" borderId="7" xfId="1" applyNumberFormat="1" applyFont="1" applyBorder="1" applyAlignment="1">
      <alignment horizontal="center"/>
    </xf>
    <xf numFmtId="171" fontId="0" fillId="0" borderId="8" xfId="1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3" borderId="36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3" fillId="3" borderId="0" xfId="5" applyFill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8" fillId="0" borderId="0" xfId="5" applyFont="1" applyAlignment="1">
      <alignment horizontal="center"/>
    </xf>
    <xf numFmtId="0" fontId="60" fillId="0" borderId="24" xfId="0" applyFont="1" applyBorder="1" applyAlignment="1">
      <alignment horizontal="center"/>
    </xf>
    <xf numFmtId="0" fontId="60" fillId="0" borderId="25" xfId="0" applyFont="1" applyBorder="1" applyAlignment="1">
      <alignment horizontal="center"/>
    </xf>
    <xf numFmtId="0" fontId="60" fillId="0" borderId="26" xfId="0" applyFont="1" applyBorder="1" applyAlignment="1">
      <alignment horizontal="center"/>
    </xf>
    <xf numFmtId="0" fontId="63" fillId="0" borderId="21" xfId="0" applyFont="1" applyBorder="1" applyAlignment="1">
      <alignment horizontal="center"/>
    </xf>
    <xf numFmtId="0" fontId="63" fillId="0" borderId="22" xfId="0" applyFont="1" applyBorder="1" applyAlignment="1">
      <alignment horizontal="center"/>
    </xf>
    <xf numFmtId="0" fontId="63" fillId="0" borderId="2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8" fontId="5" fillId="0" borderId="4" xfId="0" applyNumberFormat="1" applyFont="1" applyBorder="1" applyAlignment="1">
      <alignment horizontal="center" wrapText="1"/>
    </xf>
    <xf numFmtId="178" fontId="5" fillId="0" borderId="34" xfId="0" applyNumberFormat="1" applyFont="1" applyBorder="1" applyAlignment="1">
      <alignment horizontal="center" wrapText="1"/>
    </xf>
    <xf numFmtId="0" fontId="63" fillId="0" borderId="27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178" fontId="60" fillId="0" borderId="4" xfId="0" applyNumberFormat="1" applyFont="1" applyBorder="1" applyAlignment="1">
      <alignment horizontal="center" vertical="center" wrapText="1"/>
    </xf>
    <xf numFmtId="178" fontId="60" fillId="0" borderId="29" xfId="0" applyNumberFormat="1" applyFont="1" applyBorder="1" applyAlignment="1">
      <alignment horizontal="center" vertical="center" wrapText="1"/>
    </xf>
    <xf numFmtId="178" fontId="60" fillId="0" borderId="5" xfId="0" applyNumberFormat="1" applyFont="1" applyBorder="1" applyAlignment="1">
      <alignment horizontal="center" vertical="center" wrapText="1"/>
    </xf>
    <xf numFmtId="0" fontId="76" fillId="0" borderId="0" xfId="5" applyFont="1" applyAlignment="1" applyProtection="1">
      <alignment horizontal="center"/>
      <protection locked="0"/>
    </xf>
    <xf numFmtId="0" fontId="76" fillId="0" borderId="0" xfId="5" applyFont="1" applyAlignment="1" applyProtection="1">
      <alignment horizontal="center" vertical="top" wrapText="1"/>
      <protection locked="0"/>
    </xf>
    <xf numFmtId="0" fontId="208" fillId="0" borderId="0" xfId="5" applyFont="1" applyAlignment="1">
      <alignment horizontal="left" vertical="top"/>
    </xf>
    <xf numFmtId="0" fontId="213" fillId="91" borderId="91" xfId="5" applyFont="1" applyFill="1" applyBorder="1" applyAlignment="1">
      <alignment horizontal="center" vertical="center" wrapText="1"/>
    </xf>
    <xf numFmtId="0" fontId="213" fillId="91" borderId="52" xfId="5" applyFont="1" applyFill="1" applyBorder="1" applyAlignment="1">
      <alignment horizontal="center" vertical="center" wrapText="1"/>
    </xf>
    <xf numFmtId="0" fontId="213" fillId="91" borderId="95" xfId="5" applyFont="1" applyFill="1" applyBorder="1" applyAlignment="1">
      <alignment horizontal="center" vertical="center" wrapText="1"/>
    </xf>
    <xf numFmtId="0" fontId="213" fillId="91" borderId="92" xfId="5" applyFont="1" applyFill="1" applyBorder="1" applyAlignment="1">
      <alignment horizontal="center" vertical="center" wrapText="1"/>
    </xf>
    <xf numFmtId="0" fontId="213" fillId="91" borderId="23" xfId="5" applyFont="1" applyFill="1" applyBorder="1" applyAlignment="1">
      <alignment horizontal="center" vertical="center" wrapText="1"/>
    </xf>
    <xf numFmtId="0" fontId="213" fillId="91" borderId="94" xfId="5" applyFont="1" applyFill="1" applyBorder="1" applyAlignment="1">
      <alignment horizontal="center" vertical="center" wrapText="1"/>
    </xf>
    <xf numFmtId="0" fontId="41" fillId="61" borderId="28" xfId="5" applyFont="1" applyFill="1" applyBorder="1" applyAlignment="1">
      <alignment horizontal="center" vertical="center"/>
    </xf>
    <xf numFmtId="0" fontId="41" fillId="61" borderId="4" xfId="5" applyFont="1" applyFill="1" applyBorder="1" applyAlignment="1">
      <alignment horizontal="center"/>
    </xf>
    <xf numFmtId="0" fontId="41" fillId="61" borderId="29" xfId="5" applyFont="1" applyFill="1" applyBorder="1" applyAlignment="1">
      <alignment horizontal="center"/>
    </xf>
    <xf numFmtId="0" fontId="41" fillId="61" borderId="5" xfId="5" applyFont="1" applyFill="1" applyBorder="1" applyAlignment="1">
      <alignment horizontal="center"/>
    </xf>
    <xf numFmtId="0" fontId="41" fillId="61" borderId="39" xfId="5" applyFont="1" applyFill="1" applyBorder="1" applyAlignment="1">
      <alignment horizontal="center"/>
    </xf>
    <xf numFmtId="0" fontId="41" fillId="61" borderId="0" xfId="5" applyFont="1" applyFill="1" applyAlignment="1">
      <alignment horizontal="center"/>
    </xf>
    <xf numFmtId="0" fontId="4" fillId="0" borderId="0" xfId="6" applyAlignment="1"/>
  </cellXfs>
  <cellStyles count="4696">
    <cellStyle name="-" xfId="213" xr:uid="{3A0C3FE7-53FE-43E7-86A4-495BFDE39961}"/>
    <cellStyle name="$" xfId="151" xr:uid="{C961D0FD-78F0-4BC8-B516-87608705853F}"/>
    <cellStyle name="$ &amp; ¢" xfId="215" xr:uid="{386122E9-2540-4419-9827-5434EA8B29C1}"/>
    <cellStyle name="$ 2" xfId="214" xr:uid="{5E78AAE6-216C-41E9-8B5E-A1663F2DAC87}"/>
    <cellStyle name="$.00" xfId="152" xr:uid="{B4356F54-9E8E-4FB5-9638-F2E9340CDC73}"/>
    <cellStyle name="$_9. Rev2Cost_GDPIPI" xfId="153" xr:uid="{461D6FE0-A985-4157-93F3-C1F34EE16CED}"/>
    <cellStyle name="$_lists" xfId="154" xr:uid="{5512FBEC-5FCC-41B9-ACE9-AD2C2984F981}"/>
    <cellStyle name="$_lists_4. Current Monthly Fixed Charge" xfId="155" xr:uid="{18BB6EF2-05A0-4233-B9DA-C6BF57DD504F}"/>
    <cellStyle name="$_Sheet4" xfId="156" xr:uid="{9ACD9F5A-C680-4665-86E7-1DF718A774F1}"/>
    <cellStyle name="$M" xfId="157" xr:uid="{BAA38C09-3769-40E3-BBDD-82F708D48962}"/>
    <cellStyle name="$M.00" xfId="158" xr:uid="{41883C47-A83F-4DB6-81B5-BF5B03B64F80}"/>
    <cellStyle name="$M_9. Rev2Cost_GDPIPI" xfId="159" xr:uid="{DCAAC779-B4A8-4B80-9C6B-83127F00B66B}"/>
    <cellStyle name="%" xfId="216" xr:uid="{711CDDDC-9774-4C4E-9677-373B05C14C25}"/>
    <cellStyle name="%.00" xfId="217" xr:uid="{E2A16800-4EEB-4475-B71D-81DE65800473}"/>
    <cellStyle name="(Heading)" xfId="218" xr:uid="{546A6EA7-323C-4385-A84C-1BF3D711041F}"/>
    <cellStyle name="(Heading) 2" xfId="219" xr:uid="{C036D49B-A0F0-4D5D-A8C9-57C35532E799}"/>
    <cellStyle name="(Heading) 3" xfId="220" xr:uid="{F6B0CE17-81C8-4E6F-A6CF-CB7460B3D88F}"/>
    <cellStyle name="(Lefting)" xfId="221" xr:uid="{576A0630-1ED9-461B-BF41-42271D31B74C}"/>
    <cellStyle name="(Lefting) 2" xfId="222" xr:uid="{2AB34B60-E98E-4F1E-AA47-D4CFC0E7B453}"/>
    <cellStyle name="(Lefting) 3" xfId="223" xr:uid="{5923DF2D-0B80-4266-B097-7861FE7D5FA8}"/>
    <cellStyle name="(z*¯_x000f_°(”,¯?À(¢,¯?Ð(°,¯?à(Â,¯?ð(Ô,¯?" xfId="224" xr:uid="{040A5C1C-C7CE-4BE4-9398-2326E231E492}"/>
    <cellStyle name="******************************************" xfId="225" xr:uid="{05790C20-4E03-4CF3-AF22-F64B96880EF5}"/>
    <cellStyle name="_CNMD_Valuation Model_20081212_v2" xfId="226" xr:uid="{C6F3C882-851C-4210-909E-816722597C09}"/>
    <cellStyle name="_Comma" xfId="227" xr:uid="{9A9BFEFD-2ECD-434C-A11B-76B316E611D3}"/>
    <cellStyle name="_Comps 4" xfId="228" xr:uid="{9D74A1D7-4B7C-4873-BFF1-B25E34358B0B}"/>
    <cellStyle name="_Cont Analysis" xfId="229" xr:uid="{AF9630E5-6B6F-474C-BC0A-2325025F99C4}"/>
    <cellStyle name="_Currency" xfId="230" xr:uid="{224A8688-2B20-4DAB-BD2E-61C9D42F1266}"/>
    <cellStyle name="_Currency_Analysis" xfId="231" xr:uid="{066FBF2E-C0F7-4E07-A6B3-DD3891FE4481}"/>
    <cellStyle name="_Currency_Smartportfolio model" xfId="232" xr:uid="{EDA2E100-2B37-428A-9BDF-5FFF0D4A902B}"/>
    <cellStyle name="_Currency_Smartportfolio model_DB-merged files" xfId="233" xr:uid="{05DB1E79-460C-4A35-9CC8-4EC018938DEA}"/>
    <cellStyle name="_CurrencySpace" xfId="234" xr:uid="{717AE28B-AFE2-4CEB-9EE3-8AEE3F28EC73}"/>
    <cellStyle name="_Gamma Valuation - 8" xfId="235" xr:uid="{04822E4C-1A8D-4492-873E-497EEC3D0229}"/>
    <cellStyle name="_ITRN" xfId="236" xr:uid="{DEB42A03-EB96-46B5-A552-E9E0EFEB6C3D}"/>
    <cellStyle name="-_Merger Model 17 Nov 04" xfId="237" xr:uid="{9ED3A4E0-9E77-43DD-BBD5-C873B567423A}"/>
    <cellStyle name="_Merger Model_KN&amp;Fzio_v2.30 - Street" xfId="238" xr:uid="{CAB948B7-594C-46A4-9959-6386ED6EE718}"/>
    <cellStyle name="_Multiple" xfId="239" xr:uid="{70D79FB8-B390-4996-A995-26BD42F81B9D}"/>
    <cellStyle name="_Multiple_Analysis" xfId="240" xr:uid="{A3909790-83AC-45EC-824D-10DDC33D8821}"/>
    <cellStyle name="_Multiple_Analysis_DB-merged files" xfId="241" xr:uid="{6A84A361-63B1-46D1-9322-871C040DA69F}"/>
    <cellStyle name="_Multiple_Smartportfolio model" xfId="242" xr:uid="{FABFA3EA-A130-465C-9088-2EE6FDC55CF1}"/>
    <cellStyle name="_Multiple_Smartportfolio model_DB-merged files" xfId="243" xr:uid="{AB73DCA0-E0B4-40AA-91BB-C2A373EC62B8}"/>
    <cellStyle name="_MultipleSpace" xfId="244" xr:uid="{20961EB0-BE8A-446E-9F66-961CAA38B2B7}"/>
    <cellStyle name="_MultipleSpace_Analysis" xfId="245" xr:uid="{37A6F82C-DEF1-47C8-AAE5-99FF38D439DB}"/>
    <cellStyle name="_MultipleSpace_csc" xfId="246" xr:uid="{6613EE22-D116-416C-BBBC-23CB022DDAE1}"/>
    <cellStyle name="_MultipleSpace_Smartportfolio model" xfId="247" xr:uid="{61047EB2-C551-461B-9C30-1C211F38A596}"/>
    <cellStyle name="_MultipleSpace_Smartportfolio model_DB-merged files" xfId="248" xr:uid="{6C4C9940-E836-4C3E-BDCB-C436C7901612}"/>
    <cellStyle name="_Percent" xfId="249" xr:uid="{63D66174-8526-4DF0-B040-008A11FB6D8D}"/>
    <cellStyle name="_Percent_Analysis" xfId="250" xr:uid="{B220E264-058D-4AEB-9DBB-4DF017803D41}"/>
    <cellStyle name="_Percent_Smartportfolio model" xfId="251" xr:uid="{F5542E5D-04E2-4CCC-B51C-63DEA3B8CC97}"/>
    <cellStyle name="_Percent_Smartportfolio model_DB-merged files" xfId="252" xr:uid="{209668CA-6CB0-4916-9106-FF1CC7A9B531}"/>
    <cellStyle name="_PercentSpace" xfId="253" xr:uid="{3F108F87-C39D-4563-9CA0-32B9579D1D71}"/>
    <cellStyle name="_PercentSpace_Analysis" xfId="254" xr:uid="{64F51C80-A725-45C4-BC53-C5EB77E175F4}"/>
    <cellStyle name="_PercentSpace_Smartportfolio model" xfId="255" xr:uid="{0A57CB46-B952-40BE-B47F-A71631AFDD3D}"/>
    <cellStyle name="_Sepracor Riders_Clean" xfId="256" xr:uid="{99BD44FF-251A-4F0D-9245-1D10F877DCEE}"/>
    <cellStyle name="_SIAL_Model_5.22.09 v71" xfId="257" xr:uid="{1E112495-1726-4888-9ECB-89E93E6B7BE9}"/>
    <cellStyle name="£ BP" xfId="258" xr:uid="{D1B2B36C-F92C-473A-96F5-5927700232DF}"/>
    <cellStyle name="¥ JY" xfId="259" xr:uid="{8548D13B-BA84-40F1-8121-602B8DB835DA}"/>
    <cellStyle name="&lt;9#_x000f_¾Èƒé1ƒÃ_x0002_;M_x0014_}$‹E_x0010_‹_x0004_ˆ…Àt_x001b_Pÿ_x0015_ x¦" xfId="260" xr:uid="{757D0EF1-F708-4853-B7B5-BB1C8CEC849A}"/>
    <cellStyle name="=C:\WINNT35\SYSTEM32\COMMAND.COM" xfId="261" xr:uid="{687B8FD6-8BA0-4EFE-8BE8-1B5222E86970}"/>
    <cellStyle name="0752-93035" xfId="262" xr:uid="{33E6DE16-5DE1-40B7-98A5-A4CC4CB0110E}"/>
    <cellStyle name="1,comma" xfId="263" xr:uid="{7EB49A35-647E-48BD-B240-7D07310510C4}"/>
    <cellStyle name="10Q" xfId="264" xr:uid="{0AA8E630-5562-422C-BBA2-C19EA655C943}"/>
    <cellStyle name="20% - Accent1" xfId="29" builtinId="30" customBuiltin="1"/>
    <cellStyle name="20% - Accent1 2" xfId="120" xr:uid="{28CB2A67-77A4-40BB-911C-B8854C54409F}"/>
    <cellStyle name="20% - Accent1 2 10" xfId="266" xr:uid="{6BDEC45B-3BA5-48EC-A05F-CE8D43F86595}"/>
    <cellStyle name="20% - Accent1 2 11" xfId="265" xr:uid="{0867D2F8-733E-4568-9E56-720D0381F8E0}"/>
    <cellStyle name="20% - Accent1 2 2" xfId="267" xr:uid="{706C9DD2-1ACB-4951-8BDB-2906B991F89B}"/>
    <cellStyle name="20% - Accent1 2 2 2" xfId="268" xr:uid="{BC0014A8-5F4E-4D8B-AADA-D3A9974B5151}"/>
    <cellStyle name="20% - Accent1 2 2 3" xfId="269" xr:uid="{5AB6C645-FF1E-42CB-94C3-6E6C8A817901}"/>
    <cellStyle name="20% - Accent1 2 3" xfId="270" xr:uid="{D6B23BB7-FC69-4B8E-BF90-1E1776C9EB34}"/>
    <cellStyle name="20% - Accent1 2 3 2" xfId="271" xr:uid="{9AFEC002-7ADA-4B76-8F7A-56CE53D066E5}"/>
    <cellStyle name="20% - Accent1 2 4" xfId="272" xr:uid="{C9249A5B-A1EA-4000-B338-C5F4FCD6B831}"/>
    <cellStyle name="20% - Accent1 2 5" xfId="273" xr:uid="{B1E23DC4-27FD-4836-B3E3-E98A98EFD83E}"/>
    <cellStyle name="20% - Accent1 2 6" xfId="274" xr:uid="{0EEF0134-F9B0-4396-8932-B72AB0392B6B}"/>
    <cellStyle name="20% - Accent1 2 7" xfId="275" xr:uid="{0F38AC56-D36E-4C45-BCAB-6A4C592DBF80}"/>
    <cellStyle name="20% - Accent1 2 8" xfId="276" xr:uid="{B6219816-5314-4163-9FA4-9C9FD39C56F3}"/>
    <cellStyle name="20% - Accent1 2 9" xfId="277" xr:uid="{EC5DEFCA-5D78-4E7B-87C2-9569EDB0F393}"/>
    <cellStyle name="20% - Accent1 3" xfId="59" xr:uid="{91F562C9-3602-44E5-A7C6-1549A7CB149C}"/>
    <cellStyle name="20% - Accent1 3 2" xfId="279" xr:uid="{41AE1AA4-FF42-4158-B8C5-BFE2272F45CC}"/>
    <cellStyle name="20% - Accent1 3 2 2" xfId="280" xr:uid="{4E72618E-F4FF-4DF5-A498-31392ABF0D37}"/>
    <cellStyle name="20% - Accent1 3 2 2 2" xfId="281" xr:uid="{13AFEC83-62BE-4BD7-8F98-AD29D90D490D}"/>
    <cellStyle name="20% - Accent1 3 2 2 2 2" xfId="282" xr:uid="{8715F0C1-0549-428D-B492-3EFE24444C8F}"/>
    <cellStyle name="20% - Accent1 3 2 2 3" xfId="283" xr:uid="{1FA14822-8816-4B43-B59F-3F2A696E40EB}"/>
    <cellStyle name="20% - Accent1 3 2 3" xfId="284" xr:uid="{A72FF4F0-9AD8-4709-8093-E9BEE006EEFA}"/>
    <cellStyle name="20% - Accent1 3 2 3 2" xfId="285" xr:uid="{755D41A3-3161-4E1C-B120-3663BF725C12}"/>
    <cellStyle name="20% - Accent1 3 2 4" xfId="286" xr:uid="{05917AC8-E5D0-412E-B545-D71B9DA87666}"/>
    <cellStyle name="20% - Accent1 3 3" xfId="287" xr:uid="{3AC3515A-0421-4FE6-98CE-123EF6FB6289}"/>
    <cellStyle name="20% - Accent1 3 3 2" xfId="288" xr:uid="{47171CE2-4FEC-4CD7-B612-FFCCF382D753}"/>
    <cellStyle name="20% - Accent1 3 3 2 2" xfId="289" xr:uid="{D8D392DD-2D0E-4823-9A9F-BA3225E06393}"/>
    <cellStyle name="20% - Accent1 3 3 2 2 2" xfId="290" xr:uid="{28B46803-FAC6-426E-A352-85C98AAA9D02}"/>
    <cellStyle name="20% - Accent1 3 3 2 3" xfId="291" xr:uid="{4E140CA2-76D1-4460-BA76-8AD12AFB38E5}"/>
    <cellStyle name="20% - Accent1 3 3 3" xfId="292" xr:uid="{DE653FB8-8AC4-40B8-B649-B6BDA47CF407}"/>
    <cellStyle name="20% - Accent1 3 3 3 2" xfId="293" xr:uid="{90832A75-3CFC-469B-AD32-8A16ADC2023D}"/>
    <cellStyle name="20% - Accent1 3 3 4" xfId="294" xr:uid="{C799096A-FE88-4400-B61F-EB62F453EF4F}"/>
    <cellStyle name="20% - Accent1 3 4" xfId="295" xr:uid="{966259DE-0E35-4162-A469-1E85122960BF}"/>
    <cellStyle name="20% - Accent1 3 4 2" xfId="296" xr:uid="{AEDDAD78-5FED-4096-BC24-8AAA7537D713}"/>
    <cellStyle name="20% - Accent1 3 4 2 2" xfId="297" xr:uid="{C1DC7D5F-0155-464B-ACE2-C384238A5FC4}"/>
    <cellStyle name="20% - Accent1 3 4 3" xfId="298" xr:uid="{75E8A6B1-863D-4C64-87AE-B38789CB3C93}"/>
    <cellStyle name="20% - Accent1 3 5" xfId="299" xr:uid="{0550644D-BEEF-4C98-A8A1-F1587370AE31}"/>
    <cellStyle name="20% - Accent1 3 5 2" xfId="300" xr:uid="{AE1BF8A5-A57B-4AD6-AA85-73FEE10CCDF2}"/>
    <cellStyle name="20% - Accent1 3 6" xfId="301" xr:uid="{58526460-615B-4770-AC4A-CE7A6BC13805}"/>
    <cellStyle name="20% - Accent1 3 7" xfId="278" xr:uid="{B8FB7DCB-E98A-4C63-B1CC-2E9048799552}"/>
    <cellStyle name="20% - Accent1 4" xfId="302" xr:uid="{53A68E8C-A58F-49B6-85E0-467755C1F85D}"/>
    <cellStyle name="20% - Accent1 5" xfId="303" xr:uid="{DDB29978-A1DB-4198-B6A2-F27DEFB28CC2}"/>
    <cellStyle name="20% - Accent1 6" xfId="304" xr:uid="{08D5FB24-76A5-4897-9FBF-713EE865837A}"/>
    <cellStyle name="20% - Accent1 7" xfId="305" xr:uid="{5DC69DA8-0EBE-4336-9974-75776896301A}"/>
    <cellStyle name="20% - Accent1 8" xfId="306" xr:uid="{5DE4E7A4-B405-4056-9648-1D745E95EAC7}"/>
    <cellStyle name="20% - Accent2" xfId="33" builtinId="34" customBuiltin="1"/>
    <cellStyle name="20% - Accent2 2" xfId="124" xr:uid="{E5AF574F-F9AD-431B-B8E2-8F800B75662D}"/>
    <cellStyle name="20% - Accent2 2 10" xfId="308" xr:uid="{6A8113EE-EA26-41CA-8113-9DABF4C50A6A}"/>
    <cellStyle name="20% - Accent2 2 11" xfId="307" xr:uid="{A74B2819-0679-4939-AF0F-05820D389966}"/>
    <cellStyle name="20% - Accent2 2 2" xfId="309" xr:uid="{8E1FD1F9-9924-494E-8B43-C3C1F9CBDD92}"/>
    <cellStyle name="20% - Accent2 2 2 2" xfId="310" xr:uid="{8716309D-E4E0-41ED-B25F-1D3BE9D3A03A}"/>
    <cellStyle name="20% - Accent2 2 2 3" xfId="311" xr:uid="{0EFDA051-7A41-441E-BC9A-9FBFE9B48D44}"/>
    <cellStyle name="20% - Accent2 2 3" xfId="312" xr:uid="{CCE0E600-7559-4FC9-86D6-3373D18137FC}"/>
    <cellStyle name="20% - Accent2 2 3 2" xfId="313" xr:uid="{68524054-D09D-4376-A8D8-BAACFFE57363}"/>
    <cellStyle name="20% - Accent2 2 4" xfId="314" xr:uid="{F6168FEF-CD58-4197-ABCD-05E6AC68A5F4}"/>
    <cellStyle name="20% - Accent2 2 5" xfId="315" xr:uid="{E3CF4A01-14F1-46B7-9EC8-AD7E8C864808}"/>
    <cellStyle name="20% - Accent2 2 6" xfId="316" xr:uid="{06D38F8D-E558-4087-8876-5299E7D9219C}"/>
    <cellStyle name="20% - Accent2 2 7" xfId="317" xr:uid="{F6729C2D-193A-47AE-BA12-10D0BF501CB6}"/>
    <cellStyle name="20% - Accent2 2 8" xfId="318" xr:uid="{27900788-E2D8-4883-847A-12350C574648}"/>
    <cellStyle name="20% - Accent2 2 9" xfId="319" xr:uid="{79360898-247D-4E65-AE08-5837FD3CB192}"/>
    <cellStyle name="20% - Accent2 3" xfId="60" xr:uid="{439D4497-9F7F-4728-933A-7D31AA8D18C9}"/>
    <cellStyle name="20% - Accent2 3 2" xfId="321" xr:uid="{FB77DCBB-4110-4ABA-B551-5B23457C96A0}"/>
    <cellStyle name="20% - Accent2 3 2 2" xfId="322" xr:uid="{738498DE-F57F-4786-9E50-97D2C7F08AE3}"/>
    <cellStyle name="20% - Accent2 3 2 2 2" xfId="323" xr:uid="{83162B65-0C19-4AAA-9F20-FE30AED5780E}"/>
    <cellStyle name="20% - Accent2 3 2 2 2 2" xfId="324" xr:uid="{ABF3EF4B-27B8-4B08-8F96-30BC2025EA2C}"/>
    <cellStyle name="20% - Accent2 3 2 2 3" xfId="325" xr:uid="{5A417FDF-123A-40B4-95FE-E0260C2ED08C}"/>
    <cellStyle name="20% - Accent2 3 2 3" xfId="326" xr:uid="{42B637CA-4695-46B6-A52D-A6DE73CF0B02}"/>
    <cellStyle name="20% - Accent2 3 2 3 2" xfId="327" xr:uid="{58B73A95-9945-4C5F-9403-375229B925F3}"/>
    <cellStyle name="20% - Accent2 3 2 4" xfId="328" xr:uid="{5D2F84D0-BC66-49B0-AEEB-C1CEE3E45B66}"/>
    <cellStyle name="20% - Accent2 3 3" xfId="329" xr:uid="{6047528D-4FD0-40D7-BB1A-ECCF267D7B66}"/>
    <cellStyle name="20% - Accent2 3 3 2" xfId="330" xr:uid="{44BDF810-5B65-424A-9C2C-C992F0FD8DB9}"/>
    <cellStyle name="20% - Accent2 3 3 2 2" xfId="331" xr:uid="{0963A02A-0E4D-46A3-9C3F-A2F78D7DA5CA}"/>
    <cellStyle name="20% - Accent2 3 3 2 2 2" xfId="332" xr:uid="{9DDFD726-0B49-4EB3-90EB-D419C8320B52}"/>
    <cellStyle name="20% - Accent2 3 3 2 3" xfId="333" xr:uid="{AF509DD3-3541-4878-9775-E2FB89906AFE}"/>
    <cellStyle name="20% - Accent2 3 3 3" xfId="334" xr:uid="{74AE7A94-F0C8-4D22-836E-2BD1D547FB49}"/>
    <cellStyle name="20% - Accent2 3 3 3 2" xfId="335" xr:uid="{2FA7459C-64D7-464B-855A-E8F2D137C8EF}"/>
    <cellStyle name="20% - Accent2 3 3 4" xfId="336" xr:uid="{7EFAAB8D-9A95-4D8E-A5E7-184849A48B23}"/>
    <cellStyle name="20% - Accent2 3 4" xfId="337" xr:uid="{1754F04F-3FA4-466C-A771-B97FA523B525}"/>
    <cellStyle name="20% - Accent2 3 4 2" xfId="338" xr:uid="{75AC463B-C035-4BA3-9704-9D29E715A754}"/>
    <cellStyle name="20% - Accent2 3 4 2 2" xfId="339" xr:uid="{81899D06-95E6-4162-A8FC-A12C1F356EA7}"/>
    <cellStyle name="20% - Accent2 3 4 3" xfId="340" xr:uid="{28D6DAF9-60BE-411D-A6CB-4FE1F42501D9}"/>
    <cellStyle name="20% - Accent2 3 5" xfId="341" xr:uid="{DE8E3559-C185-42DD-B844-DEA9F7432E82}"/>
    <cellStyle name="20% - Accent2 3 5 2" xfId="342" xr:uid="{BA70E147-D91E-4F27-A229-9F4E069A67B1}"/>
    <cellStyle name="20% - Accent2 3 6" xfId="343" xr:uid="{9A858CDA-81BA-4B56-8F41-119BE33B667D}"/>
    <cellStyle name="20% - Accent2 3 7" xfId="320" xr:uid="{B9AC4668-9805-4E37-9FC5-A8DF3ADB9774}"/>
    <cellStyle name="20% - Accent2 4" xfId="344" xr:uid="{AF8B9120-D4E4-47C4-8F33-9755DE788785}"/>
    <cellStyle name="20% - Accent2 5" xfId="345" xr:uid="{4B09FAE6-6EA0-4ABA-8F61-BD09D49F5060}"/>
    <cellStyle name="20% - Accent2 6" xfId="346" xr:uid="{65880FF6-65F6-414F-86D5-22361815F417}"/>
    <cellStyle name="20% - Accent2 7" xfId="347" xr:uid="{76A66BA9-6FB6-4F89-B42B-3537D352DA1C}"/>
    <cellStyle name="20% - Accent2 8" xfId="348" xr:uid="{8EACD1F8-679E-4016-BA00-117FB53DAC69}"/>
    <cellStyle name="20% - Accent3" xfId="37" builtinId="38" customBuiltin="1"/>
    <cellStyle name="20% - Accent3 2" xfId="128" xr:uid="{E061BF86-0682-4B78-A5D4-D09E3943296B}"/>
    <cellStyle name="20% - Accent3 2 10" xfId="350" xr:uid="{3ED50142-B324-4506-B1FA-75D9BD315511}"/>
    <cellStyle name="20% - Accent3 2 11" xfId="349" xr:uid="{3C0E2E2D-47B1-4E79-BEB3-1C53FEC8651F}"/>
    <cellStyle name="20% - Accent3 2 2" xfId="351" xr:uid="{6B7518BF-626C-46D0-B9D9-0B0A12F617A1}"/>
    <cellStyle name="20% - Accent3 2 2 2" xfId="352" xr:uid="{607F1606-36B5-4C94-B3C4-76A673E22C0E}"/>
    <cellStyle name="20% - Accent3 2 2 3" xfId="353" xr:uid="{9D0A38FD-845A-42EC-8110-923BA56CFE30}"/>
    <cellStyle name="20% - Accent3 2 3" xfId="354" xr:uid="{FC091B73-F658-40AB-BDFE-A438BBD148B0}"/>
    <cellStyle name="20% - Accent3 2 3 2" xfId="355" xr:uid="{FFE0314A-43C6-449E-A7B4-BFB7D83B4ECF}"/>
    <cellStyle name="20% - Accent3 2 4" xfId="356" xr:uid="{9905FF56-847A-4025-9D45-E21E44FC3930}"/>
    <cellStyle name="20% - Accent3 2 5" xfId="357" xr:uid="{6EE74D30-AEED-4E50-B73C-6DC358F2C85D}"/>
    <cellStyle name="20% - Accent3 2 6" xfId="358" xr:uid="{2FD40FF0-99B4-4750-9B34-49FA8144FFE4}"/>
    <cellStyle name="20% - Accent3 2 7" xfId="359" xr:uid="{19CA28F1-D69C-4E0B-A276-C0C81ECF5987}"/>
    <cellStyle name="20% - Accent3 2 8" xfId="360" xr:uid="{99BECBD2-8E1C-467C-9F05-AFFE2E33E9FC}"/>
    <cellStyle name="20% - Accent3 2 9" xfId="361" xr:uid="{D0D75F45-6EB8-4D45-9DFE-C802EB743000}"/>
    <cellStyle name="20% - Accent3 3" xfId="61" xr:uid="{9CE86813-8B7A-41E2-BA24-FA77676620E3}"/>
    <cellStyle name="20% - Accent3 3 2" xfId="363" xr:uid="{B125B691-9153-4216-B0F3-EFED90B79754}"/>
    <cellStyle name="20% - Accent3 3 2 2" xfId="364" xr:uid="{1FB0AF7B-D6A2-49F3-8E15-2C58C7B789DF}"/>
    <cellStyle name="20% - Accent3 3 2 2 2" xfId="365" xr:uid="{7DF94383-790D-4573-A68C-2BD56F4EB5C4}"/>
    <cellStyle name="20% - Accent3 3 2 2 2 2" xfId="366" xr:uid="{AD65266B-B63C-4267-9088-BE94A135FF79}"/>
    <cellStyle name="20% - Accent3 3 2 2 3" xfId="367" xr:uid="{BEB5A3D6-4C17-4673-B48D-23EC43CC13CC}"/>
    <cellStyle name="20% - Accent3 3 2 3" xfId="368" xr:uid="{C615BCA5-9B9C-4ED0-B1F5-7320BA6BBAEC}"/>
    <cellStyle name="20% - Accent3 3 2 3 2" xfId="369" xr:uid="{FEDB1463-51B0-486D-8312-FEAF138189D4}"/>
    <cellStyle name="20% - Accent3 3 2 4" xfId="370" xr:uid="{B1F0AEF8-A84B-43C3-BE10-D4D5B626B702}"/>
    <cellStyle name="20% - Accent3 3 3" xfId="371" xr:uid="{98731003-8BDD-4DD4-B6CB-6F4999931C68}"/>
    <cellStyle name="20% - Accent3 3 3 2" xfId="372" xr:uid="{325C455D-0C6A-465C-9FD9-E398AED4E374}"/>
    <cellStyle name="20% - Accent3 3 3 2 2" xfId="373" xr:uid="{DF299295-1182-4060-891C-DBC73B1EB51A}"/>
    <cellStyle name="20% - Accent3 3 3 2 2 2" xfId="374" xr:uid="{EA23FA38-7345-4BEA-ADCC-DA2BDD668CA4}"/>
    <cellStyle name="20% - Accent3 3 3 2 3" xfId="375" xr:uid="{A544B6BE-4B83-41EE-BF5D-0018093BB0CD}"/>
    <cellStyle name="20% - Accent3 3 3 3" xfId="376" xr:uid="{C9D1D126-834B-41ED-919C-E733317FEE25}"/>
    <cellStyle name="20% - Accent3 3 3 3 2" xfId="377" xr:uid="{0F47468D-6F56-4ABC-9B5C-118AE2D51C9C}"/>
    <cellStyle name="20% - Accent3 3 3 4" xfId="378" xr:uid="{D7204947-4A59-4C39-891D-3169FCE4A81E}"/>
    <cellStyle name="20% - Accent3 3 4" xfId="379" xr:uid="{938A1FCA-D4C5-45BA-B77F-342D3C0D5490}"/>
    <cellStyle name="20% - Accent3 3 4 2" xfId="380" xr:uid="{9B870453-428C-4CF6-A047-824D8C9435DF}"/>
    <cellStyle name="20% - Accent3 3 4 2 2" xfId="381" xr:uid="{19DB1B7B-5A3B-4926-BD1C-6C8A5B911E8E}"/>
    <cellStyle name="20% - Accent3 3 4 3" xfId="382" xr:uid="{452A8BAD-EAE5-4A89-B80F-B12A7FAF3A3F}"/>
    <cellStyle name="20% - Accent3 3 5" xfId="383" xr:uid="{1146B774-0AC2-4051-AB52-12C32D8DBB4F}"/>
    <cellStyle name="20% - Accent3 3 5 2" xfId="384" xr:uid="{53157917-F8C9-4B35-9304-7C2F5E5A638B}"/>
    <cellStyle name="20% - Accent3 3 6" xfId="385" xr:uid="{94E1CE83-5D32-4A1F-B86B-AC852B2A186F}"/>
    <cellStyle name="20% - Accent3 3 7" xfId="362" xr:uid="{0714C80C-FEA0-4AC9-B7F0-381BBA71BD64}"/>
    <cellStyle name="20% - Accent3 4" xfId="386" xr:uid="{080C44CF-8BF5-4D40-97FB-FC686FAB0FBA}"/>
    <cellStyle name="20% - Accent3 5" xfId="387" xr:uid="{7E94D392-CD95-430B-8981-EF2A363E01E9}"/>
    <cellStyle name="20% - Accent3 6" xfId="388" xr:uid="{47BE9A68-83BA-4A41-AC55-FF5BBECE6FBA}"/>
    <cellStyle name="20% - Accent3 7" xfId="389" xr:uid="{78D386E3-6143-42C5-A538-5B363467965B}"/>
    <cellStyle name="20% - Accent3 8" xfId="390" xr:uid="{C86AAB27-15E8-445D-8144-592FFAB862F4}"/>
    <cellStyle name="20% - Accent4" xfId="41" builtinId="42" customBuiltin="1"/>
    <cellStyle name="20% - Accent4 2" xfId="132" xr:uid="{CF34AD12-625B-43CF-B3EF-6D4B3D0DE27A}"/>
    <cellStyle name="20% - Accent4 2 10" xfId="392" xr:uid="{8B317D92-B000-4099-9EA1-7113EDB8DB32}"/>
    <cellStyle name="20% - Accent4 2 11" xfId="391" xr:uid="{96E2E7EF-8F35-4C58-A8B2-FDF04E54BE67}"/>
    <cellStyle name="20% - Accent4 2 2" xfId="393" xr:uid="{DE548388-9465-4199-9ADE-19D6F9CB6CF9}"/>
    <cellStyle name="20% - Accent4 2 2 2" xfId="394" xr:uid="{A828058D-1FEB-405B-B4DA-20C9A3ADBB94}"/>
    <cellStyle name="20% - Accent4 2 2 3" xfId="395" xr:uid="{2AC65A39-AD15-4282-8CD0-1E60657D8DB3}"/>
    <cellStyle name="20% - Accent4 2 3" xfId="396" xr:uid="{5868D547-EB50-4D17-8B7D-43ACE14E1A43}"/>
    <cellStyle name="20% - Accent4 2 3 2" xfId="397" xr:uid="{8F775255-4215-4190-84AB-75057672A479}"/>
    <cellStyle name="20% - Accent4 2 4" xfId="398" xr:uid="{31FBB5DF-2E85-4F70-899B-6BCFDC0B4919}"/>
    <cellStyle name="20% - Accent4 2 5" xfId="399" xr:uid="{6B810BD3-81DA-4103-98D6-2BED7364B863}"/>
    <cellStyle name="20% - Accent4 2 6" xfId="400" xr:uid="{82075DF9-D0E4-417B-8E74-0A10978C0F4E}"/>
    <cellStyle name="20% - Accent4 2 7" xfId="401" xr:uid="{2F40E16E-A2DD-4792-AAD1-A4364C92BCBD}"/>
    <cellStyle name="20% - Accent4 2 8" xfId="402" xr:uid="{B1F7F9B8-6D4A-40AD-B901-53CBBC87BC75}"/>
    <cellStyle name="20% - Accent4 2 9" xfId="403" xr:uid="{9CAF7AAB-3C45-40C1-9A4B-7A4CF3C7BEF8}"/>
    <cellStyle name="20% - Accent4 3" xfId="62" xr:uid="{B0F50056-F510-4200-AFCD-5464BF0E08A0}"/>
    <cellStyle name="20% - Accent4 3 2" xfId="405" xr:uid="{0BD04A29-3425-4C35-9FBD-24232B55169B}"/>
    <cellStyle name="20% - Accent4 3 2 2" xfId="406" xr:uid="{DF439C44-C25C-41B9-9731-AE384AFBE84C}"/>
    <cellStyle name="20% - Accent4 3 2 2 2" xfId="407" xr:uid="{CCD170B4-AB53-4336-85EF-EB0D46C74F39}"/>
    <cellStyle name="20% - Accent4 3 2 2 2 2" xfId="408" xr:uid="{D03D7321-C0AB-48A4-82E8-4E7FACD3660F}"/>
    <cellStyle name="20% - Accent4 3 2 2 3" xfId="409" xr:uid="{891902AA-1D17-4D04-B8D1-A4BEDF3EDA8C}"/>
    <cellStyle name="20% - Accent4 3 2 3" xfId="410" xr:uid="{CE17BE39-02B5-4547-939A-A4BB4DA3F130}"/>
    <cellStyle name="20% - Accent4 3 2 3 2" xfId="411" xr:uid="{962DC8E4-852E-4879-97E5-38964F78BB3F}"/>
    <cellStyle name="20% - Accent4 3 2 4" xfId="412" xr:uid="{EF0210B1-271C-4FE1-9DB1-FEA5AC0B6015}"/>
    <cellStyle name="20% - Accent4 3 3" xfId="413" xr:uid="{B07FAB39-781C-4232-936F-D9C4081AF404}"/>
    <cellStyle name="20% - Accent4 3 3 2" xfId="414" xr:uid="{55EC396F-BDD9-4B86-90C7-44F72AF36FB1}"/>
    <cellStyle name="20% - Accent4 3 3 2 2" xfId="415" xr:uid="{A2DEAC16-2576-46E4-ADAB-1CFCFBAA96DF}"/>
    <cellStyle name="20% - Accent4 3 3 2 2 2" xfId="416" xr:uid="{C52B5DF5-5E61-4509-A093-126520F66F39}"/>
    <cellStyle name="20% - Accent4 3 3 2 3" xfId="417" xr:uid="{B512BC94-66B5-429D-B60B-3BE51EC83C8C}"/>
    <cellStyle name="20% - Accent4 3 3 3" xfId="418" xr:uid="{43B248E1-F882-4819-A831-71883A9FBA04}"/>
    <cellStyle name="20% - Accent4 3 3 3 2" xfId="419" xr:uid="{31DFE81D-2025-4139-BD90-94E9C2840F69}"/>
    <cellStyle name="20% - Accent4 3 3 4" xfId="420" xr:uid="{EC9CD0B7-D012-4E3A-B223-18C75DCC6E2C}"/>
    <cellStyle name="20% - Accent4 3 4" xfId="421" xr:uid="{6E9C351E-C6AB-44A7-9C52-68CFCBDE0C93}"/>
    <cellStyle name="20% - Accent4 3 4 2" xfId="422" xr:uid="{86159D4A-6E90-46A8-9460-DD83E3460116}"/>
    <cellStyle name="20% - Accent4 3 4 2 2" xfId="423" xr:uid="{33EA2FED-141B-4ED1-A449-1069A577FC14}"/>
    <cellStyle name="20% - Accent4 3 4 3" xfId="424" xr:uid="{60002C14-17E7-4EAE-B84C-6CE9A33A3573}"/>
    <cellStyle name="20% - Accent4 3 5" xfId="425" xr:uid="{D05B8434-F21A-44D2-898D-93036F7ADC2F}"/>
    <cellStyle name="20% - Accent4 3 5 2" xfId="426" xr:uid="{145D4753-280F-4D30-AAD8-22410B7813DE}"/>
    <cellStyle name="20% - Accent4 3 6" xfId="427" xr:uid="{B9E94D3B-E17E-4E7C-A9AB-95AD5D113C4C}"/>
    <cellStyle name="20% - Accent4 3 7" xfId="404" xr:uid="{8AA8B855-873C-4453-A7FA-DD538292CC09}"/>
    <cellStyle name="20% - Accent4 4" xfId="428" xr:uid="{5B94C1B1-6703-4E50-B915-F71F65ECD33D}"/>
    <cellStyle name="20% - Accent4 5" xfId="429" xr:uid="{2A1A3ACF-1666-45C2-89E9-14F529B43265}"/>
    <cellStyle name="20% - Accent4 6" xfId="430" xr:uid="{C322BE0B-C77F-4372-93D2-7719AF0BD72C}"/>
    <cellStyle name="20% - Accent4 7" xfId="431" xr:uid="{F16C22A8-FA70-4F7D-B7A4-9BBE11C3DB14}"/>
    <cellStyle name="20% - Accent4 8" xfId="432" xr:uid="{907B08C7-DD42-4037-AC27-45D760378BE3}"/>
    <cellStyle name="20% - Accent5" xfId="45" builtinId="46" customBuiltin="1"/>
    <cellStyle name="20% - Accent5 2" xfId="136" xr:uid="{5DAA7630-D16B-4F7D-A2E7-30D8B20B83B4}"/>
    <cellStyle name="20% - Accent5 2 10" xfId="434" xr:uid="{6D067F7A-68C3-42C7-A2A8-9637436FF180}"/>
    <cellStyle name="20% - Accent5 2 11" xfId="433" xr:uid="{7BF62CAE-C785-4BE7-9D76-A63F9D77CF2C}"/>
    <cellStyle name="20% - Accent5 2 2" xfId="435" xr:uid="{F976A1B5-7FC9-47C5-9D94-5342747D5B63}"/>
    <cellStyle name="20% - Accent5 2 2 2" xfId="436" xr:uid="{049216DE-5831-45C9-A884-79E30B147F6B}"/>
    <cellStyle name="20% - Accent5 2 2 3" xfId="437" xr:uid="{337AF3DE-7AAB-4534-9F9A-7C89FCB0680D}"/>
    <cellStyle name="20% - Accent5 2 3" xfId="438" xr:uid="{D756D58F-E463-40DD-B24C-D918B7C5B32D}"/>
    <cellStyle name="20% - Accent5 2 3 2" xfId="439" xr:uid="{0376E264-5055-4510-A814-F63FFD77DEBF}"/>
    <cellStyle name="20% - Accent5 2 4" xfId="440" xr:uid="{1A43112C-C27D-4DAD-BC7D-43E468BF2428}"/>
    <cellStyle name="20% - Accent5 2 5" xfId="441" xr:uid="{6C24B845-86A9-420F-B363-58B16BF5C740}"/>
    <cellStyle name="20% - Accent5 2 6" xfId="442" xr:uid="{5CAAF52C-69ED-4BF0-AECF-5755EB7220C6}"/>
    <cellStyle name="20% - Accent5 2 7" xfId="443" xr:uid="{40C6B462-BE2B-4796-8CE8-0DD7F0B37772}"/>
    <cellStyle name="20% - Accent5 2 8" xfId="444" xr:uid="{52F1C0DB-D57C-4604-92F5-F4C198DE79EB}"/>
    <cellStyle name="20% - Accent5 2 9" xfId="445" xr:uid="{D09D1D2C-63CE-4B00-A981-F84A779ED2D3}"/>
    <cellStyle name="20% - Accent5 3" xfId="63" xr:uid="{ECBBF290-6E41-4E2F-B29E-E9BC1404EED1}"/>
    <cellStyle name="20% - Accent5 3 2" xfId="447" xr:uid="{07094BAC-A4E7-4CD7-889E-D7FB8F29086E}"/>
    <cellStyle name="20% - Accent5 3 2 2" xfId="448" xr:uid="{FEB5B10C-6E36-433C-BE9C-85F39C8322E1}"/>
    <cellStyle name="20% - Accent5 3 2 2 2" xfId="449" xr:uid="{101B987A-AC14-4E57-8A6F-E93BBD422FBC}"/>
    <cellStyle name="20% - Accent5 3 2 2 2 2" xfId="450" xr:uid="{2D36D589-6EC2-4394-98D2-F2CD97A409A4}"/>
    <cellStyle name="20% - Accent5 3 2 2 3" xfId="451" xr:uid="{513CD500-872B-4689-B413-2F01C4D8A602}"/>
    <cellStyle name="20% - Accent5 3 2 3" xfId="452" xr:uid="{AD4FAEEF-9998-4843-8D14-A87B400198E0}"/>
    <cellStyle name="20% - Accent5 3 2 3 2" xfId="453" xr:uid="{91C4C909-A43F-4F20-9C13-8DA67FCEAAA7}"/>
    <cellStyle name="20% - Accent5 3 2 4" xfId="454" xr:uid="{285FE5B3-C090-4D02-8956-1291C21A1DFE}"/>
    <cellStyle name="20% - Accent5 3 3" xfId="455" xr:uid="{4125E7AF-DF20-484E-AA47-35BF5AAE4FCF}"/>
    <cellStyle name="20% - Accent5 3 3 2" xfId="456" xr:uid="{F96D92F8-B65B-40CB-9595-E166D07F7E73}"/>
    <cellStyle name="20% - Accent5 3 3 2 2" xfId="457" xr:uid="{AA6C1A75-42BC-4F3A-BCA7-23404AEDC659}"/>
    <cellStyle name="20% - Accent5 3 3 2 2 2" xfId="458" xr:uid="{81007FA7-3FCD-45FD-B8F4-28E8376221F5}"/>
    <cellStyle name="20% - Accent5 3 3 2 3" xfId="459" xr:uid="{B6667548-6B03-48E1-91D3-09E722FBE5EF}"/>
    <cellStyle name="20% - Accent5 3 3 3" xfId="460" xr:uid="{0B2BACC2-BE15-43B1-80B5-48BB881C3961}"/>
    <cellStyle name="20% - Accent5 3 3 3 2" xfId="461" xr:uid="{35FDC895-5891-4682-9407-BD1BE1E69621}"/>
    <cellStyle name="20% - Accent5 3 3 4" xfId="462" xr:uid="{5E5D7F17-CD9F-47DE-A232-DA121F50867D}"/>
    <cellStyle name="20% - Accent5 3 4" xfId="463" xr:uid="{843D23EA-29B2-4BCF-A8A6-65324F065A4F}"/>
    <cellStyle name="20% - Accent5 3 4 2" xfId="464" xr:uid="{300BA9FF-BF00-4C3C-AF14-87FA707D5C3F}"/>
    <cellStyle name="20% - Accent5 3 4 2 2" xfId="465" xr:uid="{944D0B68-444B-42EF-AE9C-3700E70390BB}"/>
    <cellStyle name="20% - Accent5 3 4 3" xfId="466" xr:uid="{A7891EDA-B5E4-42D2-9F0A-CFDC99EBA7CD}"/>
    <cellStyle name="20% - Accent5 3 5" xfId="467" xr:uid="{CCEF0B01-0713-47BF-A1FA-3273114D49B6}"/>
    <cellStyle name="20% - Accent5 3 5 2" xfId="468" xr:uid="{09FC75FF-C075-44EE-933C-785880B44389}"/>
    <cellStyle name="20% - Accent5 3 6" xfId="469" xr:uid="{DDD8A44E-7D92-4BA6-A89D-C66365D06D74}"/>
    <cellStyle name="20% - Accent5 3 7" xfId="446" xr:uid="{756C4245-1862-450F-8E8E-FF4AA401D05F}"/>
    <cellStyle name="20% - Accent5 4" xfId="470" xr:uid="{95BCFC2F-82ED-4FCD-B6AC-D35438D514C3}"/>
    <cellStyle name="20% - Accent5 5" xfId="471" xr:uid="{913F9B15-2CE3-4E2D-B3DC-4505F63D8C78}"/>
    <cellStyle name="20% - Accent5 6" xfId="472" xr:uid="{2F3B0E62-5A8E-42CA-B190-57C91AC4CF5B}"/>
    <cellStyle name="20% - Accent5 7" xfId="473" xr:uid="{06D65BCE-EF67-4CE2-8071-A0F5FB2FC810}"/>
    <cellStyle name="20% - Accent5 8" xfId="474" xr:uid="{99BD054C-42AF-44C2-B24F-9510A09A04BB}"/>
    <cellStyle name="20% - Accent6" xfId="49" builtinId="50" customBuiltin="1"/>
    <cellStyle name="20% - Accent6 2" xfId="140" xr:uid="{8A580F5F-9B63-42F5-9E19-4DC0D1FE3437}"/>
    <cellStyle name="20% - Accent6 2 10" xfId="476" xr:uid="{E97F8A91-BBEE-4268-8DE9-B9FA6D6CF658}"/>
    <cellStyle name="20% - Accent6 2 11" xfId="475" xr:uid="{456EDE1F-08A6-4039-99B8-EC827998AC15}"/>
    <cellStyle name="20% - Accent6 2 2" xfId="477" xr:uid="{95C66EBD-E9D2-47FF-B060-D9909591F054}"/>
    <cellStyle name="20% - Accent6 2 2 2" xfId="478" xr:uid="{56974FBC-E02D-4115-86C3-C931E5941706}"/>
    <cellStyle name="20% - Accent6 2 2 3" xfId="479" xr:uid="{4E04A971-1807-44DE-B9F8-D5E9CFC5FF4A}"/>
    <cellStyle name="20% - Accent6 2 3" xfId="480" xr:uid="{3C1C4492-9D50-4A98-9856-4D2F23C9DDB7}"/>
    <cellStyle name="20% - Accent6 2 3 2" xfId="481" xr:uid="{577E8C63-B01B-4260-AED3-DD3F777D88ED}"/>
    <cellStyle name="20% - Accent6 2 4" xfId="482" xr:uid="{53125D29-E514-4F6C-AC47-9565BC046194}"/>
    <cellStyle name="20% - Accent6 2 5" xfId="483" xr:uid="{F7A9054A-90C0-45EE-B07D-43C2F3171FB7}"/>
    <cellStyle name="20% - Accent6 2 6" xfId="484" xr:uid="{3B49FC80-05CB-418E-AE51-0C81122C7494}"/>
    <cellStyle name="20% - Accent6 2 7" xfId="485" xr:uid="{56CE9252-A510-4A15-A574-D939C206C30D}"/>
    <cellStyle name="20% - Accent6 2 8" xfId="486" xr:uid="{CF853B05-D5AA-4545-9CF2-DD2A278CDA66}"/>
    <cellStyle name="20% - Accent6 2 9" xfId="487" xr:uid="{9F26AD3F-16F3-4A8F-8890-F63C278FF3E7}"/>
    <cellStyle name="20% - Accent6 3" xfId="64" xr:uid="{6734050A-0D67-44CA-A3C7-D67B4F5BF73A}"/>
    <cellStyle name="20% - Accent6 3 2" xfId="489" xr:uid="{576B61CE-3783-4896-AB17-4F4E3B35D1F5}"/>
    <cellStyle name="20% - Accent6 3 2 2" xfId="490" xr:uid="{FBD64A39-6290-43C4-A9E6-C892920528EE}"/>
    <cellStyle name="20% - Accent6 3 2 2 2" xfId="491" xr:uid="{59E8DBFD-3864-498C-832F-D1B8D220E4ED}"/>
    <cellStyle name="20% - Accent6 3 2 2 2 2" xfId="492" xr:uid="{E506772B-51AB-419B-AC9D-1C6D6957ECAB}"/>
    <cellStyle name="20% - Accent6 3 2 2 3" xfId="493" xr:uid="{34EF6013-6DBA-459E-838C-6ED31BA54C04}"/>
    <cellStyle name="20% - Accent6 3 2 3" xfId="494" xr:uid="{027E047B-D245-4ADF-8566-24CF5E63ABBD}"/>
    <cellStyle name="20% - Accent6 3 2 3 2" xfId="495" xr:uid="{1C8A1B6F-390F-4A62-914E-E06B7CA98500}"/>
    <cellStyle name="20% - Accent6 3 2 4" xfId="496" xr:uid="{EB8D8E76-1598-4F8D-A2FA-9ECA44144258}"/>
    <cellStyle name="20% - Accent6 3 3" xfId="497" xr:uid="{A6FA0141-FA40-424F-8E17-64BEF94D6199}"/>
    <cellStyle name="20% - Accent6 3 3 2" xfId="498" xr:uid="{0E16E430-79A5-4D01-9122-0CAD90F26AE0}"/>
    <cellStyle name="20% - Accent6 3 3 2 2" xfId="499" xr:uid="{31E36DB4-9303-4E5D-8BA2-A7C4E6B88DFA}"/>
    <cellStyle name="20% - Accent6 3 3 2 2 2" xfId="500" xr:uid="{514DA77C-5013-4DEB-80C7-4005422CEB38}"/>
    <cellStyle name="20% - Accent6 3 3 2 3" xfId="501" xr:uid="{9D43D29A-2037-498C-9B3C-8E06D9F48D96}"/>
    <cellStyle name="20% - Accent6 3 3 3" xfId="502" xr:uid="{C5B205FD-CD00-4014-964F-D7DAC76D1AF3}"/>
    <cellStyle name="20% - Accent6 3 3 3 2" xfId="503" xr:uid="{7454A7A3-597B-4870-95E3-13CA84DC3AC3}"/>
    <cellStyle name="20% - Accent6 3 3 4" xfId="504" xr:uid="{140FBE02-E9D1-4BFB-AD1D-D3783B5FE68D}"/>
    <cellStyle name="20% - Accent6 3 4" xfId="505" xr:uid="{6E06A9B7-D2AB-4901-ACCC-D207BA1C7DE9}"/>
    <cellStyle name="20% - Accent6 3 4 2" xfId="506" xr:uid="{3BCA499D-FF3F-4323-AC97-107DA2CFF831}"/>
    <cellStyle name="20% - Accent6 3 4 2 2" xfId="507" xr:uid="{B455F753-757E-44A3-84FA-6AFA22385D6C}"/>
    <cellStyle name="20% - Accent6 3 4 3" xfId="508" xr:uid="{6D85E702-F41D-46C4-A351-91356CD9977B}"/>
    <cellStyle name="20% - Accent6 3 5" xfId="509" xr:uid="{CF394355-F28A-4701-BD7B-494F01292B14}"/>
    <cellStyle name="20% - Accent6 3 5 2" xfId="510" xr:uid="{FE2AA71F-FB49-4511-A1F6-7D2E3B28021A}"/>
    <cellStyle name="20% - Accent6 3 6" xfId="511" xr:uid="{08005D72-3DE8-4582-9B14-D7093992DA85}"/>
    <cellStyle name="20% - Accent6 3 7" xfId="488" xr:uid="{2B2BE478-E94C-4ECB-8AE8-F62421994DB3}"/>
    <cellStyle name="20% - Accent6 4" xfId="512" xr:uid="{06FA9644-FB0F-4423-A350-184AEC620231}"/>
    <cellStyle name="20% - Accent6 5" xfId="513" xr:uid="{3DFA7B43-AF21-414C-8344-C8B2893A34CB}"/>
    <cellStyle name="20% - Accent6 6" xfId="514" xr:uid="{948DFBF2-58A7-41B1-ACCC-DB7D5DBCA009}"/>
    <cellStyle name="20% - Accent6 7" xfId="515" xr:uid="{ACBD7DD7-0CBC-4DBC-9DB4-3D89C03FD12F}"/>
    <cellStyle name="20% - Accent6 8" xfId="516" xr:uid="{03818FDB-FBD7-491E-AADB-9D07C6FE6ABA}"/>
    <cellStyle name="40% - Accent1" xfId="30" builtinId="31" customBuiltin="1"/>
    <cellStyle name="40% - Accent1 2" xfId="121" xr:uid="{3C7F439A-DDE0-40C9-A53E-6DCF8FCDF521}"/>
    <cellStyle name="40% - Accent1 2 10" xfId="518" xr:uid="{35DD6B54-11FB-457D-B3E8-0A4D16F33F3B}"/>
    <cellStyle name="40% - Accent1 2 11" xfId="517" xr:uid="{EC0F7BD0-B57E-4FE4-BC9E-1D00825126A9}"/>
    <cellStyle name="40% - Accent1 2 2" xfId="519" xr:uid="{FA92E763-DD02-4FDB-9C8A-87D245E60FD4}"/>
    <cellStyle name="40% - Accent1 2 2 2" xfId="520" xr:uid="{AA5A6999-F2F7-418D-BC90-E237F9B359A1}"/>
    <cellStyle name="40% - Accent1 2 2 3" xfId="521" xr:uid="{3C3CD53E-A14B-4EF6-813D-CC84320E8D7D}"/>
    <cellStyle name="40% - Accent1 2 3" xfId="522" xr:uid="{099E24EB-09CF-4C17-A406-3B037B1A2D75}"/>
    <cellStyle name="40% - Accent1 2 3 2" xfId="523" xr:uid="{96DDE70E-DD3F-40FB-BAD2-20EAA4409C95}"/>
    <cellStyle name="40% - Accent1 2 4" xfId="524" xr:uid="{043DF989-5B4B-4BF1-B69A-FE3DA33388A0}"/>
    <cellStyle name="40% - Accent1 2 5" xfId="525" xr:uid="{68EFF462-AF86-417F-9C43-967140DBBAE7}"/>
    <cellStyle name="40% - Accent1 2 6" xfId="526" xr:uid="{DE9698CC-7EDB-412E-BF66-AE4F3C2B435F}"/>
    <cellStyle name="40% - Accent1 2 7" xfId="527" xr:uid="{F2427A74-087A-45AE-9706-916761B79CA1}"/>
    <cellStyle name="40% - Accent1 2 8" xfId="528" xr:uid="{6A75512B-6757-43D3-98A6-9019C60343D8}"/>
    <cellStyle name="40% - Accent1 2 9" xfId="529" xr:uid="{EFF75DD3-573F-4802-9D91-6D531BF9B760}"/>
    <cellStyle name="40% - Accent1 3" xfId="65" xr:uid="{AA126C87-BDD1-42BF-A142-B459509586EB}"/>
    <cellStyle name="40% - Accent1 3 2" xfId="531" xr:uid="{ED9ACF76-A58B-484C-BC3D-45ED787C590A}"/>
    <cellStyle name="40% - Accent1 3 2 2" xfId="532" xr:uid="{F5470C60-52CD-4510-8DE1-EB5256C20ED9}"/>
    <cellStyle name="40% - Accent1 3 2 2 2" xfId="533" xr:uid="{04D6F62B-11C6-46AE-B0D2-74A78F64D1A9}"/>
    <cellStyle name="40% - Accent1 3 2 2 2 2" xfId="534" xr:uid="{5A6AAB6E-97C5-462F-B9D9-76DA71AC744C}"/>
    <cellStyle name="40% - Accent1 3 2 2 3" xfId="535" xr:uid="{E5ABE670-018C-48C1-8CE2-63FEA76C597A}"/>
    <cellStyle name="40% - Accent1 3 2 3" xfId="536" xr:uid="{BEB38381-D659-44E1-9A44-80E51C150147}"/>
    <cellStyle name="40% - Accent1 3 2 3 2" xfId="537" xr:uid="{7FB39D8C-948A-439D-9F61-489E47411414}"/>
    <cellStyle name="40% - Accent1 3 2 4" xfId="538" xr:uid="{04AFE712-5B4A-4E55-A76E-1F69B2F53F9B}"/>
    <cellStyle name="40% - Accent1 3 3" xfId="539" xr:uid="{D6EB9D4B-96CD-42E3-B7A7-576D201A1E80}"/>
    <cellStyle name="40% - Accent1 3 3 2" xfId="540" xr:uid="{80908A8C-C698-41CC-8C3D-97000089F9C6}"/>
    <cellStyle name="40% - Accent1 3 3 2 2" xfId="541" xr:uid="{003B9094-6D6C-4EAF-9F0F-877AD7EE1433}"/>
    <cellStyle name="40% - Accent1 3 3 2 2 2" xfId="542" xr:uid="{6E6ECA00-E773-4BF7-A1A0-A6136F7BAA80}"/>
    <cellStyle name="40% - Accent1 3 3 2 3" xfId="543" xr:uid="{D507E09D-F307-4D6C-91EC-763E573C4991}"/>
    <cellStyle name="40% - Accent1 3 3 3" xfId="544" xr:uid="{57463A40-2FD4-469D-B4DC-B1362A3DEA0F}"/>
    <cellStyle name="40% - Accent1 3 3 3 2" xfId="545" xr:uid="{F9CDFE8C-B97F-4B8C-A897-54BC468CE974}"/>
    <cellStyle name="40% - Accent1 3 3 4" xfId="546" xr:uid="{B0736729-BD02-4158-89B2-7DC10CF71C92}"/>
    <cellStyle name="40% - Accent1 3 4" xfId="547" xr:uid="{B56BC1F3-1499-4B5E-80D4-73804FC04ABB}"/>
    <cellStyle name="40% - Accent1 3 4 2" xfId="548" xr:uid="{882264D7-7E6C-4389-B69C-047CBEA1C66E}"/>
    <cellStyle name="40% - Accent1 3 4 2 2" xfId="549" xr:uid="{1984EF15-B934-44C8-BCC2-09488C5B9389}"/>
    <cellStyle name="40% - Accent1 3 4 3" xfId="550" xr:uid="{6B84B527-035D-461F-9148-AA81C7BC323D}"/>
    <cellStyle name="40% - Accent1 3 5" xfId="551" xr:uid="{9C606211-32DD-4881-913F-1BC0D79A8485}"/>
    <cellStyle name="40% - Accent1 3 5 2" xfId="552" xr:uid="{3080847C-549F-4D9E-B12D-47F01DE55BE0}"/>
    <cellStyle name="40% - Accent1 3 6" xfId="553" xr:uid="{37E9A9E8-1018-43F2-A794-E18E72215EBC}"/>
    <cellStyle name="40% - Accent1 3 7" xfId="530" xr:uid="{08FCD38E-5E77-4F39-BC37-91540E1E189A}"/>
    <cellStyle name="40% - Accent1 4" xfId="554" xr:uid="{DABF8F5B-D983-4DE0-96DD-42B6D75D3DF3}"/>
    <cellStyle name="40% - Accent1 5" xfId="555" xr:uid="{44A639B4-F577-4B90-A750-CF1BC778F4A6}"/>
    <cellStyle name="40% - Accent1 6" xfId="556" xr:uid="{CA464F3C-A454-4FFC-8756-83AC984BFC22}"/>
    <cellStyle name="40% - Accent1 7" xfId="557" xr:uid="{8BBE0552-1C1E-48E2-98E7-9C4E8B94FF2E}"/>
    <cellStyle name="40% - Accent1 8" xfId="558" xr:uid="{39523689-C9F6-4A75-B5C5-727248869423}"/>
    <cellStyle name="40% - Accent2" xfId="34" builtinId="35" customBuiltin="1"/>
    <cellStyle name="40% - Accent2 2" xfId="125" xr:uid="{73453BAC-CF98-45EE-A0B8-D51E5B680E78}"/>
    <cellStyle name="40% - Accent2 2 10" xfId="560" xr:uid="{934138F3-4FBD-4229-963E-BA4A6CA145AD}"/>
    <cellStyle name="40% - Accent2 2 11" xfId="559" xr:uid="{2C6FF937-8745-4AC3-89EF-2181530D238E}"/>
    <cellStyle name="40% - Accent2 2 2" xfId="561" xr:uid="{1807FC91-EC7F-4C7A-9381-52EFA29EEA34}"/>
    <cellStyle name="40% - Accent2 2 2 2" xfId="562" xr:uid="{D963E7C1-E69C-4956-9916-15632923AF96}"/>
    <cellStyle name="40% - Accent2 2 2 3" xfId="563" xr:uid="{89704DC6-3473-4842-9951-E971B70FE9AF}"/>
    <cellStyle name="40% - Accent2 2 3" xfId="564" xr:uid="{B029056E-390F-4DEF-AA49-1A2584706E14}"/>
    <cellStyle name="40% - Accent2 2 3 2" xfId="565" xr:uid="{990D49AC-DA2E-4B26-9987-24AF3025D730}"/>
    <cellStyle name="40% - Accent2 2 4" xfId="566" xr:uid="{5F1E2D52-D027-42EF-B286-FF67842EDEA8}"/>
    <cellStyle name="40% - Accent2 2 5" xfId="567" xr:uid="{DEB09E71-FEBC-490B-A179-E67CDE3F2C07}"/>
    <cellStyle name="40% - Accent2 2 6" xfId="568" xr:uid="{7C3B1815-655D-4989-897E-DBC1A44FBCCA}"/>
    <cellStyle name="40% - Accent2 2 7" xfId="569" xr:uid="{FD5FB005-96A4-415D-BFCD-F611F38F7420}"/>
    <cellStyle name="40% - Accent2 2 8" xfId="570" xr:uid="{3F9140CD-3223-490D-AAF2-79B9EFE17924}"/>
    <cellStyle name="40% - Accent2 2 9" xfId="571" xr:uid="{8CB19108-A6F8-422E-B6D3-622B518B3B1A}"/>
    <cellStyle name="40% - Accent2 3" xfId="66" xr:uid="{EF8790A6-276A-4A07-BEF2-359EF1D6D3A3}"/>
    <cellStyle name="40% - Accent2 3 2" xfId="573" xr:uid="{BB80330A-589D-4F41-BBB4-B38FDF747764}"/>
    <cellStyle name="40% - Accent2 3 2 2" xfId="574" xr:uid="{BABFB150-D0FC-4FF2-B798-B9F910D98F69}"/>
    <cellStyle name="40% - Accent2 3 2 2 2" xfId="575" xr:uid="{9CFCCD56-21AB-425E-BDEB-BCAFEF121D06}"/>
    <cellStyle name="40% - Accent2 3 2 2 2 2" xfId="576" xr:uid="{64EFAA9D-3D86-4231-8C6B-4A8F7C12D89D}"/>
    <cellStyle name="40% - Accent2 3 2 2 3" xfId="577" xr:uid="{736CC304-CBC5-4FD3-BAC4-D0721476530F}"/>
    <cellStyle name="40% - Accent2 3 2 3" xfId="578" xr:uid="{8F2AF909-1C93-4F2E-8811-5C380570DD3D}"/>
    <cellStyle name="40% - Accent2 3 2 3 2" xfId="579" xr:uid="{35B2DF94-DFF1-4A1E-AB9B-88868CF7925C}"/>
    <cellStyle name="40% - Accent2 3 2 4" xfId="580" xr:uid="{C818F878-D0EF-4736-8352-D87C24217C5D}"/>
    <cellStyle name="40% - Accent2 3 3" xfId="581" xr:uid="{5D26AF27-50D4-48A5-A202-12F8EE05D522}"/>
    <cellStyle name="40% - Accent2 3 3 2" xfId="582" xr:uid="{83614315-7A83-4FED-8C5B-2E01C6289177}"/>
    <cellStyle name="40% - Accent2 3 3 2 2" xfId="583" xr:uid="{411EBB9F-A7A9-423F-AAD9-FDBDA83F3FA9}"/>
    <cellStyle name="40% - Accent2 3 3 2 2 2" xfId="584" xr:uid="{B6554142-2ECC-4528-8872-4176ACC5D723}"/>
    <cellStyle name="40% - Accent2 3 3 2 3" xfId="585" xr:uid="{42117488-EFD5-4497-8ACA-7679CA4B18E7}"/>
    <cellStyle name="40% - Accent2 3 3 3" xfId="586" xr:uid="{67B4CC70-71E5-4A36-A8AC-9B7714CBAD5A}"/>
    <cellStyle name="40% - Accent2 3 3 3 2" xfId="587" xr:uid="{A2804E49-B746-47E3-B71E-1DDB9066C7E5}"/>
    <cellStyle name="40% - Accent2 3 3 4" xfId="588" xr:uid="{57A1C631-64FF-4081-8474-C44D70C0021C}"/>
    <cellStyle name="40% - Accent2 3 4" xfId="589" xr:uid="{278AEA46-36F3-4CA2-B5DA-89B765F946C4}"/>
    <cellStyle name="40% - Accent2 3 4 2" xfId="590" xr:uid="{D333D3B1-83F1-4F78-80FF-81359E68A5EF}"/>
    <cellStyle name="40% - Accent2 3 4 2 2" xfId="591" xr:uid="{78D8D688-30E2-4AA8-981A-B070C640ABB0}"/>
    <cellStyle name="40% - Accent2 3 4 3" xfId="592" xr:uid="{9F4574FF-91C9-4939-B228-10D4A7012354}"/>
    <cellStyle name="40% - Accent2 3 5" xfId="593" xr:uid="{8F64D3A1-F9E5-47B1-8348-F46973A3D19A}"/>
    <cellStyle name="40% - Accent2 3 5 2" xfId="594" xr:uid="{695D770C-4A28-45DB-A9CB-4CF423985506}"/>
    <cellStyle name="40% - Accent2 3 6" xfId="595" xr:uid="{AB80B37E-9CB6-44FE-BB21-25247686B79B}"/>
    <cellStyle name="40% - Accent2 3 7" xfId="572" xr:uid="{04BCFA13-E286-45EE-88FD-21E6DC3DD44C}"/>
    <cellStyle name="40% - Accent2 4" xfId="596" xr:uid="{133B86CD-B5E3-4722-8FE2-4329D70257F3}"/>
    <cellStyle name="40% - Accent2 5" xfId="597" xr:uid="{59CF2BC3-3BCB-4956-BC3E-36D5C1D54E57}"/>
    <cellStyle name="40% - Accent2 6" xfId="598" xr:uid="{D584E910-C7AC-4F91-9B7D-B08721AF18E3}"/>
    <cellStyle name="40% - Accent2 7" xfId="599" xr:uid="{8338E004-A7F0-444B-A0A9-04E000FF8000}"/>
    <cellStyle name="40% - Accent2 8" xfId="600" xr:uid="{2DB32F85-E6B4-4DF5-99BC-27FA03B1C3FA}"/>
    <cellStyle name="40% - Accent3" xfId="38" builtinId="39" customBuiltin="1"/>
    <cellStyle name="40% - Accent3 2" xfId="129" xr:uid="{76080A59-A2FC-4477-994A-7A9AFA5F8856}"/>
    <cellStyle name="40% - Accent3 2 10" xfId="602" xr:uid="{B54AEDB9-553B-4384-BA93-301D6E70D3BA}"/>
    <cellStyle name="40% - Accent3 2 11" xfId="601" xr:uid="{C99B20A4-58C2-4E50-B876-C5C2C997AAE7}"/>
    <cellStyle name="40% - Accent3 2 2" xfId="603" xr:uid="{F5F5E82D-C4F5-4804-824D-741244490936}"/>
    <cellStyle name="40% - Accent3 2 2 2" xfId="604" xr:uid="{9E7765FD-2606-4C1F-A366-05BC6E82F568}"/>
    <cellStyle name="40% - Accent3 2 2 3" xfId="605" xr:uid="{C23759A6-A545-4F10-A719-4DA9128C672B}"/>
    <cellStyle name="40% - Accent3 2 3" xfId="606" xr:uid="{7C799440-0853-498A-9DA7-089EA8EF205E}"/>
    <cellStyle name="40% - Accent3 2 3 2" xfId="607" xr:uid="{49D6802E-1166-491B-AA14-8C41F12AC012}"/>
    <cellStyle name="40% - Accent3 2 4" xfId="608" xr:uid="{FAAAEE14-E49B-4323-B029-669AC57C27E5}"/>
    <cellStyle name="40% - Accent3 2 5" xfId="609" xr:uid="{FB5025CE-0E9D-4EB8-AAF5-49E018D79279}"/>
    <cellStyle name="40% - Accent3 2 6" xfId="610" xr:uid="{72A6F9B9-0087-4F51-B007-2A8BD656DBFA}"/>
    <cellStyle name="40% - Accent3 2 7" xfId="611" xr:uid="{DDED8EFC-C3F5-405C-A418-1E2BA272EC7D}"/>
    <cellStyle name="40% - Accent3 2 8" xfId="612" xr:uid="{615DF225-204C-46A5-BFE0-DA4AEA42BCD4}"/>
    <cellStyle name="40% - Accent3 2 9" xfId="613" xr:uid="{0EFCF72A-D024-4326-9368-AACEF96D3EF2}"/>
    <cellStyle name="40% - Accent3 3" xfId="67" xr:uid="{C9C91891-AE33-43EF-8C98-10DBDCC3E394}"/>
    <cellStyle name="40% - Accent3 3 2" xfId="615" xr:uid="{D8EBACCF-F5EA-4963-9705-0432D18EF9B0}"/>
    <cellStyle name="40% - Accent3 3 2 2" xfId="616" xr:uid="{00A51B87-67A8-48F6-927B-A422F89F11B0}"/>
    <cellStyle name="40% - Accent3 3 2 2 2" xfId="617" xr:uid="{BA575D64-1603-4C21-82D9-A202B40FD58C}"/>
    <cellStyle name="40% - Accent3 3 2 2 2 2" xfId="618" xr:uid="{464A52EC-52E3-44DD-8661-EDEA4A82E300}"/>
    <cellStyle name="40% - Accent3 3 2 2 3" xfId="619" xr:uid="{B76B90DE-A34A-4937-BD05-61622B8AECD7}"/>
    <cellStyle name="40% - Accent3 3 2 3" xfId="620" xr:uid="{9C9B0E16-4471-4793-84EA-F975B170C794}"/>
    <cellStyle name="40% - Accent3 3 2 3 2" xfId="621" xr:uid="{262440BD-60D8-4F2B-9F76-DA73A3E437F7}"/>
    <cellStyle name="40% - Accent3 3 2 4" xfId="622" xr:uid="{10CD92C6-7892-41F0-B25E-46B2F4A6FE30}"/>
    <cellStyle name="40% - Accent3 3 3" xfId="623" xr:uid="{B2B899E6-ECD8-4128-9292-A3BD7C80B885}"/>
    <cellStyle name="40% - Accent3 3 3 2" xfId="624" xr:uid="{63AC527F-FA2D-4876-AFAC-A1BFDA7EA6A8}"/>
    <cellStyle name="40% - Accent3 3 3 2 2" xfId="625" xr:uid="{AD01E7DF-CC26-46E6-ADD5-A86A680D6ACD}"/>
    <cellStyle name="40% - Accent3 3 3 2 2 2" xfId="626" xr:uid="{C45AEC46-1322-4ADA-B520-FD41D99CA13F}"/>
    <cellStyle name="40% - Accent3 3 3 2 3" xfId="627" xr:uid="{0D6D75A5-5C24-41C9-93ED-6A538143482F}"/>
    <cellStyle name="40% - Accent3 3 3 3" xfId="628" xr:uid="{D2897EB8-3826-4A56-BF33-01F7BD5E73E0}"/>
    <cellStyle name="40% - Accent3 3 3 3 2" xfId="629" xr:uid="{59A62E1C-CA1F-432E-9A15-965139979EA5}"/>
    <cellStyle name="40% - Accent3 3 3 4" xfId="630" xr:uid="{9A8EC4E3-041A-4E04-A127-48421C9A0AB8}"/>
    <cellStyle name="40% - Accent3 3 4" xfId="631" xr:uid="{442C3D3F-CA5B-477A-931E-FB252354F9F4}"/>
    <cellStyle name="40% - Accent3 3 4 2" xfId="632" xr:uid="{80485D8A-70A0-4B0A-87F7-E84AE77ADAF1}"/>
    <cellStyle name="40% - Accent3 3 4 2 2" xfId="633" xr:uid="{7B711A77-D7B7-43A7-A01B-E7C0A996408C}"/>
    <cellStyle name="40% - Accent3 3 4 3" xfId="634" xr:uid="{7D56E127-475E-4F3C-A5F7-F2C12056776F}"/>
    <cellStyle name="40% - Accent3 3 5" xfId="635" xr:uid="{034237E1-0771-40F2-A227-786F5D56BC00}"/>
    <cellStyle name="40% - Accent3 3 5 2" xfId="636" xr:uid="{77E002FC-6484-4AF1-87FE-1347A79CD668}"/>
    <cellStyle name="40% - Accent3 3 6" xfId="637" xr:uid="{3C800A15-03EB-402C-8736-088EB1099D38}"/>
    <cellStyle name="40% - Accent3 3 7" xfId="614" xr:uid="{4C3B41AC-EF7D-43F1-9D90-B8068AEABEDB}"/>
    <cellStyle name="40% - Accent3 4" xfId="638" xr:uid="{DC46E597-F191-47D1-888A-554FD61361CE}"/>
    <cellStyle name="40% - Accent3 5" xfId="639" xr:uid="{BFED7211-3BDE-4233-8B13-B414A6AA9D41}"/>
    <cellStyle name="40% - Accent3 6" xfId="640" xr:uid="{2AD96E37-9EDE-4588-AD45-7CC3D529301D}"/>
    <cellStyle name="40% - Accent3 7" xfId="641" xr:uid="{2E160E91-16C2-474B-951F-2FDC72B8C416}"/>
    <cellStyle name="40% - Accent3 8" xfId="642" xr:uid="{DD76A00D-D504-4F1A-820E-57DBE9216227}"/>
    <cellStyle name="40% - Accent4" xfId="42" builtinId="43" customBuiltin="1"/>
    <cellStyle name="40% - Accent4 2" xfId="133" xr:uid="{887DED71-C36D-41D5-AFCF-E4377D1186F9}"/>
    <cellStyle name="40% - Accent4 2 10" xfId="644" xr:uid="{66079714-1699-4395-8F8F-6D9A9BE70E73}"/>
    <cellStyle name="40% - Accent4 2 11" xfId="643" xr:uid="{77E81BA0-1AE5-4169-8937-C4684E7198F6}"/>
    <cellStyle name="40% - Accent4 2 2" xfId="645" xr:uid="{547DE05C-AD7D-4BBC-A6C7-B8293E0DE081}"/>
    <cellStyle name="40% - Accent4 2 2 2" xfId="646" xr:uid="{CB853D08-1651-47F8-A20C-A68BD5D0E196}"/>
    <cellStyle name="40% - Accent4 2 2 3" xfId="647" xr:uid="{67FB0003-65FA-4DF6-9559-623415EC1E4A}"/>
    <cellStyle name="40% - Accent4 2 3" xfId="648" xr:uid="{9AC67946-8C08-4E92-8F51-395CAE84FC15}"/>
    <cellStyle name="40% - Accent4 2 3 2" xfId="649" xr:uid="{5CBFA3EA-9AEC-4605-965C-BFA00323B85E}"/>
    <cellStyle name="40% - Accent4 2 4" xfId="650" xr:uid="{5EE8A171-EFF6-4744-8D94-3C7434A4767B}"/>
    <cellStyle name="40% - Accent4 2 5" xfId="651" xr:uid="{4A98FFBD-8192-400E-ABE2-2781A0F4AD59}"/>
    <cellStyle name="40% - Accent4 2 6" xfId="652" xr:uid="{A508D92F-3087-4ED3-9378-B9D3ADDE4B05}"/>
    <cellStyle name="40% - Accent4 2 7" xfId="653" xr:uid="{4BC52C35-0033-493C-BA8F-9B149905D717}"/>
    <cellStyle name="40% - Accent4 2 8" xfId="654" xr:uid="{09BB6CAA-1199-483A-9B61-B4CE305A434B}"/>
    <cellStyle name="40% - Accent4 2 9" xfId="655" xr:uid="{B5E504AA-B1EC-4005-91F3-4E9EC0BB5B08}"/>
    <cellStyle name="40% - Accent4 3" xfId="68" xr:uid="{1B6EFDC2-B8DB-4511-9DA2-252952584A5A}"/>
    <cellStyle name="40% - Accent4 3 2" xfId="657" xr:uid="{21651EDE-442C-4B20-80A0-0A3B93BF568C}"/>
    <cellStyle name="40% - Accent4 3 2 2" xfId="658" xr:uid="{98772479-38E6-44EE-AE87-5AB17C541906}"/>
    <cellStyle name="40% - Accent4 3 2 2 2" xfId="659" xr:uid="{081B1D89-3CEC-492D-B8E6-0E2360655021}"/>
    <cellStyle name="40% - Accent4 3 2 2 2 2" xfId="660" xr:uid="{B714EEC9-99B2-48D7-AC5A-7C26AA688202}"/>
    <cellStyle name="40% - Accent4 3 2 2 3" xfId="661" xr:uid="{B460A51A-9DFA-46A8-A780-7F56CA8B01E0}"/>
    <cellStyle name="40% - Accent4 3 2 3" xfId="662" xr:uid="{EF612B11-42C2-427C-9F16-851E576FFECC}"/>
    <cellStyle name="40% - Accent4 3 2 3 2" xfId="663" xr:uid="{31AB5248-F699-41C1-BE4F-876EB6B5A802}"/>
    <cellStyle name="40% - Accent4 3 2 4" xfId="664" xr:uid="{1FF280E6-76DE-4FEE-A1CC-B4489CC6BC55}"/>
    <cellStyle name="40% - Accent4 3 3" xfId="665" xr:uid="{299C58F8-D268-4BAE-A37F-608814F883E1}"/>
    <cellStyle name="40% - Accent4 3 3 2" xfId="666" xr:uid="{B67F645C-6A8E-4FCD-8D48-ED3655392BDA}"/>
    <cellStyle name="40% - Accent4 3 3 2 2" xfId="667" xr:uid="{D37C78C2-ACDB-4233-8B3C-AE016FEBE138}"/>
    <cellStyle name="40% - Accent4 3 3 2 2 2" xfId="668" xr:uid="{82A2F2C5-A756-47E3-A5A4-970B46F1E22D}"/>
    <cellStyle name="40% - Accent4 3 3 2 3" xfId="669" xr:uid="{927A269C-80D8-472D-820B-7295945FEA24}"/>
    <cellStyle name="40% - Accent4 3 3 3" xfId="670" xr:uid="{2B7773F3-8282-466C-90B9-E33BDA7297F2}"/>
    <cellStyle name="40% - Accent4 3 3 3 2" xfId="671" xr:uid="{A05BACA7-0C15-43E8-B856-D805D4564A49}"/>
    <cellStyle name="40% - Accent4 3 3 4" xfId="672" xr:uid="{A9C17E81-64A1-47CA-A58E-CB3D9634476C}"/>
    <cellStyle name="40% - Accent4 3 4" xfId="673" xr:uid="{20FB1DF3-8307-49B8-A70A-39FDFE3B3701}"/>
    <cellStyle name="40% - Accent4 3 4 2" xfId="674" xr:uid="{E0B20F6F-70FE-4613-973E-B272566A0E55}"/>
    <cellStyle name="40% - Accent4 3 4 2 2" xfId="675" xr:uid="{B9FF6564-90EF-43E4-9B28-BF8156E91479}"/>
    <cellStyle name="40% - Accent4 3 4 3" xfId="676" xr:uid="{135D290C-B9EE-4366-A0AB-2BAC8829D3ED}"/>
    <cellStyle name="40% - Accent4 3 5" xfId="677" xr:uid="{D2F1103F-B4B4-4237-8975-76C77684D2B3}"/>
    <cellStyle name="40% - Accent4 3 5 2" xfId="678" xr:uid="{16194A5B-DDE0-40C7-81D8-0A70A5F3CAF9}"/>
    <cellStyle name="40% - Accent4 3 6" xfId="679" xr:uid="{E91ABF9A-D2D8-4C05-B645-D690B3213DB8}"/>
    <cellStyle name="40% - Accent4 3 7" xfId="656" xr:uid="{72585A4A-26DF-48B3-AD12-293A063B5DD9}"/>
    <cellStyle name="40% - Accent4 4" xfId="680" xr:uid="{6A999DE6-8D27-41D7-B4F9-442461491B48}"/>
    <cellStyle name="40% - Accent4 5" xfId="681" xr:uid="{A3BE7BD1-AAC9-4205-A95C-5DB21917CBC0}"/>
    <cellStyle name="40% - Accent4 6" xfId="682" xr:uid="{B0811148-5663-4662-84BB-603A1C037DF3}"/>
    <cellStyle name="40% - Accent4 7" xfId="683" xr:uid="{52F9887B-73EA-418B-A214-10817A1B6ABB}"/>
    <cellStyle name="40% - Accent4 8" xfId="684" xr:uid="{D7AF6953-5AC6-4654-8D81-AD8C811F7519}"/>
    <cellStyle name="40% - Accent5" xfId="46" builtinId="47" customBuiltin="1"/>
    <cellStyle name="40% - Accent5 2" xfId="137" xr:uid="{9436C56A-2BEA-417A-B944-3CC20F04BC77}"/>
    <cellStyle name="40% - Accent5 2 10" xfId="686" xr:uid="{13287562-1BD4-4297-B6AE-FEC89EEF58D2}"/>
    <cellStyle name="40% - Accent5 2 11" xfId="685" xr:uid="{15E48DE8-69E5-42AD-AC91-7C50B6AD79CD}"/>
    <cellStyle name="40% - Accent5 2 2" xfId="687" xr:uid="{FF7772F1-7676-48DB-A90B-27D87444F63E}"/>
    <cellStyle name="40% - Accent5 2 2 2" xfId="688" xr:uid="{D3E38217-2AA8-4F97-B282-EF09224F8581}"/>
    <cellStyle name="40% - Accent5 2 2 3" xfId="689" xr:uid="{FFDBE784-5293-4810-AD79-7F3F3DA6B23D}"/>
    <cellStyle name="40% - Accent5 2 3" xfId="690" xr:uid="{E01DC3F6-DF9A-4AD9-BDFF-D8E6630246D2}"/>
    <cellStyle name="40% - Accent5 2 3 2" xfId="691" xr:uid="{E80E851F-748C-42B5-9571-1C5ECB94FB01}"/>
    <cellStyle name="40% - Accent5 2 4" xfId="692" xr:uid="{06AC208F-0157-4B2F-9428-6C99A3AEA4EC}"/>
    <cellStyle name="40% - Accent5 2 5" xfId="693" xr:uid="{6EE4C848-9C4A-4647-B193-F1D9D6063C7B}"/>
    <cellStyle name="40% - Accent5 2 6" xfId="694" xr:uid="{ACE20050-166B-46C6-839A-67F06F40F867}"/>
    <cellStyle name="40% - Accent5 2 7" xfId="695" xr:uid="{830272BB-8318-438D-8075-8C3D7DB44B63}"/>
    <cellStyle name="40% - Accent5 2 8" xfId="696" xr:uid="{0F4D7A11-6F75-4473-8754-D0C7C9F1CF6A}"/>
    <cellStyle name="40% - Accent5 2 9" xfId="697" xr:uid="{F6D9B853-2715-44C0-BB18-3805249B029A}"/>
    <cellStyle name="40% - Accent5 3" xfId="69" xr:uid="{228402ED-2039-4F81-B543-4EDD71C91FA3}"/>
    <cellStyle name="40% - Accent5 3 2" xfId="699" xr:uid="{6D25F4B3-0FA7-47BA-AA24-41575BFE56FB}"/>
    <cellStyle name="40% - Accent5 3 2 2" xfId="700" xr:uid="{E3CD3550-4066-4191-A538-19473C5575BA}"/>
    <cellStyle name="40% - Accent5 3 2 2 2" xfId="701" xr:uid="{B2200B8C-E0A7-4C32-A80A-107DDF43B1C4}"/>
    <cellStyle name="40% - Accent5 3 2 2 2 2" xfId="702" xr:uid="{F9633E94-EE1A-4209-8685-43128754A6C3}"/>
    <cellStyle name="40% - Accent5 3 2 2 3" xfId="703" xr:uid="{7E80549E-A01F-4EA1-A79A-A6049D63B62A}"/>
    <cellStyle name="40% - Accent5 3 2 3" xfId="704" xr:uid="{2FE8EF3D-3B8F-4C40-888E-71E9C35BBB96}"/>
    <cellStyle name="40% - Accent5 3 2 3 2" xfId="705" xr:uid="{EA1BF329-3C1F-4EDF-93B2-B01C2BDC317A}"/>
    <cellStyle name="40% - Accent5 3 2 4" xfId="706" xr:uid="{8F6245EE-F9D6-436D-B4D9-15EE74F15157}"/>
    <cellStyle name="40% - Accent5 3 3" xfId="707" xr:uid="{CEC8E960-233C-4485-989B-78ECD65A7180}"/>
    <cellStyle name="40% - Accent5 3 3 2" xfId="708" xr:uid="{09D7696E-98F2-4D60-8F5F-3405B248AFCB}"/>
    <cellStyle name="40% - Accent5 3 3 2 2" xfId="709" xr:uid="{388CB114-3BFD-4459-BCB0-0523EDC9D6C4}"/>
    <cellStyle name="40% - Accent5 3 3 2 2 2" xfId="710" xr:uid="{EB63BACC-8A19-46FE-A906-FF8E5E72E0AE}"/>
    <cellStyle name="40% - Accent5 3 3 2 3" xfId="711" xr:uid="{2D23D4A2-4B92-49A8-936B-942027D9652B}"/>
    <cellStyle name="40% - Accent5 3 3 3" xfId="712" xr:uid="{4B9B01D9-98E6-4DA9-B19B-819DF0F7D105}"/>
    <cellStyle name="40% - Accent5 3 3 3 2" xfId="713" xr:uid="{21AAF08E-4231-47B8-B50E-E2A4155F4233}"/>
    <cellStyle name="40% - Accent5 3 3 4" xfId="714" xr:uid="{6477B3C8-DE00-410B-B518-D92BF41B153C}"/>
    <cellStyle name="40% - Accent5 3 4" xfId="715" xr:uid="{E7FC7BC4-8ED1-4DE3-BB9B-CD71943F8BBA}"/>
    <cellStyle name="40% - Accent5 3 4 2" xfId="716" xr:uid="{AEC3E0D7-5CD2-4C34-8115-B404BD3DE1DC}"/>
    <cellStyle name="40% - Accent5 3 4 2 2" xfId="717" xr:uid="{4E96D335-DF9E-4E22-8E12-23B92613DFE1}"/>
    <cellStyle name="40% - Accent5 3 4 3" xfId="718" xr:uid="{52F00CDA-23A6-4472-AF8D-D8C16E8862B8}"/>
    <cellStyle name="40% - Accent5 3 5" xfId="719" xr:uid="{63898C57-25A4-4BA7-AF16-0B911DDD974B}"/>
    <cellStyle name="40% - Accent5 3 5 2" xfId="720" xr:uid="{38836AC5-4B3D-486F-81C2-46B305E1F6D2}"/>
    <cellStyle name="40% - Accent5 3 6" xfId="721" xr:uid="{FE39D581-16E6-4681-A95C-4F3969BD3AED}"/>
    <cellStyle name="40% - Accent5 3 7" xfId="698" xr:uid="{9BCF4D14-A06B-4781-8253-48E9A0992BAE}"/>
    <cellStyle name="40% - Accent5 4" xfId="722" xr:uid="{F7C2AE7E-C70C-400B-A5C0-557028B517D4}"/>
    <cellStyle name="40% - Accent5 5" xfId="723" xr:uid="{7786E3D7-8651-4DF3-8DA0-EEB6FC14EE8F}"/>
    <cellStyle name="40% - Accent5 6" xfId="724" xr:uid="{1EA57986-FC96-4CC8-8D62-AB8AF6D148D8}"/>
    <cellStyle name="40% - Accent5 7" xfId="725" xr:uid="{3490C9D7-03DC-48D7-9A3F-FA77256AE33E}"/>
    <cellStyle name="40% - Accent5 8" xfId="726" xr:uid="{99BCBA11-82BF-492D-870F-76B91624FCC6}"/>
    <cellStyle name="40% - Accent6" xfId="50" builtinId="51" customBuiltin="1"/>
    <cellStyle name="40% - Accent6 2" xfId="141" xr:uid="{0CAA579E-098D-43E5-927A-DBC0064BC11F}"/>
    <cellStyle name="40% - Accent6 2 10" xfId="728" xr:uid="{3CE27CAF-DFF1-4EDF-8305-A0662B1E9C22}"/>
    <cellStyle name="40% - Accent6 2 11" xfId="727" xr:uid="{9BC7AEE1-A4BE-43FE-932F-18FDABB243EA}"/>
    <cellStyle name="40% - Accent6 2 2" xfId="729" xr:uid="{7FBCFE0E-7BD5-49D6-89D6-7D2EA24D4546}"/>
    <cellStyle name="40% - Accent6 2 2 2" xfId="730" xr:uid="{316497FA-2662-4FEF-9471-3ABBC6CECB65}"/>
    <cellStyle name="40% - Accent6 2 2 3" xfId="731" xr:uid="{CC3F601A-BB1A-4185-9F98-B4477E9E37A7}"/>
    <cellStyle name="40% - Accent6 2 3" xfId="732" xr:uid="{3E44B779-5926-4D1B-B45D-B78F1F94C913}"/>
    <cellStyle name="40% - Accent6 2 3 2" xfId="733" xr:uid="{96170D58-EDED-4F81-BDC7-2EFEE75F8D16}"/>
    <cellStyle name="40% - Accent6 2 4" xfId="734" xr:uid="{335E6CF1-B2E9-4556-94BC-73C233A02438}"/>
    <cellStyle name="40% - Accent6 2 5" xfId="735" xr:uid="{5ADC7447-1F57-4EBE-B335-F2CB0A526983}"/>
    <cellStyle name="40% - Accent6 2 6" xfId="736" xr:uid="{83839DAA-6AE6-4E34-9396-2011D8492775}"/>
    <cellStyle name="40% - Accent6 2 7" xfId="737" xr:uid="{EB904263-AC52-4ED1-8A9C-B52BAB3CA58E}"/>
    <cellStyle name="40% - Accent6 2 8" xfId="738" xr:uid="{2772AF72-36BF-4604-B2DB-5BC937884549}"/>
    <cellStyle name="40% - Accent6 2 9" xfId="739" xr:uid="{C1DA88A3-E1E9-4F58-B952-E75D03742856}"/>
    <cellStyle name="40% - Accent6 3" xfId="70" xr:uid="{FDA167C2-BEE2-4B5C-A5A5-0650E1B23220}"/>
    <cellStyle name="40% - Accent6 3 2" xfId="741" xr:uid="{C42451CA-2F35-4A56-A20D-7217760F1392}"/>
    <cellStyle name="40% - Accent6 3 2 2" xfId="742" xr:uid="{9237820F-F287-4C3F-B966-B75851637FB2}"/>
    <cellStyle name="40% - Accent6 3 2 2 2" xfId="743" xr:uid="{1F1C23C6-E0F1-4321-8DC8-6755EEE8BADA}"/>
    <cellStyle name="40% - Accent6 3 2 2 2 2" xfId="744" xr:uid="{E99CF367-7EE3-4C5D-B41E-9AC2C1210487}"/>
    <cellStyle name="40% - Accent6 3 2 2 3" xfId="745" xr:uid="{8CEF80D5-344A-4CF5-91D2-E10688089A3C}"/>
    <cellStyle name="40% - Accent6 3 2 3" xfId="746" xr:uid="{A9E92EEA-4B25-4E26-9FD8-FF7CD3410279}"/>
    <cellStyle name="40% - Accent6 3 2 3 2" xfId="747" xr:uid="{541AFE0B-95A6-4B34-91CE-F5A3D4C47DFE}"/>
    <cellStyle name="40% - Accent6 3 2 4" xfId="748" xr:uid="{6240E877-9633-4446-8A6C-51746B85E4B5}"/>
    <cellStyle name="40% - Accent6 3 3" xfId="749" xr:uid="{CA23C219-1EEC-45BE-B6CA-EC3FFA0171BC}"/>
    <cellStyle name="40% - Accent6 3 3 2" xfId="750" xr:uid="{D64F585B-1657-478F-9F3D-98E215985169}"/>
    <cellStyle name="40% - Accent6 3 3 2 2" xfId="751" xr:uid="{AA45B731-C53A-4A3E-BE5E-A08CD3825BEF}"/>
    <cellStyle name="40% - Accent6 3 3 2 2 2" xfId="752" xr:uid="{EDB3A11E-D09A-4A23-9F41-40988E08B960}"/>
    <cellStyle name="40% - Accent6 3 3 2 3" xfId="753" xr:uid="{D0E48CB9-C8F3-4DAD-B6F0-DE63012B0969}"/>
    <cellStyle name="40% - Accent6 3 3 3" xfId="754" xr:uid="{BD60BECA-855F-49B7-90C5-1C40DA24FF93}"/>
    <cellStyle name="40% - Accent6 3 3 3 2" xfId="755" xr:uid="{D7DC2F15-1720-4BD1-B289-ED3282A9F1DC}"/>
    <cellStyle name="40% - Accent6 3 3 4" xfId="756" xr:uid="{D4F51C63-7F48-45F6-B58F-64151F2A3855}"/>
    <cellStyle name="40% - Accent6 3 4" xfId="757" xr:uid="{F6000A0E-2CCC-41BF-8ACD-94537531F0D0}"/>
    <cellStyle name="40% - Accent6 3 4 2" xfId="758" xr:uid="{A850507A-3023-4F39-AAAC-C25F80B3FFA3}"/>
    <cellStyle name="40% - Accent6 3 4 2 2" xfId="759" xr:uid="{C2420050-34F3-472A-9009-3FBB576CF2DB}"/>
    <cellStyle name="40% - Accent6 3 4 3" xfId="760" xr:uid="{72904B6E-04E0-49BD-9002-E13637D1AA5E}"/>
    <cellStyle name="40% - Accent6 3 5" xfId="761" xr:uid="{F1A582C2-136A-45A1-A516-5145E3AEBF5B}"/>
    <cellStyle name="40% - Accent6 3 5 2" xfId="762" xr:uid="{3F820CA9-553A-42C0-B11B-5EFB4F930D7E}"/>
    <cellStyle name="40% - Accent6 3 6" xfId="763" xr:uid="{FFC0BC0B-D8E5-4BF3-836E-2461BC969B2A}"/>
    <cellStyle name="40% - Accent6 3 7" xfId="740" xr:uid="{571E8E0E-4E67-45BB-B8D0-93753E30AC16}"/>
    <cellStyle name="40% - Accent6 4" xfId="764" xr:uid="{2B2353C3-C9C8-4F48-9ABE-84E5BDC1464B}"/>
    <cellStyle name="40% - Accent6 5" xfId="765" xr:uid="{8157173B-287A-4927-B484-A4C69D210B9B}"/>
    <cellStyle name="40% - Accent6 6" xfId="766" xr:uid="{5E5794A5-E2D3-4E99-801E-BEC6C325C01E}"/>
    <cellStyle name="40% - Accent6 7" xfId="767" xr:uid="{DCD41064-010B-44B0-80F5-47E8FB4D660E}"/>
    <cellStyle name="40% - Accent6 8" xfId="768" xr:uid="{8F5AD775-55E2-467E-ABD8-B242D858E769}"/>
    <cellStyle name="60% - Accent1" xfId="31" builtinId="32" customBuiltin="1"/>
    <cellStyle name="60% - Accent1 2" xfId="122" xr:uid="{3F6DA798-4DD0-4C3B-B5DD-347E2D91F956}"/>
    <cellStyle name="60% - Accent1 2 10" xfId="769" xr:uid="{85F7939E-5936-499E-8CB7-35E7B9EE2997}"/>
    <cellStyle name="60% - Accent1 2 2" xfId="770" xr:uid="{36DEC235-EF13-4742-AE6B-A79F6DA3F9E9}"/>
    <cellStyle name="60% - Accent1 2 3" xfId="771" xr:uid="{FE55145F-C721-4E4E-8F41-154799A4A665}"/>
    <cellStyle name="60% - Accent1 2 4" xfId="772" xr:uid="{89CA4E7A-B616-4DF8-92A2-E5DC05BB495C}"/>
    <cellStyle name="60% - Accent1 2 5" xfId="773" xr:uid="{F4FDFAE9-A665-4572-9464-5F078C5199DC}"/>
    <cellStyle name="60% - Accent1 2 6" xfId="774" xr:uid="{A312A3BD-8D1B-4674-A209-7233142E768C}"/>
    <cellStyle name="60% - Accent1 2 7" xfId="775" xr:uid="{77F6836D-14F5-4571-B728-F0D852E2C600}"/>
    <cellStyle name="60% - Accent1 2 8" xfId="776" xr:uid="{C6743094-207C-414E-B196-3C5AC0F42B05}"/>
    <cellStyle name="60% - Accent1 2 9" xfId="777" xr:uid="{0CE37DB2-75E8-4055-80D5-0C5682F5C13C}"/>
    <cellStyle name="60% - Accent1 3" xfId="71" xr:uid="{0F8D5EAD-DFA0-4D84-8E77-F010BCB3853F}"/>
    <cellStyle name="60% - Accent2" xfId="35" builtinId="36" customBuiltin="1"/>
    <cellStyle name="60% - Accent2 2" xfId="126" xr:uid="{EAFD0950-A9E2-49D9-B546-FC00AFEA53E2}"/>
    <cellStyle name="60% - Accent2 2 10" xfId="778" xr:uid="{EA272D31-C251-4941-860C-89B0E16586D9}"/>
    <cellStyle name="60% - Accent2 2 2" xfId="779" xr:uid="{5FCB6E1A-B5C5-424C-B69A-B7EECE7B8134}"/>
    <cellStyle name="60% - Accent2 2 3" xfId="780" xr:uid="{79EE03A4-2CD6-4DD9-B015-FA44B472A8E6}"/>
    <cellStyle name="60% - Accent2 2 4" xfId="781" xr:uid="{2EE11594-9B1D-4EAD-A098-FD4E4D50F08B}"/>
    <cellStyle name="60% - Accent2 2 5" xfId="782" xr:uid="{80B0ECBA-4C50-4595-A849-537B220967EE}"/>
    <cellStyle name="60% - Accent2 2 6" xfId="783" xr:uid="{1BE40CD4-5E28-4284-8123-A3C6F99742B9}"/>
    <cellStyle name="60% - Accent2 2 7" xfId="784" xr:uid="{3719B109-B2A0-4576-8C00-49F0ABEA44A6}"/>
    <cellStyle name="60% - Accent2 2 8" xfId="785" xr:uid="{2D88C84A-FEAC-472F-B98E-DA6027D91F5E}"/>
    <cellStyle name="60% - Accent2 2 9" xfId="786" xr:uid="{6C78FDFE-5117-4553-B30C-613C9B0F38B3}"/>
    <cellStyle name="60% - Accent2 3" xfId="72" xr:uid="{376610CF-B17F-414A-B2A8-D05841FA8743}"/>
    <cellStyle name="60% - Accent3" xfId="39" builtinId="40" customBuiltin="1"/>
    <cellStyle name="60% - Accent3 2" xfId="130" xr:uid="{C35905EC-83AB-4FB2-AAFA-1D2601DB0734}"/>
    <cellStyle name="60% - Accent3 2 10" xfId="787" xr:uid="{FD5C4BF5-4B2D-475C-A6D4-139130E08126}"/>
    <cellStyle name="60% - Accent3 2 2" xfId="788" xr:uid="{2BE49E36-5375-482E-806E-143A1CB8C5BE}"/>
    <cellStyle name="60% - Accent3 2 3" xfId="789" xr:uid="{BCDF3ABB-2953-47FC-9AFF-9E42E9D8E378}"/>
    <cellStyle name="60% - Accent3 2 4" xfId="790" xr:uid="{1827ED3D-3B0D-40AC-B30E-6E312B0E5AC7}"/>
    <cellStyle name="60% - Accent3 2 5" xfId="791" xr:uid="{9B714EB5-89E2-43BB-80E2-DA81D5AA1CFB}"/>
    <cellStyle name="60% - Accent3 2 6" xfId="792" xr:uid="{AF749DF9-6C3E-48E9-B80A-D79AA78E0544}"/>
    <cellStyle name="60% - Accent3 2 7" xfId="793" xr:uid="{D1252896-3E86-4F8F-9841-5971590348FE}"/>
    <cellStyle name="60% - Accent3 2 8" xfId="794" xr:uid="{B1B6C5EB-3403-4826-8C69-71E561288C0A}"/>
    <cellStyle name="60% - Accent3 2 9" xfId="795" xr:uid="{51080419-FCFC-4C7C-A32C-162061C9EEF3}"/>
    <cellStyle name="60% - Accent3 3" xfId="73" xr:uid="{CD53E535-4347-4710-92FE-42E135F8C5EB}"/>
    <cellStyle name="60% - Accent4" xfId="43" builtinId="44" customBuiltin="1"/>
    <cellStyle name="60% - Accent4 2" xfId="134" xr:uid="{BC067275-61D5-4766-8896-C4BCC1F731F0}"/>
    <cellStyle name="60% - Accent4 2 10" xfId="796" xr:uid="{70FA8FD4-DE65-4467-8EDB-82844CEAEB6B}"/>
    <cellStyle name="60% - Accent4 2 2" xfId="797" xr:uid="{A870CD90-64B4-4771-8E44-B83A540CB461}"/>
    <cellStyle name="60% - Accent4 2 3" xfId="798" xr:uid="{CB7BAF1E-6290-451B-904F-89C0A8012A13}"/>
    <cellStyle name="60% - Accent4 2 4" xfId="799" xr:uid="{02701FFE-F1E6-4121-AF67-22FC98908CC1}"/>
    <cellStyle name="60% - Accent4 2 5" xfId="800" xr:uid="{74F8B438-54D8-4FC1-B5FC-D55D630FE687}"/>
    <cellStyle name="60% - Accent4 2 6" xfId="801" xr:uid="{EB004116-AFA5-4907-9C9C-B56B7B3C8B6E}"/>
    <cellStyle name="60% - Accent4 2 7" xfId="802" xr:uid="{BC613FAA-92B0-43AE-927E-7DD4B5CC1350}"/>
    <cellStyle name="60% - Accent4 2 8" xfId="803" xr:uid="{24E16F6E-5DC5-4348-AC30-5E212836C84C}"/>
    <cellStyle name="60% - Accent4 2 9" xfId="804" xr:uid="{F4425B60-E903-4223-A3D4-7168300AC9D7}"/>
    <cellStyle name="60% - Accent4 3" xfId="74" xr:uid="{03D09C2C-C0CB-431E-B9BD-A80F92441687}"/>
    <cellStyle name="60% - Accent5" xfId="47" builtinId="48" customBuiltin="1"/>
    <cellStyle name="60% - Accent5 2" xfId="138" xr:uid="{9585F23C-D9E5-4A6D-B50F-5B3852102EAD}"/>
    <cellStyle name="60% - Accent5 2 10" xfId="805" xr:uid="{B23B13A9-E4AB-4FFC-8CAA-FB6D30FFFADF}"/>
    <cellStyle name="60% - Accent5 2 2" xfId="806" xr:uid="{A3F26F3C-BF34-47A3-B964-FD45D1045C42}"/>
    <cellStyle name="60% - Accent5 2 3" xfId="807" xr:uid="{B5658597-0A4A-4CD6-8C4D-24918636CE47}"/>
    <cellStyle name="60% - Accent5 2 4" xfId="808" xr:uid="{6C0CB432-9ED2-457F-8166-F5BB92206976}"/>
    <cellStyle name="60% - Accent5 2 5" xfId="809" xr:uid="{116B3E12-602C-40D1-84A7-6CF4A48E396D}"/>
    <cellStyle name="60% - Accent5 2 6" xfId="810" xr:uid="{87CCA0C3-0D58-4AFA-A563-39C35E4C8ACB}"/>
    <cellStyle name="60% - Accent5 2 7" xfId="811" xr:uid="{1123D333-A2FD-4275-8AF9-A46EC5ECE4BC}"/>
    <cellStyle name="60% - Accent5 2 8" xfId="812" xr:uid="{A05EF524-B856-4F69-944A-2EB5124B7608}"/>
    <cellStyle name="60% - Accent5 2 9" xfId="813" xr:uid="{E3F937EF-2F7E-4E0D-AC21-76382051199F}"/>
    <cellStyle name="60% - Accent5 3" xfId="75" xr:uid="{8DAAA55C-A1FF-48B0-8B77-2F57567E8787}"/>
    <cellStyle name="60% - Accent6" xfId="51" builtinId="52" customBuiltin="1"/>
    <cellStyle name="60% - Accent6 2" xfId="142" xr:uid="{54EF2D40-DFFE-4F6F-88B7-A294CCCD2695}"/>
    <cellStyle name="60% - Accent6 2 10" xfId="814" xr:uid="{97B5ED35-4D14-4D0B-AE67-13B333DE4827}"/>
    <cellStyle name="60% - Accent6 2 2" xfId="815" xr:uid="{3D102121-493C-405E-B3B4-CB7BC318C979}"/>
    <cellStyle name="60% - Accent6 2 3" xfId="816" xr:uid="{7867B999-DB76-48AC-A306-D483348FFA28}"/>
    <cellStyle name="60% - Accent6 2 4" xfId="817" xr:uid="{C5866111-F56A-40F5-8FBF-0341F31A96B5}"/>
    <cellStyle name="60% - Accent6 2 5" xfId="818" xr:uid="{E0968CE1-491F-43C1-9D65-1833695C13FC}"/>
    <cellStyle name="60% - Accent6 2 6" xfId="819" xr:uid="{D3320FD6-61DF-4C00-9546-E4A0D6C78B4B}"/>
    <cellStyle name="60% - Accent6 2 7" xfId="820" xr:uid="{F04E62A5-8218-4253-8FDE-C2D3E2E7EFC4}"/>
    <cellStyle name="60% - Accent6 2 8" xfId="821" xr:uid="{8104BE8D-B9B6-483E-AC17-C829946AE13F}"/>
    <cellStyle name="60% - Accent6 2 9" xfId="822" xr:uid="{33E99D0D-B409-4551-8331-6605257028B5}"/>
    <cellStyle name="60% - Accent6 3" xfId="76" xr:uid="{D14DEFE2-7B8D-4660-B426-286CCAC1440F}"/>
    <cellStyle name="A%" xfId="823" xr:uid="{E597D7A8-3CF2-4DD1-9238-78288869F7D5}"/>
    <cellStyle name="Accent1" xfId="28" builtinId="29" customBuiltin="1"/>
    <cellStyle name="Accent1 2" xfId="119" xr:uid="{2BA65BBD-3466-4DC5-90D4-8176FE5172AC}"/>
    <cellStyle name="Accent1 2 10" xfId="824" xr:uid="{2AA316E0-A6D0-43C0-9E85-7EF25AAC64F8}"/>
    <cellStyle name="Accent1 2 2" xfId="825" xr:uid="{D8EC12FB-E4EB-412F-9D10-D67FED74DF27}"/>
    <cellStyle name="Accent1 2 3" xfId="826" xr:uid="{FBF5B79C-9247-487B-B862-4C40D182CAD3}"/>
    <cellStyle name="Accent1 2 4" xfId="827" xr:uid="{AB246E7F-29A7-469F-A21A-A4C8EFAB408E}"/>
    <cellStyle name="Accent1 2 5" xfId="828" xr:uid="{5B171264-EB82-4DF3-A8BD-D94090D36498}"/>
    <cellStyle name="Accent1 2 6" xfId="829" xr:uid="{DECA3EAC-5DE0-49E0-A61D-42EF39744D61}"/>
    <cellStyle name="Accent1 2 7" xfId="830" xr:uid="{FEE589DE-DC0C-4006-A9B6-D2E514AACA75}"/>
    <cellStyle name="Accent1 2 8" xfId="831" xr:uid="{FE041D6A-9D90-45BC-B961-F9E2D8A7630A}"/>
    <cellStyle name="Accent1 2 9" xfId="832" xr:uid="{E10F1010-3A26-4923-AA52-1337AFEFD899}"/>
    <cellStyle name="Accent1 3" xfId="77" xr:uid="{AF702384-1BF6-4D8D-AA9A-224AA5E4D93D}"/>
    <cellStyle name="Accent2" xfId="32" builtinId="33" customBuiltin="1"/>
    <cellStyle name="Accent2 2" xfId="123" xr:uid="{4DF0C84C-10E9-40F6-B04E-7ED74F8BEC8B}"/>
    <cellStyle name="Accent2 2 10" xfId="833" xr:uid="{7E6F81E2-5ACD-48A2-82DC-931CFDB8BD61}"/>
    <cellStyle name="Accent2 2 2" xfId="834" xr:uid="{948783F4-E74B-47EC-90B5-15DE9DCD0D67}"/>
    <cellStyle name="Accent2 2 3" xfId="835" xr:uid="{D5406972-9E0D-4B4B-8071-490F543858A1}"/>
    <cellStyle name="Accent2 2 4" xfId="836" xr:uid="{220B6A8B-38B6-4BF0-A6F7-1EC34881D7C4}"/>
    <cellStyle name="Accent2 2 5" xfId="837" xr:uid="{0F0A4F31-7449-4A00-81FB-AF9B23D201F0}"/>
    <cellStyle name="Accent2 2 6" xfId="838" xr:uid="{10CA2861-6BE6-47A6-BE12-94CBD68E3753}"/>
    <cellStyle name="Accent2 2 7" xfId="839" xr:uid="{57091377-7627-4F9F-8FE2-26F3D4FD0ABA}"/>
    <cellStyle name="Accent2 2 8" xfId="840" xr:uid="{5BD04D64-89AD-4FBB-A86C-A088D2C1AF42}"/>
    <cellStyle name="Accent2 2 9" xfId="841" xr:uid="{9D1A4806-F7A3-493E-BB02-AA7E33351177}"/>
    <cellStyle name="Accent2 3" xfId="78" xr:uid="{30CB9F67-A8B2-4FD4-B58A-2CBCFD2D0434}"/>
    <cellStyle name="Accent3" xfId="36" builtinId="37" customBuiltin="1"/>
    <cellStyle name="Accent3 2" xfId="127" xr:uid="{86026A6B-DA96-48C9-8B0F-CFEEB2BA8533}"/>
    <cellStyle name="Accent3 2 10" xfId="842" xr:uid="{9248334A-07D1-4748-9B5D-9C6ECA82BAE0}"/>
    <cellStyle name="Accent3 2 2" xfId="843" xr:uid="{6240A27F-78E4-4D55-A457-3EA416318D25}"/>
    <cellStyle name="Accent3 2 3" xfId="844" xr:uid="{253F5CC2-34B2-4225-A02A-DDD78CEDF673}"/>
    <cellStyle name="Accent3 2 4" xfId="845" xr:uid="{9145A638-3CB2-4587-98AC-D67996137740}"/>
    <cellStyle name="Accent3 2 5" xfId="846" xr:uid="{C7A3A821-8AC8-400E-822F-55874E6D210A}"/>
    <cellStyle name="Accent3 2 6" xfId="847" xr:uid="{12BE2911-2A7C-4B8A-9958-45EE9DE98A94}"/>
    <cellStyle name="Accent3 2 7" xfId="848" xr:uid="{C4A8B40F-B227-404A-86EB-C31BCC48464A}"/>
    <cellStyle name="Accent3 2 8" xfId="849" xr:uid="{32A45C66-5E97-4948-91D1-F727E52F36BF}"/>
    <cellStyle name="Accent3 2 9" xfId="850" xr:uid="{28454454-63BB-4FB5-BD11-FE1D700862AB}"/>
    <cellStyle name="Accent3 3" xfId="79" xr:uid="{5BA0754B-2A8B-47A7-9771-9D51A56B8F67}"/>
    <cellStyle name="Accent4" xfId="40" builtinId="41" customBuiltin="1"/>
    <cellStyle name="Accent4 2" xfId="131" xr:uid="{EA0D3F85-B5F9-439A-84B0-FA042DE39ADF}"/>
    <cellStyle name="Accent4 2 10" xfId="851" xr:uid="{165D2546-6851-4000-99B2-709A0204CFB1}"/>
    <cellStyle name="Accent4 2 2" xfId="852" xr:uid="{3A0B5F51-58CD-4841-940C-4D2DA3993446}"/>
    <cellStyle name="Accent4 2 3" xfId="853" xr:uid="{E2BD3087-4BB2-491C-ACA9-D6962F468C03}"/>
    <cellStyle name="Accent4 2 4" xfId="854" xr:uid="{70AFD1AB-2CF6-44B9-99DF-DEFE9FFD3F70}"/>
    <cellStyle name="Accent4 2 5" xfId="855" xr:uid="{6D230923-576B-47E0-859D-3879CE5F312B}"/>
    <cellStyle name="Accent4 2 6" xfId="856" xr:uid="{8E097EE6-911F-4127-AFE6-FA4D4C4A382C}"/>
    <cellStyle name="Accent4 2 7" xfId="857" xr:uid="{7E0F9E35-8325-4AD1-AE79-F1247840472D}"/>
    <cellStyle name="Accent4 2 8" xfId="858" xr:uid="{D248BEA9-8A4E-42E0-97A8-29E07057E71A}"/>
    <cellStyle name="Accent4 2 9" xfId="859" xr:uid="{6BE891A3-5988-408E-A2AD-6D1FACB71C24}"/>
    <cellStyle name="Accent4 3" xfId="80" xr:uid="{118BA312-39A5-4A09-9083-13F6B1AAD52B}"/>
    <cellStyle name="Accent5" xfId="44" builtinId="45" customBuiltin="1"/>
    <cellStyle name="Accent5 2" xfId="135" xr:uid="{A7BCD9C2-3B17-4D20-9913-12DFB8A2EFA8}"/>
    <cellStyle name="Accent5 2 10" xfId="860" xr:uid="{F965B8F5-C424-41AD-A94D-B255213A524E}"/>
    <cellStyle name="Accent5 2 2" xfId="861" xr:uid="{8BA327D5-63BE-4D19-B611-E21A3469EF71}"/>
    <cellStyle name="Accent5 2 3" xfId="862" xr:uid="{2946ACBF-4915-4969-B0EB-56CFCEDD354D}"/>
    <cellStyle name="Accent5 2 4" xfId="863" xr:uid="{DA48C6AB-ED80-4614-B454-97947D7F9B85}"/>
    <cellStyle name="Accent5 2 5" xfId="864" xr:uid="{7B9C1055-402B-48EE-9F4A-1EB88324A1B0}"/>
    <cellStyle name="Accent5 2 6" xfId="865" xr:uid="{591FA842-7199-4CA9-ADC2-DFD58CA7FE2A}"/>
    <cellStyle name="Accent5 2 7" xfId="866" xr:uid="{DB388BB0-24B6-463F-9AF8-48551ECF6159}"/>
    <cellStyle name="Accent5 2 8" xfId="867" xr:uid="{5F54504E-5A92-4C8D-94BE-EFAC6D6BC22B}"/>
    <cellStyle name="Accent5 2 9" xfId="868" xr:uid="{E3994DEF-5F10-4F58-9427-ADEE57EE6301}"/>
    <cellStyle name="Accent5 3" xfId="81" xr:uid="{A0CEB503-FF2B-4EC6-A8DE-F862D69E3993}"/>
    <cellStyle name="Accent6" xfId="48" builtinId="49" customBuiltin="1"/>
    <cellStyle name="Accent6 2" xfId="139" xr:uid="{6CDAB874-670F-4B01-9309-E2017A84FCBA}"/>
    <cellStyle name="Accent6 2 10" xfId="869" xr:uid="{D0CD5C09-DE53-4313-A6B8-14AA72EE40CB}"/>
    <cellStyle name="Accent6 2 2" xfId="870" xr:uid="{4DBBC263-B0EA-4FF5-93E0-326EB53E85C1}"/>
    <cellStyle name="Accent6 2 3" xfId="871" xr:uid="{F47AF92A-4335-43C2-B996-808C2A6F067D}"/>
    <cellStyle name="Accent6 2 4" xfId="872" xr:uid="{DA53B5C3-C83A-4E1B-BBAA-7FF39005FE43}"/>
    <cellStyle name="Accent6 2 5" xfId="873" xr:uid="{0DA8F79E-5175-44C2-833C-AF08E95057B1}"/>
    <cellStyle name="Accent6 2 6" xfId="874" xr:uid="{77897C35-CF4A-456A-B14C-0958260BEC82}"/>
    <cellStyle name="Accent6 2 7" xfId="875" xr:uid="{BDBA717A-3F4D-4309-86E4-3AAC8C0C6AF3}"/>
    <cellStyle name="Accent6 2 8" xfId="876" xr:uid="{6C49B529-356F-410E-9018-0066D058B83D}"/>
    <cellStyle name="Accent6 2 9" xfId="877" xr:uid="{07930A6A-51CA-4B79-B68B-538482EE0BA8}"/>
    <cellStyle name="Accent6 3" xfId="82" xr:uid="{25374182-9921-4D9B-B09C-E5FA7750D7EF}"/>
    <cellStyle name="Accounting w/$" xfId="878" xr:uid="{1C68B799-524C-4478-80A8-E69658E65CB1}"/>
    <cellStyle name="Accounting w/$ Total" xfId="879" xr:uid="{86633825-4EC2-4720-9719-4BB2EF6A44C6}"/>
    <cellStyle name="Accounting w/o $" xfId="880" xr:uid="{46C014D6-4BC2-49C8-8BA1-D1C1C67A7FEF}"/>
    <cellStyle name="Acinput" xfId="881" xr:uid="{0D2571FF-06C4-4ED3-A9FC-B7EBBF00CEB6}"/>
    <cellStyle name="Acinput,," xfId="882" xr:uid="{5C83DB2C-CCE2-4171-8A43-25C3889A4FFE}"/>
    <cellStyle name="Acinput_Merger Model_KN&amp;Fzio_v2.30 - Street" xfId="883" xr:uid="{2E5CABFD-94F8-4C93-B516-017C16E74FC3}"/>
    <cellStyle name="Acoutput" xfId="884" xr:uid="{B79DCA78-9F3D-470D-A5CC-51C047C07CC0}"/>
    <cellStyle name="Acoutput,," xfId="885" xr:uid="{96438CBA-C93E-4829-877D-71013ECB1948}"/>
    <cellStyle name="Acoutput_CAScomps02" xfId="886" xr:uid="{69A81EFE-47CE-4B9A-9C37-BCCB4C2D8F2A}"/>
    <cellStyle name="Actual Date" xfId="887" xr:uid="{C04CF12B-2566-4F9F-878A-02D72292FA81}"/>
    <cellStyle name="AFE" xfId="888" xr:uid="{3F265981-97B5-4DDF-87B0-A198DD56F3B7}"/>
    <cellStyle name="al" xfId="889" xr:uid="{E3407DD0-1C37-4FB6-9F4D-26FDFF86FD3F}"/>
    <cellStyle name="Amount_EQU_RIGH.XLS_Equity market_Preferred Securities " xfId="890" xr:uid="{F80A4E26-D383-42BC-8F8C-37F76234112C}"/>
    <cellStyle name="Apershare" xfId="891" xr:uid="{840493F3-317F-4F1C-BB66-9426F23EB813}"/>
    <cellStyle name="Aprice" xfId="892" xr:uid="{D1D71E7D-A8B4-46BF-B861-921C97E745CA}"/>
    <cellStyle name="ar" xfId="893" xr:uid="{35C305EC-AF56-4469-9009-B6E7E1232AB1}"/>
    <cellStyle name="ar 2" xfId="894" xr:uid="{3E4B7AA3-D80E-423D-AD0E-1C49DEE6028F}"/>
    <cellStyle name="ar 3" xfId="895" xr:uid="{3630C9BA-B3CC-4165-8AA3-EAAE597FCF3D}"/>
    <cellStyle name="Arial 10" xfId="896" xr:uid="{230214C0-1D38-47D0-9937-2144222CC0C9}"/>
    <cellStyle name="Arial 12" xfId="897" xr:uid="{55E120D0-675E-4068-92A9-BE57E54091CA}"/>
    <cellStyle name="Availability" xfId="898" xr:uid="{A63916E2-248E-4DD8-80D6-006B8335AC32}"/>
    <cellStyle name="Bad" xfId="17" builtinId="27" customBuiltin="1"/>
    <cellStyle name="Bad 2" xfId="108" xr:uid="{375A4FB4-2A5D-4859-BB90-A771A5038F22}"/>
    <cellStyle name="Bad 2 10" xfId="899" xr:uid="{A23E806F-B478-4AD0-89E1-D5DEE0CBDEF6}"/>
    <cellStyle name="Bad 2 2" xfId="900" xr:uid="{83C79259-FB88-4C88-A037-FB12EF860955}"/>
    <cellStyle name="Bad 2 3" xfId="901" xr:uid="{0307621A-6C6C-4B94-B8F0-0CF5FDD072F2}"/>
    <cellStyle name="Bad 2 4" xfId="902" xr:uid="{98527864-14EA-4EE1-9953-E9F405F29FC1}"/>
    <cellStyle name="Bad 2 5" xfId="903" xr:uid="{D77112E2-C91C-4B34-A560-E3A16A9F6FBD}"/>
    <cellStyle name="Bad 2 6" xfId="904" xr:uid="{8CA37110-0DFE-4B9C-A01E-C3932671DC26}"/>
    <cellStyle name="Bad 2 7" xfId="905" xr:uid="{C2A4F792-D297-4EF0-8AFE-EC959802E893}"/>
    <cellStyle name="Bad 2 8" xfId="906" xr:uid="{18EB3C2E-C831-4DAB-BC23-45A6EE59E9A5}"/>
    <cellStyle name="Bad 2 9" xfId="907" xr:uid="{4C0CB8B7-94CC-48DA-A269-37E98230A75F}"/>
    <cellStyle name="Bad 3" xfId="83" xr:uid="{CD3EF2AA-812F-479A-896C-1F32F396C937}"/>
    <cellStyle name="Band 2" xfId="908" xr:uid="{5DF72805-6AB3-42FF-8CE1-1E90E693EB2A}"/>
    <cellStyle name="Blank" xfId="909" xr:uid="{45DA53B9-2921-462E-B3EB-B12E1EAE2AB1}"/>
    <cellStyle name="Blue" xfId="910" xr:uid="{68D44673-A5BE-46F1-BCAB-A19F14EDD5A8}"/>
    <cellStyle name="Bold/Border" xfId="911" xr:uid="{B0340CC7-74BB-4431-80C7-7F262C63A465}"/>
    <cellStyle name="Border Heavy" xfId="912" xr:uid="{B24682B5-11CB-4B47-8347-ED1647E1B55B}"/>
    <cellStyle name="Border Thin" xfId="913" xr:uid="{E422CD89-88F3-4031-AAF1-CA0EC0FF2674}"/>
    <cellStyle name="Border, Bottom" xfId="914" xr:uid="{59A80B85-3522-4510-8233-ED190F11C2E7}"/>
    <cellStyle name="Border, Left" xfId="915" xr:uid="{15FC33B6-6840-4284-86D3-BA430FBC0DDB}"/>
    <cellStyle name="Border, Right" xfId="916" xr:uid="{88B76EBC-8BC8-4679-A1CF-BB48E0A32A76}"/>
    <cellStyle name="Border, Top" xfId="917" xr:uid="{25B3474D-580D-494C-B130-9BC444328256}"/>
    <cellStyle name="Border, Top 2" xfId="918" xr:uid="{21C7226E-0AEE-4916-ABCE-2AC3D221E32D}"/>
    <cellStyle name="Border, Top 3" xfId="919" xr:uid="{92996D58-642B-4588-BECF-F1BE96CE3A42}"/>
    <cellStyle name="British Pound" xfId="920" xr:uid="{49288714-7673-426E-8E23-E0DF127E1FBB}"/>
    <cellStyle name="BritPound" xfId="921" xr:uid="{C3033684-BC39-4433-81B2-26988C561E9B}"/>
    <cellStyle name="Bullet" xfId="922" xr:uid="{2D09C224-3E25-42F9-A34D-94DE0458001B}"/>
    <cellStyle name="Calc Currency (0)" xfId="923" xr:uid="{255FC7F4-D492-473F-9857-6FBC596A3922}"/>
    <cellStyle name="Calc Currency (2)" xfId="924" xr:uid="{F4ADCA5D-A625-4B95-BBC5-4169751CDB31}"/>
    <cellStyle name="Calc Percent (0)" xfId="925" xr:uid="{AB4E6B83-F28F-4E2F-A2C1-4A20450CF084}"/>
    <cellStyle name="Calc Percent (1)" xfId="926" xr:uid="{A69B9C8B-E379-4AA9-B659-866D2F87A304}"/>
    <cellStyle name="Calc Percent (2)" xfId="927" xr:uid="{A9A3BD5D-0681-402F-858E-7DBF01BD4B87}"/>
    <cellStyle name="Calc Units (0)" xfId="928" xr:uid="{36E83ABF-2D5C-4661-BC2E-71334397662E}"/>
    <cellStyle name="Calc Units (1)" xfId="929" xr:uid="{F0AFA0A1-BC6C-496B-B191-4E7B60818C0D}"/>
    <cellStyle name="Calc Units (2)" xfId="930" xr:uid="{6978A953-3AC7-49EE-81C3-41C4C892A3A4}"/>
    <cellStyle name="Calculation" xfId="21" builtinId="22" customBuiltin="1"/>
    <cellStyle name="Calculation 2" xfId="112" xr:uid="{FC4E5E01-057D-403E-9E92-F0308236DEC1}"/>
    <cellStyle name="Calculation 2 10" xfId="932" xr:uid="{41378415-2632-4A38-8988-81B33FC7A5F4}"/>
    <cellStyle name="Calculation 2 11" xfId="933" xr:uid="{ED164EA7-4B0F-444B-A38D-29485A708FB9}"/>
    <cellStyle name="Calculation 2 12" xfId="931" xr:uid="{BB26F91B-71DD-45E0-920B-DD28EB8F7734}"/>
    <cellStyle name="Calculation 2 2" xfId="934" xr:uid="{022EF371-2AFA-45FC-BC54-994A0C309F95}"/>
    <cellStyle name="Calculation 2 2 2" xfId="935" xr:uid="{CF1134BE-E284-4797-BDEC-D086C399A94A}"/>
    <cellStyle name="Calculation 2 2 3" xfId="936" xr:uid="{042D70F0-EAAB-4919-BAB1-697A1DA7689F}"/>
    <cellStyle name="Calculation 2 2 4" xfId="937" xr:uid="{D9C4F7ED-549A-47CC-B8D2-A196FD0B4DB6}"/>
    <cellStyle name="Calculation 2 3" xfId="938" xr:uid="{50F739A0-41C7-4BDC-A58B-2A9AC39DEA1D}"/>
    <cellStyle name="Calculation 2 4" xfId="939" xr:uid="{7C9C9A73-4077-48B3-8339-B6F5494D1F57}"/>
    <cellStyle name="Calculation 2 5" xfId="940" xr:uid="{1241EE1D-0162-4481-A64E-EF91AA2952F4}"/>
    <cellStyle name="Calculation 2 6" xfId="941" xr:uid="{BBB0DF2F-57AD-4653-A17C-050006AC3CA8}"/>
    <cellStyle name="Calculation 2 7" xfId="942" xr:uid="{CB100BE2-6204-412D-B570-C5983084187A}"/>
    <cellStyle name="Calculation 2 8" xfId="943" xr:uid="{823311A0-34A3-4DF5-8F19-1E24FA217D46}"/>
    <cellStyle name="Calculation 2 9" xfId="944" xr:uid="{CAB7456B-C93D-46D1-A4C8-2752145298C5}"/>
    <cellStyle name="Calculation 3" xfId="84" xr:uid="{9FD0948E-E4B5-4A5F-8DD8-276CAB88FC93}"/>
    <cellStyle name="Case" xfId="945" xr:uid="{84CFDB8F-4A26-4AAD-AB31-DEFC5C862709}"/>
    <cellStyle name="Check" xfId="946" xr:uid="{7DE0694F-2688-4DEB-BC78-310BC0563671}"/>
    <cellStyle name="Check Cell" xfId="23" builtinId="23" customBuiltin="1"/>
    <cellStyle name="Check Cell 2" xfId="114" xr:uid="{A09DB6B5-0506-4F24-9C53-4A366BB0C5AD}"/>
    <cellStyle name="Check Cell 2 10" xfId="947" xr:uid="{DF2DBF66-1FBD-4A96-8C02-F8EC03A5833A}"/>
    <cellStyle name="Check Cell 2 2" xfId="948" xr:uid="{30411ECE-758A-439E-B878-FEE37A3398EC}"/>
    <cellStyle name="Check Cell 2 3" xfId="949" xr:uid="{1DC1567D-F427-4FAF-BD5C-621395EAAFD3}"/>
    <cellStyle name="Check Cell 2 4" xfId="950" xr:uid="{C052F9E7-A708-4A4B-9321-A59B2E421803}"/>
    <cellStyle name="Check Cell 2 5" xfId="951" xr:uid="{E40EB5CC-1558-43FF-8A84-8624A82A5E12}"/>
    <cellStyle name="Check Cell 2 6" xfId="952" xr:uid="{C43F4427-1B61-4E85-898A-C239DAA1AA3E}"/>
    <cellStyle name="Check Cell 2 7" xfId="953" xr:uid="{D2D738E3-49C1-4939-9452-84CDD03D9183}"/>
    <cellStyle name="Check Cell 2 8" xfId="954" xr:uid="{9C0F1A6D-31E4-4BC5-B6F5-B346A2195A23}"/>
    <cellStyle name="Check Cell 2 9" xfId="955" xr:uid="{50E5EF63-DE1F-4836-AFAA-BB221B28B572}"/>
    <cellStyle name="Check Cell 3" xfId="85" xr:uid="{C39776B8-57D1-4301-9875-97DCCAFC3380}"/>
    <cellStyle name="Chiffre" xfId="956" xr:uid="{F1280AF5-168B-4D39-94A6-3E571D08917C}"/>
    <cellStyle name="Colhead_left" xfId="957" xr:uid="{A4540797-A20F-4F11-B756-CC48DA46A54D}"/>
    <cellStyle name="ColHeading" xfId="958" xr:uid="{5DBEFC3C-8FEA-4B42-8235-FFF0E8371375}"/>
    <cellStyle name="Column Title" xfId="959" xr:uid="{8E0AFCBE-8FEA-416F-A56B-BB703A1C1078}"/>
    <cellStyle name="ColumnHeadings" xfId="960" xr:uid="{B60D7EA5-40FA-4129-B5FB-B2B988AF7AC1}"/>
    <cellStyle name="ColumnHeadings2" xfId="961" xr:uid="{4069C4D7-DD12-4BB0-9CBF-4489FBF47CCE}"/>
    <cellStyle name="Comma" xfId="1" builtinId="3"/>
    <cellStyle name="Comma  - Style1" xfId="962" xr:uid="{0EC6D76D-A790-4513-BAF8-9B73A804451F}"/>
    <cellStyle name="Comma  - Style2" xfId="963" xr:uid="{4CCD4A7D-61D4-4DE2-82DA-E5D5701D9D20}"/>
    <cellStyle name="Comma  - Style3" xfId="964" xr:uid="{F8832D37-5CD4-4BF0-8221-8F5A2FA6F35A}"/>
    <cellStyle name="Comma  - Style4" xfId="965" xr:uid="{0F848081-0B24-42B8-9BAF-AB396BD52B72}"/>
    <cellStyle name="Comma  - Style5" xfId="966" xr:uid="{502A6C78-2331-4199-B684-35D8FF47C7DC}"/>
    <cellStyle name="Comma  - Style6" xfId="967" xr:uid="{4B22C3C4-EE07-42CD-8B7A-FEEBAD78CA9C}"/>
    <cellStyle name="Comma  - Style7" xfId="968" xr:uid="{7A84D7B0-4A58-4F71-A183-03C77D58F0A3}"/>
    <cellStyle name="Comma  - Style8" xfId="969" xr:uid="{84D476C7-6CA8-4FAB-8AB0-D78D4004CFCB}"/>
    <cellStyle name="Comma ," xfId="970" xr:uid="{25CF6559-E980-4030-A623-B763D7431B62}"/>
    <cellStyle name="Comma [00]" xfId="971" xr:uid="{333294E0-6D80-43FF-90E9-D528DB8DFC93}"/>
    <cellStyle name="Comma [1]" xfId="972" xr:uid="{92E38E78-0D51-41AE-AFB7-08EEE2B9DD99}"/>
    <cellStyle name="Comma [2]" xfId="973" xr:uid="{E2F4C182-0B4F-45A2-8347-8F905018A373}"/>
    <cellStyle name="Comma [3]" xfId="974" xr:uid="{34965FBF-8F31-4045-85D7-20B7E669692C}"/>
    <cellStyle name="Comma 0" xfId="975" xr:uid="{8AF11992-315C-4EC6-8FA1-555E0451DBCE}"/>
    <cellStyle name="Comma 0*" xfId="976" xr:uid="{397E932C-F2A6-4FE3-84D4-41B62FF857D6}"/>
    <cellStyle name="Comma 0_Merger Model_KN&amp;Fzio_v2.30 - Street" xfId="977" xr:uid="{4AFC2C19-1687-47C2-BD7D-4C477E5FD915}"/>
    <cellStyle name="Comma 10" xfId="978" xr:uid="{AC2918B3-7041-4297-B00A-3CAF2B786477}"/>
    <cellStyle name="Comma 10 2" xfId="979" xr:uid="{1A4078C1-C8A3-4B5F-BECD-0B5D0DCEA3AE}"/>
    <cellStyle name="Comma 10 3" xfId="980" xr:uid="{CF672836-2E62-45BE-B2F3-CB35A23C2AF6}"/>
    <cellStyle name="Comma 10 4" xfId="981" xr:uid="{A8E0601B-F0D5-466E-A384-49F4C07B0D2A}"/>
    <cellStyle name="Comma 10 5" xfId="982" xr:uid="{AFF54DD8-15AA-4EA5-8BF9-A68840C2A4B3}"/>
    <cellStyle name="Comma 11" xfId="983" xr:uid="{E76D519A-C997-4AB0-9BD4-911218E30DCF}"/>
    <cellStyle name="Comma 12" xfId="984" xr:uid="{FB8B4271-FB0C-44EF-8342-07A9D1675D93}"/>
    <cellStyle name="Comma 13" xfId="197" xr:uid="{F8DAC3B9-396C-433D-9E2C-8CB2FC30B5D5}"/>
    <cellStyle name="Comma 14" xfId="4690" xr:uid="{16121368-4D5F-43FD-8A1F-17DBCAD384A2}"/>
    <cellStyle name="Comma 15" xfId="4694" xr:uid="{1A2CBCF1-6747-4C6E-BBF8-966EABCE29BD}"/>
    <cellStyle name="Comma 2" xfId="10" xr:uid="{0567416D-6285-41D1-B373-B57BC0F6B5AD}"/>
    <cellStyle name="Comma 2 10" xfId="985" xr:uid="{98788910-B3D2-4373-B6A3-E56756904593}"/>
    <cellStyle name="Comma 2 11" xfId="986" xr:uid="{22FE4AC9-364A-4443-9A59-7423238C4E85}"/>
    <cellStyle name="Comma 2 11 2" xfId="987" xr:uid="{72187BCC-0501-4B1D-857C-43B4EB4ED573}"/>
    <cellStyle name="Comma 2 11 2 2" xfId="988" xr:uid="{4EE6A40D-397D-407B-9D45-BF4A8077A38A}"/>
    <cellStyle name="Comma 2 11 3" xfId="989" xr:uid="{FC13652C-60EB-448A-80AA-EA954ECC77B6}"/>
    <cellStyle name="Comma 2 12" xfId="990" xr:uid="{771EFA22-77BD-4C5C-80D7-637F4825FB7F}"/>
    <cellStyle name="Comma 2 12 2" xfId="991" xr:uid="{ED11DDF3-9D07-42C7-A004-65BE8267BB8E}"/>
    <cellStyle name="Comma 2 13" xfId="992" xr:uid="{A368DB05-2BE4-414C-8ACE-B0EA3904EE0E}"/>
    <cellStyle name="Comma 2 14" xfId="993" xr:uid="{D8FA35E8-8D9C-4A2E-8E67-FA136CE7F1CD}"/>
    <cellStyle name="Comma 2 15" xfId="994" xr:uid="{70C1F3FF-BD76-4BF3-AC8E-8ACD1D4B1072}"/>
    <cellStyle name="Comma 2 16" xfId="995" xr:uid="{DAD27DC7-6D7A-4517-8823-02F44A3D5BF2}"/>
    <cellStyle name="Comma 2 17" xfId="996" xr:uid="{7B71341C-F0B8-4951-A320-CEACD1245947}"/>
    <cellStyle name="Comma 2 18" xfId="997" xr:uid="{8B4E7705-BDF2-4938-929A-82881495C648}"/>
    <cellStyle name="Comma 2 19" xfId="998" xr:uid="{56545FD1-4373-4856-A3C5-668049572F86}"/>
    <cellStyle name="Comma 2 2" xfId="999" xr:uid="{8A74CB07-334E-4710-8340-0389BEB203E6}"/>
    <cellStyle name="Comma 2 2 10" xfId="1000" xr:uid="{9E374247-5E3B-4F0C-81D8-C0EAAA0CB654}"/>
    <cellStyle name="Comma 2 2 11" xfId="1001" xr:uid="{4C38DAB4-75EE-48A1-A902-F82CF8EE40DF}"/>
    <cellStyle name="Comma 2 2 2" xfId="1002" xr:uid="{968A36C2-91EF-4474-A4F8-700A1A94E229}"/>
    <cellStyle name="Comma 2 2 2 2" xfId="1003" xr:uid="{7A9C3303-62E8-4366-BB77-D9946C25316C}"/>
    <cellStyle name="Comma 2 2 3" xfId="1004" xr:uid="{8052D7D2-8074-404D-8A0E-D22AA96D737E}"/>
    <cellStyle name="Comma 2 2 4" xfId="1005" xr:uid="{94A36AB2-5245-4C6A-8A26-927B65C93D76}"/>
    <cellStyle name="Comma 2 2 5" xfId="1006" xr:uid="{634D7863-6E2B-4BFB-9DBF-4F2956B88B12}"/>
    <cellStyle name="Comma 2 2 6" xfId="1007" xr:uid="{351969F5-4808-4A8C-92D6-450FDAD8ACCC}"/>
    <cellStyle name="Comma 2 2 7" xfId="1008" xr:uid="{EF7AA197-7B35-49F5-B84C-0852124E9D9F}"/>
    <cellStyle name="Comma 2 2 8" xfId="1009" xr:uid="{31B008E4-98F0-4FD8-BEE1-71BDFE74B0FA}"/>
    <cellStyle name="Comma 2 2 9" xfId="1010" xr:uid="{9BB675FB-9F9A-472C-8DCC-5E727B4FE16E}"/>
    <cellStyle name="Comma 2 20" xfId="198" xr:uid="{4A8A1952-FC0E-4130-8EFE-8E8D1DF71DF0}"/>
    <cellStyle name="Comma 2 3" xfId="1011" xr:uid="{B8678E81-FB57-4357-9B56-4744CBAF0AF5}"/>
    <cellStyle name="Comma 2 3 2" xfId="1012" xr:uid="{FAB988B5-D2F7-468B-B26C-B303CC94A9F3}"/>
    <cellStyle name="Comma 2 3 3" xfId="1013" xr:uid="{FD0080F7-B019-409C-8F90-235A5E0272F5}"/>
    <cellStyle name="Comma 2 3 4" xfId="1014" xr:uid="{A53FEAF2-AB8E-4302-B158-536EB498B65A}"/>
    <cellStyle name="Comma 2 3 5" xfId="1015" xr:uid="{67C11FC4-7913-436A-9FBE-4A2CDA9AEAE7}"/>
    <cellStyle name="Comma 2 3 6" xfId="1016" xr:uid="{1562D199-C894-44E5-95B9-E0A491EAE4DE}"/>
    <cellStyle name="Comma 2 3 7" xfId="1017" xr:uid="{7454E664-4F4F-45AB-B5EE-C2C809DC3F85}"/>
    <cellStyle name="Comma 2 3 8" xfId="1018" xr:uid="{D554F0AB-8C3D-4989-977B-1972E39CAAE8}"/>
    <cellStyle name="Comma 2 4" xfId="1019" xr:uid="{4EF5D6BD-B7F0-427A-B700-AC8CBF03137B}"/>
    <cellStyle name="Comma 2 4 2" xfId="1020" xr:uid="{CD13F25B-0299-40F5-844F-F785533A2CEF}"/>
    <cellStyle name="Comma 2 4 3" xfId="1021" xr:uid="{75703E64-11A5-47CF-B9DA-D3A4D2A939B1}"/>
    <cellStyle name="Comma 2 5" xfId="1022" xr:uid="{8558D61D-A974-49CE-B7F3-B9DA68456C19}"/>
    <cellStyle name="Comma 2 5 2" xfId="1023" xr:uid="{DC5108B5-ED96-4F4E-B301-539CC2AC1124}"/>
    <cellStyle name="Comma 2 5 2 2" xfId="1024" xr:uid="{58DEA9DC-1B8A-4EB7-A08D-51071A500AF3}"/>
    <cellStyle name="Comma 2 5 2 2 2" xfId="1025" xr:uid="{D54A2D44-6849-4EB6-B60B-3014D6DCC2A5}"/>
    <cellStyle name="Comma 2 5 2 2 2 2" xfId="1026" xr:uid="{4E4D8583-1694-475B-9905-A7BE3E459E69}"/>
    <cellStyle name="Comma 2 5 2 2 3" xfId="1027" xr:uid="{7D6EAEBE-8583-4A70-B53B-DA4B77053196}"/>
    <cellStyle name="Comma 2 5 2 3" xfId="1028" xr:uid="{1CCF4BC3-696B-44C1-A3EE-231D7487F66A}"/>
    <cellStyle name="Comma 2 5 2 3 2" xfId="1029" xr:uid="{89AD3228-A5D6-4DF0-BEA7-213B22E36A27}"/>
    <cellStyle name="Comma 2 5 2 4" xfId="1030" xr:uid="{06BF6B48-A01C-4EF8-82FA-5C8A9FA56B6D}"/>
    <cellStyle name="Comma 2 5 3" xfId="1031" xr:uid="{9DE617C7-7A8F-485F-9A48-4F1A746B3B65}"/>
    <cellStyle name="Comma 2 5 3 2" xfId="1032" xr:uid="{C8FE33A5-725A-4FB5-AC08-1F87309419D4}"/>
    <cellStyle name="Comma 2 5 3 2 2" xfId="1033" xr:uid="{EEC5074D-0462-43C4-BA72-94EC1A7F4BA8}"/>
    <cellStyle name="Comma 2 5 3 2 2 2" xfId="1034" xr:uid="{0ABFFBAC-BC9C-4075-96B0-38107DDB12D8}"/>
    <cellStyle name="Comma 2 5 3 2 3" xfId="1035" xr:uid="{C25A1CD8-A85C-4EED-81AC-07A8EC767ED1}"/>
    <cellStyle name="Comma 2 5 3 3" xfId="1036" xr:uid="{92DBA3E2-52DC-4EBF-B9EC-3B75695A8559}"/>
    <cellStyle name="Comma 2 5 3 3 2" xfId="1037" xr:uid="{168E2A23-07AB-420F-874C-55A48B72F6A4}"/>
    <cellStyle name="Comma 2 5 3 4" xfId="1038" xr:uid="{5F68663A-8857-4DE6-A9A9-5E45CADF26CE}"/>
    <cellStyle name="Comma 2 5 4" xfId="1039" xr:uid="{3A352570-484C-4F14-A705-FCEC3A4ACA32}"/>
    <cellStyle name="Comma 2 5 4 2" xfId="1040" xr:uid="{19A0AEAD-66E4-45D0-960C-B4DF20A944E0}"/>
    <cellStyle name="Comma 2 5 4 2 2" xfId="1041" xr:uid="{BDCE2EF4-8BE0-4C77-B292-A37B52744E14}"/>
    <cellStyle name="Comma 2 5 4 3" xfId="1042" xr:uid="{5AA73A6F-8DC3-4D65-99B7-5A2723628184}"/>
    <cellStyle name="Comma 2 5 5" xfId="1043" xr:uid="{C6A3011F-0F8C-4380-BEBD-71EF7823C30B}"/>
    <cellStyle name="Comma 2 5 5 2" xfId="1044" xr:uid="{5EEF9521-9634-4464-B51D-E965FCF34C50}"/>
    <cellStyle name="Comma 2 5 6" xfId="1045" xr:uid="{D0276C24-853F-4035-9FDB-D744B0E67351}"/>
    <cellStyle name="Comma 2 6" xfId="1046" xr:uid="{7FE65F8C-F932-4254-9AF8-987064840704}"/>
    <cellStyle name="Comma 2 6 2" xfId="1047" xr:uid="{60AEE9E4-81C2-4915-87A2-5995E741F818}"/>
    <cellStyle name="Comma 2 6 2 2" xfId="1048" xr:uid="{C85069E0-A8F8-460D-B33E-F1E0BAC125EB}"/>
    <cellStyle name="Comma 2 6 2 2 2" xfId="1049" xr:uid="{420342CF-00E0-4293-99C4-CFDF002FD4EA}"/>
    <cellStyle name="Comma 2 6 2 3" xfId="1050" xr:uid="{0226782E-48BC-4343-BDE5-D2092080B46F}"/>
    <cellStyle name="Comma 2 6 3" xfId="1051" xr:uid="{23EA4491-85B8-4441-8B1D-436365E0C32A}"/>
    <cellStyle name="Comma 2 6 3 2" xfId="1052" xr:uid="{2051018C-2EC4-479B-9033-DBF6D83064B9}"/>
    <cellStyle name="Comma 2 6 4" xfId="1053" xr:uid="{92FDE097-4915-4AC5-9B7A-125EAA2B5C8F}"/>
    <cellStyle name="Comma 2 7" xfId="1054" xr:uid="{2B02BB06-DD31-4983-A3EF-6316B8B5BCFE}"/>
    <cellStyle name="Comma 2 7 2" xfId="1055" xr:uid="{9F1264A9-BA3A-4168-AB9B-93E0B52B85E7}"/>
    <cellStyle name="Comma 2 7 2 2" xfId="1056" xr:uid="{51F96713-D10B-4496-8DB1-8BEBF5A6EA7F}"/>
    <cellStyle name="Comma 2 7 2 2 2" xfId="1057" xr:uid="{F9D5FF36-E867-4CDA-8DE0-6FF3C5F55FA6}"/>
    <cellStyle name="Comma 2 7 2 3" xfId="1058" xr:uid="{D98CB4B8-A262-40D4-AB75-BAACC4BE3614}"/>
    <cellStyle name="Comma 2 7 3" xfId="1059" xr:uid="{FB388590-FEBC-401E-9A6E-C8C553FCC6BF}"/>
    <cellStyle name="Comma 2 7 3 2" xfId="1060" xr:uid="{CB8C4820-0686-484B-89E9-28F29D5EE259}"/>
    <cellStyle name="Comma 2 7 4" xfId="1061" xr:uid="{DAD68668-6505-41D1-AA21-C54E327D5A7C}"/>
    <cellStyle name="Comma 2 8" xfId="1062" xr:uid="{69B51F21-1614-42D6-9D23-29058E33D9D9}"/>
    <cellStyle name="Comma 2 9" xfId="1063" xr:uid="{18E4057E-FDAD-4F01-A418-8E23DC420A45}"/>
    <cellStyle name="Comma 2 9 2" xfId="1064" xr:uid="{30CBB7B6-2454-4409-8E99-C27169C351CE}"/>
    <cellStyle name="Comma 2 9 2 2" xfId="1065" xr:uid="{22B71250-8625-4B38-A05E-0CE54238A8B6}"/>
    <cellStyle name="Comma 2 9 3" xfId="1066" xr:uid="{88D51684-D2F2-40D7-8C41-DE6793F5F6C6}"/>
    <cellStyle name="Comma 2*" xfId="1067" xr:uid="{A5056EE1-3662-481B-917D-FAAA9CEC5362}"/>
    <cellStyle name="Comma 3" xfId="53" xr:uid="{15C1983E-5187-4A6C-920A-4721105E5C81}"/>
    <cellStyle name="Comma 3 10" xfId="199" xr:uid="{4CB68F0E-7E13-450F-8796-32D2D118D27E}"/>
    <cellStyle name="Comma 3 2" xfId="175" xr:uid="{8F67AD1F-1BA4-4649-B1C0-15D665B40396}"/>
    <cellStyle name="Comma 3 2 2" xfId="179" xr:uid="{A88C87BD-1D4E-4402-BDB5-767E5C7550D8}"/>
    <cellStyle name="Comma 3 2 2 2" xfId="1068" xr:uid="{C01FE173-CC88-41F2-9DCF-DDA2244CC433}"/>
    <cellStyle name="Comma 3 2 3" xfId="200" xr:uid="{E78AEBE7-7A07-4FD0-A477-B0223D58CAF7}"/>
    <cellStyle name="Comma 3 3" xfId="145" xr:uid="{4DFE5769-EEEF-4ABB-90FC-F4C00CB4EF39}"/>
    <cellStyle name="Comma 3 3 2" xfId="1069" xr:uid="{A389FACA-4E81-4774-B428-0393D8F8FC97}"/>
    <cellStyle name="Comma 3 3 2 2" xfId="1070" xr:uid="{0EE853DB-240C-49C8-B95B-F153ECEDB07B}"/>
    <cellStyle name="Comma 3 3 3" xfId="1071" xr:uid="{2592C2DB-1C1A-4FED-95FF-BC91CD0816AF}"/>
    <cellStyle name="Comma 3 3 4" xfId="1072" xr:uid="{45888B72-D0C6-4CFC-BB6B-63253C3914A0}"/>
    <cellStyle name="Comma 3 4" xfId="1073" xr:uid="{D82CA91D-2CC7-45DB-89FF-A29E894BFF02}"/>
    <cellStyle name="Comma 3 4 2" xfId="1074" xr:uid="{D44815AE-98F3-4600-B1F0-C4C778E0D552}"/>
    <cellStyle name="Comma 3 4 3" xfId="1075" xr:uid="{3487D75A-9C6D-4D36-A387-A9530935264D}"/>
    <cellStyle name="Comma 3 5" xfId="1076" xr:uid="{4E165D92-5AFF-45E7-9589-EA2096D132AA}"/>
    <cellStyle name="Comma 3 6" xfId="1077" xr:uid="{2B83EC49-A702-403E-8D2F-E239B1256B75}"/>
    <cellStyle name="Comma 3 7" xfId="1078" xr:uid="{65B85FD1-84C7-4A02-92DF-ECBD0142825E}"/>
    <cellStyle name="Comma 3 8" xfId="1079" xr:uid="{2012A508-094C-49C5-9122-CCCCA8E97462}"/>
    <cellStyle name="Comma 3 9" xfId="1080" xr:uid="{AD7CEC91-63F5-4D9E-A840-FD4DAE4600E9}"/>
    <cellStyle name="Comma 4" xfId="150" xr:uid="{DFD37497-714B-4B1E-8601-E7A4BA8B7BB1}"/>
    <cellStyle name="Comma 4 10" xfId="1081" xr:uid="{D35737A8-C15D-4F8B-9F6C-9BA0EBD7413F}"/>
    <cellStyle name="Comma 4 11" xfId="1082" xr:uid="{6898FD9B-EEA8-457E-A137-B8EB2E7A6034}"/>
    <cellStyle name="Comma 4 12" xfId="1083" xr:uid="{1B18C4A1-61B6-46DC-A328-B5F650133B93}"/>
    <cellStyle name="Comma 4 13" xfId="1084" xr:uid="{14AF4EF5-295C-4BF2-A69B-C8C20366953D}"/>
    <cellStyle name="Comma 4 14" xfId="1085" xr:uid="{AEF3FD84-7330-42B9-97CE-87C5C5EC3313}"/>
    <cellStyle name="Comma 4 15" xfId="201" xr:uid="{54D75D14-886E-4B08-B77D-9DC1D5F7DC88}"/>
    <cellStyle name="Comma 4 2" xfId="1086" xr:uid="{8E907FCC-2DC7-4E1C-897B-72D260AD7D7B}"/>
    <cellStyle name="Comma 4 2 2" xfId="1087" xr:uid="{94D0740C-07AD-4A86-A1FE-50B0F501814E}"/>
    <cellStyle name="Comma 4 2 2 2" xfId="1088" xr:uid="{7DE99D6C-CFA3-4A29-B7DC-58F20F35F256}"/>
    <cellStyle name="Comma 4 2 2 2 2" xfId="1089" xr:uid="{95CD22B6-636D-42E0-959C-189E55B07AFB}"/>
    <cellStyle name="Comma 4 2 2 3" xfId="1090" xr:uid="{F8F00462-AFEE-40A1-82AE-11FA3E19493C}"/>
    <cellStyle name="Comma 4 2 3" xfId="1091" xr:uid="{849FF0F1-76B9-4DAA-8B0F-2EDF7B072DDC}"/>
    <cellStyle name="Comma 4 2 3 2" xfId="1092" xr:uid="{9F714990-2ED5-4263-AF42-47628A2A6FF0}"/>
    <cellStyle name="Comma 4 2 4" xfId="1093" xr:uid="{8352CCBA-672B-45D5-8654-77C327C5DF0B}"/>
    <cellStyle name="Comma 4 2 5" xfId="1094" xr:uid="{EEB0F813-677D-4AE5-B653-7A770DD9082D}"/>
    <cellStyle name="Comma 4 3" xfId="1095" xr:uid="{490AE0E4-C38F-43EC-A21A-594A24400D06}"/>
    <cellStyle name="Comma 4 3 2" xfId="1096" xr:uid="{B174C8B2-6E49-47B4-BF8F-874EC57784C6}"/>
    <cellStyle name="Comma 4 3 2 2" xfId="1097" xr:uid="{065D1714-0236-46B4-AEA0-17F5A5B06305}"/>
    <cellStyle name="Comma 4 3 2 2 2" xfId="1098" xr:uid="{65CA7292-2FD2-41DA-ACF5-791F6118F79A}"/>
    <cellStyle name="Comma 4 3 2 3" xfId="1099" xr:uid="{9C85FE2E-1039-4999-AED5-904A3E8AE8EC}"/>
    <cellStyle name="Comma 4 3 3" xfId="1100" xr:uid="{00071D45-710F-4A06-AD1D-D236DA587AC2}"/>
    <cellStyle name="Comma 4 3 3 2" xfId="1101" xr:uid="{46989B70-8C9E-4559-91BF-393E1FC1D89F}"/>
    <cellStyle name="Comma 4 3 4" xfId="1102" xr:uid="{0DCAB9FC-E50D-4C1B-8F07-8104D7FE1A3B}"/>
    <cellStyle name="Comma 4 4" xfId="1103" xr:uid="{48425E6F-5ACD-4398-B4A0-64B42EDDC3E1}"/>
    <cellStyle name="Comma 4 4 2" xfId="1104" xr:uid="{30E2279E-70D2-4B03-BEB3-4BE60699D209}"/>
    <cellStyle name="Comma 4 4 2 2" xfId="1105" xr:uid="{3490F92F-895F-4AEB-BF09-BBD92AC1037B}"/>
    <cellStyle name="Comma 4 4 2 2 2" xfId="1106" xr:uid="{9AF69BDF-78AD-461B-861F-B8D62777266D}"/>
    <cellStyle name="Comma 4 4 2 3" xfId="1107" xr:uid="{31488D56-C86A-4929-BD82-3C7086916DEF}"/>
    <cellStyle name="Comma 4 4 3" xfId="1108" xr:uid="{F6547E10-BEDE-481C-B00E-1CB4740D864E}"/>
    <cellStyle name="Comma 4 4 3 2" xfId="1109" xr:uid="{5E90D09B-CD0D-49BF-9580-AA75273E49A9}"/>
    <cellStyle name="Comma 4 4 4" xfId="1110" xr:uid="{3010A80F-1883-4909-A407-B1106D0194EB}"/>
    <cellStyle name="Comma 4 5" xfId="1111" xr:uid="{F2B5420F-D535-4585-825D-A8ED407A8A9C}"/>
    <cellStyle name="Comma 4 5 2" xfId="1112" xr:uid="{834BDD2E-3FD0-4FBB-81CE-CCB954822A75}"/>
    <cellStyle name="Comma 4 5 2 2" xfId="1113" xr:uid="{6C88C299-3D27-4471-BF06-E640C7EAC29C}"/>
    <cellStyle name="Comma 4 5 3" xfId="1114" xr:uid="{183D4188-9C74-4A8C-8840-0E380AEEBC51}"/>
    <cellStyle name="Comma 4 6" xfId="1115" xr:uid="{AC2BC546-3F0B-4131-83BA-28BC537F5442}"/>
    <cellStyle name="Comma 4 6 2" xfId="1116" xr:uid="{A166C3A9-23C7-4DF5-B191-01818A519526}"/>
    <cellStyle name="Comma 4 6 2 2" xfId="1117" xr:uid="{0EF497F2-CFAE-419A-8A00-143248CB9321}"/>
    <cellStyle name="Comma 4 6 3" xfId="1118" xr:uid="{BBB9CB8F-4BF9-4F80-9E6F-A58CB5A42772}"/>
    <cellStyle name="Comma 4 7" xfId="1119" xr:uid="{4638D26E-7A0B-4A8D-AB16-3E988A459023}"/>
    <cellStyle name="Comma 4 7 2" xfId="1120" xr:uid="{D5E1E634-1B6C-4FC4-BC6F-401B3464394C}"/>
    <cellStyle name="Comma 4 8" xfId="1121" xr:uid="{33C561D7-8555-40D0-A444-844A19F857D6}"/>
    <cellStyle name="Comma 4 9" xfId="1122" xr:uid="{163EA99C-EF8F-4AB5-94E8-38CCC240B309}"/>
    <cellStyle name="Comma 44" xfId="57" xr:uid="{39D3DBB7-56C3-4E2D-825C-3CBA34674C84}"/>
    <cellStyle name="Comma 5" xfId="183" xr:uid="{76659502-D7C5-4D6F-A2AE-3AD6968C137A}"/>
    <cellStyle name="Comma 5 10" xfId="1123" xr:uid="{A5F05C0F-8AB1-4AE5-ACE1-10CEC497E0D4}"/>
    <cellStyle name="Comma 5 11" xfId="1124" xr:uid="{B1D273CA-4D6F-495B-9BB1-6BF08B72815C}"/>
    <cellStyle name="Comma 5 12" xfId="1125" xr:uid="{9C5E3A1D-6389-45D1-9FD5-32F9F5B2BAD2}"/>
    <cellStyle name="Comma 5 13" xfId="202" xr:uid="{74BBF72D-B451-4AEA-BA92-8A07AD27AF68}"/>
    <cellStyle name="Comma 5 14" xfId="9" xr:uid="{77ECBA22-9417-460B-A057-D288037EB773}"/>
    <cellStyle name="Comma 5 2" xfId="203" xr:uid="{4DFCD5E2-3833-4184-8B22-9502981BFA81}"/>
    <cellStyle name="Comma 5 2 2" xfId="1126" xr:uid="{416E6826-932F-4330-A9A2-78650535829C}"/>
    <cellStyle name="Comma 5 2 2 2" xfId="1127" xr:uid="{0ABE98DE-FA1E-4635-B0CE-7E764183F7A2}"/>
    <cellStyle name="Comma 5 2 2 2 2" xfId="1128" xr:uid="{C7429104-8021-43A1-B962-E1C749EF0CD7}"/>
    <cellStyle name="Comma 5 2 2 3" xfId="1129" xr:uid="{00F7F14F-C033-42F2-BCA3-6100F9C41AC0}"/>
    <cellStyle name="Comma 5 2 3" xfId="1130" xr:uid="{31DCA15B-6AA4-4DC9-AD59-5F3538D48150}"/>
    <cellStyle name="Comma 5 2 3 2" xfId="1131" xr:uid="{D5CC5C9D-3404-4DCA-B900-BC038047404B}"/>
    <cellStyle name="Comma 5 2 4" xfId="1132" xr:uid="{FB7DA449-1043-46BC-9962-FE03937EC55B}"/>
    <cellStyle name="Comma 5 3" xfId="1133" xr:uid="{37D3DD21-8B85-4AC7-935E-154F89F810AD}"/>
    <cellStyle name="Comma 5 3 2" xfId="1134" xr:uid="{67847DFF-597A-4F13-9DC5-409D8905EB63}"/>
    <cellStyle name="Comma 5 3 2 2" xfId="1135" xr:uid="{214E20F7-28A8-4847-907A-80B0249718CC}"/>
    <cellStyle name="Comma 5 3 2 2 2" xfId="1136" xr:uid="{E2C1ABA3-FDDA-470E-99B9-51F63DC40150}"/>
    <cellStyle name="Comma 5 3 2 3" xfId="1137" xr:uid="{B1933938-CCE5-4381-891E-AF9B3BF38D25}"/>
    <cellStyle name="Comma 5 3 3" xfId="1138" xr:uid="{E9A8253C-75AD-45F6-B5D8-282A0491A84F}"/>
    <cellStyle name="Comma 5 3 3 2" xfId="1139" xr:uid="{DC475F93-43EE-4905-9472-F817E468B420}"/>
    <cellStyle name="Comma 5 3 4" xfId="1140" xr:uid="{9990B88C-524E-4641-BECF-58A45E36D6F9}"/>
    <cellStyle name="Comma 5 4" xfId="1141" xr:uid="{604D3DDC-7E6C-4AC9-AA71-26AB963374AF}"/>
    <cellStyle name="Comma 5 4 2" xfId="1142" xr:uid="{45835E80-0B30-4A92-9720-E86BBB8872C2}"/>
    <cellStyle name="Comma 5 4 2 2" xfId="1143" xr:uid="{A2487642-C2F6-4410-870E-605969F0DE37}"/>
    <cellStyle name="Comma 5 4 3" xfId="1144" xr:uid="{81466651-29F4-4A72-92EB-54934B1002FF}"/>
    <cellStyle name="Comma 5 5" xfId="1145" xr:uid="{3A6AB5BF-7832-494C-BC33-843FFADAC4C8}"/>
    <cellStyle name="Comma 5 5 2" xfId="1146" xr:uid="{B2193563-C9C9-4EF7-8380-2A65B42B12CC}"/>
    <cellStyle name="Comma 5 5 2 2" xfId="1147" xr:uid="{8F4076F8-3270-4AFA-9263-B9B3B68000BA}"/>
    <cellStyle name="Comma 5 5 3" xfId="1148" xr:uid="{AA9E7EC6-BFC5-4C02-890F-F08565C875B1}"/>
    <cellStyle name="Comma 5 6" xfId="1149" xr:uid="{54F75112-C14E-4C5B-B24E-3FC6B0136C78}"/>
    <cellStyle name="Comma 5 6 2" xfId="1150" xr:uid="{4A2F4EAD-F903-4F5B-A868-CAC8D504AE23}"/>
    <cellStyle name="Comma 5 7" xfId="1151" xr:uid="{483C3CCB-2B26-4534-9FC6-AA8E40D17C52}"/>
    <cellStyle name="Comma 5 8" xfId="1152" xr:uid="{131E6E16-B920-4B54-BE88-B57EA8F72B50}"/>
    <cellStyle name="Comma 5 9" xfId="1153" xr:uid="{C52E7BCD-4586-467C-B9B9-07D1357C97D7}"/>
    <cellStyle name="Comma 6" xfId="186" xr:uid="{06E7F8D4-BB6B-4146-8DF9-EBD7CE5ADD10}"/>
    <cellStyle name="Comma 6 2" xfId="1155" xr:uid="{E16B2B13-AE0E-48A7-9046-3530B3C4BA7A}"/>
    <cellStyle name="Comma 6 3" xfId="1156" xr:uid="{C7EAD9D8-E010-4C2A-9FB3-119CA5EDB54B}"/>
    <cellStyle name="Comma 6 4" xfId="1157" xr:uid="{C47C5C86-6A67-4B17-B62F-6059C3D0C36A}"/>
    <cellStyle name="Comma 6 5" xfId="1158" xr:uid="{4F794EF0-0B9A-4FF8-AE9B-5189165E45A4}"/>
    <cellStyle name="Comma 6 6" xfId="1159" xr:uid="{68D648B2-9A1D-452F-ACF3-DDF0EE621BD6}"/>
    <cellStyle name="Comma 6 7" xfId="1154" xr:uid="{0D7D8CEF-B438-498D-A7D6-27752DBEE479}"/>
    <cellStyle name="Comma 7" xfId="189" xr:uid="{3838C3BF-2DD8-4C68-A986-62E3E4225A22}"/>
    <cellStyle name="Comma 7 2" xfId="195" xr:uid="{00E96D63-1FAD-4352-A0CA-5D40CBE9A706}"/>
    <cellStyle name="Comma 7 2 2" xfId="1162" xr:uid="{F0380666-AD81-4802-B2B3-863B5A10A742}"/>
    <cellStyle name="Comma 7 2 2 2" xfId="1163" xr:uid="{8D7F9BC1-A7EB-4620-9621-917B5513EAA1}"/>
    <cellStyle name="Comma 7 2 3" xfId="1164" xr:uid="{A5C70939-9774-4B51-AFE7-CC9BECD78230}"/>
    <cellStyle name="Comma 7 2 4" xfId="1161" xr:uid="{B8FC976E-922A-4821-AE07-AAE8C5D4D7B2}"/>
    <cellStyle name="Comma 7 3" xfId="1165" xr:uid="{32AECA91-EFDF-4194-9BB8-C11E6A45ECAB}"/>
    <cellStyle name="Comma 7 3 2" xfId="1166" xr:uid="{7D18B4E5-96D4-42FD-A339-6F516AE466AB}"/>
    <cellStyle name="Comma 7 4" xfId="1167" xr:uid="{3102F3BE-1478-4533-B21D-CB9D26FD80E2}"/>
    <cellStyle name="Comma 7 5" xfId="1168" xr:uid="{C1EB7082-5DF4-44FD-8927-809CD2D39660}"/>
    <cellStyle name="Comma 7 6" xfId="1169" xr:uid="{018E44C7-F564-4A90-BC11-10A40874BF87}"/>
    <cellStyle name="Comma 7 7" xfId="1170" xr:uid="{F2427134-5018-45EA-B0F8-F5A576032D8B}"/>
    <cellStyle name="Comma 7 8" xfId="1171" xr:uid="{3FB38499-F0CC-40BA-978D-2D000D8842FC}"/>
    <cellStyle name="Comma 7 9" xfId="1160" xr:uid="{9F838511-E036-4A25-B928-DEB9C6A2A158}"/>
    <cellStyle name="Comma 8" xfId="194" xr:uid="{77DBAE5F-6BA5-4706-9197-9679501DA2D7}"/>
    <cellStyle name="Comma 8 2" xfId="1173" xr:uid="{8BB641F8-F298-4F86-B56A-A70021B26ADA}"/>
    <cellStyle name="Comma 8 2 2" xfId="1174" xr:uid="{B6270630-079A-459A-AFF2-82265207E80C}"/>
    <cellStyle name="Comma 8 3" xfId="1175" xr:uid="{902BC100-C4F6-48F7-8022-2963D5A508D7}"/>
    <cellStyle name="Comma 8 4" xfId="1176" xr:uid="{A55B039E-F5E0-47B0-8DF4-A965D10D6657}"/>
    <cellStyle name="Comma 8 5" xfId="1177" xr:uid="{67747804-F6BC-4CB4-A9B6-A4F13C5143DC}"/>
    <cellStyle name="Comma 8 6" xfId="1178" xr:uid="{ADB3281D-2860-4EE4-B97E-6BEB94822D16}"/>
    <cellStyle name="Comma 8 7" xfId="1179" xr:uid="{1F21840B-47C1-4FC4-ACED-1A40BB880628}"/>
    <cellStyle name="Comma 8 8" xfId="1172" xr:uid="{509E891F-6D7B-4177-95B5-B50F066628E1}"/>
    <cellStyle name="Comma 9" xfId="1180" xr:uid="{D6AB1814-3AAD-4F26-8BC3-549B77985852}"/>
    <cellStyle name="Comma 9 2" xfId="1181" xr:uid="{6303E666-F28E-411E-A6AB-5569F3E1BDC8}"/>
    <cellStyle name="Comma 9 3" xfId="1182" xr:uid="{6F9D874B-A3F9-4B2F-97CD-32F1E1BBCD09}"/>
    <cellStyle name="Comma 9 4" xfId="1183" xr:uid="{9BC2D844-EDCF-4FCC-9548-B204D0C5CD9A}"/>
    <cellStyle name="Comma 9 5" xfId="1184" xr:uid="{720FF138-3710-454A-8E73-1E822AA99576}"/>
    <cellStyle name="Comma0" xfId="160" xr:uid="{23A0BB8F-13E0-401E-B492-D6BD9D8F4017}"/>
    <cellStyle name="Comma2 (0)" xfId="1185" xr:uid="{F6AEB2CB-91D0-4F21-8560-E1437F5E9167}"/>
    <cellStyle name="Comment" xfId="1186" xr:uid="{C071DB59-0E32-47E8-99FD-1AA4EABB1DC4}"/>
    <cellStyle name="Company" xfId="1187" xr:uid="{B482BC7C-CFF7-4235-96C3-5803F2003184}"/>
    <cellStyle name="CurRatio" xfId="1188" xr:uid="{5D7B4C1B-0374-4135-AF2D-B90723BC1429}"/>
    <cellStyle name="Currency--" xfId="1189" xr:uid="{39EA5361-6921-4C16-B721-60F8D3B08A77}"/>
    <cellStyle name="Currency [00]" xfId="1190" xr:uid="{2BAF3A3F-A051-41E5-A938-A627E7E265FD}"/>
    <cellStyle name="Currency [1]" xfId="1191" xr:uid="{94FC41E4-AF92-4B02-BFC1-27AA909B6C4D}"/>
    <cellStyle name="Currency [2]" xfId="1192" xr:uid="{0E47C3C5-6F24-4335-90BA-25B2E5D7F115}"/>
    <cellStyle name="Currency [2] 2" xfId="1193" xr:uid="{DADE27D1-5229-4CB6-A98C-0AB8C29A0A75}"/>
    <cellStyle name="Currency [2] 3" xfId="1194" xr:uid="{9260071A-1F45-4641-9EB5-10E0387A1981}"/>
    <cellStyle name="Currency [3]" xfId="1195" xr:uid="{2EE345A6-F2E8-4D45-B0C8-05FAF87DDAE8}"/>
    <cellStyle name="Currency 0" xfId="1196" xr:uid="{86FE57ED-D130-4751-9426-1F665F1BA4D0}"/>
    <cellStyle name="Currency 10" xfId="1197" xr:uid="{4AE8DE10-657A-43CF-9F8A-60D4C27E4148}"/>
    <cellStyle name="Currency 10 2" xfId="1198" xr:uid="{3CA015FD-5F01-47B7-811F-2BA08AD6AEA4}"/>
    <cellStyle name="Currency 10 2 2" xfId="1199" xr:uid="{43E96BD6-9FBB-4EF4-857C-1416707B2909}"/>
    <cellStyle name="Currency 10 2 2 2" xfId="1200" xr:uid="{DD06BC60-3AAD-4F9A-9C3F-746339A16C28}"/>
    <cellStyle name="Currency 10 2 2 2 2" xfId="1201" xr:uid="{4A45065D-AC4C-498B-9982-51315F4CBBA7}"/>
    <cellStyle name="Currency 10 2 2 3" xfId="1202" xr:uid="{8859E7F7-3D3D-461A-9ADD-EDE2E88BF7E1}"/>
    <cellStyle name="Currency 10 2 3" xfId="1203" xr:uid="{2B2065A4-7BF3-45EE-9888-E427EE983AAE}"/>
    <cellStyle name="Currency 10 2 3 2" xfId="1204" xr:uid="{D4BAB9F3-C87F-4090-A9D8-36F000865251}"/>
    <cellStyle name="Currency 10 2 4" xfId="1205" xr:uid="{BF0E2F13-5D87-4DE1-8EE3-26E03A101410}"/>
    <cellStyle name="Currency 10 3" xfId="1206" xr:uid="{4B7DC5D1-498D-447B-B6FB-3DF3D0248E85}"/>
    <cellStyle name="Currency 10 3 2" xfId="1207" xr:uid="{BA6DB412-C2C8-4767-992A-A9FFBB95A76F}"/>
    <cellStyle name="Currency 10 3 2 2" xfId="1208" xr:uid="{27C5A9A3-807A-40B1-ADA6-1C4BDDFB2DBE}"/>
    <cellStyle name="Currency 10 3 2 2 2" xfId="1209" xr:uid="{F26A3CA6-9E2D-4CBA-B2EC-94EDE41DD643}"/>
    <cellStyle name="Currency 10 3 2 3" xfId="1210" xr:uid="{41E0A555-E80D-4D4F-B6A2-FB3ECAA93568}"/>
    <cellStyle name="Currency 10 3 3" xfId="1211" xr:uid="{098B87BA-D125-4214-A607-72EB3C006BE2}"/>
    <cellStyle name="Currency 10 3 3 2" xfId="1212" xr:uid="{C596BCF6-9697-45C6-A9E1-D24DC78CF227}"/>
    <cellStyle name="Currency 10 3 4" xfId="1213" xr:uid="{CF584A53-C59C-4552-AD27-A8AF247793EE}"/>
    <cellStyle name="Currency 10 4" xfId="1214" xr:uid="{CE5956D2-BB0A-43E9-904A-D725BA9F176A}"/>
    <cellStyle name="Currency 10 4 2" xfId="1215" xr:uid="{B30CE045-5102-4363-BFDA-95C6BC6EE044}"/>
    <cellStyle name="Currency 10 4 2 2" xfId="1216" xr:uid="{5951230D-566F-4926-916F-06A4846726B7}"/>
    <cellStyle name="Currency 10 4 3" xfId="1217" xr:uid="{A6BDDE05-17C4-44D5-8BB7-08221C4BEF77}"/>
    <cellStyle name="Currency 10 5" xfId="1218" xr:uid="{F17E7B03-C202-4488-B79C-2D9F9E768A24}"/>
    <cellStyle name="Currency 10 5 2" xfId="1219" xr:uid="{BC49AFB1-D85B-44E9-AF6F-A38F40AEEA7E}"/>
    <cellStyle name="Currency 10 6" xfId="1220" xr:uid="{3E53D486-0887-45B2-80AC-A68CF6EA7F35}"/>
    <cellStyle name="Currency 11" xfId="1221" xr:uid="{2E86A699-C68F-40A3-84A2-D8F0F0AC538C}"/>
    <cellStyle name="Currency 11 2" xfId="1222" xr:uid="{4621C5B4-F301-4147-A89B-2FA78728D35E}"/>
    <cellStyle name="Currency 11 2 2" xfId="1223" xr:uid="{56B70A7B-A20C-4FB6-94C9-4D11455F5807}"/>
    <cellStyle name="Currency 11 2 2 2" xfId="1224" xr:uid="{74DC73C9-1216-46BC-86F6-81854CF82F72}"/>
    <cellStyle name="Currency 11 2 2 2 2" xfId="1225" xr:uid="{4FD37B5C-F532-447C-8881-3F6CE071482F}"/>
    <cellStyle name="Currency 11 2 2 3" xfId="1226" xr:uid="{F09A0579-0548-4029-BF21-EE49E620D685}"/>
    <cellStyle name="Currency 11 2 3" xfId="1227" xr:uid="{50015288-5037-4912-8957-B02A725DE779}"/>
    <cellStyle name="Currency 11 2 3 2" xfId="1228" xr:uid="{23CCA1F6-6C7C-452B-941C-2774E6B2CF26}"/>
    <cellStyle name="Currency 11 2 4" xfId="1229" xr:uid="{B1D90F07-8808-40E6-ABB4-89BFA16451A1}"/>
    <cellStyle name="Currency 11 3" xfId="1230" xr:uid="{1A5CED54-2B9D-4743-B24F-01CFF6766176}"/>
    <cellStyle name="Currency 11 3 2" xfId="1231" xr:uid="{1EB3CB9B-7B0D-4B02-95B3-54B62CC0538C}"/>
    <cellStyle name="Currency 11 3 2 2" xfId="1232" xr:uid="{C5FD055E-CE19-4711-8ECA-06761A28E35A}"/>
    <cellStyle name="Currency 11 3 2 2 2" xfId="1233" xr:uid="{0E54CC3A-2D1A-416D-A90C-5A22EA2FB5C9}"/>
    <cellStyle name="Currency 11 3 2 3" xfId="1234" xr:uid="{F08826FB-C40B-4C6E-9341-3743BD048B05}"/>
    <cellStyle name="Currency 11 3 3" xfId="1235" xr:uid="{0D792DC4-5243-4BE4-B6B3-65CE627A0D60}"/>
    <cellStyle name="Currency 11 3 3 2" xfId="1236" xr:uid="{86A93E33-D52D-47A1-B6E0-DE75E462C0EC}"/>
    <cellStyle name="Currency 11 3 4" xfId="1237" xr:uid="{96A53FA9-EE2B-4A85-9CD3-A18291A02B38}"/>
    <cellStyle name="Currency 11 4" xfId="1238" xr:uid="{848CFFC5-A9C7-4600-B0D7-3FA58A61F965}"/>
    <cellStyle name="Currency 11 4 2" xfId="1239" xr:uid="{A5E5DAD3-7CE8-4504-84F8-34C5868F1CD9}"/>
    <cellStyle name="Currency 11 4 2 2" xfId="1240" xr:uid="{55DE6CAC-558F-4FC8-93D4-9F07373E4A3C}"/>
    <cellStyle name="Currency 11 4 3" xfId="1241" xr:uid="{20A131DE-B44D-4141-977A-39785551165E}"/>
    <cellStyle name="Currency 11 5" xfId="1242" xr:uid="{3B1F809F-7C62-43D3-AFAF-2598D67D59B9}"/>
    <cellStyle name="Currency 11 5 2" xfId="1243" xr:uid="{6A7108F9-8BEC-4C81-B16D-D5357521E5CF}"/>
    <cellStyle name="Currency 11 6" xfId="1244" xr:uid="{904F3BC7-054D-4D0E-8225-78EDE51D2940}"/>
    <cellStyle name="Currency 12" xfId="1245" xr:uid="{68108875-7DEB-4818-9E64-93BEE8A0160F}"/>
    <cellStyle name="Currency 13" xfId="1246" xr:uid="{B307714F-414D-4832-A169-8BD74B98A2F6}"/>
    <cellStyle name="Currency 14" xfId="1247" xr:uid="{A06294A3-F856-4C78-845D-FDB820716FD2}"/>
    <cellStyle name="Currency 14 2" xfId="1248" xr:uid="{55E5EDD0-D461-412A-8B5D-098BFB4BCB57}"/>
    <cellStyle name="Currency 14 2 2" xfId="1249" xr:uid="{C335FA87-73EE-46DA-82F8-A45EC6BDDF84}"/>
    <cellStyle name="Currency 14 2 2 2" xfId="1250" xr:uid="{E8E3FDF2-9FEC-4424-98C3-574D6EE9A43E}"/>
    <cellStyle name="Currency 14 2 2 2 2" xfId="1251" xr:uid="{839AFC35-2C33-41FB-8569-79E6AC3B321A}"/>
    <cellStyle name="Currency 14 2 2 3" xfId="1252" xr:uid="{54DA3C37-FCB8-4F7B-A515-FF0FAE796976}"/>
    <cellStyle name="Currency 14 2 3" xfId="1253" xr:uid="{925D083C-FEF3-4C0C-91AB-71641BC78418}"/>
    <cellStyle name="Currency 14 2 3 2" xfId="1254" xr:uid="{F5D11CB1-5F79-4146-A1A1-05357BB30E37}"/>
    <cellStyle name="Currency 14 2 4" xfId="1255" xr:uid="{C799AF03-0880-46FA-9B6E-A38C3E48C148}"/>
    <cellStyle name="Currency 14 3" xfId="1256" xr:uid="{4334E5EA-80E1-4526-AA7C-31AE3B2D5F86}"/>
    <cellStyle name="Currency 14 3 2" xfId="1257" xr:uid="{83E1807B-C660-4CB4-96A3-9EDB45713EA0}"/>
    <cellStyle name="Currency 14 3 2 2" xfId="1258" xr:uid="{851C5F56-D6E9-4333-8263-7D4CF7B15BEB}"/>
    <cellStyle name="Currency 14 3 2 2 2" xfId="1259" xr:uid="{4176F4CD-B3A1-47E2-B3A2-607745F1E849}"/>
    <cellStyle name="Currency 14 3 2 3" xfId="1260" xr:uid="{A5A1D8CA-A6C6-463E-B207-C9874196C882}"/>
    <cellStyle name="Currency 14 3 3" xfId="1261" xr:uid="{7D2AE582-60D3-4702-ABBD-E48BA5B9608D}"/>
    <cellStyle name="Currency 14 3 3 2" xfId="1262" xr:uid="{899AE10A-F9C7-464F-BA91-2875FC6FD01C}"/>
    <cellStyle name="Currency 14 3 4" xfId="1263" xr:uid="{6FE43EF0-FF5F-4CEF-BC29-9C29C387BAF4}"/>
    <cellStyle name="Currency 14 4" xfId="1264" xr:uid="{4AC40D4A-819B-4F4E-BA3F-5FFEF47FB4E7}"/>
    <cellStyle name="Currency 14 4 2" xfId="1265" xr:uid="{2932E611-ECDB-408F-82B8-B2F3E2D08699}"/>
    <cellStyle name="Currency 14 4 2 2" xfId="1266" xr:uid="{17EF8004-82AB-40AD-8C80-8C6353DD4BB0}"/>
    <cellStyle name="Currency 14 4 2 2 2" xfId="1267" xr:uid="{59DDC127-988F-400B-8873-9009047613FE}"/>
    <cellStyle name="Currency 14 4 2 3" xfId="1268" xr:uid="{E9C8BD7B-0B85-42E6-A405-D9B7918CA727}"/>
    <cellStyle name="Currency 14 4 3" xfId="1269" xr:uid="{ECC4A91C-AD83-4C28-86FC-25F343E17C9F}"/>
    <cellStyle name="Currency 14 4 3 2" xfId="1270" xr:uid="{4BDC63C8-6B94-4AFE-A7DF-264FE1639827}"/>
    <cellStyle name="Currency 14 4 4" xfId="1271" xr:uid="{63DA6259-A7CE-441A-A916-DE568D730999}"/>
    <cellStyle name="Currency 14 5" xfId="1272" xr:uid="{EA24F8D8-F858-47E7-A62F-CC0924E35EC2}"/>
    <cellStyle name="Currency 14 5 2" xfId="1273" xr:uid="{EEBB31A1-8CDC-4488-A815-6A8CF226D5F6}"/>
    <cellStyle name="Currency 14 5 2 2" xfId="1274" xr:uid="{2C51C257-8D18-410D-9629-E8AA6E91DD05}"/>
    <cellStyle name="Currency 14 5 3" xfId="1275" xr:uid="{C53B93CB-E517-4708-B98E-C792FE743B7E}"/>
    <cellStyle name="Currency 14 6" xfId="1276" xr:uid="{1CA10DB1-EC94-43D9-A940-0A437C4B7807}"/>
    <cellStyle name="Currency 14 6 2" xfId="1277" xr:uid="{47378DA6-4F5A-4C49-8BCA-9857AF77D1D5}"/>
    <cellStyle name="Currency 14 7" xfId="1278" xr:uid="{4B7C4687-ABD0-4840-B6BF-5C25DC5F7D3C}"/>
    <cellStyle name="Currency 15" xfId="1279" xr:uid="{19B13D6D-81FE-4FDF-87D4-741485F40269}"/>
    <cellStyle name="Currency 15 2" xfId="1280" xr:uid="{8D62DCC9-3580-4C71-B65A-00F84437F719}"/>
    <cellStyle name="Currency 15 2 2" xfId="1281" xr:uid="{6A2304DC-9F65-4CE4-B9F8-66342049A94D}"/>
    <cellStyle name="Currency 15 2 2 2" xfId="1282" xr:uid="{162113B3-EA94-4E3B-B127-48BF48F6F40C}"/>
    <cellStyle name="Currency 15 2 3" xfId="1283" xr:uid="{74B159B1-AF58-4FC4-BE15-DF231052B3B0}"/>
    <cellStyle name="Currency 15 3" xfId="1284" xr:uid="{815E59D8-F4B8-4B4A-BEC7-F9A08DEAE100}"/>
    <cellStyle name="Currency 15 3 2" xfId="1285" xr:uid="{9AD54366-9010-41D2-A105-8BD7439A3F51}"/>
    <cellStyle name="Currency 15 4" xfId="1286" xr:uid="{D0ECE85A-AF02-4C02-8557-BEFDFD7A7ED8}"/>
    <cellStyle name="Currency 16" xfId="1287" xr:uid="{330E6B7E-7C5A-42C9-A503-652DEAB77924}"/>
    <cellStyle name="Currency 16 2" xfId="1288" xr:uid="{F3072751-55E4-4134-8D77-218C1EAA3ABB}"/>
    <cellStyle name="Currency 17" xfId="1289" xr:uid="{2ED757A3-4A88-4A56-9458-531345DAAF05}"/>
    <cellStyle name="Currency 18" xfId="1290" xr:uid="{56324D74-9204-426B-A4B7-C1A010FE2AB7}"/>
    <cellStyle name="Currency 19" xfId="1291" xr:uid="{F4A9AD75-AE78-45E2-80DB-2622DDC8494C}"/>
    <cellStyle name="Currency 19 2" xfId="1292" xr:uid="{858BB07F-2264-425F-9621-ABBB27030A26}"/>
    <cellStyle name="Currency 19 2 2" xfId="1293" xr:uid="{E182B047-1B34-41BF-9E04-72F523B6B1B0}"/>
    <cellStyle name="Currency 19 2 2 2" xfId="1294" xr:uid="{576E05CD-2BDA-4558-B155-6F834EAAE9CA}"/>
    <cellStyle name="Currency 19 2 2 2 2" xfId="1295" xr:uid="{DCAFAD52-242A-4D52-BEAD-1CDDBA7786AC}"/>
    <cellStyle name="Currency 19 2 2 3" xfId="1296" xr:uid="{3453995A-E6E9-4F9F-8E63-C4BD4EDD11C4}"/>
    <cellStyle name="Currency 19 2 3" xfId="1297" xr:uid="{7FF10526-DF55-4C87-844F-BFD42997948B}"/>
    <cellStyle name="Currency 19 2 3 2" xfId="1298" xr:uid="{2B219729-BEA0-4F00-8C1C-91B55E49EE8B}"/>
    <cellStyle name="Currency 19 2 4" xfId="1299" xr:uid="{057DEF24-5AC9-4F45-896D-047CA71EF18F}"/>
    <cellStyle name="Currency 19 3" xfId="1300" xr:uid="{153D066D-14E2-4C1B-B4B5-0EC4B13D7BCC}"/>
    <cellStyle name="Currency 19 3 2" xfId="1301" xr:uid="{6006E21B-0E8E-4521-A998-7CC3DED9FFD5}"/>
    <cellStyle name="Currency 19 3 2 2" xfId="1302" xr:uid="{1FC6E1F4-0612-44DE-9E5E-713DDC6EF7DE}"/>
    <cellStyle name="Currency 19 3 2 2 2" xfId="1303" xr:uid="{8A777361-F4AC-42E7-8B99-72AB343FF94F}"/>
    <cellStyle name="Currency 19 3 2 3" xfId="1304" xr:uid="{34AF82D1-4D15-42DC-8211-6BDFFB4D5765}"/>
    <cellStyle name="Currency 19 3 3" xfId="1305" xr:uid="{271951EC-813B-4CF3-B4B7-AE4D193C4CFC}"/>
    <cellStyle name="Currency 19 3 3 2" xfId="1306" xr:uid="{110F4219-13A6-448E-A429-82B1F6A492FB}"/>
    <cellStyle name="Currency 19 3 4" xfId="1307" xr:uid="{D940CF4A-451B-4112-8560-297A5DF23BF6}"/>
    <cellStyle name="Currency 19 4" xfId="1308" xr:uid="{54D922ED-C08D-49EF-82EA-4BEE92FDE58C}"/>
    <cellStyle name="Currency 19 4 2" xfId="1309" xr:uid="{802D92B1-534F-4C0C-B389-C4E349ED9611}"/>
    <cellStyle name="Currency 19 4 2 2" xfId="1310" xr:uid="{9EDF6640-C1F4-4276-AE0D-CB515AEB51CA}"/>
    <cellStyle name="Currency 19 4 3" xfId="1311" xr:uid="{7557FAFE-FE36-43BD-90F9-241D79339E40}"/>
    <cellStyle name="Currency 19 5" xfId="1312" xr:uid="{49B477ED-158D-4C99-BF02-08E063EA9776}"/>
    <cellStyle name="Currency 19 5 2" xfId="1313" xr:uid="{6421571B-8D62-407C-A7B0-4E61844DA4FF}"/>
    <cellStyle name="Currency 19 6" xfId="1314" xr:uid="{5C184FDB-EE8E-4F39-B653-E49456CB9361}"/>
    <cellStyle name="Currency 2" xfId="149" xr:uid="{E30BB751-2E08-40C5-B412-9DB03EA8D578}"/>
    <cellStyle name="Currency 2 10" xfId="1315" xr:uid="{87B79D7F-2AA0-454E-80D0-BDEA7EC7504B}"/>
    <cellStyle name="Currency 2 10 2" xfId="1316" xr:uid="{3B852956-914D-4245-A1E1-B8DE2752C0E6}"/>
    <cellStyle name="Currency 2 10 2 2" xfId="1317" xr:uid="{D7AC1AF6-1543-4F65-A6D7-BC7F0D5D8B17}"/>
    <cellStyle name="Currency 2 10 3" xfId="1318" xr:uid="{33C6EDA9-6A84-4B8D-AF0B-8536701CC5AB}"/>
    <cellStyle name="Currency 2 11" xfId="1319" xr:uid="{0BD24811-5BFC-404B-B76B-BDD52BC13628}"/>
    <cellStyle name="Currency 2 12" xfId="1320" xr:uid="{9A452542-E8BE-44A5-96C6-6B75353097FA}"/>
    <cellStyle name="Currency 2 13" xfId="1321" xr:uid="{99D4A8A8-3D0A-4136-8856-FCE532E963E6}"/>
    <cellStyle name="Currency 2 14" xfId="1322" xr:uid="{23081629-EAB8-4F7B-9314-2A8772A58561}"/>
    <cellStyle name="Currency 2 15" xfId="1323" xr:uid="{E8D5248E-5CF6-41E4-886B-A29D0B1658E8}"/>
    <cellStyle name="Currency 2 16" xfId="1324" xr:uid="{442D073C-A2D5-462D-A620-9ABD3428008F}"/>
    <cellStyle name="Currency 2 17" xfId="1325" xr:uid="{C33B4AC5-F2DF-4FC3-8B57-2850D56F554F}"/>
    <cellStyle name="Currency 2 18" xfId="1326" xr:uid="{C56152C3-6201-480A-ACB8-95DBB24842D8}"/>
    <cellStyle name="Currency 2 19" xfId="204" xr:uid="{57B9B30D-A5F5-477E-88C8-4246EA15A2DE}"/>
    <cellStyle name="Currency 2 2" xfId="185" xr:uid="{C0E04FCE-D8B9-43F7-9DBD-9750083B2E0F}"/>
    <cellStyle name="Currency 2 2 10" xfId="1328" xr:uid="{38E0DDCD-F7CB-404E-A4DF-36BB14D79EA8}"/>
    <cellStyle name="Currency 2 2 11" xfId="1329" xr:uid="{CD48C2F5-0167-4E8A-BB50-811FDCB38028}"/>
    <cellStyle name="Currency 2 2 12" xfId="1327" xr:uid="{BDFFF8EC-7520-4484-BF4B-80FD35F5610C}"/>
    <cellStyle name="Currency 2 2 2" xfId="1330" xr:uid="{C3A1CC13-8CB5-45FE-B533-55B48F5BE4F0}"/>
    <cellStyle name="Currency 2 2 3" xfId="1331" xr:uid="{3D392367-43C0-4F40-A9BD-25C1CD3F0BDB}"/>
    <cellStyle name="Currency 2 2 4" xfId="1332" xr:uid="{77E6BCF7-82BC-4B27-BC05-35B3C66D04BE}"/>
    <cellStyle name="Currency 2 2 5" xfId="1333" xr:uid="{9C2D58F2-E107-4AF7-8BE4-7F2D7B364C21}"/>
    <cellStyle name="Currency 2 2 6" xfId="1334" xr:uid="{07857417-E694-435E-A2C7-1010EC06E059}"/>
    <cellStyle name="Currency 2 2 7" xfId="1335" xr:uid="{2D7B8C70-2547-425E-A75F-8C49FD781FD9}"/>
    <cellStyle name="Currency 2 2 8" xfId="1336" xr:uid="{0A0D6E92-C9E4-4A5A-90A9-27014E665C25}"/>
    <cellStyle name="Currency 2 2 9" xfId="1337" xr:uid="{6DE417FB-EA40-49EB-B78C-B01791CCEA66}"/>
    <cellStyle name="Currency 2 3" xfId="1338" xr:uid="{F418D0D8-6B19-4E6C-8F29-5997862851D8}"/>
    <cellStyle name="Currency 2 3 2" xfId="1339" xr:uid="{5A1AE75E-4AFD-46CD-A347-1B4FB97F81B2}"/>
    <cellStyle name="Currency 2 3 3" xfId="1340" xr:uid="{626EC9E5-061E-4C9C-A4F3-6BFE359E92B6}"/>
    <cellStyle name="Currency 2 3 4" xfId="1341" xr:uid="{FA35EB0D-4F02-4BC0-9090-5CEB1B756B67}"/>
    <cellStyle name="Currency 2 3 5" xfId="1342" xr:uid="{AEDB25C9-5DDC-4305-BB31-4A4577DFC081}"/>
    <cellStyle name="Currency 2 4" xfId="1343" xr:uid="{1B8A94D1-5095-47B9-8CB2-166101BF8916}"/>
    <cellStyle name="Currency 2 5" xfId="1344" xr:uid="{42777C4C-134F-4A42-9089-DD1E3AE1D8DE}"/>
    <cellStyle name="Currency 2 6" xfId="1345" xr:uid="{92894579-84E6-4E92-8CF1-06AA123319AC}"/>
    <cellStyle name="Currency 2 7" xfId="1346" xr:uid="{81284075-184B-4D25-8442-672C3D55BE61}"/>
    <cellStyle name="Currency 2 8" xfId="1347" xr:uid="{8F8CA35C-DA78-4763-A9B2-3DC5D9ED3809}"/>
    <cellStyle name="Currency 2 9" xfId="1348" xr:uid="{92DBF1B0-37E1-4850-9239-526789E171A8}"/>
    <cellStyle name="Currency 2*" xfId="1349" xr:uid="{78626471-CA51-474B-AA72-C0FD5CFBC803}"/>
    <cellStyle name="Currency 2_CLdcfmodel" xfId="1350" xr:uid="{8C22AD23-BCEB-46F2-A336-0FF1D181055E}"/>
    <cellStyle name="Currency 20" xfId="1351" xr:uid="{13034534-4B8E-4369-ACA4-E91175C07C44}"/>
    <cellStyle name="Currency 20 2" xfId="1352" xr:uid="{37E452B4-67E8-4127-A290-D39A15C9B020}"/>
    <cellStyle name="Currency 20 2 2" xfId="1353" xr:uid="{37C3D32F-EF68-4F33-9CDB-8957A514103A}"/>
    <cellStyle name="Currency 20 2 2 2" xfId="1354" xr:uid="{51A62A83-4AFA-4509-9E04-819F22C32897}"/>
    <cellStyle name="Currency 20 2 2 2 2" xfId="1355" xr:uid="{EF53EFF0-2471-4947-B8C1-FDDFC01E9FB4}"/>
    <cellStyle name="Currency 20 2 2 3" xfId="1356" xr:uid="{258929FD-4FE3-431C-8959-09E9AB68CAB1}"/>
    <cellStyle name="Currency 20 2 3" xfId="1357" xr:uid="{3A238308-2A45-4DC4-9F97-3779B83D9AC5}"/>
    <cellStyle name="Currency 20 2 3 2" xfId="1358" xr:uid="{62DAFCC9-A6D8-47C3-810C-FA1FBF898654}"/>
    <cellStyle name="Currency 20 2 4" xfId="1359" xr:uid="{0DB19DD1-0CF8-4C0E-B9F5-D09F9F872345}"/>
    <cellStyle name="Currency 20 3" xfId="1360" xr:uid="{039E86EE-F1B9-4515-A858-A214B50331A9}"/>
    <cellStyle name="Currency 20 3 2" xfId="1361" xr:uid="{862F95BC-FD55-47D5-8DA7-06F22BAAA1AE}"/>
    <cellStyle name="Currency 20 3 2 2" xfId="1362" xr:uid="{067FBACC-C9E7-45A4-85FD-4C8D3935D094}"/>
    <cellStyle name="Currency 20 3 2 2 2" xfId="1363" xr:uid="{C232BD9F-EBAF-4F84-A401-606CC4471BA5}"/>
    <cellStyle name="Currency 20 3 2 3" xfId="1364" xr:uid="{469E1FD1-42B8-4D6B-A340-E1C7C341879C}"/>
    <cellStyle name="Currency 20 3 3" xfId="1365" xr:uid="{907F0B59-30C6-4815-B483-157612E3D4DE}"/>
    <cellStyle name="Currency 20 3 3 2" xfId="1366" xr:uid="{5115294C-8F13-4C2F-A477-4AA9A27F8E46}"/>
    <cellStyle name="Currency 20 3 4" xfId="1367" xr:uid="{2A9617D1-DC8D-4AD3-8781-894A766A193D}"/>
    <cellStyle name="Currency 20 4" xfId="1368" xr:uid="{A657D4A1-6CB4-4395-BEEF-98D9B6117BCC}"/>
    <cellStyle name="Currency 20 4 2" xfId="1369" xr:uid="{6B188392-873D-44FA-87DC-9CACA197AAD4}"/>
    <cellStyle name="Currency 20 4 2 2" xfId="1370" xr:uid="{E129F81B-E7B7-429E-BE76-0EB920E1FEA6}"/>
    <cellStyle name="Currency 20 4 3" xfId="1371" xr:uid="{14CD9AED-AE48-47EA-893F-69DD7DF818DB}"/>
    <cellStyle name="Currency 20 5" xfId="1372" xr:uid="{CB8625B5-475B-4876-9836-1AC00BDB0B25}"/>
    <cellStyle name="Currency 20 5 2" xfId="1373" xr:uid="{008631F4-EB33-4C5D-8409-F9BF74AA9258}"/>
    <cellStyle name="Currency 20 6" xfId="1374" xr:uid="{4C91598B-F130-4B44-ADC8-F6DB24DD3069}"/>
    <cellStyle name="Currency 21" xfId="1375" xr:uid="{B6ABF6F3-1469-4C0B-A7CE-AEA47038837C}"/>
    <cellStyle name="Currency 21 2" xfId="1376" xr:uid="{D3C15A6F-3915-4291-8846-C8B2F528D984}"/>
    <cellStyle name="Currency 21 2 2" xfId="1377" xr:uid="{AB46D3A1-7318-41E5-9EA2-0E4C54C387BE}"/>
    <cellStyle name="Currency 21 2 2 2" xfId="1378" xr:uid="{2A791D07-2E82-4659-8E9E-B9BDBCAF2366}"/>
    <cellStyle name="Currency 21 2 2 2 2" xfId="1379" xr:uid="{21CE3943-7547-4D81-947A-E0AE182CE92A}"/>
    <cellStyle name="Currency 21 2 2 3" xfId="1380" xr:uid="{CBFECA73-7702-487A-A141-9E30475C5D6F}"/>
    <cellStyle name="Currency 21 2 3" xfId="1381" xr:uid="{E25BEFCD-B900-4F01-8CB6-8AAB903AC662}"/>
    <cellStyle name="Currency 21 2 3 2" xfId="1382" xr:uid="{BD30828D-E1A3-4873-B533-5B5CB7F04316}"/>
    <cellStyle name="Currency 21 2 4" xfId="1383" xr:uid="{F8958295-379E-4086-9F6A-594E4CEECBD9}"/>
    <cellStyle name="Currency 21 3" xfId="1384" xr:uid="{6065A6AE-79D5-4D96-A340-8422A50FE392}"/>
    <cellStyle name="Currency 21 3 2" xfId="1385" xr:uid="{379749C4-3891-4DBF-A62B-9807C4E7E04F}"/>
    <cellStyle name="Currency 21 3 2 2" xfId="1386" xr:uid="{A107FD83-BB73-4550-95C6-401FA327848E}"/>
    <cellStyle name="Currency 21 3 2 2 2" xfId="1387" xr:uid="{9AC9BBBF-E381-43A3-8741-A0305C6A88F3}"/>
    <cellStyle name="Currency 21 3 2 3" xfId="1388" xr:uid="{B2BABA47-96AA-4916-B847-1967C045DC4C}"/>
    <cellStyle name="Currency 21 3 3" xfId="1389" xr:uid="{E4AF9B1A-B88A-4190-92E1-CDB1B4639B34}"/>
    <cellStyle name="Currency 21 3 3 2" xfId="1390" xr:uid="{ED2A9006-37B9-4E72-96A8-73C64F95E166}"/>
    <cellStyle name="Currency 21 3 4" xfId="1391" xr:uid="{2D23EFA0-E18F-441E-9D7D-F5FD73F7080D}"/>
    <cellStyle name="Currency 21 4" xfId="1392" xr:uid="{036C8043-4B7F-48F5-8B98-709511AA7D97}"/>
    <cellStyle name="Currency 21 4 2" xfId="1393" xr:uid="{9FF895DC-6983-46F0-9D2C-3DDBC4896948}"/>
    <cellStyle name="Currency 21 4 2 2" xfId="1394" xr:uid="{C7094D01-D3A3-4386-BA5F-98BA3090633F}"/>
    <cellStyle name="Currency 21 4 3" xfId="1395" xr:uid="{201E0855-2661-45B3-88D2-FEF7199B0883}"/>
    <cellStyle name="Currency 21 5" xfId="1396" xr:uid="{276DFE58-C544-4ED9-86D0-255B0817D57A}"/>
    <cellStyle name="Currency 21 5 2" xfId="1397" xr:uid="{5FBB58B1-A68B-4C4E-B449-31C75DC42617}"/>
    <cellStyle name="Currency 21 6" xfId="1398" xr:uid="{D6264749-7E15-4525-BDC1-C2E8D8FA3CB2}"/>
    <cellStyle name="Currency 22" xfId="1399" xr:uid="{287AD309-7B95-406F-9D19-106BF3085835}"/>
    <cellStyle name="Currency 22 2" xfId="1400" xr:uid="{C022108D-E6BD-4B7C-982D-455CD6FBF7F7}"/>
    <cellStyle name="Currency 22 2 2" xfId="1401" xr:uid="{1C278CB2-7360-4F8C-8F8E-67CDAE1403F6}"/>
    <cellStyle name="Currency 22 2 2 2" xfId="1402" xr:uid="{724F66F1-F9FE-40F6-9E5E-6D4170AD9022}"/>
    <cellStyle name="Currency 22 2 2 2 2" xfId="1403" xr:uid="{A8AE9C56-9A14-43CC-A992-8161C3E3FAE5}"/>
    <cellStyle name="Currency 22 2 2 3" xfId="1404" xr:uid="{603DDA0D-C822-46F6-B98C-100A3C258ED0}"/>
    <cellStyle name="Currency 22 2 3" xfId="1405" xr:uid="{6E64DA8B-0A8F-4AC8-9FE0-D85E49FDABED}"/>
    <cellStyle name="Currency 22 2 3 2" xfId="1406" xr:uid="{51F0003E-853D-4248-870B-6E1AB5461B6F}"/>
    <cellStyle name="Currency 22 2 4" xfId="1407" xr:uid="{C4536124-2536-4208-9D4B-DF8DA6886814}"/>
    <cellStyle name="Currency 22 3" xfId="1408" xr:uid="{EE8922A7-4992-4856-9446-C8751F15B8AB}"/>
    <cellStyle name="Currency 22 3 2" xfId="1409" xr:uid="{05B5F3A3-06E0-4C24-ABE3-9D800FBDC0F4}"/>
    <cellStyle name="Currency 22 3 2 2" xfId="1410" xr:uid="{FA45E769-5F6C-4AC7-8A2B-1147EDF9D087}"/>
    <cellStyle name="Currency 22 3 2 2 2" xfId="1411" xr:uid="{97759291-EAB1-4804-8E4C-5DD2571AF9A9}"/>
    <cellStyle name="Currency 22 3 2 3" xfId="1412" xr:uid="{780B76A0-A108-43FB-9331-4CF19F59AD01}"/>
    <cellStyle name="Currency 22 3 3" xfId="1413" xr:uid="{8E7111BA-D4B3-4D51-812E-AD985E9D7C30}"/>
    <cellStyle name="Currency 22 3 3 2" xfId="1414" xr:uid="{530D627B-1603-42D2-9E58-4BD1605026B7}"/>
    <cellStyle name="Currency 22 3 4" xfId="1415" xr:uid="{2B282259-CBBA-442E-B9C3-58EE99E44BCB}"/>
    <cellStyle name="Currency 22 4" xfId="1416" xr:uid="{CFA10B11-3A4B-45CC-B7F9-57BC525CC7FA}"/>
    <cellStyle name="Currency 22 4 2" xfId="1417" xr:uid="{FE0897C3-843B-4A3C-85C2-E7780BEBDA7B}"/>
    <cellStyle name="Currency 22 4 2 2" xfId="1418" xr:uid="{CE2EDE5F-928E-4B24-B7A2-DFFCB3F50555}"/>
    <cellStyle name="Currency 22 4 3" xfId="1419" xr:uid="{5F501C6D-5212-4C36-A946-4DFC8299BFC1}"/>
    <cellStyle name="Currency 22 5" xfId="1420" xr:uid="{28FD1824-741C-4E47-9DA5-1DD12F029127}"/>
    <cellStyle name="Currency 22 5 2" xfId="1421" xr:uid="{1E831527-BC32-4ABA-8CF2-1005E2DC515A}"/>
    <cellStyle name="Currency 22 6" xfId="1422" xr:uid="{D02BDB9F-FB80-44E2-AB89-64840EB194EA}"/>
    <cellStyle name="Currency 23" xfId="1423" xr:uid="{43DDAB9C-81E5-4ED7-A606-04B92FE19A95}"/>
    <cellStyle name="Currency 23 2" xfId="1424" xr:uid="{879F6B41-DCA2-4434-827F-3539628A0A2C}"/>
    <cellStyle name="Currency 23 2 2" xfId="1425" xr:uid="{2832E396-E49D-4A27-B2FF-F661F07E6848}"/>
    <cellStyle name="Currency 23 2 2 2" xfId="1426" xr:uid="{662EC8B6-9BEC-484A-A0D5-D1A0C23F156A}"/>
    <cellStyle name="Currency 23 2 2 2 2" xfId="1427" xr:uid="{8EA11635-EB30-45F8-809A-6548C1F463B2}"/>
    <cellStyle name="Currency 23 2 2 3" xfId="1428" xr:uid="{400DF1A1-68DB-46F4-AC38-06F8E1CB2B01}"/>
    <cellStyle name="Currency 23 2 3" xfId="1429" xr:uid="{97FCAEDE-CC40-40F6-9B43-A1B0337138C8}"/>
    <cellStyle name="Currency 23 2 3 2" xfId="1430" xr:uid="{96FCCDAD-21A8-4B3B-933E-D84E99230DB9}"/>
    <cellStyle name="Currency 23 2 4" xfId="1431" xr:uid="{E785FAE2-47C2-49A7-98B0-F8B5331693BB}"/>
    <cellStyle name="Currency 23 3" xfId="1432" xr:uid="{B41C65C8-A617-4383-9B63-8A450F2D435A}"/>
    <cellStyle name="Currency 23 3 2" xfId="1433" xr:uid="{49F59E57-15C5-4576-B466-33DD7C0A9D5D}"/>
    <cellStyle name="Currency 23 3 2 2" xfId="1434" xr:uid="{D03037CC-8A79-4D27-B97F-16C03335222F}"/>
    <cellStyle name="Currency 23 3 2 2 2" xfId="1435" xr:uid="{FB9C9FCC-4FFA-49B1-9275-FE8E98B9DE85}"/>
    <cellStyle name="Currency 23 3 2 3" xfId="1436" xr:uid="{D1EEF399-68C3-4597-B523-6100B6601A52}"/>
    <cellStyle name="Currency 23 3 3" xfId="1437" xr:uid="{CB83E327-CD1C-4D2F-92AD-E855547A15B9}"/>
    <cellStyle name="Currency 23 3 3 2" xfId="1438" xr:uid="{119B91CE-1151-41B1-B7EC-271C37384871}"/>
    <cellStyle name="Currency 23 3 4" xfId="1439" xr:uid="{82339414-2B21-4D7A-93D8-07E9CD8441B1}"/>
    <cellStyle name="Currency 23 4" xfId="1440" xr:uid="{5789E527-5DBA-4D40-B95E-4F5D8C2EA1EF}"/>
    <cellStyle name="Currency 23 4 2" xfId="1441" xr:uid="{6755C2D3-32F3-493E-A804-F70466737D0C}"/>
    <cellStyle name="Currency 23 4 2 2" xfId="1442" xr:uid="{BAA056E3-3F2E-4123-AD79-7BAE3663387A}"/>
    <cellStyle name="Currency 23 4 3" xfId="1443" xr:uid="{277F0E33-20FB-4409-95CE-850A12108477}"/>
    <cellStyle name="Currency 23 5" xfId="1444" xr:uid="{584B3598-5CF4-459F-B4D7-125BB1876636}"/>
    <cellStyle name="Currency 23 5 2" xfId="1445" xr:uid="{9A3DFAB1-B906-479E-8D52-840960A035BC}"/>
    <cellStyle name="Currency 23 6" xfId="1446" xr:uid="{2A06363F-62BC-40AB-B4BE-2A391F29FABF}"/>
    <cellStyle name="Currency 24" xfId="1447" xr:uid="{0C1F7D5B-6269-4404-B845-DBD185CE97A6}"/>
    <cellStyle name="Currency 24 2" xfId="1448" xr:uid="{F7AFD50C-DC2C-43B4-9D4A-970F375E935D}"/>
    <cellStyle name="Currency 24 2 2" xfId="1449" xr:uid="{B7BA46FF-D872-450A-9582-5682EA9B1022}"/>
    <cellStyle name="Currency 24 2 2 2" xfId="1450" xr:uid="{86CED631-64E2-425C-9EA9-58D4E16F7063}"/>
    <cellStyle name="Currency 24 2 2 2 2" xfId="1451" xr:uid="{C5F17A94-E2C9-4BD1-AC9E-0A0F11323607}"/>
    <cellStyle name="Currency 24 2 2 3" xfId="1452" xr:uid="{D08B465D-C8AC-47B9-BA43-ED3C3F4C04B3}"/>
    <cellStyle name="Currency 24 2 3" xfId="1453" xr:uid="{634B3653-7082-443B-9874-3C70A73B3945}"/>
    <cellStyle name="Currency 24 2 3 2" xfId="1454" xr:uid="{4CC962D5-7404-42CC-B7EA-E40DCF79DE72}"/>
    <cellStyle name="Currency 24 2 4" xfId="1455" xr:uid="{BD28F94F-9DF7-43AE-B2A1-1D7DA76AB173}"/>
    <cellStyle name="Currency 24 3" xfId="1456" xr:uid="{0D1929BD-9CC5-4F19-BEA8-859A60005FBD}"/>
    <cellStyle name="Currency 24 3 2" xfId="1457" xr:uid="{EC69CEE4-FE94-4068-963A-C0657B4E55F4}"/>
    <cellStyle name="Currency 24 3 2 2" xfId="1458" xr:uid="{DCCE3C74-702B-4063-A8ED-6393E53613F5}"/>
    <cellStyle name="Currency 24 3 2 2 2" xfId="1459" xr:uid="{79326B69-5FE8-4A6D-BC48-72B3177082A8}"/>
    <cellStyle name="Currency 24 3 2 3" xfId="1460" xr:uid="{821F609E-E369-4FF1-94C5-D0492EA0CBB1}"/>
    <cellStyle name="Currency 24 3 3" xfId="1461" xr:uid="{C18D784B-19DA-43E8-9E96-EBA3A0F6A0DD}"/>
    <cellStyle name="Currency 24 3 3 2" xfId="1462" xr:uid="{D7025F63-9F9E-4966-BEE8-53B54EEC92FB}"/>
    <cellStyle name="Currency 24 3 4" xfId="1463" xr:uid="{8246FCD1-06BC-4695-A9F2-0A0B27098B11}"/>
    <cellStyle name="Currency 24 4" xfId="1464" xr:uid="{FBED149A-67EF-472B-9A09-F2DAC18054FF}"/>
    <cellStyle name="Currency 24 4 2" xfId="1465" xr:uid="{FBE55352-B71E-4E14-A365-C0BED2C4A568}"/>
    <cellStyle name="Currency 24 4 2 2" xfId="1466" xr:uid="{D662C138-7A56-4DEC-B501-F44DD9B45F38}"/>
    <cellStyle name="Currency 24 4 3" xfId="1467" xr:uid="{C1A13298-A16A-4161-A04D-3AB07DB75E31}"/>
    <cellStyle name="Currency 24 5" xfId="1468" xr:uid="{85734E5B-4975-41A7-AF2C-1A6485E4F699}"/>
    <cellStyle name="Currency 24 5 2" xfId="1469" xr:uid="{733D7EE7-D292-4E16-92DC-9DD1016A7D8F}"/>
    <cellStyle name="Currency 24 6" xfId="1470" xr:uid="{24188443-F64B-4FE2-AFE6-C3A4964DC5E8}"/>
    <cellStyle name="Currency 25" xfId="1471" xr:uid="{3071012D-5C32-463C-937F-33E8E67FA730}"/>
    <cellStyle name="Currency 26" xfId="1472" xr:uid="{AB22FB16-3D57-4710-817A-B0E27E47162F}"/>
    <cellStyle name="Currency 26 2" xfId="1473" xr:uid="{9181A151-15A2-45D9-A15A-529A6F7A418A}"/>
    <cellStyle name="Currency 26 2 2" xfId="1474" xr:uid="{5D7D298C-2ECE-42B6-A702-55DB2BFCF937}"/>
    <cellStyle name="Currency 26 2 2 2" xfId="1475" xr:uid="{F4909A7E-3A36-406C-BE64-33E926733A26}"/>
    <cellStyle name="Currency 26 2 2 2 2" xfId="1476" xr:uid="{5FC87E98-5FA8-4E5C-8387-F7DC8FFAD697}"/>
    <cellStyle name="Currency 26 2 2 3" xfId="1477" xr:uid="{1272BA86-E307-473D-B6FC-9CBDF2132E1B}"/>
    <cellStyle name="Currency 26 2 3" xfId="1478" xr:uid="{A906752D-4D88-4658-B789-C8BBC587E836}"/>
    <cellStyle name="Currency 26 2 3 2" xfId="1479" xr:uid="{FB9DC2D5-6C8B-4325-9DD3-EFF163843C6D}"/>
    <cellStyle name="Currency 26 2 4" xfId="1480" xr:uid="{A41D6AE1-13AC-4F9F-9B0E-827466E7799B}"/>
    <cellStyle name="Currency 26 3" xfId="1481" xr:uid="{D7252C3A-5167-44F1-990B-D540772A8A86}"/>
    <cellStyle name="Currency 26 3 2" xfId="1482" xr:uid="{BD32AB3F-027B-4B32-8FD2-93D2508EF75B}"/>
    <cellStyle name="Currency 26 3 2 2" xfId="1483" xr:uid="{21BC56FF-4954-422C-ACBA-973BD5D272E9}"/>
    <cellStyle name="Currency 26 3 2 2 2" xfId="1484" xr:uid="{ABBBFB77-A198-4C52-87A0-52089DB04BC1}"/>
    <cellStyle name="Currency 26 3 2 3" xfId="1485" xr:uid="{5F907309-59F4-4C56-A8C9-B0A9D17ADB7E}"/>
    <cellStyle name="Currency 26 3 3" xfId="1486" xr:uid="{BD48650B-6E03-4DA1-8F2B-420496881C9B}"/>
    <cellStyle name="Currency 26 3 3 2" xfId="1487" xr:uid="{9C0E129A-8251-4A13-9138-9378EECB33BB}"/>
    <cellStyle name="Currency 26 3 4" xfId="1488" xr:uid="{CD6D0C81-2B06-487C-B063-24F99D20537A}"/>
    <cellStyle name="Currency 26 4" xfId="1489" xr:uid="{8075E251-FD7E-4238-9490-0AB00AC173A7}"/>
    <cellStyle name="Currency 26 4 2" xfId="1490" xr:uid="{478E33D5-1ABC-4A9F-86E7-C07AAB6D04C1}"/>
    <cellStyle name="Currency 26 4 2 2" xfId="1491" xr:uid="{81C5D957-01CF-44F4-B944-6F2D6143A3CC}"/>
    <cellStyle name="Currency 26 4 3" xfId="1492" xr:uid="{1EF07CD4-0A38-45C1-9645-E6BE310F32A5}"/>
    <cellStyle name="Currency 26 5" xfId="1493" xr:uid="{E5A47DEF-4115-4A12-A88A-966C5384E7E5}"/>
    <cellStyle name="Currency 26 5 2" xfId="1494" xr:uid="{82AEF42B-CE47-45D3-A08C-36638092AA94}"/>
    <cellStyle name="Currency 26 6" xfId="1495" xr:uid="{EA12F6F8-4CA1-4D7F-9C1D-2A61A0CAE3FC}"/>
    <cellStyle name="Currency 27" xfId="1496" xr:uid="{B34A8B28-315B-4980-8CB4-2D9F4D384985}"/>
    <cellStyle name="Currency 27 2" xfId="1497" xr:uid="{5164BB84-0C77-440A-818E-57AE314F2354}"/>
    <cellStyle name="Currency 27 2 2" xfId="1498" xr:uid="{E277DD40-8DD7-4B06-A169-33D7C04A2D3E}"/>
    <cellStyle name="Currency 27 2 2 2" xfId="1499" xr:uid="{2CBEC0A0-7562-417B-B1A5-1817B1D20417}"/>
    <cellStyle name="Currency 27 2 2 2 2" xfId="1500" xr:uid="{325246EE-6F51-458B-9C77-D3FB0B4AC545}"/>
    <cellStyle name="Currency 27 2 2 3" xfId="1501" xr:uid="{E730AF8A-15B1-452B-9C97-45C3E0E32BE5}"/>
    <cellStyle name="Currency 27 2 3" xfId="1502" xr:uid="{CAF8D20D-F75C-488A-A86B-4D7039648EC4}"/>
    <cellStyle name="Currency 27 2 3 2" xfId="1503" xr:uid="{38D144F3-59E0-4298-BD72-14068469B231}"/>
    <cellStyle name="Currency 27 2 4" xfId="1504" xr:uid="{C3563327-64C2-4A39-87AD-2106CBC98698}"/>
    <cellStyle name="Currency 27 3" xfId="1505" xr:uid="{0E4DE99F-408F-4D3F-ADB9-A019D42ADDBF}"/>
    <cellStyle name="Currency 27 3 2" xfId="1506" xr:uid="{99F961C5-3289-49CD-93C0-597691FEE425}"/>
    <cellStyle name="Currency 27 3 2 2" xfId="1507" xr:uid="{8B44C886-17F2-471A-BCEB-732BE990FA5F}"/>
    <cellStyle name="Currency 27 3 2 2 2" xfId="1508" xr:uid="{DEB28CA9-1A2F-470A-B9D2-9CE346F9E0A3}"/>
    <cellStyle name="Currency 27 3 2 3" xfId="1509" xr:uid="{94A62396-C5ED-4EF8-BEC4-2E5A4F2CDCA0}"/>
    <cellStyle name="Currency 27 3 3" xfId="1510" xr:uid="{1E9A42EC-273E-453D-8A3A-31E9BDC0D0FC}"/>
    <cellStyle name="Currency 27 3 3 2" xfId="1511" xr:uid="{62595450-ABF0-44C4-9F55-A8315BCD0EC2}"/>
    <cellStyle name="Currency 27 3 4" xfId="1512" xr:uid="{938A01E1-446B-4F78-BEA4-A126366FAE5D}"/>
    <cellStyle name="Currency 27 4" xfId="1513" xr:uid="{CBAF8918-9881-425C-9A45-878DF21ABC8C}"/>
    <cellStyle name="Currency 27 4 2" xfId="1514" xr:uid="{69C5DA1D-0422-4DE6-A443-0B029F58D34D}"/>
    <cellStyle name="Currency 27 4 2 2" xfId="1515" xr:uid="{C288CA56-F695-4039-AD6D-1FDDC205E340}"/>
    <cellStyle name="Currency 27 4 3" xfId="1516" xr:uid="{69AD5E49-9163-43EF-B8B9-8867E887CF40}"/>
    <cellStyle name="Currency 27 5" xfId="1517" xr:uid="{80BFF13B-9FAE-4502-95B2-30958E3CE7B4}"/>
    <cellStyle name="Currency 27 5 2" xfId="1518" xr:uid="{73248266-DAE6-47AB-B120-DC0D9D359614}"/>
    <cellStyle name="Currency 27 6" xfId="1519" xr:uid="{AABC2A90-3E79-4195-8473-7C064391BB63}"/>
    <cellStyle name="Currency 28" xfId="1520" xr:uid="{9CE51FB0-1616-4777-A97D-37084963A852}"/>
    <cellStyle name="Currency 28 2" xfId="1521" xr:uid="{C668DE7D-143B-4A9F-BC21-A82AFA21045C}"/>
    <cellStyle name="Currency 28 2 2" xfId="1522" xr:uid="{AF769BB4-2E6D-465C-B643-3DBB4DEFA264}"/>
    <cellStyle name="Currency 28 2 2 2" xfId="1523" xr:uid="{4744E150-093C-4C45-A488-C4FDADFC12D6}"/>
    <cellStyle name="Currency 28 2 2 2 2" xfId="1524" xr:uid="{1F0C37E5-890F-44EF-BA2B-42E6302FAD94}"/>
    <cellStyle name="Currency 28 2 2 3" xfId="1525" xr:uid="{1017D81B-35DF-4524-AF18-1EA768967B29}"/>
    <cellStyle name="Currency 28 2 3" xfId="1526" xr:uid="{44D7EDB0-6159-45BC-A023-507CD2520ADD}"/>
    <cellStyle name="Currency 28 2 3 2" xfId="1527" xr:uid="{9C7AA542-E1EC-439B-90A3-B6DDC99859AE}"/>
    <cellStyle name="Currency 28 2 4" xfId="1528" xr:uid="{652EC8B1-5CFF-42BE-8C56-B1B0DEAF9A2F}"/>
    <cellStyle name="Currency 28 3" xfId="1529" xr:uid="{D95BA587-B7AF-4142-8B74-ADB8B6C1D494}"/>
    <cellStyle name="Currency 28 3 2" xfId="1530" xr:uid="{6B3A3811-1032-433B-9C77-1C9982D48A33}"/>
    <cellStyle name="Currency 28 3 2 2" xfId="1531" xr:uid="{65DFE390-6084-4FE6-B594-364BC5351ADF}"/>
    <cellStyle name="Currency 28 3 2 2 2" xfId="1532" xr:uid="{41D866D6-04FC-4C73-A41C-11C718B6E982}"/>
    <cellStyle name="Currency 28 3 2 3" xfId="1533" xr:uid="{F2E8DAC1-E845-4795-944D-D16E7CFA4E12}"/>
    <cellStyle name="Currency 28 3 3" xfId="1534" xr:uid="{D48FB8D2-21C1-4882-AE42-542A29F1BD8C}"/>
    <cellStyle name="Currency 28 3 3 2" xfId="1535" xr:uid="{98CB7FA9-01E2-4B9D-989A-A2873B9FFAED}"/>
    <cellStyle name="Currency 28 3 4" xfId="1536" xr:uid="{56190A3E-6EA5-41DA-9EA6-AF37E529A132}"/>
    <cellStyle name="Currency 28 4" xfId="1537" xr:uid="{B54C78F1-A504-4DD7-A9C0-E59E4188966A}"/>
    <cellStyle name="Currency 28 4 2" xfId="1538" xr:uid="{96DFBF42-46D7-4400-AA3C-AE209F79143F}"/>
    <cellStyle name="Currency 28 4 2 2" xfId="1539" xr:uid="{1A3D851C-7518-43A1-9257-CF04746D1630}"/>
    <cellStyle name="Currency 28 4 3" xfId="1540" xr:uid="{40D18278-3940-4EFD-9FE7-6B05F2F80C1C}"/>
    <cellStyle name="Currency 28 5" xfId="1541" xr:uid="{6D4EA2A3-863D-4028-B6D7-71AE5CF2AEE6}"/>
    <cellStyle name="Currency 28 5 2" xfId="1542" xr:uid="{5C4E33A8-E0D4-47F5-84B3-E29371E1A7A5}"/>
    <cellStyle name="Currency 28 6" xfId="1543" xr:uid="{FAE2252A-79D9-45DB-BF60-4F1D75480DE3}"/>
    <cellStyle name="Currency 29" xfId="1544" xr:uid="{05DB41C1-6DF1-47C4-939F-0A39A6B76F53}"/>
    <cellStyle name="Currency 29 2" xfId="1545" xr:uid="{6362FA0B-94D1-4425-8F47-8872DC6987A2}"/>
    <cellStyle name="Currency 29 2 2" xfId="1546" xr:uid="{15E0144F-FBE3-44BF-8692-FB368C3466CF}"/>
    <cellStyle name="Currency 29 2 2 2" xfId="1547" xr:uid="{3BD361E5-CA87-41A4-96D4-F29286530F87}"/>
    <cellStyle name="Currency 29 2 2 2 2" xfId="1548" xr:uid="{EB2AD9F5-4720-4EAA-A757-96F053CDAA97}"/>
    <cellStyle name="Currency 29 2 2 3" xfId="1549" xr:uid="{CEC95F1C-6DAB-4E9C-80AF-1D4FE9E9C54F}"/>
    <cellStyle name="Currency 29 2 3" xfId="1550" xr:uid="{DF052D10-1238-4CB4-A76C-4519E2731162}"/>
    <cellStyle name="Currency 29 2 3 2" xfId="1551" xr:uid="{7644E46D-AAA0-4639-A3A5-C1F76E97BF95}"/>
    <cellStyle name="Currency 29 2 4" xfId="1552" xr:uid="{F7896356-AB1A-4DB9-9941-E409FA68D254}"/>
    <cellStyle name="Currency 29 3" xfId="1553" xr:uid="{2DD9E271-8A32-4FF9-8B64-929D7CA4DCB1}"/>
    <cellStyle name="Currency 29 3 2" xfId="1554" xr:uid="{C5AC1372-A16A-4B41-8067-2C3892D5C96A}"/>
    <cellStyle name="Currency 29 3 2 2" xfId="1555" xr:uid="{76500E76-25C1-4368-A4A1-389F82B1B8EC}"/>
    <cellStyle name="Currency 29 3 2 2 2" xfId="1556" xr:uid="{3C15385B-5B0D-4191-9881-F83840C6CA36}"/>
    <cellStyle name="Currency 29 3 2 3" xfId="1557" xr:uid="{6151A00D-1AD9-4329-9EC7-186AC62BC300}"/>
    <cellStyle name="Currency 29 3 3" xfId="1558" xr:uid="{3064F1A7-9AE4-4231-AB6D-5A4C9EF77A15}"/>
    <cellStyle name="Currency 29 3 3 2" xfId="1559" xr:uid="{322EA3E3-0105-45D8-98D8-F83841480A29}"/>
    <cellStyle name="Currency 29 3 4" xfId="1560" xr:uid="{762CF374-6561-4165-82B1-508F0A695FDC}"/>
    <cellStyle name="Currency 29 4" xfId="1561" xr:uid="{D510EA65-C8C6-49B0-86A3-C0727879E7B2}"/>
    <cellStyle name="Currency 29 4 2" xfId="1562" xr:uid="{A91F93B1-65B1-42DB-9226-972FDD7C5333}"/>
    <cellStyle name="Currency 29 4 2 2" xfId="1563" xr:uid="{6C01A638-90A6-4A50-BC9D-52C0F349419E}"/>
    <cellStyle name="Currency 29 4 3" xfId="1564" xr:uid="{53CF0EB7-7F07-4BF9-A1A9-CEBCC20916BD}"/>
    <cellStyle name="Currency 29 5" xfId="1565" xr:uid="{5AFD9459-E04A-48B7-BBA0-DC153AFBA697}"/>
    <cellStyle name="Currency 29 5 2" xfId="1566" xr:uid="{AF58F8EF-13C0-49D1-BCC7-1AE99E340969}"/>
    <cellStyle name="Currency 29 6" xfId="1567" xr:uid="{0999D743-E432-4D30-96D0-3582CC258628}"/>
    <cellStyle name="Currency 3" xfId="177" xr:uid="{0DE589E4-F138-445B-995A-4B62486E76FF}"/>
    <cellStyle name="Currency 3 2" xfId="1569" xr:uid="{5EE928D3-E831-413A-B82D-83C7907A3197}"/>
    <cellStyle name="Currency 3 2 2" xfId="1570" xr:uid="{DB28D83F-9F05-42B4-B81F-701E7D08F166}"/>
    <cellStyle name="Currency 3 2 2 2" xfId="1571" xr:uid="{CB10A184-5C4A-42DC-A107-8EBEED6EBC50}"/>
    <cellStyle name="Currency 3 2 3" xfId="1572" xr:uid="{110866EF-2C20-479F-BF7E-3A548C5CC303}"/>
    <cellStyle name="Currency 3 2 4" xfId="1573" xr:uid="{7E231E92-62EC-46F6-BC79-0012BCB9E3AD}"/>
    <cellStyle name="Currency 3 2 5" xfId="1574" xr:uid="{41AA5383-7C9A-4AE0-98A4-2EE2D81C18D2}"/>
    <cellStyle name="Currency 3 3" xfId="1575" xr:uid="{CE2B0568-FAAD-4821-8197-B204C7A3F897}"/>
    <cellStyle name="Currency 3 4" xfId="1576" xr:uid="{E27F08A9-689C-4273-A217-155916AEF757}"/>
    <cellStyle name="Currency 3 5" xfId="1577" xr:uid="{8F7FBE01-86D2-47E8-87C4-FFC7FB600798}"/>
    <cellStyle name="Currency 3 6" xfId="1578" xr:uid="{0596CCBC-439F-4F25-8F05-E63D94A78653}"/>
    <cellStyle name="Currency 3 7" xfId="1568" xr:uid="{D9200A5C-7301-4324-A97F-98C897B93226}"/>
    <cellStyle name="Currency 30" xfId="1579" xr:uid="{B948BB23-00A8-4D6B-8E95-71DA1F045FE3}"/>
    <cellStyle name="Currency 31" xfId="1580" xr:uid="{BCA8DECC-0A76-4C1F-8435-FA26DF82179F}"/>
    <cellStyle name="Currency 32" xfId="1581" xr:uid="{E8E5B85C-2342-4400-B03B-42219FFC2AD7}"/>
    <cellStyle name="Currency 33" xfId="1582" xr:uid="{219C35C9-93D5-4359-9EB8-ED6C76438A08}"/>
    <cellStyle name="Currency 34" xfId="1583" xr:uid="{1605AFDA-ABC7-417E-94B8-912B7F938F98}"/>
    <cellStyle name="Currency 4" xfId="182" xr:uid="{B00EEC19-B3D5-4440-9ABF-52C90D3EBD08}"/>
    <cellStyle name="Currency 4 10" xfId="1584" xr:uid="{2A0C3096-18C4-43E9-B064-9BD979D4B52A}"/>
    <cellStyle name="Currency 4 2" xfId="1585" xr:uid="{FC619C49-6CCF-4D3A-A62E-E975B3E89048}"/>
    <cellStyle name="Currency 4 2 2" xfId="1586" xr:uid="{D570CA98-19F6-47AC-8998-7F3FEBFB15FA}"/>
    <cellStyle name="Currency 4 2 2 2" xfId="1587" xr:uid="{3E175F38-520A-44F9-A37B-24783887FF36}"/>
    <cellStyle name="Currency 4 2 2 2 2" xfId="1588" xr:uid="{6AAA8B88-5E3E-4E69-B273-B65E26467E2F}"/>
    <cellStyle name="Currency 4 2 2 3" xfId="1589" xr:uid="{5A556B5B-519C-4E8E-8EB3-3F6644397529}"/>
    <cellStyle name="Currency 4 2 3" xfId="1590" xr:uid="{68B233B2-9B42-4681-86F2-D4151A0DC70D}"/>
    <cellStyle name="Currency 4 2 3 2" xfId="1591" xr:uid="{19E2AB7B-6301-4D71-8A84-76EDBE7E572B}"/>
    <cellStyle name="Currency 4 2 4" xfId="1592" xr:uid="{4BF962C3-29DE-4557-A65E-83238665F30E}"/>
    <cellStyle name="Currency 4 3" xfId="1593" xr:uid="{295E15BC-98BA-4A6F-9A03-87B6E9838981}"/>
    <cellStyle name="Currency 4 3 2" xfId="1594" xr:uid="{6433C52C-052D-48E8-A067-F97EAF5DA3A3}"/>
    <cellStyle name="Currency 4 3 2 2" xfId="1595" xr:uid="{89F2B0AC-7622-45DC-BE3C-67B200D20DF3}"/>
    <cellStyle name="Currency 4 3 2 2 2" xfId="1596" xr:uid="{EEA11A19-B31F-462E-9F74-8FDDC816BD5F}"/>
    <cellStyle name="Currency 4 3 2 3" xfId="1597" xr:uid="{162D48B7-A08C-4F27-9CAB-1FE6A8922A3A}"/>
    <cellStyle name="Currency 4 3 3" xfId="1598" xr:uid="{681B2B6D-66BB-470F-ACE9-9AD10AFAE767}"/>
    <cellStyle name="Currency 4 3 3 2" xfId="1599" xr:uid="{367AA7DB-879C-4EB6-B869-F78A4751B628}"/>
    <cellStyle name="Currency 4 3 4" xfId="1600" xr:uid="{74BFD5E2-F7A5-483D-8A36-6EA4082BAD94}"/>
    <cellStyle name="Currency 4 4" xfId="1601" xr:uid="{6BE57048-BAB1-4C54-97EE-D8F6D50B074B}"/>
    <cellStyle name="Currency 4 4 2" xfId="1602" xr:uid="{062CBED7-4C72-427F-A87D-0838325FC5C7}"/>
    <cellStyle name="Currency 4 4 2 2" xfId="1603" xr:uid="{C098CAFA-D422-4474-937E-03B2B5AFCAFD}"/>
    <cellStyle name="Currency 4 4 3" xfId="1604" xr:uid="{C9DBE68E-E2C2-4191-AB83-3D480D494703}"/>
    <cellStyle name="Currency 4 5" xfId="1605" xr:uid="{063EC57B-91D6-4F49-A105-CCBC05909204}"/>
    <cellStyle name="Currency 4 5 2" xfId="1606" xr:uid="{CAB601BC-1359-484A-ADCE-46838C49C665}"/>
    <cellStyle name="Currency 4 5 2 2" xfId="1607" xr:uid="{0557B1D0-6301-4188-9AFF-90C4ECF4640C}"/>
    <cellStyle name="Currency 4 5 3" xfId="1608" xr:uid="{AB791A4E-427A-40A4-8F2A-3AC3C59AFF61}"/>
    <cellStyle name="Currency 4 6" xfId="1609" xr:uid="{A81A3DAA-98D0-4557-8988-2E4C0410943A}"/>
    <cellStyle name="Currency 4 6 2" xfId="1610" xr:uid="{C925346E-67EC-4738-9A1D-C15D7F482D16}"/>
    <cellStyle name="Currency 4 6 2 2" xfId="1611" xr:uid="{32B061AC-17DA-45B6-A8CD-A9CEC35361BF}"/>
    <cellStyle name="Currency 4 6 3" xfId="1612" xr:uid="{0B88754B-9EB9-4392-BB12-0382CC1702D4}"/>
    <cellStyle name="Currency 4 7" xfId="1613" xr:uid="{2A89E6AC-1C3B-467C-91C8-8DCE68D2D5B2}"/>
    <cellStyle name="Currency 4 7 2" xfId="1614" xr:uid="{A7E5C9E0-7A24-4494-A197-46B3B9940188}"/>
    <cellStyle name="Currency 4 8" xfId="1615" xr:uid="{6C7D77B3-6672-4F84-97A2-7C2E91261F1A}"/>
    <cellStyle name="Currency 4 9" xfId="1616" xr:uid="{3136D653-A2BF-40C1-96E7-EFF30A1B7771}"/>
    <cellStyle name="Currency 5" xfId="188" xr:uid="{5CF23C0F-735D-45AA-A443-73D14C4AEBCA}"/>
    <cellStyle name="Currency 5 2" xfId="1618" xr:uid="{B6DDEB38-F5EF-468F-9B1C-806C2C4F61C4}"/>
    <cellStyle name="Currency 5 2 2" xfId="1619" xr:uid="{2D046A1D-280D-4688-92E8-D853B42D6CC7}"/>
    <cellStyle name="Currency 5 2 2 2" xfId="1620" xr:uid="{4548183F-4CAB-4BE3-A753-D4C09646137C}"/>
    <cellStyle name="Currency 5 2 2 2 2" xfId="1621" xr:uid="{9856F2C7-DA95-4531-8C0C-2D5FD30E51C4}"/>
    <cellStyle name="Currency 5 2 2 3" xfId="1622" xr:uid="{067F8CB0-D4E6-4729-A2F8-EBE79FC73F72}"/>
    <cellStyle name="Currency 5 2 3" xfId="1623" xr:uid="{49B45B29-FFC1-49E8-9206-46263A9B011B}"/>
    <cellStyle name="Currency 5 2 3 2" xfId="1624" xr:uid="{C00B2F02-E9F0-40BF-AEA6-69F6D696FB5B}"/>
    <cellStyle name="Currency 5 2 4" xfId="1625" xr:uid="{ACE0799E-BE94-4C3F-9EB3-C0F97552E149}"/>
    <cellStyle name="Currency 5 3" xfId="1626" xr:uid="{A0FA3FBA-B17F-48A6-88ED-4064BF95D223}"/>
    <cellStyle name="Currency 5 3 2" xfId="1627" xr:uid="{B4D7B853-840D-4B9F-ABC8-3F239DFD6EAE}"/>
    <cellStyle name="Currency 5 3 2 2" xfId="1628" xr:uid="{943CC8FD-0F6A-4D21-ACED-F9E8528DA396}"/>
    <cellStyle name="Currency 5 3 2 2 2" xfId="1629" xr:uid="{F84185DF-B883-42E4-8D3A-5A512EDA6E5D}"/>
    <cellStyle name="Currency 5 3 2 3" xfId="1630" xr:uid="{CD537C22-5947-4ED2-9F20-C33C1BC669D9}"/>
    <cellStyle name="Currency 5 3 3" xfId="1631" xr:uid="{674CB294-2F5C-4AEA-A448-1FBBA3DF1A16}"/>
    <cellStyle name="Currency 5 3 3 2" xfId="1632" xr:uid="{F258E021-DF26-48E4-9A49-757954C044EB}"/>
    <cellStyle name="Currency 5 3 4" xfId="1633" xr:uid="{BA7EE563-3CCC-4577-8D1D-7A0D67BE68AF}"/>
    <cellStyle name="Currency 5 4" xfId="1634" xr:uid="{74A89A79-A611-434E-822E-9B127D9AAA1C}"/>
    <cellStyle name="Currency 5 4 2" xfId="1635" xr:uid="{D1B6BCAB-DA86-4CCA-AEA8-FFED1733E9D2}"/>
    <cellStyle name="Currency 5 4 2 2" xfId="1636" xr:uid="{CC71B23C-4E24-487C-BF53-6E4CE4491111}"/>
    <cellStyle name="Currency 5 4 3" xfId="1637" xr:uid="{990662E3-7B0F-43F4-89F3-5CF8CD2A3BC9}"/>
    <cellStyle name="Currency 5 5" xfId="1638" xr:uid="{223893CB-CE46-4022-A90E-D43961E95E6E}"/>
    <cellStyle name="Currency 5 5 2" xfId="1639" xr:uid="{D4E23E1A-DDA6-48B4-B9EB-5BBF0500687A}"/>
    <cellStyle name="Currency 5 6" xfId="1640" xr:uid="{D1989FEA-1289-4D25-B255-C07E7EA0E07B}"/>
    <cellStyle name="Currency 5 7" xfId="1617" xr:uid="{1C0D5DA9-EA4A-48D8-9FC1-66AC837C9C8F}"/>
    <cellStyle name="Currency 6" xfId="86" xr:uid="{E2DC270F-517E-411F-A91D-9AC603C3B63C}"/>
    <cellStyle name="Currency 6 2" xfId="1642" xr:uid="{14FBCB6D-B547-487C-9247-677CC89699DA}"/>
    <cellStyle name="Currency 6 2 2" xfId="1643" xr:uid="{358C44A2-A70C-4BA2-9EA6-663D763D4CEE}"/>
    <cellStyle name="Currency 6 2 2 2" xfId="1644" xr:uid="{75E34E7E-7D93-4E2D-9E0E-21FB7C5AA35C}"/>
    <cellStyle name="Currency 6 2 2 2 2" xfId="1645" xr:uid="{7E61B873-3273-40AE-BFF3-E0119948C11D}"/>
    <cellStyle name="Currency 6 2 2 3" xfId="1646" xr:uid="{AC5FC7AE-8ED9-4639-9BCC-F37EDB534BED}"/>
    <cellStyle name="Currency 6 2 3" xfId="1647" xr:uid="{57824747-43AF-43EC-8FDA-2673EB2B105E}"/>
    <cellStyle name="Currency 6 2 3 2" xfId="1648" xr:uid="{893029B8-8FE9-4ECC-A121-D11625A007B9}"/>
    <cellStyle name="Currency 6 2 4" xfId="1649" xr:uid="{E8BF29EE-6302-4C69-97E8-282F70C2D34F}"/>
    <cellStyle name="Currency 6 3" xfId="1650" xr:uid="{ADECCB9A-43B5-4448-B5FA-FC7F9AD12438}"/>
    <cellStyle name="Currency 6 3 2" xfId="1651" xr:uid="{F88191BA-579D-4E83-8E54-F1D2E3D35B61}"/>
    <cellStyle name="Currency 6 3 2 2" xfId="1652" xr:uid="{4C8CFED5-DD3D-437F-9CBF-57F282B85119}"/>
    <cellStyle name="Currency 6 3 2 2 2" xfId="1653" xr:uid="{F7E203F9-30B9-4EB3-BA53-687E08FFD3B8}"/>
    <cellStyle name="Currency 6 3 2 3" xfId="1654" xr:uid="{FEB669F9-59CD-402B-9259-9C4A485CDE8A}"/>
    <cellStyle name="Currency 6 3 3" xfId="1655" xr:uid="{ECE30777-A3E9-4249-B526-6893D1C87C9D}"/>
    <cellStyle name="Currency 6 3 3 2" xfId="1656" xr:uid="{EF54A8C9-0997-4697-BBB6-61A019DC375B}"/>
    <cellStyle name="Currency 6 3 4" xfId="1657" xr:uid="{9EF27169-8ACC-4F21-98CF-FC33B4AAA977}"/>
    <cellStyle name="Currency 6 4" xfId="1658" xr:uid="{ABFEA26B-8004-4464-8580-399ADF2B1446}"/>
    <cellStyle name="Currency 6 4 2" xfId="1659" xr:uid="{50196BA7-A063-4AD8-AAC5-85D785BF6E96}"/>
    <cellStyle name="Currency 6 4 2 2" xfId="1660" xr:uid="{A5084461-53AC-4469-9277-D7A7B1E4F624}"/>
    <cellStyle name="Currency 6 4 3" xfId="1661" xr:uid="{2DCA5293-229F-4054-9CBE-8933CC9810F3}"/>
    <cellStyle name="Currency 6 5" xfId="1662" xr:uid="{A7469C02-2BB9-43D1-84AD-FC89E06577DB}"/>
    <cellStyle name="Currency 6 5 2" xfId="1663" xr:uid="{78D7C19B-DA09-4EC6-9642-47FD45B2FA8E}"/>
    <cellStyle name="Currency 6 6" xfId="1664" xr:uid="{39AF58B2-5657-4FE5-8887-6C713FB5A0BB}"/>
    <cellStyle name="Currency 6 7" xfId="1641" xr:uid="{52E2ACAD-49B2-4981-A885-7DCF297E9D36}"/>
    <cellStyle name="Currency 7" xfId="1665" xr:uid="{F810C216-599D-470C-ACE9-8C49D48409F1}"/>
    <cellStyle name="Currency 7 2" xfId="1666" xr:uid="{838F566A-1D3F-4512-84CB-116A988A738C}"/>
    <cellStyle name="Currency 8" xfId="1667" xr:uid="{6D5D7700-85D4-4F8B-9A78-B57915A3B390}"/>
    <cellStyle name="Currency 8 2" xfId="1668" xr:uid="{47414039-7463-41E3-8E4F-AAC6C0CF63F1}"/>
    <cellStyle name="Currency 8 2 2" xfId="1669" xr:uid="{9764358B-8D48-46AE-8BC0-59DA96F2C2B8}"/>
    <cellStyle name="Currency 8 2 2 2" xfId="1670" xr:uid="{B1D943A3-90B9-42F5-A8D2-ADD5D9C765C4}"/>
    <cellStyle name="Currency 8 2 2 2 2" xfId="1671" xr:uid="{0122904C-5CDA-4EBF-B70E-FC430B3D9E98}"/>
    <cellStyle name="Currency 8 2 2 3" xfId="1672" xr:uid="{C0F39DDD-D1AC-400B-B83F-CBB51C0B1FC7}"/>
    <cellStyle name="Currency 8 2 3" xfId="1673" xr:uid="{F19B646C-759E-4627-8F7C-E1EC5C5D9A0B}"/>
    <cellStyle name="Currency 8 2 3 2" xfId="1674" xr:uid="{0BE67C6C-1F99-41C9-BC34-673683C52C28}"/>
    <cellStyle name="Currency 8 2 4" xfId="1675" xr:uid="{6CA2CC10-F1D3-4C1E-9818-F217075799FA}"/>
    <cellStyle name="Currency 8 3" xfId="1676" xr:uid="{A5FC0EE4-AC16-4D43-821F-AE75B5AC2C8A}"/>
    <cellStyle name="Currency 8 3 2" xfId="1677" xr:uid="{89C3E0D5-8A88-40EC-9A39-3CD3FD4DA977}"/>
    <cellStyle name="Currency 8 3 2 2" xfId="1678" xr:uid="{D4E836B5-9106-43CA-B7DB-1D55E999AB9C}"/>
    <cellStyle name="Currency 8 3 2 2 2" xfId="1679" xr:uid="{BF87BC09-267E-4773-BE15-2362C1DFC39F}"/>
    <cellStyle name="Currency 8 3 2 3" xfId="1680" xr:uid="{660A5E13-27AC-4352-A408-D755ED13594C}"/>
    <cellStyle name="Currency 8 3 3" xfId="1681" xr:uid="{450FC395-7DF2-4278-87B1-60BFE9AC4C1D}"/>
    <cellStyle name="Currency 8 3 3 2" xfId="1682" xr:uid="{7364DD17-113A-43B9-B565-6ACB521D31AC}"/>
    <cellStyle name="Currency 8 3 4" xfId="1683" xr:uid="{A6889EAE-3961-4608-A418-6AC7C18D499F}"/>
    <cellStyle name="Currency 8 4" xfId="1684" xr:uid="{A5FA8387-053C-4CC5-8C23-836BC70EBBCD}"/>
    <cellStyle name="Currency 8 4 2" xfId="1685" xr:uid="{008FA785-77F7-4403-AE63-D899CACB72AA}"/>
    <cellStyle name="Currency 8 4 2 2" xfId="1686" xr:uid="{6983FE5C-DC79-4B6C-AF5D-6623918143E1}"/>
    <cellStyle name="Currency 8 4 3" xfId="1687" xr:uid="{AB9F253B-59EF-454B-911D-C4C391B3EF61}"/>
    <cellStyle name="Currency 8 5" xfId="1688" xr:uid="{7B2BCF96-517D-436E-BB68-8C7132991239}"/>
    <cellStyle name="Currency 8 5 2" xfId="1689" xr:uid="{98B72AD2-E2FC-48C7-AE29-823E18742415}"/>
    <cellStyle name="Currency 8 6" xfId="1690" xr:uid="{C7396542-649E-49C4-9356-128780201DF9}"/>
    <cellStyle name="Currency 8 7" xfId="1691" xr:uid="{D6BE6DB8-111E-479C-A938-B2BEC2CFD3D4}"/>
    <cellStyle name="Currency 9" xfId="1692" xr:uid="{5DA95D25-E7AC-4578-BC7D-6B9FB12CC5E9}"/>
    <cellStyle name="Currency 9 2" xfId="1693" xr:uid="{99BED1FD-2E6D-475E-B4E6-91702F278AF9}"/>
    <cellStyle name="Currency 9 2 2" xfId="1694" xr:uid="{CC92752A-1F00-42F4-9608-62D1754BEA30}"/>
    <cellStyle name="Currency 9 2 2 2" xfId="1695" xr:uid="{814467AB-5E05-429F-955B-6E4A871784D7}"/>
    <cellStyle name="Currency 9 2 2 2 2" xfId="1696" xr:uid="{354430FA-38F3-40D7-8884-F97F8CE34899}"/>
    <cellStyle name="Currency 9 2 2 3" xfId="1697" xr:uid="{C5D26351-B62F-4908-8D4F-05733997AA44}"/>
    <cellStyle name="Currency 9 2 3" xfId="1698" xr:uid="{BB74C99E-411F-4042-8078-224F05488584}"/>
    <cellStyle name="Currency 9 2 3 2" xfId="1699" xr:uid="{815374EF-3FFE-4829-96C4-E719332BFCE5}"/>
    <cellStyle name="Currency 9 2 4" xfId="1700" xr:uid="{86ADDD0D-6455-48FE-ACA4-46F5354585BF}"/>
    <cellStyle name="Currency 9 3" xfId="1701" xr:uid="{D4C4A23A-D40B-4369-89AF-8215B4FC0AAE}"/>
    <cellStyle name="Currency 9 3 2" xfId="1702" xr:uid="{3C21D007-2303-4568-A05D-25B6ADF3E53E}"/>
    <cellStyle name="Currency 9 3 2 2" xfId="1703" xr:uid="{46874D01-6638-4C74-99A9-B2329A3391C5}"/>
    <cellStyle name="Currency 9 3 2 2 2" xfId="1704" xr:uid="{6A3D9A25-E3D6-449B-B48C-2BA5DB22192D}"/>
    <cellStyle name="Currency 9 3 2 3" xfId="1705" xr:uid="{3CA6CAE5-E46B-4518-8205-24E1B2F33890}"/>
    <cellStyle name="Currency 9 3 3" xfId="1706" xr:uid="{FF2BBCCA-E372-487C-84CB-7D9930B56785}"/>
    <cellStyle name="Currency 9 3 3 2" xfId="1707" xr:uid="{5F175BB4-6EF7-435D-83E1-6222FA9F1B43}"/>
    <cellStyle name="Currency 9 3 4" xfId="1708" xr:uid="{C3E6E291-46DA-4D13-AEC6-978E92A652EB}"/>
    <cellStyle name="Currency 9 4" xfId="1709" xr:uid="{8C5F7A66-5E50-4ECF-865C-04ED2BA92EAC}"/>
    <cellStyle name="Currency 9 4 2" xfId="1710" xr:uid="{B82F1435-EB9C-47FC-B35B-9FBC01EFD94E}"/>
    <cellStyle name="Currency 9 4 2 2" xfId="1711" xr:uid="{4311C462-6943-4705-BA80-9B3B0782B620}"/>
    <cellStyle name="Currency 9 4 3" xfId="1712" xr:uid="{D9ECA68D-F09F-4364-A23A-11C3B96B93A9}"/>
    <cellStyle name="Currency 9 5" xfId="1713" xr:uid="{B4DCE002-C0D6-4618-AEA8-4D1F7807D2EF}"/>
    <cellStyle name="Currency 9 5 2" xfId="1714" xr:uid="{A992E6D8-0F40-415C-AF5E-20A40D965B85}"/>
    <cellStyle name="Currency 9 6" xfId="1715" xr:uid="{09FD0078-6CFD-4646-B7DF-984AA708A0A6}"/>
    <cellStyle name="Currency Per Share" xfId="1716" xr:uid="{CA43589E-4014-4035-9555-4FE44382B800}"/>
    <cellStyle name="Currency0" xfId="161" xr:uid="{D43FD6BB-AA19-4F82-B990-2EB29C42ADB1}"/>
    <cellStyle name="Currency2" xfId="1717" xr:uid="{52079066-A82F-4852-A0E1-EED158D59840}"/>
    <cellStyle name="CUS.Work.Area" xfId="1718" xr:uid="{1896EBC7-0B68-42ED-9F12-0274B1E27BC9}"/>
    <cellStyle name="Dash" xfId="1719" xr:uid="{E15B5066-D42A-4C77-809A-A42AF9F2E74D}"/>
    <cellStyle name="Data" xfId="1720" xr:uid="{342CC305-0DB8-4F57-BBFE-58E7C5ED570A}"/>
    <cellStyle name="Data 2" xfId="1721" xr:uid="{C68899FE-4E86-425F-A17D-E9CBB235AA4F}"/>
    <cellStyle name="Data 3" xfId="1722" xr:uid="{E624EEC3-5ED0-4188-935B-B70CFE06BB23}"/>
    <cellStyle name="Date" xfId="162" xr:uid="{590079ED-FBD5-46CE-96E6-0D239B26EDEE}"/>
    <cellStyle name="Date [mm-dd-yyyy]" xfId="1723" xr:uid="{B225EC17-C183-4649-B58F-FA0AE642BEB6}"/>
    <cellStyle name="Date [mm-dd-yyyy] 2" xfId="1724" xr:uid="{17F3EA8F-8E50-417C-9A05-4A816FB06880}"/>
    <cellStyle name="Date [mm-d-yyyy]" xfId="1725" xr:uid="{3AB118AD-F482-49A0-9633-CF242C128623}"/>
    <cellStyle name="Date [mmm-yyyy]" xfId="1726" xr:uid="{D48F86CA-CFF1-4153-A19E-06E17798D32F}"/>
    <cellStyle name="Date Aligned" xfId="1727" xr:uid="{F1C8152E-478B-417D-BF74-16D815703066}"/>
    <cellStyle name="Date Aligned*" xfId="1728" xr:uid="{2405A281-3179-419D-BF44-59BC8531E904}"/>
    <cellStyle name="Date Aligned_comp_Integrateds" xfId="1729" xr:uid="{3CD23D2E-8838-4D42-A971-9CFE07CDC3CF}"/>
    <cellStyle name="Date Short" xfId="1730" xr:uid="{B157A868-3D69-467A-94F7-529574B84693}"/>
    <cellStyle name="date_ Pies " xfId="1731" xr:uid="{0F7FCB2F-DE23-496D-93E7-97EEC28AEBC2}"/>
    <cellStyle name="DblLineDollarAcct" xfId="1732" xr:uid="{30279C12-0B5F-4AEE-B025-C77207DF4717}"/>
    <cellStyle name="DblLinePercent" xfId="1733" xr:uid="{A465D35E-F200-4BF2-8FD5-86CAEB2B8842}"/>
    <cellStyle name="Dezimal [0]_A17 - 31.03.1998" xfId="1734" xr:uid="{6A91B7C2-9D11-4B79-8B00-4CC46F677841}"/>
    <cellStyle name="Dezimal_A17 - 31.03.1998" xfId="1735" xr:uid="{633EBC08-E07D-474F-B070-EFFF3F707D7B}"/>
    <cellStyle name="Dia" xfId="1736" xr:uid="{8AA6CAA1-A1A9-4228-868F-33C02BBA5B10}"/>
    <cellStyle name="Dollar_ Pies " xfId="1737" xr:uid="{D52EF1D2-ABD9-4E6A-BB95-C0C6951F5216}"/>
    <cellStyle name="DollarAccounting" xfId="1738" xr:uid="{F2D2D459-BEA9-4627-96A7-4B6908783108}"/>
    <cellStyle name="Dotted Line" xfId="1739" xr:uid="{287DB646-4A8E-4C06-AD4C-722A8D93B7D1}"/>
    <cellStyle name="Dotted Line 2" xfId="1740" xr:uid="{389B20AF-E7BB-4E95-B4EB-9E7DA8C9D33E}"/>
    <cellStyle name="Dotted Line 3" xfId="1741" xr:uid="{4BEBEF39-D084-4144-9632-55114BE3209A}"/>
    <cellStyle name="Double Accounting" xfId="1742" xr:uid="{91C2705B-336F-4850-A3E8-0CF157393ACC}"/>
    <cellStyle name="Duizenden" xfId="1743" xr:uid="{696B9C48-0A26-4E29-A333-30A6342016A3}"/>
    <cellStyle name="Encabez1" xfId="1744" xr:uid="{038381B6-DE3D-4542-9E64-D5CE80288F25}"/>
    <cellStyle name="Encabez2" xfId="1745" xr:uid="{926C44A2-F431-46F7-850C-6D1441F969F6}"/>
    <cellStyle name="Enter Currency (0)" xfId="1746" xr:uid="{4EA7DF3B-5BA5-41E7-B8B7-443E4284C3CE}"/>
    <cellStyle name="Enter Currency (2)" xfId="1747" xr:uid="{5D91F807-82B3-48A3-ADF3-350387EF18E2}"/>
    <cellStyle name="Enter Units (0)" xfId="1748" xr:uid="{0AC40876-C574-4780-9FE7-352C81A28895}"/>
    <cellStyle name="Enter Units (1)" xfId="1749" xr:uid="{A7FEA7F4-0236-42FD-921F-6CFE8A6A8A74}"/>
    <cellStyle name="Enter Units (2)" xfId="1750" xr:uid="{1B8735A2-7A0A-4220-8D6D-B751A8B6F7DA}"/>
    <cellStyle name="Euro" xfId="1751" xr:uid="{10B10A6D-FA4B-4E03-B311-FA96F933EE1F}"/>
    <cellStyle name="Explanatory Text" xfId="26" builtinId="53" customBuiltin="1"/>
    <cellStyle name="Explanatory Text 2" xfId="117" xr:uid="{34B79AE8-E9DC-4924-93E0-FCF9F27C6ED0}"/>
    <cellStyle name="Explanatory Text 2 10" xfId="1752" xr:uid="{30321180-8AA3-4ACE-83A6-0688014D455B}"/>
    <cellStyle name="Explanatory Text 2 2" xfId="1753" xr:uid="{E2DA5726-C136-434E-B672-57511CABCDB8}"/>
    <cellStyle name="Explanatory Text 2 3" xfId="1754" xr:uid="{712D403E-AC25-4FB5-83D8-18D6798342BE}"/>
    <cellStyle name="Explanatory Text 2 4" xfId="1755" xr:uid="{602BDDAA-4BEE-49AF-BB59-0AA5A0921F30}"/>
    <cellStyle name="Explanatory Text 2 5" xfId="1756" xr:uid="{6527C7C9-DB49-46CA-8396-1332E9AA6619}"/>
    <cellStyle name="Explanatory Text 2 6" xfId="1757" xr:uid="{89BC310F-B27A-4079-B319-455AC6566DFB}"/>
    <cellStyle name="Explanatory Text 2 7" xfId="1758" xr:uid="{387BD4E7-B680-4FB8-882A-0F28651E5B0D}"/>
    <cellStyle name="Explanatory Text 2 8" xfId="1759" xr:uid="{801EB1D9-6457-485A-B35C-1E43D494E9EB}"/>
    <cellStyle name="Explanatory Text 2 9" xfId="1760" xr:uid="{5C8FF186-660C-4DD6-B00D-E23656E60D9F}"/>
    <cellStyle name="Explanatory Text 3" xfId="87" xr:uid="{89C96F46-F830-4B5F-B02D-6643E320E04A}"/>
    <cellStyle name="fact" xfId="1761" xr:uid="{2BDBCDDD-C61A-4C49-9F1A-303CBCBA0F6E}"/>
    <cellStyle name="FieldName" xfId="1762" xr:uid="{E4FF35CB-9E7A-410D-933C-B55C1C455295}"/>
    <cellStyle name="FieldName 2" xfId="1763" xr:uid="{B8E42242-58D3-4E20-81D9-C180BABA431C}"/>
    <cellStyle name="FieldName 3" xfId="1764" xr:uid="{86594E3B-AAE1-4E35-B11E-C1C588D4E33C}"/>
    <cellStyle name="Fijo" xfId="1765" xr:uid="{4624F3C0-CA44-4C87-BD4E-A2BD4D3C9EBD}"/>
    <cellStyle name="Financiero" xfId="1766" xr:uid="{95215FF4-765C-4CB5-86C2-CA85276BD972}"/>
    <cellStyle name="Fixed" xfId="163" xr:uid="{785CC71F-70B0-4258-A92E-1F11BC2A2DE3}"/>
    <cellStyle name="Footnote" xfId="1767" xr:uid="{D5827AD4-BCC8-428B-8EF2-2C75B7162BFF}"/>
    <cellStyle name="Good" xfId="16" builtinId="26" customBuiltin="1"/>
    <cellStyle name="Good 2" xfId="107" xr:uid="{DEF96B15-ACF1-4E5F-A8ED-6E1C81040B52}"/>
    <cellStyle name="Good 2 10" xfId="1768" xr:uid="{D816A8E8-5C1E-4EA1-88FB-5928E859AB2B}"/>
    <cellStyle name="Good 2 2" xfId="1769" xr:uid="{039ECB31-428F-4058-B1AF-62E118251501}"/>
    <cellStyle name="Good 2 3" xfId="1770" xr:uid="{2EDDE3E6-727F-48EB-91DC-915C1C9C4FA9}"/>
    <cellStyle name="Good 2 4" xfId="1771" xr:uid="{809EB679-4E1A-4957-98D7-E77F62C7A3D9}"/>
    <cellStyle name="Good 2 5" xfId="1772" xr:uid="{3885FE1F-0B39-4D1C-B57C-349E556FB8E7}"/>
    <cellStyle name="Good 2 6" xfId="1773" xr:uid="{BC04F1EF-A4C3-4A90-8EFE-5AB138723384}"/>
    <cellStyle name="Good 2 7" xfId="1774" xr:uid="{28E121B3-C87A-4D15-8861-1C02BC202FB0}"/>
    <cellStyle name="Good 2 8" xfId="1775" xr:uid="{51C73D9F-5A4C-43E9-8B0A-70737576B3E1}"/>
    <cellStyle name="Good 2 9" xfId="1776" xr:uid="{067F12CD-D6DE-4CFE-9C17-7A07EC77CCA1}"/>
    <cellStyle name="Good 3" xfId="88" xr:uid="{8338782B-BD25-45DE-884D-9495016D88A6}"/>
    <cellStyle name="Grey" xfId="164" xr:uid="{A2424635-0D8B-4807-87BA-CC307E803BE2}"/>
    <cellStyle name="GWN Table Body" xfId="1777" xr:uid="{899D3447-7F5F-4D2C-B929-3B791B91AA49}"/>
    <cellStyle name="GWN Table Header" xfId="1778" xr:uid="{A03D3322-4C68-4C86-BC44-FB5B2CF9C23D}"/>
    <cellStyle name="GWN Table Left Header" xfId="1779" xr:uid="{9132259B-D76A-4C21-8DBD-48A1937616FF}"/>
    <cellStyle name="GWN Table Note" xfId="1780" xr:uid="{9137B47A-8BA3-43DD-8AF4-6DFEF2A994BA}"/>
    <cellStyle name="GWN Table Title" xfId="1781" xr:uid="{A21FB0CA-262F-4831-A9AD-B2FE2431B1F9}"/>
    <cellStyle name="hard no" xfId="1782" xr:uid="{4F9291FD-95F7-4FF7-967A-57E4627B8AEB}"/>
    <cellStyle name="Hard Percent" xfId="1783" xr:uid="{9E253D17-CD4C-4A0C-AACC-96B8C9826C1F}"/>
    <cellStyle name="hardno" xfId="1784" xr:uid="{2F612CF8-DCC9-471E-B6B5-AE8D85390BA3}"/>
    <cellStyle name="Header" xfId="1785" xr:uid="{F0D664A8-2F58-4BFA-B1A8-C3A4D564FEDF}"/>
    <cellStyle name="Header1" xfId="1786" xr:uid="{15DE0978-0EE1-491C-B681-583D5F2DC892}"/>
    <cellStyle name="Header2" xfId="1787" xr:uid="{BC267547-F34B-4D08-8BC6-333F2FFABF69}"/>
    <cellStyle name="Heading" xfId="1788" xr:uid="{321BD540-4E08-4DAC-B699-C8CB9A0ADA94}"/>
    <cellStyle name="Heading 1" xfId="12" builtinId="16" customBuiltin="1"/>
    <cellStyle name="Heading 1 2" xfId="104" xr:uid="{FE6440D7-8A4C-4624-84D7-2404B0B10B09}"/>
    <cellStyle name="Heading 1 2 2" xfId="1790" xr:uid="{1B1F4FB9-B496-413B-A708-CBE631CE063F}"/>
    <cellStyle name="Heading 1 2 3" xfId="1791" xr:uid="{D93E9BDC-8212-4B2C-A219-73BD3E428839}"/>
    <cellStyle name="Heading 1 2 4" xfId="1792" xr:uid="{E64134BD-FE8B-4E7C-B309-A9DA6613D371}"/>
    <cellStyle name="Heading 1 2 5" xfId="1793" xr:uid="{0BD87894-25E1-4BFC-90B6-8E3717174B57}"/>
    <cellStyle name="Heading 1 2 6" xfId="1794" xr:uid="{3DD6F031-F72E-4428-9181-83E56642E195}"/>
    <cellStyle name="Heading 1 2 7" xfId="1789" xr:uid="{C065DB6D-2ECA-4126-B123-25DD88C077BB}"/>
    <cellStyle name="Heading 1 3" xfId="89" xr:uid="{81C716C3-0806-4B5B-BDF8-A2CF2F867F8B}"/>
    <cellStyle name="Heading 1 3 2" xfId="1795" xr:uid="{F32E0931-4B2A-4B5D-BF8D-7F3A162C019E}"/>
    <cellStyle name="Heading 2" xfId="13" builtinId="17" customBuiltin="1"/>
    <cellStyle name="Heading 2 2" xfId="103" xr:uid="{F4B8161A-58EB-432F-B435-DB775B884BDC}"/>
    <cellStyle name="Heading 2 2 2" xfId="1797" xr:uid="{0CA7C053-48DD-49C9-A8E2-6B2E33CCEA63}"/>
    <cellStyle name="Heading 2 2 3" xfId="1798" xr:uid="{1D559559-95CD-4CCC-8685-A80031FA0FF2}"/>
    <cellStyle name="Heading 2 2 4" xfId="1799" xr:uid="{2AB4D5FF-D198-4873-BA2A-BB362A6B5456}"/>
    <cellStyle name="Heading 2 2 5" xfId="1800" xr:uid="{305203CE-BE8F-4A76-88EA-F017CCC7729B}"/>
    <cellStyle name="Heading 2 2 6" xfId="1801" xr:uid="{7B800476-943A-4042-AAF6-640297AE57EB}"/>
    <cellStyle name="Heading 2 2 7" xfId="1796" xr:uid="{FCD3E2C4-62AC-4737-B964-B3114668065C}"/>
    <cellStyle name="Heading 2 3" xfId="90" xr:uid="{3A1686E3-3004-4FB6-9125-536E1D9C548D}"/>
    <cellStyle name="Heading 2 3 2" xfId="1802" xr:uid="{4676E400-56CB-44A3-ACA5-D2B5C10B76B2}"/>
    <cellStyle name="Heading 3" xfId="14" builtinId="18" customBuiltin="1"/>
    <cellStyle name="Heading 3 2" xfId="105" xr:uid="{7B0E7FA3-7DAF-4426-B90A-0C6B44A3A73A}"/>
    <cellStyle name="Heading 3 2 2" xfId="1804" xr:uid="{AF764C47-A864-4698-84DC-60A5C1C7CB9E}"/>
    <cellStyle name="Heading 3 2 3" xfId="1805" xr:uid="{494EB9F3-C044-4106-B5EC-460B7F623B32}"/>
    <cellStyle name="Heading 3 2 4" xfId="1806" xr:uid="{7266543A-96B1-4D02-927A-D2CD2B6D1943}"/>
    <cellStyle name="Heading 3 2 5" xfId="1807" xr:uid="{5DAFEDB2-43E0-4E2D-B84D-29519D10502D}"/>
    <cellStyle name="Heading 3 2 6" xfId="1808" xr:uid="{4F71428E-7AE4-49A0-9555-BF8C139A5997}"/>
    <cellStyle name="Heading 3 2 7" xfId="1809" xr:uid="{E3A544B9-A9CD-4A1D-B33E-146BDF00F3E8}"/>
    <cellStyle name="Heading 3 2 8" xfId="1803" xr:uid="{F51E74D5-ADE0-4474-B3DF-6A6CC4A9F935}"/>
    <cellStyle name="Heading 3 3" xfId="91" xr:uid="{7CCB33CA-2716-41D3-A803-C865331F27AC}"/>
    <cellStyle name="Heading 3 3 2" xfId="1810" xr:uid="{62567FF9-9778-4A4C-84CA-410CABA1758F}"/>
    <cellStyle name="Heading 4" xfId="15" builtinId="19" customBuiltin="1"/>
    <cellStyle name="Heading 4 2" xfId="106" xr:uid="{696792CE-A627-4F45-BB66-5303FC8CE372}"/>
    <cellStyle name="Heading 4 2 2" xfId="1812" xr:uid="{1DCD7665-4DC5-4A1E-840C-6FA2A4875328}"/>
    <cellStyle name="Heading 4 2 3" xfId="1811" xr:uid="{F7414127-DE32-4069-A6A8-9A9E34B472D9}"/>
    <cellStyle name="Heading 4 3" xfId="92" xr:uid="{36400574-120C-4496-B7D5-DE662005C22E}"/>
    <cellStyle name="Heading2" xfId="1813" xr:uid="{54F2E64D-9C5F-4BEA-8B3E-CC8D1B3ED5C0}"/>
    <cellStyle name="Heading3" xfId="1814" xr:uid="{162480EA-AA56-443E-8DB2-7CB3E3AA1E81}"/>
    <cellStyle name="HeadingColumn" xfId="1815" xr:uid="{6364593A-2208-4B28-87CE-24CCD4DDE9A1}"/>
    <cellStyle name="HeadingS" xfId="1816" xr:uid="{0785CAC5-A7B4-4A5E-A745-8163C4E28D4D}"/>
    <cellStyle name="HeadingYear" xfId="1817" xr:uid="{C6B72350-69F0-4F51-BDF9-189AE3492A1A}"/>
    <cellStyle name="HeadlineStyle" xfId="1818" xr:uid="{126FF4E7-E765-4D90-ACCE-573406821216}"/>
    <cellStyle name="HeadlineStyleJustified" xfId="1819" xr:uid="{81C33CBF-BE56-43B8-944B-BC49B22A9616}"/>
    <cellStyle name="Hed Side_Sheet1" xfId="1820" xr:uid="{DDCA3DF9-8DB8-48F5-B325-F6B46119BA8B}"/>
    <cellStyle name="Hed Top" xfId="1821" xr:uid="{5BADF9B7-3107-4530-BA0F-621D540AF52D}"/>
    <cellStyle name="Hyperlink" xfId="56" builtinId="8"/>
    <cellStyle name="Hyperlink 2" xfId="93" xr:uid="{02FCB239-43C0-452A-8682-CD2A3CB3D94E}"/>
    <cellStyle name="Hyperlink 2 10" xfId="1823" xr:uid="{6A2196B7-E6C2-4EE4-B5DC-10C624C20DEB}"/>
    <cellStyle name="Hyperlink 2 11" xfId="1824" xr:uid="{88B57DE2-68C1-4ED7-9F3E-7BB90AF082F8}"/>
    <cellStyle name="Hyperlink 2 12" xfId="1825" xr:uid="{0EECF92D-18AB-4263-B977-535876613EC8}"/>
    <cellStyle name="Hyperlink 2 13" xfId="1826" xr:uid="{D22BC4C5-4360-4518-8CE6-CB0E15938548}"/>
    <cellStyle name="Hyperlink 2 14" xfId="1822" xr:uid="{A73A780C-2EED-4F65-860C-9532F6F7C5F1}"/>
    <cellStyle name="Hyperlink 2 2" xfId="1827" xr:uid="{B12B195E-BCCD-4192-AA32-A18291656EAA}"/>
    <cellStyle name="Hyperlink 2 2 2" xfId="1828" xr:uid="{A8B9907E-DDFD-494E-8C9C-41BFBAC8F057}"/>
    <cellStyle name="Hyperlink 2 3" xfId="1829" xr:uid="{AF48A91B-4FA0-4470-A748-4C44E08EF4C2}"/>
    <cellStyle name="Hyperlink 2 3 2" xfId="1830" xr:uid="{6ED03FF5-3FC5-4A68-A7B9-3D20CD0AE513}"/>
    <cellStyle name="Hyperlink 2 4" xfId="1831" xr:uid="{07A941E4-CCEF-4EB7-A7F9-9163B0B875FD}"/>
    <cellStyle name="Hyperlink 2 5" xfId="1832" xr:uid="{F498D581-FF36-443D-853B-53619C5C3938}"/>
    <cellStyle name="Hyperlink 2 6" xfId="1833" xr:uid="{6C6A138E-846D-40CD-8667-D982175128EA}"/>
    <cellStyle name="Hyperlink 2 7" xfId="1834" xr:uid="{65A33583-2F6C-498D-B715-DD0130490A0E}"/>
    <cellStyle name="Hyperlink 2 8" xfId="1835" xr:uid="{32DA3ACE-1D28-4198-90CC-B28A9460847C}"/>
    <cellStyle name="Hyperlink 2 9" xfId="1836" xr:uid="{9859BD8E-4052-40F4-B5D4-61CA19B14D9F}"/>
    <cellStyle name="Hyperlink 3" xfId="1837" xr:uid="{55167A79-19B6-4FC9-A3CF-A937B9AC1FCB}"/>
    <cellStyle name="Hyperlink 3 10" xfId="1838" xr:uid="{1461A175-32BA-4E90-9A1A-0D3554C0C7EB}"/>
    <cellStyle name="Hyperlink 3 11" xfId="1839" xr:uid="{BAA73AC4-B0BF-47F1-8A53-345819BC9BF0}"/>
    <cellStyle name="Hyperlink 3 12" xfId="1840" xr:uid="{00903C18-3E98-4CA5-996C-909948F4E123}"/>
    <cellStyle name="Hyperlink 3 2" xfId="1841" xr:uid="{9D7E8D8A-B9EC-43F0-B64D-C1B5DADF0D41}"/>
    <cellStyle name="Hyperlink 3 3" xfId="1842" xr:uid="{8BB1DAEA-DE80-4916-929D-ED244F7BCE82}"/>
    <cellStyle name="Hyperlink 3 4" xfId="1843" xr:uid="{C88615C0-15E4-46E5-8E70-D608173EC641}"/>
    <cellStyle name="Hyperlink 3 5" xfId="1844" xr:uid="{B17E2801-3345-49EF-A127-0DBEDD6756B4}"/>
    <cellStyle name="Hyperlink 3 6" xfId="1845" xr:uid="{89F3C22F-BCE5-4725-AAE5-A20A584D42AD}"/>
    <cellStyle name="Hyperlink 3 7" xfId="1846" xr:uid="{C267D9FD-6AF9-4D1D-A29F-802F16430E6B}"/>
    <cellStyle name="Hyperlink 3 8" xfId="1847" xr:uid="{475C6BF2-4678-4729-9C4E-F117A79CF746}"/>
    <cellStyle name="Hyperlink 3 9" xfId="1848" xr:uid="{4C6AC6DD-B1A8-4681-A0F4-1917686CCAA6}"/>
    <cellStyle name="Hyperlink 4" xfId="1849" xr:uid="{A91B0BF0-4416-4958-B3C4-8656E6AD73C9}"/>
    <cellStyle name="Hyperlink 5" xfId="1850" xr:uid="{F082B5F5-2F4D-4264-8D0A-C6E68E4581A7}"/>
    <cellStyle name="InLink_Acquis_CapitalCost " xfId="1851" xr:uid="{5ADF5301-703A-4911-8025-9A02EA3AE811}"/>
    <cellStyle name="Input" xfId="19" builtinId="20" customBuiltin="1"/>
    <cellStyle name="Input (1dp#)_ Pies " xfId="1852" xr:uid="{EA6C3678-611A-49E0-A2D2-9FD50130737D}"/>
    <cellStyle name="Input [yellow]" xfId="165" xr:uid="{54BF3AB1-BCCB-43D9-ACAD-C2988F6D9DC0}"/>
    <cellStyle name="Input 2" xfId="110" xr:uid="{AB17B25C-FD24-4D0E-B1FD-CF9955139162}"/>
    <cellStyle name="Input 2 10" xfId="1854" xr:uid="{BC756812-CD1D-4DA7-AFAB-652EDBA617D9}"/>
    <cellStyle name="Input 2 11" xfId="1855" xr:uid="{918698CD-63A1-4E4F-9DC0-4AE9F0149B34}"/>
    <cellStyle name="Input 2 12" xfId="1853" xr:uid="{991F11B4-FEC6-4122-BF2F-6CC8FA3F3427}"/>
    <cellStyle name="Input 2 2" xfId="1856" xr:uid="{98CC49AA-A936-4BAD-B01B-E7A0E05B6A96}"/>
    <cellStyle name="Input 2 2 2" xfId="1857" xr:uid="{9E3A1419-AC8B-4787-9EE0-5E611F428A8E}"/>
    <cellStyle name="Input 2 2 3" xfId="1858" xr:uid="{CBA35985-7ECD-4E05-A5CF-55978CE184C7}"/>
    <cellStyle name="Input 2 2 4" xfId="1859" xr:uid="{6F70EF28-8894-4EC5-9A74-F0FF22AF80CB}"/>
    <cellStyle name="Input 2 3" xfId="1860" xr:uid="{146A8CCA-0596-4778-8FD1-7C130804C749}"/>
    <cellStyle name="Input 2 4" xfId="1861" xr:uid="{638AC965-483F-42D1-9379-F1CD89C14FB7}"/>
    <cellStyle name="Input 2 5" xfId="1862" xr:uid="{2EB6328F-D94A-4613-9B42-49F98DA3B452}"/>
    <cellStyle name="Input 2 6" xfId="1863" xr:uid="{B5375BED-5716-435B-82AF-5B16A3A01A99}"/>
    <cellStyle name="Input 2 7" xfId="1864" xr:uid="{CADB2AB2-9A15-487A-8E86-0F7B3F8B6D99}"/>
    <cellStyle name="Input 2 8" xfId="1865" xr:uid="{56E2C296-E345-4F2E-ABA0-09638437ABC2}"/>
    <cellStyle name="Input 2 9" xfId="1866" xr:uid="{A0187209-6B77-4F27-AF9D-A6DE3F981611}"/>
    <cellStyle name="Input 3" xfId="94" xr:uid="{0CEA251C-5F4A-451E-B268-02AEEA4DDCE1}"/>
    <cellStyle name="Input 3 2" xfId="1867" xr:uid="{D1ED048C-87C2-4117-96D5-35887F296E2A}"/>
    <cellStyle name="InputBlueFont" xfId="1868" xr:uid="{764D1CB5-4CFC-4AAC-8CF6-D9BDD8B58643}"/>
    <cellStyle name="InputGen" xfId="1869" xr:uid="{75DBA559-08B0-47C6-886F-5CB01AACEEE4}"/>
    <cellStyle name="InputKeepColour" xfId="1870" xr:uid="{7C34647E-C68E-40E6-B466-C6CF12149ED0}"/>
    <cellStyle name="InputKeepPale" xfId="1871" xr:uid="{B92F53BA-BFF1-42A8-BA79-6CD107B753AC}"/>
    <cellStyle name="InputVariColour" xfId="1872" xr:uid="{E3590CDC-63CD-465A-8E24-3EDE81EABDCE}"/>
    <cellStyle name="Integer" xfId="1873" xr:uid="{35EE75C6-0BA5-454D-9AD0-E4A7D12979EB}"/>
    <cellStyle name="Invisible" xfId="1874" xr:uid="{00C3E1C2-F5E3-4BEC-9AA1-DE3715492CA5}"/>
    <cellStyle name="Item" xfId="1875" xr:uid="{9D4439FB-B078-4C64-A151-F8EA7A33F013}"/>
    <cellStyle name="Items_Obligatory" xfId="1876" xr:uid="{C46798CE-963B-47F8-896A-7E05EAA1F45F}"/>
    <cellStyle name="ItemTypeClass" xfId="1877" xr:uid="{9DF06C20-4C36-4433-9F2E-6B69498B0830}"/>
    <cellStyle name="ItemTypeClass 2" xfId="1878" xr:uid="{F701338F-89D4-4656-B1E6-DD30FF300817}"/>
    <cellStyle name="ItemTypeClass 3" xfId="1879" xr:uid="{C1DF4877-6D7A-4A2C-BDF5-90893A7615AB}"/>
    <cellStyle name="KP_Normal" xfId="1880" xr:uid="{E3369059-1182-4F8A-ADC1-A338ACF8EDEA}"/>
    <cellStyle name="Lien hypertexte visité_index" xfId="1881" xr:uid="{1C1448DB-E4BA-4A52-8E43-4FD09946AB1D}"/>
    <cellStyle name="Lien hypertexte_index" xfId="1882" xr:uid="{AB8ADDF7-58BE-49DB-A65C-2FDE6102CF86}"/>
    <cellStyle name="ligne_detail" xfId="1883" xr:uid="{3F69FF36-AB2C-46FD-BF52-1EAD63F301FD}"/>
    <cellStyle name="Line" xfId="1884" xr:uid="{AC572745-4788-438D-A8E7-9D4C0F26860C}"/>
    <cellStyle name="Link Currency (0)" xfId="1885" xr:uid="{8D7CF80E-4E81-4649-8D5C-5F9EBEA41174}"/>
    <cellStyle name="Link Currency (2)" xfId="1886" xr:uid="{F0691506-A79F-4D5B-BE12-1D42E9DD466B}"/>
    <cellStyle name="Link Units (0)" xfId="1887" xr:uid="{CEFA5DE4-1B1A-47CB-9072-B33515F3FD56}"/>
    <cellStyle name="Link Units (1)" xfId="1888" xr:uid="{EA499C7D-E477-4120-B25A-340542300697}"/>
    <cellStyle name="Link Units (2)" xfId="1889" xr:uid="{90247318-CB1A-4329-A15D-DE74470EC9BC}"/>
    <cellStyle name="Linked Cell" xfId="22" builtinId="24" customBuiltin="1"/>
    <cellStyle name="Linked Cell 2" xfId="113" xr:uid="{72BF1F29-0C73-44C6-A74A-CA4312EE3B86}"/>
    <cellStyle name="Linked Cell 2 10" xfId="1890" xr:uid="{5B5ED5F1-AEC5-4EEF-AAD0-22B71D652B2B}"/>
    <cellStyle name="Linked Cell 2 2" xfId="1891" xr:uid="{54DEF35D-C721-4F23-B182-E59F0D8A28AE}"/>
    <cellStyle name="Linked Cell 2 3" xfId="1892" xr:uid="{D3C41315-5D38-411A-BC5F-0067B0B0AFBF}"/>
    <cellStyle name="Linked Cell 2 4" xfId="1893" xr:uid="{C88C2FA2-9077-4554-9730-730ED348324F}"/>
    <cellStyle name="Linked Cell 2 5" xfId="1894" xr:uid="{498677C6-7A48-4D9C-9D5F-56FBA450A653}"/>
    <cellStyle name="Linked Cell 2 6" xfId="1895" xr:uid="{2F2068CD-7EC2-4AB4-BA02-AD2A393C769B}"/>
    <cellStyle name="Linked Cell 2 7" xfId="1896" xr:uid="{C4056FA1-5669-4D7F-A8F6-6B58F30C1912}"/>
    <cellStyle name="Linked Cell 2 8" xfId="1897" xr:uid="{42727B1F-22CC-4D2A-BB06-C1494E1A37E0}"/>
    <cellStyle name="Linked Cell 2 9" xfId="212" xr:uid="{0FE72687-9DE5-40CB-902A-337CFA5FBEA6}"/>
    <cellStyle name="Linked Cell 3" xfId="95" xr:uid="{F549495F-FEC1-4324-A0C3-DF66A40DCDC3}"/>
    <cellStyle name="M" xfId="166" xr:uid="{4D611614-E431-43B5-8083-FCE9C71222CC}"/>
    <cellStyle name="M.00" xfId="167" xr:uid="{913F639E-50BB-4FF8-A4B6-869283669900}"/>
    <cellStyle name="m/d/yy" xfId="1898" xr:uid="{D83FC1A5-C36E-4D5A-B691-292454AC81F6}"/>
    <cellStyle name="M_9. Rev2Cost_GDPIPI" xfId="168" xr:uid="{EBF57F36-84B9-48F2-B962-79CC81496DD8}"/>
    <cellStyle name="M_lists" xfId="169" xr:uid="{793E0AF7-ADFE-4C49-A926-F8B6B061D760}"/>
    <cellStyle name="M_lists_4. Current Monthly Fixed Charge" xfId="170" xr:uid="{6CC7FF54-EB57-4CDF-B04C-5314C83D696E}"/>
    <cellStyle name="M_Sheet4" xfId="171" xr:uid="{A22A21C3-7623-4EE6-82AC-C840C8F56CA0}"/>
    <cellStyle name="m1" xfId="1899" xr:uid="{C6D20785-818D-426C-BD7D-B32FEB28D0C6}"/>
    <cellStyle name="Major item" xfId="1900" xr:uid="{4E5D05D6-FAE4-4F21-B630-7B29853D5B8D}"/>
    <cellStyle name="Margin" xfId="1901" xr:uid="{4641CF47-1471-4EAE-A341-8C1CAFE22FD9}"/>
    <cellStyle name="Migliaia (0)_Sheet1" xfId="1902" xr:uid="{743F8E7D-83E4-4EC5-93DA-751C9C08E097}"/>
    <cellStyle name="Migliaia_piv_polio" xfId="1903" xr:uid="{05FDD5DA-E9A1-44EB-A5EF-A5E54E708DA7}"/>
    <cellStyle name="Millares [0]_Asset Mgmt " xfId="1904" xr:uid="{70C13466-6C5F-4A99-AC13-BC29AAEEA5A9}"/>
    <cellStyle name="Millares_2AV_M_M " xfId="1905" xr:uid="{16A58E13-C61B-4013-A4EE-7BFD387A055D}"/>
    <cellStyle name="Milliers [0]_CANADA1" xfId="1906" xr:uid="{1C3D8A85-BD18-4184-85FF-97D2BEA5D38A}"/>
    <cellStyle name="Milliers 2" xfId="1907" xr:uid="{0C8AE89A-3CF5-49F5-BF52-865E2D38E849}"/>
    <cellStyle name="Milliers_CANADA1" xfId="1908" xr:uid="{EBFC8DEB-A19D-4E2A-B002-258444709E3D}"/>
    <cellStyle name="mm/dd/yy" xfId="1909" xr:uid="{A5CE579C-71F9-466E-B4A9-EC3FA3CA8EE8}"/>
    <cellStyle name="mod1" xfId="1910" xr:uid="{9BB101E1-7A80-49EF-8357-9ECFC2462528}"/>
    <cellStyle name="modelo1" xfId="1911" xr:uid="{D55F3801-7E03-4D83-921B-573A91D0D9D3}"/>
    <cellStyle name="Moneda [0]_2AV_M_M " xfId="1912" xr:uid="{E3827AD4-DAEB-4922-AF34-D71D52F53C57}"/>
    <cellStyle name="Moneda_2AV_M_M " xfId="1913" xr:uid="{140754D1-8848-4972-A87A-5777A9F64592}"/>
    <cellStyle name="Monétaire [0]_CANADA1" xfId="1914" xr:uid="{54C43EE3-099C-4E0F-A23C-8E77E78ABEA4}"/>
    <cellStyle name="Monétaire 2" xfId="1915" xr:uid="{CE3DDDE7-2C60-47F6-848A-1AF7CCD166B3}"/>
    <cellStyle name="Monétaire_CANADA1" xfId="1916" xr:uid="{6BF847AD-8F8F-4B74-B129-882316C21E43}"/>
    <cellStyle name="Monetario" xfId="1917" xr:uid="{9E2A5C68-5ADA-4CFC-A82C-370D903BF960}"/>
    <cellStyle name="MonthYears" xfId="1918" xr:uid="{BC4ABF17-A553-439A-83E9-94BC4BC73CA5}"/>
    <cellStyle name="Multiple" xfId="1919" xr:uid="{D3CDA76A-C3E1-4F77-B49F-79874F0663E4}"/>
    <cellStyle name="Multiple (no x)" xfId="1920" xr:uid="{27B708BC-8EA9-4571-BA5D-7978B72C26F0}"/>
    <cellStyle name="Multiple (x)" xfId="1921" xr:uid="{A971D32B-20F0-4141-8BE9-970E47C14ABF}"/>
    <cellStyle name="Multiple [0]" xfId="1922" xr:uid="{9D8C77E3-B02F-488F-943F-437507EFA97C}"/>
    <cellStyle name="Multiple [1]" xfId="1923" xr:uid="{F6DB8598-3322-4663-9A30-29AB5B9F9432}"/>
    <cellStyle name="Multiple [2]" xfId="1924" xr:uid="{4B75D703-2679-4776-8220-74960C0B64AF}"/>
    <cellStyle name="Multiple [3]" xfId="1925" xr:uid="{085934D8-8604-49FD-96AA-64DD97642274}"/>
    <cellStyle name="Multiple_1030171N" xfId="1926" xr:uid="{094E00C7-319B-46C2-A4DF-0FD7591DF89F}"/>
    <cellStyle name="neg0.0_CapitalCost " xfId="1927" xr:uid="{B6DBE9E7-CEB0-4D12-BD85-426C303902FB}"/>
    <cellStyle name="Neutral" xfId="18" builtinId="28" customBuiltin="1"/>
    <cellStyle name="Neutral 2" xfId="109" xr:uid="{3857DBCB-2856-4793-9244-2E96844B0DED}"/>
    <cellStyle name="Neutral 2 10" xfId="1928" xr:uid="{E8F79A51-CB39-469E-BEC5-ECBA8F776DB6}"/>
    <cellStyle name="Neutral 2 2" xfId="1929" xr:uid="{EEA07A68-F6FD-4877-88DC-94B4945FC3DA}"/>
    <cellStyle name="Neutral 2 3" xfId="1930" xr:uid="{131AC1D4-62F2-4598-AF69-576C1429C91E}"/>
    <cellStyle name="Neutral 2 4" xfId="1931" xr:uid="{6E3AE1B7-90D1-415D-B529-685E2A5BD813}"/>
    <cellStyle name="Neutral 2 5" xfId="1932" xr:uid="{399D8D40-3B41-493D-A838-0E74E508ACE2}"/>
    <cellStyle name="Neutral 2 6" xfId="1933" xr:uid="{794ACAC4-C039-40F3-9109-88D242A4DCA3}"/>
    <cellStyle name="Neutral 2 7" xfId="1934" xr:uid="{A79A47AB-05D8-4ECD-A220-CFCC6F7A4F27}"/>
    <cellStyle name="Neutral 2 8" xfId="1935" xr:uid="{077D0841-7B01-477D-93AC-0F31C52D965A}"/>
    <cellStyle name="Neutral 2 9" xfId="1936" xr:uid="{3FF1795A-563B-4EA7-B5A3-D24F5CD7F174}"/>
    <cellStyle name="Neutral 3" xfId="96" xr:uid="{80D7AEC9-A67F-42BD-A796-FD4C60829337}"/>
    <cellStyle name="New" xfId="1937" xr:uid="{F3B700BF-0786-4F76-82BC-C58F5995C29E}"/>
    <cellStyle name="Nil" xfId="1938" xr:uid="{55E8EA03-EE16-415E-851C-746E22E496EB}"/>
    <cellStyle name="no dec" xfId="1939" xr:uid="{51AE4562-0B0B-400A-887D-FC448993A02D}"/>
    <cellStyle name="No-definido" xfId="1940" xr:uid="{A6C5EBA6-EC3E-4301-AE33-DF807CABF758}"/>
    <cellStyle name="Non_Input_Cell_Figures" xfId="1941" xr:uid="{892380D0-BAEC-477E-9E0F-5B377C13A95A}"/>
    <cellStyle name="NonPrintingArea" xfId="1942" xr:uid="{F59F3EDF-D2E7-4AF6-A981-FF072B9289E3}"/>
    <cellStyle name="NORAYAS" xfId="1943" xr:uid="{786D5A4A-0CC8-4D62-B13F-CEF85D2E5EAC}"/>
    <cellStyle name="Normal" xfId="0" builtinId="0"/>
    <cellStyle name="Normal--" xfId="1944" xr:uid="{21AA8B36-8CE0-47E5-BEBE-805BDDCFE9E2}"/>
    <cellStyle name="Normal - Style1" xfId="172" xr:uid="{36846BBC-DA26-42E2-8003-5D152724A599}"/>
    <cellStyle name="Normal - Style1 2" xfId="1945" xr:uid="{705A558C-BFC3-4069-89A0-983128F734EA}"/>
    <cellStyle name="Normal [0]" xfId="1946" xr:uid="{B407BD04-30CB-4CFA-9412-49660B72DC8A}"/>
    <cellStyle name="Normal [1]" xfId="1947" xr:uid="{3EFADCB5-3174-4279-A882-C898451B3B4A}"/>
    <cellStyle name="Normal [3]" xfId="1948" xr:uid="{C7F43C9E-34CC-480E-BEE3-B26DDF2AB892}"/>
    <cellStyle name="Normal [3] 2" xfId="1949" xr:uid="{96B08CC1-A14D-4857-B8E5-C8D70ECBD80B}"/>
    <cellStyle name="Normal [3] 3" xfId="1950" xr:uid="{083BF47F-C525-425D-91B3-DC6128563EB3}"/>
    <cellStyle name="Normal 10" xfId="192" xr:uid="{901EDDE7-8FCE-410D-A195-B786BEAF7D9B}"/>
    <cellStyle name="Normal 10 2" xfId="1952" xr:uid="{CC0B1A9C-1F64-49D9-82D9-52D21ADA7FCA}"/>
    <cellStyle name="Normal 10 3" xfId="1953" xr:uid="{B777E56E-EB2F-4A19-9FD0-E783BD5E6B61}"/>
    <cellStyle name="Normal 10 4" xfId="1954" xr:uid="{4E8300BD-18C3-46DF-92C1-6D86338149D0}"/>
    <cellStyle name="Normal 10 5" xfId="1955" xr:uid="{08EBB52D-D42F-41D2-8852-AB46AED5661A}"/>
    <cellStyle name="Normal 10 6" xfId="1956" xr:uid="{E2BBBB28-1952-4914-9309-333652723753}"/>
    <cellStyle name="Normal 10 7" xfId="1957" xr:uid="{DAAA8598-8874-47C9-9A97-095B6012EA2D}"/>
    <cellStyle name="Normal 10 8" xfId="1951" xr:uid="{227B1531-0A1B-4FFE-97E0-F249AB041B4D}"/>
    <cellStyle name="Normal 11" xfId="193" xr:uid="{768A8B92-A234-4C6F-B40F-0217D57EEA05}"/>
    <cellStyle name="Normal 11 2" xfId="1959" xr:uid="{76138C4B-CADD-4096-BA73-84A3D76DC705}"/>
    <cellStyle name="Normal 11 2 2" xfId="1960" xr:uid="{4B3ED793-D048-418A-A1C1-665428B2D5A2}"/>
    <cellStyle name="Normal 11 3" xfId="1961" xr:uid="{E7CD945F-C09C-4CBD-9C2A-A695002B7B2D}"/>
    <cellStyle name="Normal 11 4" xfId="1962" xr:uid="{48553393-5D8C-4C27-A76B-1EA9A6D95300}"/>
    <cellStyle name="Normal 11 5" xfId="1963" xr:uid="{95070706-0469-43C0-8C76-FF6021DEEEA5}"/>
    <cellStyle name="Normal 11 6" xfId="1964" xr:uid="{AEE36A7B-82F8-4568-8A20-EF46BA56605D}"/>
    <cellStyle name="Normal 11 7" xfId="1965" xr:uid="{A0EB1252-3B41-44F9-B92F-0D2ECA029AEC}"/>
    <cellStyle name="Normal 11 8" xfId="1958" xr:uid="{400ABA88-DF4C-45F7-8D54-C943017A0029}"/>
    <cellStyle name="Normal 12" xfId="1966" xr:uid="{B84CC610-6C9A-4768-B4CC-A5E144CA0843}"/>
    <cellStyle name="Normal 12 2" xfId="1967" xr:uid="{AB315859-BA71-4E33-8A10-D734D5494874}"/>
    <cellStyle name="Normal 12 3" xfId="1968" xr:uid="{6656D5DA-7AEC-4918-A606-A172AD19B209}"/>
    <cellStyle name="Normal 12 4" xfId="1969" xr:uid="{DB26F21C-9ACB-4D4E-8B30-BE9A26804596}"/>
    <cellStyle name="Normal 12 5" xfId="1970" xr:uid="{03A9EF3A-8912-4C5F-93B8-D994B56C1585}"/>
    <cellStyle name="Normal 13" xfId="1971" xr:uid="{6BAD2F9D-9A7D-421D-A0E8-FEF7A7C26248}"/>
    <cellStyle name="Normal 13 2" xfId="1972" xr:uid="{001C8E72-3D54-4E78-99DF-114ED26B5888}"/>
    <cellStyle name="Normal 13 3" xfId="1973" xr:uid="{2075E143-2906-4024-AA98-3079BD3D7636}"/>
    <cellStyle name="Normal 14" xfId="1974" xr:uid="{5443DE75-A8A2-4178-B5C5-2C8B630F5801}"/>
    <cellStyle name="Normal 14 2" xfId="1975" xr:uid="{6372C07E-2C4E-43FA-B2A8-207600FE04B0}"/>
    <cellStyle name="Normal 14 3" xfId="1976" xr:uid="{91B94579-73C2-4B87-ABF4-C1C61AD8B871}"/>
    <cellStyle name="Normal 15" xfId="1977" xr:uid="{A754EF39-091C-4290-8D6D-158A94268F0B}"/>
    <cellStyle name="Normal 15 2" xfId="1978" xr:uid="{69E51187-95C5-408D-9BFC-C327D57C61B4}"/>
    <cellStyle name="Normal 15 2 2" xfId="1979" xr:uid="{203FE453-31A9-4B7B-A4BA-5BCFB25578EF}"/>
    <cellStyle name="Normal 15 3" xfId="1980" xr:uid="{6CC84E3E-106E-4D59-906B-518ADFE17F81}"/>
    <cellStyle name="Normal 15 4" xfId="1981" xr:uid="{8FC76B38-BB7C-4A07-808E-EC76AF60AAEC}"/>
    <cellStyle name="Normal 16" xfId="1982" xr:uid="{6BA2018A-BCC4-498E-BAFB-19824D71F74E}"/>
    <cellStyle name="Normal 16 2" xfId="1983" xr:uid="{378CB471-4260-4820-8ACF-DB8001A9F973}"/>
    <cellStyle name="Normal 16 3" xfId="1984" xr:uid="{2EB4E11B-1E1B-4916-B887-BFC662546A12}"/>
    <cellStyle name="Normal 17" xfId="1985" xr:uid="{C07E42AA-715F-4AED-A0C0-26845511E405}"/>
    <cellStyle name="Normal 18" xfId="1986" xr:uid="{21A69BB8-FB10-42FB-86D5-BA579943F434}"/>
    <cellStyle name="Normal 18 2" xfId="1987" xr:uid="{96C4B4C0-C0CA-4325-BEC8-32A0B26EA1B5}"/>
    <cellStyle name="Normal 19" xfId="1988" xr:uid="{72809EC0-7D79-4CCA-924A-57DB1D75B43F}"/>
    <cellStyle name="Normal 2" xfId="2" xr:uid="{00000000-0005-0000-0000-000002000000}"/>
    <cellStyle name="Normal-- 2" xfId="1989" xr:uid="{0B1B49D8-2AFF-41D5-80F3-FBE4E2F5FC47}"/>
    <cellStyle name="Normal 2 10" xfId="1990" xr:uid="{7F4EFB7C-9DD2-431E-9BA9-A8CC0AE2F005}"/>
    <cellStyle name="Normal 2 10 2" xfId="1991" xr:uid="{244DFF89-DE7B-4807-8BC1-7B851BC58F8E}"/>
    <cellStyle name="Normal 2 11" xfId="1992" xr:uid="{D4D86150-7919-47BC-A5D0-31554E1A5479}"/>
    <cellStyle name="Normal 2 11 2" xfId="1993" xr:uid="{7392A3E5-3AAC-4104-B987-403E04C0735B}"/>
    <cellStyle name="Normal 2 12" xfId="1994" xr:uid="{0056FEDF-FAC2-49DE-AED3-1A7ED3D42AB2}"/>
    <cellStyle name="Normal 2 12 2" xfId="1995" xr:uid="{A53F00CE-4BE4-4B5A-A31D-B8B3E4B54679}"/>
    <cellStyle name="Normal 2 13" xfId="1996" xr:uid="{7BE15124-9A51-432C-9F6E-9D03AA4B7022}"/>
    <cellStyle name="Normal 2 13 2" xfId="1997" xr:uid="{271E4F3C-18ED-459A-BCD3-066FB47A1B2C}"/>
    <cellStyle name="Normal 2 14" xfId="1998" xr:uid="{16A85233-0F91-4B33-9551-141954170C6E}"/>
    <cellStyle name="Normal 2 14 2" xfId="1999" xr:uid="{487D9899-30E0-4A2C-9FC4-93E3713F6296}"/>
    <cellStyle name="Normal 2 15" xfId="2000" xr:uid="{897C43DF-0D9D-45A3-A412-605DF50ACA76}"/>
    <cellStyle name="Normal 2 15 2" xfId="2001" xr:uid="{682B46E5-FAAE-49BA-B0F9-D21BDB276A2C}"/>
    <cellStyle name="Normal 2 16" xfId="2002" xr:uid="{F219F613-D001-4C8F-B3A8-439645E1AA78}"/>
    <cellStyle name="Normal 2 16 2" xfId="2003" xr:uid="{CF3C26A7-7616-4329-89B3-76AC053A0D72}"/>
    <cellStyle name="Normal 2 17" xfId="2004" xr:uid="{BA1E7D1A-6B71-4401-A1DB-F7CDF9B2313B}"/>
    <cellStyle name="Normal 2 17 2" xfId="2005" xr:uid="{55FD6B5F-F0BA-4795-BBB8-A009E86209F2}"/>
    <cellStyle name="Normal 2 18" xfId="2006" xr:uid="{6060D81D-7B91-4C70-9344-1E07C313BE16}"/>
    <cellStyle name="Normal 2 18 2" xfId="2007" xr:uid="{A9ADEA4D-2FD3-4285-9484-3EFF5A417ADD}"/>
    <cellStyle name="Normal 2 19" xfId="2008" xr:uid="{2CB8D4DA-8DE1-4214-A5FF-036D81BA9358}"/>
    <cellStyle name="Normal 2 19 2" xfId="2009" xr:uid="{93367E59-83E8-45BC-84C5-9B5C4A70EFA5}"/>
    <cellStyle name="Normal 2 2" xfId="206" xr:uid="{4F741FC7-E0C1-4638-B103-EB861BAB9196}"/>
    <cellStyle name="Normal 2 2 2" xfId="2010" xr:uid="{69B020A9-7E7D-4FF0-97E6-88A7855FC9D5}"/>
    <cellStyle name="Normal 2 2 2 2" xfId="2011" xr:uid="{BADA4FE4-2599-4710-AD90-FB2D8D6F4F38}"/>
    <cellStyle name="Normal 2 2 2 2 2" xfId="5" xr:uid="{5F2D1A6E-6A25-43E9-A87F-CCF51A216C27}"/>
    <cellStyle name="Normal 2 2 2 3" xfId="2012" xr:uid="{23C7D7D4-9C4C-4F4B-9552-1A605C5BD24D}"/>
    <cellStyle name="Normal 2 2 2 4" xfId="2013" xr:uid="{080389C1-AA67-4839-A3CB-6D41A9260D82}"/>
    <cellStyle name="Normal 2 2 2 5" xfId="2014" xr:uid="{47E9D306-150E-4D71-890B-C051E64D774C}"/>
    <cellStyle name="Normal 2 2 2 6" xfId="2015" xr:uid="{896FA594-5139-4F87-88D9-A4B2950796AC}"/>
    <cellStyle name="Normal 2 2 3" xfId="2016" xr:uid="{38C7B96C-6F14-4BF2-8BB3-74DCE4211B93}"/>
    <cellStyle name="Normal 2 2 4" xfId="2017" xr:uid="{279BED1B-14C3-4725-8437-82D6CEE1E1D6}"/>
    <cellStyle name="Normal 2 2 4 2" xfId="2018" xr:uid="{E61E206A-470A-4C61-8C68-99742C51371F}"/>
    <cellStyle name="Normal 2 2 4 3" xfId="2019" xr:uid="{11517288-6A01-45D5-98DD-3840A1D331BC}"/>
    <cellStyle name="Normal 2 2 5" xfId="2020" xr:uid="{116CD8E2-CF06-46AF-A1B6-C09512AFE1C7}"/>
    <cellStyle name="Normal 2 2 6" xfId="2021" xr:uid="{7C80F940-3B94-4B8A-863C-1E410C96483E}"/>
    <cellStyle name="Normal 2 20" xfId="2022" xr:uid="{93BEBB29-F2CB-421D-AB43-A92E61197D6A}"/>
    <cellStyle name="Normal 2 20 2" xfId="2023" xr:uid="{8B214728-F876-4FA3-9F80-9DFA7B4053FC}"/>
    <cellStyle name="Normal 2 21" xfId="2024" xr:uid="{EDD6AE02-EBBC-4F8B-B787-FBD39DE03803}"/>
    <cellStyle name="Normal 2 21 2" xfId="2025" xr:uid="{51C89C28-2360-4611-B775-1CB43240DD2C}"/>
    <cellStyle name="Normal 2 22" xfId="2026" xr:uid="{7F70B532-02C9-41E7-AD4B-6608C6AE62E4}"/>
    <cellStyle name="Normal 2 22 2" xfId="2027" xr:uid="{2921A4BE-78B0-48B8-8D11-3B53BDF7CCF6}"/>
    <cellStyle name="Normal 2 23" xfId="2028" xr:uid="{51503E61-4B84-40FB-8623-04E183119D68}"/>
    <cellStyle name="Normal 2 23 2" xfId="2029" xr:uid="{84B2CFCC-E719-483C-8293-CC5C84F7D205}"/>
    <cellStyle name="Normal 2 24" xfId="2030" xr:uid="{0B4156C4-7E5A-4437-B402-534593ED7D88}"/>
    <cellStyle name="Normal 2 24 2" xfId="2031" xr:uid="{3D8C70FC-166C-407A-A447-B9E76C1FA828}"/>
    <cellStyle name="Normal 2 24 2 2" xfId="2032" xr:uid="{20266CBF-3526-4031-8986-463B3FB08617}"/>
    <cellStyle name="Normal 2 24 3" xfId="2033" xr:uid="{7FA92319-2D48-46C8-8AC9-79BE54E96C0B}"/>
    <cellStyle name="Normal 2 24 4" xfId="2034" xr:uid="{2DDAE435-D0B8-4AF1-9E37-8943E696ACAE}"/>
    <cellStyle name="Normal 2 25" xfId="2035" xr:uid="{25F14EBE-9E0F-4940-82E1-8C5C28FCD4F8}"/>
    <cellStyle name="Normal 2 25 2" xfId="2036" xr:uid="{E8C4D362-F439-4B73-AD7B-1C137AE24B78}"/>
    <cellStyle name="Normal 2 26" xfId="2037" xr:uid="{DA69628E-08AF-4636-98BA-EB1B98C42ECE}"/>
    <cellStyle name="Normal 2 26 2" xfId="2038" xr:uid="{077C6646-E01C-4E77-BA9A-E8E353477C4D}"/>
    <cellStyle name="Normal 2 27" xfId="2039" xr:uid="{921CDA85-D7E9-4784-A605-A28B2D0DE037}"/>
    <cellStyle name="Normal 2 27 2" xfId="2040" xr:uid="{DFE38AB2-FF56-4C15-9706-4337868BD2FC}"/>
    <cellStyle name="Normal 2 28" xfId="2041" xr:uid="{FE7D2575-ACB3-49F1-BF1B-37D98E535CE0}"/>
    <cellStyle name="Normal 2 28 2" xfId="2042" xr:uid="{A90A46AF-F61B-4275-B359-61689F969B77}"/>
    <cellStyle name="Normal 2 29" xfId="2043" xr:uid="{94191475-29D5-4A26-B7ED-9351AE5E423C}"/>
    <cellStyle name="Normal 2 29 2" xfId="2044" xr:uid="{13170076-2356-4EF2-B61B-3E5B53E46D44}"/>
    <cellStyle name="Normal 2 3" xfId="2045" xr:uid="{BEF6CEDA-5978-4BE6-B258-F180749078F7}"/>
    <cellStyle name="Normal 2 3 2" xfId="2046" xr:uid="{67BBC92A-8793-4E5E-8EA9-D971567381B2}"/>
    <cellStyle name="Normal 2 3 3" xfId="2047" xr:uid="{1CA877AC-D1FB-4196-A50C-FF8A63327678}"/>
    <cellStyle name="Normal 2 30" xfId="2048" xr:uid="{77CE6478-D040-4136-ABB7-CDF8FEA16458}"/>
    <cellStyle name="Normal 2 30 2" xfId="2049" xr:uid="{8B3A7015-B486-46EE-AB37-FA7A2B156565}"/>
    <cellStyle name="Normal 2 31" xfId="2050" xr:uid="{C31110E4-2241-4941-A347-D411560A0BA4}"/>
    <cellStyle name="Normal 2 31 2" xfId="2051" xr:uid="{AE478DC1-565A-45D3-AC36-26DF3557B89B}"/>
    <cellStyle name="Normal 2 32" xfId="2052" xr:uid="{0C6F75D7-D9C1-4C88-9B71-D3833A2C770C}"/>
    <cellStyle name="Normal 2 33" xfId="2053" xr:uid="{8803C738-9815-4479-99BA-42B528CD88BB}"/>
    <cellStyle name="Normal 2 34" xfId="2054" xr:uid="{83D919D5-9075-40C8-BC33-D19D3B14D506}"/>
    <cellStyle name="Normal 2 35" xfId="2055" xr:uid="{82DA8D8E-ADB0-4B63-A608-DFE3DA595F5B}"/>
    <cellStyle name="Normal 2 36" xfId="2056" xr:uid="{C77833CA-82CA-4DDF-AB0A-444EFC75873B}"/>
    <cellStyle name="Normal 2 37" xfId="2057" xr:uid="{DC469981-0852-4117-96B0-6AB013D9C5AE}"/>
    <cellStyle name="Normal 2 38" xfId="2058" xr:uid="{91589AC5-1407-426E-AFAE-45352FE16271}"/>
    <cellStyle name="Normal 2 39" xfId="2059" xr:uid="{892DD46D-083F-485E-BC4E-9F5FFF9F948D}"/>
    <cellStyle name="Normal 2 4" xfId="2060" xr:uid="{4A8A93BA-F65A-44B9-84CB-A96BDEFE7D7A}"/>
    <cellStyle name="Normal 2 4 2" xfId="2061" xr:uid="{42725014-8C9B-44E0-844D-DD31474B02FA}"/>
    <cellStyle name="Normal 2 4 3" xfId="2062" xr:uid="{DBFF7583-0DA0-4700-BEE1-7100FA0696B5}"/>
    <cellStyle name="Normal 2 4 4" xfId="2063" xr:uid="{7CC0E514-5BB0-46F1-8F3D-1EA029F770F5}"/>
    <cellStyle name="Normal 2 40" xfId="2064" xr:uid="{0C675EAC-9F76-4EF6-A33B-A0A51AA7135C}"/>
    <cellStyle name="Normal 2 41" xfId="2065" xr:uid="{3C12D4EA-E34E-4CD2-A908-FF238C4952B6}"/>
    <cellStyle name="Normal 2 42" xfId="2066" xr:uid="{9B3B3D01-4C27-4C0A-82B9-A4F043F252D3}"/>
    <cellStyle name="Normal 2 43" xfId="2067" xr:uid="{8686052C-C8F6-447C-8654-F5E3F591D932}"/>
    <cellStyle name="Normal 2 44" xfId="2068" xr:uid="{10D8113C-E94D-4C55-A835-FE6B85B47D5C}"/>
    <cellStyle name="Normal 2 45" xfId="2069" xr:uid="{67737BE6-F5F4-415F-B0B3-8812E7AA8E0E}"/>
    <cellStyle name="Normal 2 46" xfId="2070" xr:uid="{D0235E9D-4E00-4115-B8E0-EDF70B0AC9F1}"/>
    <cellStyle name="Normal 2 47" xfId="2071" xr:uid="{913AD2B3-4217-432C-922D-19860F76FF5A}"/>
    <cellStyle name="Normal 2 48" xfId="205" xr:uid="{C9604423-BA62-43EC-AA5B-1E20B0540E0E}"/>
    <cellStyle name="Normal 2 5" xfId="2072" xr:uid="{68AAF6B2-D688-4404-9582-27998B784318}"/>
    <cellStyle name="Normal 2 5 2" xfId="2073" xr:uid="{1F1EF757-8AD2-4F7F-86FD-1617ED1DF749}"/>
    <cellStyle name="Normal 2 5 3" xfId="2074" xr:uid="{8C323890-E8D2-4DB5-88A1-B26D71F73B40}"/>
    <cellStyle name="Normal 2 6" xfId="2075" xr:uid="{B3B83017-2101-4C2A-A473-EE79B0802D4D}"/>
    <cellStyle name="Normal 2 6 2" xfId="2076" xr:uid="{EFCB6628-3DFC-4DF8-9C26-AEBB40DE01B9}"/>
    <cellStyle name="Normal 2 7" xfId="2077" xr:uid="{04F15693-A585-4D03-AF0B-10706A437C2A}"/>
    <cellStyle name="Normal 2 7 2" xfId="2078" xr:uid="{C35FD6C7-B030-41D5-981A-C078CC0F1452}"/>
    <cellStyle name="Normal 2 8" xfId="2079" xr:uid="{578625CF-BF46-4723-9E33-CA3ABD4953D3}"/>
    <cellStyle name="Normal 2 8 2" xfId="2080" xr:uid="{C22E6969-348F-4940-9047-669D3AA1D4B5}"/>
    <cellStyle name="Normal 2 9" xfId="2081" xr:uid="{35B4ED5D-9A6F-432A-BB45-FF734707FEBB}"/>
    <cellStyle name="Normal 2 9 2" xfId="2082" xr:uid="{F4FB66AC-C121-4F47-8719-51BA07C07F89}"/>
    <cellStyle name="Normal 20" xfId="2083" xr:uid="{FC804754-9FF3-4E57-AF2A-9FA0C6F6EBF6}"/>
    <cellStyle name="Normal 21" xfId="2084" xr:uid="{D94FA8F4-FE63-4F5B-8649-128DF370928F}"/>
    <cellStyle name="Normal 22" xfId="2085" xr:uid="{C2475292-DDB4-42E9-9C49-934E5A107CC0}"/>
    <cellStyle name="Normal 23" xfId="2086" xr:uid="{553276FD-0CC2-4CE8-9A1F-D272C99E9308}"/>
    <cellStyle name="Normal 24" xfId="2087" xr:uid="{1DA160DA-BA6C-466B-9EA5-9D91823F7A5D}"/>
    <cellStyle name="Normal 25" xfId="2088" xr:uid="{C69CFC7C-D267-4362-914D-4B12A3914B14}"/>
    <cellStyle name="Normal 25 10" xfId="2089" xr:uid="{71FD5090-8455-404B-B1CE-70C378BA942B}"/>
    <cellStyle name="Normal 25 100" xfId="2090" xr:uid="{863D4EEA-9724-4B9C-BD00-3DA482D71240}"/>
    <cellStyle name="Normal 25 101" xfId="2091" xr:uid="{44DE79D7-84DD-485A-A55E-1E6306048E29}"/>
    <cellStyle name="Normal 25 102" xfId="2092" xr:uid="{1ED64368-56DD-487B-8175-9D696D5723EE}"/>
    <cellStyle name="Normal 25 103" xfId="2093" xr:uid="{690B39C7-2A3B-4C76-B043-53A861F5CD4C}"/>
    <cellStyle name="Normal 25 104" xfId="2094" xr:uid="{52A92ED0-F55E-4D48-BB94-FE1278EBF8D4}"/>
    <cellStyle name="Normal 25 105" xfId="2095" xr:uid="{52115671-6B44-4064-8205-3630A59E6E87}"/>
    <cellStyle name="Normal 25 106" xfId="2096" xr:uid="{E7B64DE3-0DA7-48D8-954C-637A31E6A670}"/>
    <cellStyle name="Normal 25 107" xfId="2097" xr:uid="{CC2D7185-CABB-4DC2-A7EF-4BB7D8A1F681}"/>
    <cellStyle name="Normal 25 108" xfId="2098" xr:uid="{027C3E08-36DF-452C-AFEC-26DAFCE136D8}"/>
    <cellStyle name="Normal 25 109" xfId="2099" xr:uid="{9076D636-48CE-4590-B942-11B7F31A2F6F}"/>
    <cellStyle name="Normal 25 11" xfId="2100" xr:uid="{8A16AC3D-4629-4E6D-A7D5-A86D5EFFF7B2}"/>
    <cellStyle name="Normal 25 12" xfId="2101" xr:uid="{D792AFA7-C72B-44A8-A281-A819F6784F86}"/>
    <cellStyle name="Normal 25 13" xfId="2102" xr:uid="{87D7E493-B5DD-4CEA-ADBD-5CFD97FFF469}"/>
    <cellStyle name="Normal 25 14" xfId="2103" xr:uid="{D92EE1B7-63A4-49FA-9AB2-A4D690622220}"/>
    <cellStyle name="Normal 25 15" xfId="2104" xr:uid="{2D90EDBE-F805-45CF-BD93-DC706CA341E1}"/>
    <cellStyle name="Normal 25 16" xfId="2105" xr:uid="{1324466B-0607-4A78-A52E-6FFAC1AA387E}"/>
    <cellStyle name="Normal 25 17" xfId="2106" xr:uid="{3744D0EA-4782-44FE-8CBB-3EDF99AA8F0A}"/>
    <cellStyle name="Normal 25 18" xfId="2107" xr:uid="{1A7D522C-6F4F-4783-8618-EF67D31FB7D5}"/>
    <cellStyle name="Normal 25 19" xfId="2108" xr:uid="{83AD0875-53C9-4736-9070-134E2248E712}"/>
    <cellStyle name="Normal 25 2" xfId="2109" xr:uid="{46998823-CBCC-49E6-AACC-1643792AC3DD}"/>
    <cellStyle name="Normal 25 20" xfId="2110" xr:uid="{FC179840-2F1B-45E2-919F-CF1AA17715F4}"/>
    <cellStyle name="Normal 25 21" xfId="2111" xr:uid="{AD16021A-7992-4258-B720-04012BE7864E}"/>
    <cellStyle name="Normal 25 22" xfId="2112" xr:uid="{B5647E55-115C-42A9-A7D2-EC29B97F91F0}"/>
    <cellStyle name="Normal 25 23" xfId="2113" xr:uid="{6D9F8943-639D-4B11-8F83-F80D1918269A}"/>
    <cellStyle name="Normal 25 24" xfId="2114" xr:uid="{C45B1604-2406-4333-B83A-F2769CE6DDEC}"/>
    <cellStyle name="Normal 25 25" xfId="2115" xr:uid="{847FAE91-1021-4178-8482-D5F73A6440BE}"/>
    <cellStyle name="Normal 25 26" xfId="2116" xr:uid="{396F1BFB-A47C-4544-9FA5-B61A83AAE227}"/>
    <cellStyle name="Normal 25 27" xfId="2117" xr:uid="{62FA6E6F-181B-4E75-AD3E-A79CFFB065CD}"/>
    <cellStyle name="Normal 25 28" xfId="2118" xr:uid="{4BC84FA8-7788-4994-B879-7067BD3FF20F}"/>
    <cellStyle name="Normal 25 29" xfId="2119" xr:uid="{D02DB0E3-4BE2-424F-842E-C2F7FD4D44FB}"/>
    <cellStyle name="Normal 25 3" xfId="2120" xr:uid="{98B7A7CC-EEC2-4A72-BA89-5F097215091A}"/>
    <cellStyle name="Normal 25 30" xfId="2121" xr:uid="{82E8349F-1398-412B-8F47-C152562F2A89}"/>
    <cellStyle name="Normal 25 31" xfId="2122" xr:uid="{A4551DF1-378A-4AE5-B21A-25250D90699B}"/>
    <cellStyle name="Normal 25 32" xfId="2123" xr:uid="{3B959A96-4B53-46EC-93EB-18C0870B8125}"/>
    <cellStyle name="Normal 25 33" xfId="2124" xr:uid="{1851C46E-8F7C-42C3-90C5-D69FBD3A5AC5}"/>
    <cellStyle name="Normal 25 34" xfId="2125" xr:uid="{9CF7F3EA-E85E-47F2-BDD0-76E9CB599DFC}"/>
    <cellStyle name="Normal 25 35" xfId="2126" xr:uid="{9D4A2591-3838-4BB2-8476-1B6F224DEDED}"/>
    <cellStyle name="Normal 25 36" xfId="2127" xr:uid="{58D98097-8D7A-4B34-BCEC-B1892A3FE9B1}"/>
    <cellStyle name="Normal 25 37" xfId="2128" xr:uid="{F67D8DC5-9509-46F0-BF07-85BC5F3915C8}"/>
    <cellStyle name="Normal 25 38" xfId="2129" xr:uid="{69148BA7-DEB1-44FC-9ED1-4C6DB44B778E}"/>
    <cellStyle name="Normal 25 39" xfId="2130" xr:uid="{54C421A9-FB2E-4A68-A2EB-36DA2CEC9C4E}"/>
    <cellStyle name="Normal 25 4" xfId="2131" xr:uid="{086BA622-F946-4127-9614-817008B2CB13}"/>
    <cellStyle name="Normal 25 40" xfId="2132" xr:uid="{544118FC-B6F8-4E5B-B6FA-7B9E76A57FDA}"/>
    <cellStyle name="Normal 25 41" xfId="2133" xr:uid="{07373EDC-8036-408F-B93B-76697E8DAE76}"/>
    <cellStyle name="Normal 25 42" xfId="2134" xr:uid="{5594CE24-BF3E-4F4D-AD62-701346479B42}"/>
    <cellStyle name="Normal 25 43" xfId="2135" xr:uid="{0C06F15C-D486-4163-9024-AC799F8E39A0}"/>
    <cellStyle name="Normal 25 44" xfId="2136" xr:uid="{4A6F7349-2ACF-433C-B10D-96914FEF17DA}"/>
    <cellStyle name="Normal 25 45" xfId="2137" xr:uid="{B0339491-0736-491D-A850-41818A9666F4}"/>
    <cellStyle name="Normal 25 46" xfId="2138" xr:uid="{ECF7655C-A157-465C-BC05-286192DB4DD4}"/>
    <cellStyle name="Normal 25 47" xfId="2139" xr:uid="{08DBECFB-254C-4CD5-BEFD-748CB2E9DB7C}"/>
    <cellStyle name="Normal 25 48" xfId="2140" xr:uid="{B5A1D14C-3999-4057-95E9-345BA40AED19}"/>
    <cellStyle name="Normal 25 49" xfId="2141" xr:uid="{779FEAFF-67AB-4555-8776-B913A82482BD}"/>
    <cellStyle name="Normal 25 5" xfId="2142" xr:uid="{78EA4409-CE09-4D50-97BC-49D96F3FA2BA}"/>
    <cellStyle name="Normal 25 50" xfId="2143" xr:uid="{4478C6F7-CC2B-4DE5-AAFD-5905537BD003}"/>
    <cellStyle name="Normal 25 51" xfId="2144" xr:uid="{169EC9E2-BDC5-4654-9651-9E3D01A0EE2B}"/>
    <cellStyle name="Normal 25 52" xfId="2145" xr:uid="{35F373F2-FF7A-48F6-B282-77AA12F51052}"/>
    <cellStyle name="Normal 25 53" xfId="2146" xr:uid="{DC831F9E-B65F-4A0E-8C74-07E1078E1312}"/>
    <cellStyle name="Normal 25 54" xfId="2147" xr:uid="{0A84704D-5E37-466D-BE3D-5AE9696FA481}"/>
    <cellStyle name="Normal 25 55" xfId="2148" xr:uid="{057A6DF4-00F4-4F92-893B-C680DBF24D96}"/>
    <cellStyle name="Normal 25 56" xfId="2149" xr:uid="{23F29976-5ED5-459A-9ADC-3BCFC050979E}"/>
    <cellStyle name="Normal 25 57" xfId="2150" xr:uid="{B8DD5528-595A-4F45-8AF8-2F36179DBF6F}"/>
    <cellStyle name="Normal 25 58" xfId="2151" xr:uid="{749F0248-649A-437F-8DFC-D56EC09E9771}"/>
    <cellStyle name="Normal 25 59" xfId="2152" xr:uid="{A1EA8BFD-54C7-484B-AFBE-B4D1563110D4}"/>
    <cellStyle name="Normal 25 6" xfId="2153" xr:uid="{D2D733F2-A749-4F53-89C3-99B57B2A1024}"/>
    <cellStyle name="Normal 25 60" xfId="2154" xr:uid="{6406F84A-C952-4954-837E-B627AC7459BD}"/>
    <cellStyle name="Normal 25 61" xfId="2155" xr:uid="{BDD8D842-5149-4FEE-AD68-B662C335FFF5}"/>
    <cellStyle name="Normal 25 62" xfId="2156" xr:uid="{D858F6E5-3D7C-4F09-93C8-FF5D21CA6194}"/>
    <cellStyle name="Normal 25 63" xfId="2157" xr:uid="{CD445B59-79A8-466F-B89F-AE85F2281C40}"/>
    <cellStyle name="Normal 25 64" xfId="2158" xr:uid="{734E1F0D-472F-434E-BFA5-9EB3C8529F81}"/>
    <cellStyle name="Normal 25 65" xfId="2159" xr:uid="{EEA52B20-7257-46C0-A9C0-8B291E7BD185}"/>
    <cellStyle name="Normal 25 66" xfId="2160" xr:uid="{1D47E953-89EA-40C9-A208-0429D09D032B}"/>
    <cellStyle name="Normal 25 67" xfId="2161" xr:uid="{21843036-C174-4CA3-90F4-A2B0073A49AB}"/>
    <cellStyle name="Normal 25 68" xfId="2162" xr:uid="{6EB2B46B-305A-4944-A616-4607A78E9F52}"/>
    <cellStyle name="Normal 25 69" xfId="2163" xr:uid="{712C8F66-AF35-41E6-B016-A9D8B5191B48}"/>
    <cellStyle name="Normal 25 7" xfId="2164" xr:uid="{C1BF2F92-949B-4624-BCAF-3FE6729C6B80}"/>
    <cellStyle name="Normal 25 70" xfId="2165" xr:uid="{66916909-E8CB-47F4-9CA2-9A22A5CBFE67}"/>
    <cellStyle name="Normal 25 71" xfId="2166" xr:uid="{E6AFD8CF-3D81-4D7A-9EA1-33352F184926}"/>
    <cellStyle name="Normal 25 72" xfId="2167" xr:uid="{257BCABF-862C-49F1-83C9-931C229124F2}"/>
    <cellStyle name="Normal 25 73" xfId="2168" xr:uid="{A5FD6A86-28FE-46E6-95C5-A0D44E2E259B}"/>
    <cellStyle name="Normal 25 74" xfId="2169" xr:uid="{5ADAE488-C33F-4FFF-A525-1730F595EAF6}"/>
    <cellStyle name="Normal 25 75" xfId="2170" xr:uid="{1A8FB70B-2E28-4F1E-9E56-EF26810B435F}"/>
    <cellStyle name="Normal 25 76" xfId="2171" xr:uid="{7DFA9F28-736F-4D9A-AD6F-DB3C78F0EE35}"/>
    <cellStyle name="Normal 25 77" xfId="2172" xr:uid="{7445905C-6E56-4D7D-8BA7-14963F9CD768}"/>
    <cellStyle name="Normal 25 78" xfId="2173" xr:uid="{A8CB92AA-08CC-4BFB-ADEE-6919177721F2}"/>
    <cellStyle name="Normal 25 79" xfId="2174" xr:uid="{46879D5B-E560-4920-8D91-BCAAE8999518}"/>
    <cellStyle name="Normal 25 8" xfId="2175" xr:uid="{6D2EA338-3EF4-447A-934D-8C2091648DBC}"/>
    <cellStyle name="Normal 25 80" xfId="2176" xr:uid="{4F8A0709-BDEF-4D5E-B1F1-868048FBED74}"/>
    <cellStyle name="Normal 25 81" xfId="2177" xr:uid="{C810CC9B-1B2A-440F-B483-06CF681D3903}"/>
    <cellStyle name="Normal 25 82" xfId="2178" xr:uid="{D9D57796-4FF9-4893-B2E1-384C2C27F221}"/>
    <cellStyle name="Normal 25 83" xfId="2179" xr:uid="{F444210D-1AF4-457D-AB80-80740A633B8A}"/>
    <cellStyle name="Normal 25 84" xfId="2180" xr:uid="{9E3BB373-FC7C-42F1-8E63-5B799FEE7F93}"/>
    <cellStyle name="Normal 25 85" xfId="2181" xr:uid="{46693519-A5D6-4BA7-96C8-C9E7FF667CCC}"/>
    <cellStyle name="Normal 25 86" xfId="2182" xr:uid="{9BC79262-2394-435F-893D-7E754AEC6B28}"/>
    <cellStyle name="Normal 25 87" xfId="2183" xr:uid="{D1FFC690-4718-45C5-8881-818D8A777B87}"/>
    <cellStyle name="Normal 25 88" xfId="2184" xr:uid="{A2E3FFAC-5AC8-43C7-AE1A-A5C371B85275}"/>
    <cellStyle name="Normal 25 89" xfId="2185" xr:uid="{CB50B130-5C54-47A7-90EB-FAF6C0E3CD6D}"/>
    <cellStyle name="Normal 25 9" xfId="2186" xr:uid="{5B7CD8A2-720D-4E80-BD86-E406E0FF0364}"/>
    <cellStyle name="Normal 25 90" xfId="2187" xr:uid="{CEDDB6A2-D988-4537-8478-2E7953A62803}"/>
    <cellStyle name="Normal 25 91" xfId="2188" xr:uid="{3D5A0CC1-F999-4527-A4B1-D2F8FC5620F9}"/>
    <cellStyle name="Normal 25 92" xfId="2189" xr:uid="{2C01BBED-7703-489C-A513-FFB85738DA7B}"/>
    <cellStyle name="Normal 25 93" xfId="2190" xr:uid="{D1ED36F8-DA66-4F4D-B90E-73EBD559ED86}"/>
    <cellStyle name="Normal 25 94" xfId="2191" xr:uid="{311D1A4B-CEE3-4C00-8125-D90B98917894}"/>
    <cellStyle name="Normal 25 95" xfId="2192" xr:uid="{5407F4A5-0661-4FA0-8B94-F6ED7E3043E6}"/>
    <cellStyle name="Normal 25 96" xfId="2193" xr:uid="{07CB4D3D-57C1-4F1F-8CE6-A5B97C6AD2C1}"/>
    <cellStyle name="Normal 25 97" xfId="2194" xr:uid="{7F371A44-3F73-4A61-A9B2-336230B14B18}"/>
    <cellStyle name="Normal 25 98" xfId="2195" xr:uid="{D131A853-2FBE-40B8-9E72-3B27BA5D6345}"/>
    <cellStyle name="Normal 25 99" xfId="2196" xr:uid="{EC3EFBD8-09DC-4061-8206-4E75F2CDAFF6}"/>
    <cellStyle name="Normal 26" xfId="2197" xr:uid="{11BD5E55-9A07-43A5-98AE-799A919D2D07}"/>
    <cellStyle name="Normal 26 10" xfId="2198" xr:uid="{DEBFFE4B-CC0D-415F-A58B-9208DA5B6E39}"/>
    <cellStyle name="Normal 26 100" xfId="2199" xr:uid="{61FE9FD3-6F36-48D3-B268-9CFACCA7951A}"/>
    <cellStyle name="Normal 26 101" xfId="2200" xr:uid="{AC59648D-94E0-416A-9A74-FC893A4273DF}"/>
    <cellStyle name="Normal 26 102" xfId="2201" xr:uid="{9AB0C8A8-7A34-49EC-8080-6C6846626F6E}"/>
    <cellStyle name="Normal 26 103" xfId="2202" xr:uid="{A4AF8A81-95E8-4A57-9C8A-471A8BA46DBC}"/>
    <cellStyle name="Normal 26 104" xfId="2203" xr:uid="{46315449-A787-42ED-8535-2EE9357DA54B}"/>
    <cellStyle name="Normal 26 105" xfId="2204" xr:uid="{EAE2FA8B-7061-4BF0-AD5E-40E869CA22AE}"/>
    <cellStyle name="Normal 26 106" xfId="2205" xr:uid="{D2F83B26-28A1-4924-9EB0-10D95EDAE401}"/>
    <cellStyle name="Normal 26 107" xfId="2206" xr:uid="{A463BA55-52C5-4160-9500-715C66CA9973}"/>
    <cellStyle name="Normal 26 108" xfId="2207" xr:uid="{FEDAA45D-146A-40E9-9B0A-1D83F87256C3}"/>
    <cellStyle name="Normal 26 109" xfId="2208" xr:uid="{C60C0BEA-CBC3-4BD6-AED2-A2F0C9E0E10E}"/>
    <cellStyle name="Normal 26 11" xfId="2209" xr:uid="{688940F1-9DE3-4CE1-9C81-C8BD9D305D2C}"/>
    <cellStyle name="Normal 26 12" xfId="2210" xr:uid="{8ED34DC0-5449-4913-9F3F-B3CDCCF9AB1A}"/>
    <cellStyle name="Normal 26 13" xfId="2211" xr:uid="{255811C9-FCFB-40AF-A5ED-D38866BB068B}"/>
    <cellStyle name="Normal 26 14" xfId="2212" xr:uid="{B18CB871-68E4-4B87-A24D-07F36F78AEEF}"/>
    <cellStyle name="Normal 26 15" xfId="2213" xr:uid="{6EEB09FB-2372-4E6E-B61D-89817F2CEAB6}"/>
    <cellStyle name="Normal 26 16" xfId="2214" xr:uid="{C305DC72-4F7E-49FA-BDF2-738DAE4D35AA}"/>
    <cellStyle name="Normal 26 17" xfId="2215" xr:uid="{58805059-DE9B-4CAD-9288-48603DFED323}"/>
    <cellStyle name="Normal 26 18" xfId="2216" xr:uid="{6D7FCC45-D522-4E64-AF6D-A3E4DE385D85}"/>
    <cellStyle name="Normal 26 19" xfId="2217" xr:uid="{0B0D763C-9304-4D5A-89F2-29518B11CF9C}"/>
    <cellStyle name="Normal 26 2" xfId="2218" xr:uid="{93A15BFB-B9B1-4E5D-B34A-F6F2025AEAF0}"/>
    <cellStyle name="Normal 26 20" xfId="2219" xr:uid="{2DDC24D8-4EF5-479A-B5B2-40A2F3F07C34}"/>
    <cellStyle name="Normal 26 21" xfId="2220" xr:uid="{60FC98D5-87DB-4A5A-A2FE-56CBAC376857}"/>
    <cellStyle name="Normal 26 22" xfId="2221" xr:uid="{F109031E-6CC2-4E3B-A81E-8CAC421C1827}"/>
    <cellStyle name="Normal 26 23" xfId="2222" xr:uid="{B30677E6-F92E-48AE-A5C6-F0507A7B76A7}"/>
    <cellStyle name="Normal 26 24" xfId="2223" xr:uid="{538B1A09-503C-479A-B70E-5A0248E65124}"/>
    <cellStyle name="Normal 26 25" xfId="2224" xr:uid="{B0E9FF73-3CEA-4E85-92E4-2F0FEC9A08C1}"/>
    <cellStyle name="Normal 26 26" xfId="2225" xr:uid="{F2D5EF41-3ACC-4C47-B04F-D78CF3AA44EF}"/>
    <cellStyle name="Normal 26 27" xfId="2226" xr:uid="{07040D6B-8209-40C2-B82D-28B84A620985}"/>
    <cellStyle name="Normal 26 28" xfId="2227" xr:uid="{30A2A833-3E85-4D2A-960C-B10374285785}"/>
    <cellStyle name="Normal 26 29" xfId="2228" xr:uid="{33732279-02CB-4369-998C-0EBDB8FA1F27}"/>
    <cellStyle name="Normal 26 3" xfId="2229" xr:uid="{48E9CC3A-88E5-4B67-AA51-BE604976AD5C}"/>
    <cellStyle name="Normal 26 30" xfId="2230" xr:uid="{3DBF7D7B-6883-427E-B0BF-12C26360BDEF}"/>
    <cellStyle name="Normal 26 31" xfId="2231" xr:uid="{7C279C5C-010E-4A26-BC50-61C71D1593DA}"/>
    <cellStyle name="Normal 26 32" xfId="2232" xr:uid="{5FFCC67D-AD31-46C4-ABD6-9BC50885CA0C}"/>
    <cellStyle name="Normal 26 33" xfId="2233" xr:uid="{F2305578-BAB3-45AB-8116-697448919B4D}"/>
    <cellStyle name="Normal 26 34" xfId="2234" xr:uid="{896931CB-792B-4C2F-BC86-67723147D7E7}"/>
    <cellStyle name="Normal 26 35" xfId="2235" xr:uid="{38BAA36F-80AC-4E26-8E47-9C78A3422DFE}"/>
    <cellStyle name="Normal 26 36" xfId="2236" xr:uid="{91D2B69B-0407-4FA6-8ADC-3E7666334AFA}"/>
    <cellStyle name="Normal 26 37" xfId="2237" xr:uid="{50757F97-37C0-401C-BB48-C7B4FC45C859}"/>
    <cellStyle name="Normal 26 38" xfId="2238" xr:uid="{6A637F46-7411-4AC2-9A2B-524D24F28394}"/>
    <cellStyle name="Normal 26 39" xfId="2239" xr:uid="{A4750A2E-E641-4EFD-AC21-721136D194C0}"/>
    <cellStyle name="Normal 26 4" xfId="2240" xr:uid="{F7B72EDB-D89D-4344-AD7B-0BA423A3D6E7}"/>
    <cellStyle name="Normal 26 40" xfId="2241" xr:uid="{50AB9076-79CA-4DE4-9FFC-3B24A3491C8B}"/>
    <cellStyle name="Normal 26 41" xfId="2242" xr:uid="{FC2A334F-07C7-4797-9D15-4D24BC143A22}"/>
    <cellStyle name="Normal 26 42" xfId="2243" xr:uid="{7DFCC841-7435-462B-AE66-85CAFFD32CAA}"/>
    <cellStyle name="Normal 26 43" xfId="2244" xr:uid="{EC61ACF0-E9F2-4021-8B10-075D2B513A59}"/>
    <cellStyle name="Normal 26 44" xfId="2245" xr:uid="{8B8FCF7A-838A-4B00-A81A-F81688C1F93A}"/>
    <cellStyle name="Normal 26 45" xfId="2246" xr:uid="{F659CC3F-535F-4162-8F36-99EA766E15D0}"/>
    <cellStyle name="Normal 26 46" xfId="2247" xr:uid="{358CEAD8-4E72-434A-AC62-9E496AC59DF2}"/>
    <cellStyle name="Normal 26 47" xfId="2248" xr:uid="{86F8821B-E7E0-4802-B934-81AA5F5A4380}"/>
    <cellStyle name="Normal 26 48" xfId="2249" xr:uid="{E74873AE-3FBA-4F93-80F8-972CBC7B6040}"/>
    <cellStyle name="Normal 26 49" xfId="2250" xr:uid="{509AD161-CE8B-47A2-8EB3-45287004F793}"/>
    <cellStyle name="Normal 26 5" xfId="2251" xr:uid="{9FF44CE5-270F-4405-971D-2D14865E81FB}"/>
    <cellStyle name="Normal 26 50" xfId="2252" xr:uid="{95A274B8-659B-4C41-8C12-EF815D6A9FC2}"/>
    <cellStyle name="Normal 26 51" xfId="2253" xr:uid="{E62AD85B-2442-4270-BBAF-A30ABD1FEA05}"/>
    <cellStyle name="Normal 26 52" xfId="2254" xr:uid="{1492C3E8-67AE-4075-89EE-6A184642775B}"/>
    <cellStyle name="Normal 26 53" xfId="2255" xr:uid="{4D28AB8B-B48B-4CB2-A21E-B4DC383CD36D}"/>
    <cellStyle name="Normal 26 54" xfId="2256" xr:uid="{C494CB07-F460-4C81-AAC0-C9F26E933D2B}"/>
    <cellStyle name="Normal 26 55" xfId="2257" xr:uid="{2CC0F7E1-5214-4995-A962-3F158E99A58B}"/>
    <cellStyle name="Normal 26 56" xfId="2258" xr:uid="{608E768F-113F-4444-88F3-48C3FB34DF26}"/>
    <cellStyle name="Normal 26 57" xfId="2259" xr:uid="{16C8E81B-1A2E-49A5-AB9C-6E28F3FCCA44}"/>
    <cellStyle name="Normal 26 58" xfId="2260" xr:uid="{F13BF3A4-A1AD-4522-B412-A0030117C98D}"/>
    <cellStyle name="Normal 26 59" xfId="2261" xr:uid="{70B34379-E03B-43B7-82B2-4CA331CA2E6B}"/>
    <cellStyle name="Normal 26 6" xfId="2262" xr:uid="{8D063427-15D2-43B5-AC5B-4A6A0013892D}"/>
    <cellStyle name="Normal 26 60" xfId="2263" xr:uid="{6546411C-5639-45BD-A255-77A6EDD04C15}"/>
    <cellStyle name="Normal 26 61" xfId="2264" xr:uid="{747F9098-4884-4675-B6A2-5D8B98C62E14}"/>
    <cellStyle name="Normal 26 62" xfId="2265" xr:uid="{32C05C42-B278-4E7C-92B3-F5CDFF2D810B}"/>
    <cellStyle name="Normal 26 63" xfId="2266" xr:uid="{74CB5C2B-9E82-4FC8-92B5-7FDD12D31612}"/>
    <cellStyle name="Normal 26 64" xfId="2267" xr:uid="{348B8798-A81A-442D-AEEC-AB75072AE787}"/>
    <cellStyle name="Normal 26 65" xfId="2268" xr:uid="{A0184DC6-2BEB-4D89-A05C-B27123D8AA53}"/>
    <cellStyle name="Normal 26 66" xfId="2269" xr:uid="{21112AE1-2CD0-45A1-96FC-67397DD2EAF4}"/>
    <cellStyle name="Normal 26 67" xfId="2270" xr:uid="{303A3A50-54B1-4E57-AC45-5A9BE60A2DFB}"/>
    <cellStyle name="Normal 26 68" xfId="2271" xr:uid="{DFF31CDB-4E04-459C-866B-D1D2F65CDC9A}"/>
    <cellStyle name="Normal 26 69" xfId="2272" xr:uid="{AC7205BE-F6FC-4CCF-9E38-2EBF92DB0DF9}"/>
    <cellStyle name="Normal 26 7" xfId="2273" xr:uid="{505E0FE9-54CF-4153-9FAD-CC61594941FF}"/>
    <cellStyle name="Normal 26 70" xfId="2274" xr:uid="{447A0E7A-3FAE-46D8-BBB8-218177EC7EB2}"/>
    <cellStyle name="Normal 26 71" xfId="2275" xr:uid="{94A803A4-B8C1-4A20-9973-9B0A7D7B6B35}"/>
    <cellStyle name="Normal 26 72" xfId="2276" xr:uid="{2B9F9E9B-B894-4D61-AC95-FF1743C2CD91}"/>
    <cellStyle name="Normal 26 73" xfId="2277" xr:uid="{39D6E551-AC51-424F-B582-1257BDB830B7}"/>
    <cellStyle name="Normal 26 74" xfId="2278" xr:uid="{11DF8CEC-F3F9-4A01-A3F4-DE719920DB76}"/>
    <cellStyle name="Normal 26 75" xfId="2279" xr:uid="{E0AF737E-F307-4C86-9220-D16E38FB701C}"/>
    <cellStyle name="Normal 26 76" xfId="2280" xr:uid="{EC4A1B6C-8ED1-4DEE-90DB-572F15314D7A}"/>
    <cellStyle name="Normal 26 77" xfId="2281" xr:uid="{9D914F9D-A949-42D1-8733-9A132DB58886}"/>
    <cellStyle name="Normal 26 78" xfId="2282" xr:uid="{1305C1D2-2B6D-4497-AEAA-C0EB98A88EEA}"/>
    <cellStyle name="Normal 26 79" xfId="2283" xr:uid="{347BFDEC-934F-4F00-9198-B18DD5276781}"/>
    <cellStyle name="Normal 26 8" xfId="2284" xr:uid="{890887BA-2AA0-4431-B125-060E8EFF38BA}"/>
    <cellStyle name="Normal 26 80" xfId="2285" xr:uid="{48C84955-CBA3-4632-887A-8F953D15AD86}"/>
    <cellStyle name="Normal 26 81" xfId="2286" xr:uid="{5600017B-F091-4C7F-B340-2425FB2F4F24}"/>
    <cellStyle name="Normal 26 82" xfId="2287" xr:uid="{367BD904-5ECA-4C73-91C7-BFB63FC14EE8}"/>
    <cellStyle name="Normal 26 83" xfId="2288" xr:uid="{FA2C841A-525C-42B5-8C1A-05B093609AD4}"/>
    <cellStyle name="Normal 26 84" xfId="2289" xr:uid="{30F0B69C-777E-4307-B92F-F25B628B7DAA}"/>
    <cellStyle name="Normal 26 85" xfId="2290" xr:uid="{F4A47BDF-621F-483E-96EF-3ACCF3268F07}"/>
    <cellStyle name="Normal 26 86" xfId="2291" xr:uid="{502A2FD5-3DBF-4C84-A95A-725F516BE578}"/>
    <cellStyle name="Normal 26 87" xfId="2292" xr:uid="{D26B8E67-903C-4FFF-BD00-F25D155C691F}"/>
    <cellStyle name="Normal 26 88" xfId="2293" xr:uid="{90B0562A-3D18-49A4-9BDC-8630D9E3DF49}"/>
    <cellStyle name="Normal 26 89" xfId="2294" xr:uid="{8ACAE8CD-5DE8-4A21-8DB4-D7230C89D8DB}"/>
    <cellStyle name="Normal 26 9" xfId="2295" xr:uid="{051FC5EF-BB3E-40F5-932B-21D61BAAF505}"/>
    <cellStyle name="Normal 26 90" xfId="2296" xr:uid="{372F80AA-8D52-432D-980B-0596F71A3C57}"/>
    <cellStyle name="Normal 26 91" xfId="2297" xr:uid="{626876ED-93C8-4203-B472-7FD2A2591554}"/>
    <cellStyle name="Normal 26 92" xfId="2298" xr:uid="{7EF1AD9E-A166-435F-90F2-886F68DAA0C4}"/>
    <cellStyle name="Normal 26 93" xfId="2299" xr:uid="{7B6C69F9-1989-4AF6-81A2-3340EBFB88E0}"/>
    <cellStyle name="Normal 26 94" xfId="2300" xr:uid="{A47732C5-6660-4203-8FB0-DB449ED34E45}"/>
    <cellStyle name="Normal 26 95" xfId="2301" xr:uid="{C8D6DD29-B906-476F-9404-F5B7FCFC6457}"/>
    <cellStyle name="Normal 26 96" xfId="2302" xr:uid="{BAA872DC-2432-406A-879C-701E7CF3BC24}"/>
    <cellStyle name="Normal 26 97" xfId="2303" xr:uid="{4D0E1B53-39CF-42AE-9B2C-4763A937513E}"/>
    <cellStyle name="Normal 26 98" xfId="2304" xr:uid="{7D06085A-E962-43E2-98FF-71D1BAC0643E}"/>
    <cellStyle name="Normal 26 99" xfId="2305" xr:uid="{BCE16B9B-2341-45C6-86AB-C5BD804731E7}"/>
    <cellStyle name="Normal 27" xfId="2306" xr:uid="{486BDC09-6756-481F-9794-EA423E93B546}"/>
    <cellStyle name="Normal 27 10" xfId="2307" xr:uid="{FFA8332A-724A-4B95-A667-6D4F1309F187}"/>
    <cellStyle name="Normal 27 100" xfId="2308" xr:uid="{D7D3FC0C-5331-4B1B-AF80-5A37E553F009}"/>
    <cellStyle name="Normal 27 101" xfId="2309" xr:uid="{80070168-0975-4207-AD38-C70E415F77BB}"/>
    <cellStyle name="Normal 27 102" xfId="2310" xr:uid="{15EB23C6-E4B4-4C95-B1B4-1AC8D44E176C}"/>
    <cellStyle name="Normal 27 103" xfId="2311" xr:uid="{FCD8034A-F0DA-4D47-8903-380F31F1B502}"/>
    <cellStyle name="Normal 27 104" xfId="2312" xr:uid="{4B0A9C43-08D7-4AC7-AEE0-89BF5FF25987}"/>
    <cellStyle name="Normal 27 105" xfId="2313" xr:uid="{A7E2E754-0E51-4C84-802F-56AF85A21214}"/>
    <cellStyle name="Normal 27 106" xfId="2314" xr:uid="{4EBEBDA9-6584-49AD-BC8B-28B66C8BF80F}"/>
    <cellStyle name="Normal 27 107" xfId="2315" xr:uid="{05B3CE20-2F01-49E7-AD62-BBEC397A33EF}"/>
    <cellStyle name="Normal 27 108" xfId="2316" xr:uid="{71191C8D-AC8D-45C0-A7BE-E8BA81D46DF1}"/>
    <cellStyle name="Normal 27 109" xfId="2317" xr:uid="{0E90BF82-ECB1-4F25-8923-3B41324965F5}"/>
    <cellStyle name="Normal 27 11" xfId="2318" xr:uid="{9AF3B399-0B9D-459D-8767-978E5BE09E03}"/>
    <cellStyle name="Normal 27 12" xfId="2319" xr:uid="{EE25BBDC-063F-42F4-8EED-59F4DB008D5C}"/>
    <cellStyle name="Normal 27 13" xfId="2320" xr:uid="{A62CC15F-A63D-4729-806F-527CA99D5BA6}"/>
    <cellStyle name="Normal 27 14" xfId="2321" xr:uid="{E4319D7A-653C-4F82-87E6-0B422620730B}"/>
    <cellStyle name="Normal 27 15" xfId="2322" xr:uid="{9074B03A-764A-4CDC-8061-41786E850759}"/>
    <cellStyle name="Normal 27 16" xfId="2323" xr:uid="{7C3886BF-DD71-4510-B5F6-A57C4CEB7707}"/>
    <cellStyle name="Normal 27 17" xfId="2324" xr:uid="{F4E36FF2-590F-4D3E-94A9-89359E47EA49}"/>
    <cellStyle name="Normal 27 18" xfId="2325" xr:uid="{D8FE180E-7A69-4AB2-9625-55E312AC20D7}"/>
    <cellStyle name="Normal 27 19" xfId="2326" xr:uid="{90C89351-DE7F-41DA-AE47-F902DA5B134C}"/>
    <cellStyle name="Normal 27 2" xfId="2327" xr:uid="{C003A06B-5530-46AC-9BC2-CE2A66F16410}"/>
    <cellStyle name="Normal 27 20" xfId="2328" xr:uid="{350494F2-0752-4FB0-9535-CEFD22906CAE}"/>
    <cellStyle name="Normal 27 21" xfId="2329" xr:uid="{06B89C10-F445-496F-A07C-AA30DD1BB6E8}"/>
    <cellStyle name="Normal 27 22" xfId="2330" xr:uid="{DDE1CFBA-9D8B-4132-8BCD-7FA277F7B8DC}"/>
    <cellStyle name="Normal 27 23" xfId="2331" xr:uid="{C99A98C8-1AD6-46DC-9367-BEFBE6BD57F2}"/>
    <cellStyle name="Normal 27 24" xfId="2332" xr:uid="{EE2C12C6-78C1-4B83-9458-B9C5D09E7B8B}"/>
    <cellStyle name="Normal 27 25" xfId="2333" xr:uid="{72417466-3F8B-4CB4-9749-8E54FBF4FB64}"/>
    <cellStyle name="Normal 27 26" xfId="2334" xr:uid="{6BB9899F-E221-42C1-8559-7BB798AA9B49}"/>
    <cellStyle name="Normal 27 27" xfId="2335" xr:uid="{78489A6D-BAD9-48DC-B831-7F9A034446BC}"/>
    <cellStyle name="Normal 27 28" xfId="2336" xr:uid="{42874A7C-581E-4F87-B49D-F969CCBFEACB}"/>
    <cellStyle name="Normal 27 29" xfId="2337" xr:uid="{5ABE2749-06F1-460E-A2D8-810B1566C559}"/>
    <cellStyle name="Normal 27 3" xfId="2338" xr:uid="{A089B37C-5B19-4245-B973-81DA412A6510}"/>
    <cellStyle name="Normal 27 30" xfId="2339" xr:uid="{A3BF259F-649D-409E-8084-9EDF9D3F23C8}"/>
    <cellStyle name="Normal 27 31" xfId="2340" xr:uid="{28F8220E-BBD6-4EFF-9F3F-1B26ED4AAC95}"/>
    <cellStyle name="Normal 27 32" xfId="2341" xr:uid="{B0B0A143-E5F8-4742-9970-69E79CB3D4B5}"/>
    <cellStyle name="Normal 27 33" xfId="2342" xr:uid="{5543DC9B-66BC-480F-9FB6-57CFAEEC0921}"/>
    <cellStyle name="Normal 27 34" xfId="2343" xr:uid="{2B477364-E377-4DC0-9F4C-B8B45DFFBD57}"/>
    <cellStyle name="Normal 27 35" xfId="2344" xr:uid="{93688481-8B38-4782-B18A-5538075738BC}"/>
    <cellStyle name="Normal 27 36" xfId="2345" xr:uid="{EC20942F-3A4A-4523-956E-B25CBF34FFBF}"/>
    <cellStyle name="Normal 27 37" xfId="2346" xr:uid="{E140D15A-B5A3-402B-8099-37F1BEFAEFF6}"/>
    <cellStyle name="Normal 27 38" xfId="2347" xr:uid="{2FA4D98D-2FDA-4676-A7A3-FC1AA99FEB3A}"/>
    <cellStyle name="Normal 27 39" xfId="2348" xr:uid="{F0CE45DC-A095-4013-A335-48366AF1259E}"/>
    <cellStyle name="Normal 27 4" xfId="2349" xr:uid="{E056015F-84A6-49F8-85FE-BD2FDDAAFC29}"/>
    <cellStyle name="Normal 27 40" xfId="2350" xr:uid="{72DDF5E9-A30A-4287-AC42-6E7F65383D37}"/>
    <cellStyle name="Normal 27 41" xfId="2351" xr:uid="{988A0129-89A2-4F6A-908C-DB5FCA9CCCE8}"/>
    <cellStyle name="Normal 27 42" xfId="2352" xr:uid="{E86BF463-C534-469C-ADF6-0D6F97B33F00}"/>
    <cellStyle name="Normal 27 43" xfId="2353" xr:uid="{052ABF05-8079-43BE-BFAA-FF6CA2200902}"/>
    <cellStyle name="Normal 27 44" xfId="2354" xr:uid="{78B9C37B-3C9A-41A4-AF4F-3B80B56AEE5E}"/>
    <cellStyle name="Normal 27 45" xfId="2355" xr:uid="{F46EB6EC-1F92-4630-9C79-52D8FBEAA71A}"/>
    <cellStyle name="Normal 27 46" xfId="2356" xr:uid="{DE90A352-3487-4288-8EF9-1D8C0B1D3732}"/>
    <cellStyle name="Normal 27 47" xfId="2357" xr:uid="{B2261809-5FB5-421D-8E4B-B12091B9B893}"/>
    <cellStyle name="Normal 27 48" xfId="2358" xr:uid="{21486271-FD18-4A55-9A72-A2ED83CD3F84}"/>
    <cellStyle name="Normal 27 49" xfId="2359" xr:uid="{F98D284A-2A30-4623-A19D-456E15F6D48E}"/>
    <cellStyle name="Normal 27 5" xfId="2360" xr:uid="{1735834C-185B-4482-BBFF-F6F968BAF6DF}"/>
    <cellStyle name="Normal 27 50" xfId="2361" xr:uid="{B02DAD47-E49A-4F60-8D3D-5E4E4F26317B}"/>
    <cellStyle name="Normal 27 51" xfId="2362" xr:uid="{F7A4B296-6441-4DF3-82F1-002C2897DE33}"/>
    <cellStyle name="Normal 27 52" xfId="2363" xr:uid="{EDAD6075-6EE7-4A6B-87AC-9F61BD25AB4C}"/>
    <cellStyle name="Normal 27 53" xfId="2364" xr:uid="{A77F0505-E3B4-4A22-A958-82655A60DAFF}"/>
    <cellStyle name="Normal 27 54" xfId="2365" xr:uid="{CB7079D2-6147-4EE0-8C63-CDD10DE857DB}"/>
    <cellStyle name="Normal 27 55" xfId="2366" xr:uid="{F8823CBB-7EAF-4218-BE65-82AA6E24C1DB}"/>
    <cellStyle name="Normal 27 56" xfId="2367" xr:uid="{C491EBB8-8D89-4E9F-9132-56892824F973}"/>
    <cellStyle name="Normal 27 57" xfId="2368" xr:uid="{0AF4ED63-06F8-4465-8757-79B4BAA9866A}"/>
    <cellStyle name="Normal 27 58" xfId="2369" xr:uid="{294AABA9-45FD-4BE3-86FD-8924BA6FDB2E}"/>
    <cellStyle name="Normal 27 59" xfId="2370" xr:uid="{A991C4B9-17A4-4165-907B-3D100DFDC214}"/>
    <cellStyle name="Normal 27 6" xfId="2371" xr:uid="{0133E541-5FFC-404C-A2F5-519C75D417E8}"/>
    <cellStyle name="Normal 27 60" xfId="2372" xr:uid="{5C19B3AD-EE20-479C-9ECE-FA8EB5E9A4BC}"/>
    <cellStyle name="Normal 27 61" xfId="2373" xr:uid="{2AC86E57-76E0-4DE0-89DE-EBBE8991E00E}"/>
    <cellStyle name="Normal 27 62" xfId="2374" xr:uid="{4435F615-A5A7-4913-9FAC-0811BCF79507}"/>
    <cellStyle name="Normal 27 63" xfId="2375" xr:uid="{EFD18E51-12FC-4AD4-A6E4-1884E90E7D8D}"/>
    <cellStyle name="Normal 27 64" xfId="2376" xr:uid="{95F183F4-FE9B-4672-BEE0-41F4B8DE971C}"/>
    <cellStyle name="Normal 27 65" xfId="2377" xr:uid="{8BCAAA52-E8C0-4FE7-85E9-FE291304B746}"/>
    <cellStyle name="Normal 27 66" xfId="2378" xr:uid="{7B552A0B-BC3A-431B-A700-8964AEED5FEA}"/>
    <cellStyle name="Normal 27 67" xfId="2379" xr:uid="{493F8844-ABF0-4E88-9675-DF2945CEF5D2}"/>
    <cellStyle name="Normal 27 68" xfId="2380" xr:uid="{9191C601-7986-43F9-B263-1691AC0F07B3}"/>
    <cellStyle name="Normal 27 69" xfId="2381" xr:uid="{16898B20-33BC-4744-8691-7B5107F99D0B}"/>
    <cellStyle name="Normal 27 7" xfId="2382" xr:uid="{D3F48628-66B1-416A-9F06-D825EF35AC5C}"/>
    <cellStyle name="Normal 27 70" xfId="2383" xr:uid="{9CF8FAE3-BED4-4B55-BA9D-2A39077D3157}"/>
    <cellStyle name="Normal 27 71" xfId="2384" xr:uid="{76550419-C4E9-4A50-91A4-5B00C2A0A703}"/>
    <cellStyle name="Normal 27 72" xfId="2385" xr:uid="{0F13FF5D-41E0-444D-9656-1B2B17BEE6C3}"/>
    <cellStyle name="Normal 27 73" xfId="2386" xr:uid="{FEA0DF3D-2246-493E-83EF-04F26FB8B504}"/>
    <cellStyle name="Normal 27 74" xfId="2387" xr:uid="{319BC7CB-F5A0-4FC3-B9C1-0BCA5F6128F7}"/>
    <cellStyle name="Normal 27 75" xfId="2388" xr:uid="{1281B5E4-AD8C-4F71-BBBA-DB7F183AB68F}"/>
    <cellStyle name="Normal 27 76" xfId="2389" xr:uid="{DB7B17BA-9181-4F94-ABD0-66E548B53065}"/>
    <cellStyle name="Normal 27 77" xfId="2390" xr:uid="{C57ACE69-90CB-4D0E-B7A2-B17A37C4955F}"/>
    <cellStyle name="Normal 27 78" xfId="2391" xr:uid="{B2E8A6EC-7BFA-42E8-B4B0-3272777F32BE}"/>
    <cellStyle name="Normal 27 79" xfId="2392" xr:uid="{EE46FD64-C381-4AB1-A475-337428FEE34F}"/>
    <cellStyle name="Normal 27 8" xfId="2393" xr:uid="{5C529BB8-A8D8-443E-82A1-47BB432FB98E}"/>
    <cellStyle name="Normal 27 80" xfId="2394" xr:uid="{4E38DEC4-CB6A-471E-854D-BEF3AB3DCFD9}"/>
    <cellStyle name="Normal 27 81" xfId="2395" xr:uid="{D851DDFF-778D-495D-ABA4-3E1645FEF9E0}"/>
    <cellStyle name="Normal 27 82" xfId="2396" xr:uid="{CBFB7305-87BF-4ADB-B7D5-ABAB2BF4BD43}"/>
    <cellStyle name="Normal 27 83" xfId="2397" xr:uid="{67E8A96A-7C8E-4923-ADB5-CCE907F2BC7C}"/>
    <cellStyle name="Normal 27 84" xfId="2398" xr:uid="{2A788943-A026-483C-B0BB-A65383A98847}"/>
    <cellStyle name="Normal 27 85" xfId="2399" xr:uid="{1B429D9A-1994-424B-84B7-79C28E7443A2}"/>
    <cellStyle name="Normal 27 86" xfId="2400" xr:uid="{AA093A82-A354-4519-8FC9-D73336E99276}"/>
    <cellStyle name="Normal 27 87" xfId="2401" xr:uid="{3632E7FA-13F9-4EEF-9239-EC0E3B8D5EE4}"/>
    <cellStyle name="Normal 27 88" xfId="2402" xr:uid="{CF97752A-FEEF-4D0C-9BF1-6B36187F3201}"/>
    <cellStyle name="Normal 27 89" xfId="2403" xr:uid="{8BD6AE36-96AE-414C-8A64-800A844DA6B7}"/>
    <cellStyle name="Normal 27 9" xfId="2404" xr:uid="{55FADF92-EE8B-4115-8C72-8A834FCBAB32}"/>
    <cellStyle name="Normal 27 90" xfId="2405" xr:uid="{D6F9822B-3683-4E87-98B8-92B81716C88B}"/>
    <cellStyle name="Normal 27 91" xfId="2406" xr:uid="{8BAFE5BF-A3EC-4D73-BD53-5CFE9E43DFF5}"/>
    <cellStyle name="Normal 27 92" xfId="2407" xr:uid="{6AE0A24D-D0EB-4E96-BF2F-5E8B1E057CBE}"/>
    <cellStyle name="Normal 27 93" xfId="2408" xr:uid="{CC82E80E-8E25-4E49-BB77-BEEDC92BD7B8}"/>
    <cellStyle name="Normal 27 94" xfId="2409" xr:uid="{A23100C0-1EFD-4B1B-841D-281DCF95D4DD}"/>
    <cellStyle name="Normal 27 95" xfId="2410" xr:uid="{F658580C-0521-44D0-A25E-A67638E17F4D}"/>
    <cellStyle name="Normal 27 96" xfId="2411" xr:uid="{259AAFBA-5BCD-4D35-88B0-4102005A33F1}"/>
    <cellStyle name="Normal 27 97" xfId="2412" xr:uid="{74018F43-6C74-48AA-9A03-375EC6757605}"/>
    <cellStyle name="Normal 27 98" xfId="2413" xr:uid="{81B2496E-DE79-4509-958F-E767EAD6254F}"/>
    <cellStyle name="Normal 27 99" xfId="2414" xr:uid="{A6949DF4-4969-4754-896A-F8CD5714F891}"/>
    <cellStyle name="Normal 28" xfId="2415" xr:uid="{C7F15DD6-B494-4487-B645-84047B07DE99}"/>
    <cellStyle name="Normal 28 10" xfId="2416" xr:uid="{36897A82-AD1F-410E-AD23-1C0A64E06788}"/>
    <cellStyle name="Normal 28 100" xfId="2417" xr:uid="{96132225-CA1F-42A0-891E-D901CFEB82E8}"/>
    <cellStyle name="Normal 28 101" xfId="2418" xr:uid="{B13E6827-0A90-44CF-B7AF-005D7C8944D2}"/>
    <cellStyle name="Normal 28 102" xfId="2419" xr:uid="{C5488CE6-0018-43A5-AF8C-D3E022CF1311}"/>
    <cellStyle name="Normal 28 103" xfId="2420" xr:uid="{24211830-823A-4F1D-BC45-DF622E2FA0E3}"/>
    <cellStyle name="Normal 28 104" xfId="2421" xr:uid="{530952A5-8D0B-4BC8-A883-13354BF163AC}"/>
    <cellStyle name="Normal 28 105" xfId="2422" xr:uid="{68115A36-1380-48A5-A298-B709638A4703}"/>
    <cellStyle name="Normal 28 106" xfId="2423" xr:uid="{88360B2B-9241-47C5-A6FD-38E9F4080F04}"/>
    <cellStyle name="Normal 28 107" xfId="2424" xr:uid="{75761842-3020-45BD-A761-AE4E5CEFA4F2}"/>
    <cellStyle name="Normal 28 108" xfId="2425" xr:uid="{19D0E7BA-0A64-4C09-850D-1BF0F846445B}"/>
    <cellStyle name="Normal 28 109" xfId="2426" xr:uid="{7EC0638F-28CC-4A44-A1F2-3B2D25D5998B}"/>
    <cellStyle name="Normal 28 11" xfId="2427" xr:uid="{9F4712E1-6503-4CC7-9DB1-7DA40322551D}"/>
    <cellStyle name="Normal 28 12" xfId="2428" xr:uid="{69D80BE8-70A0-4D75-93C4-88547CCC278A}"/>
    <cellStyle name="Normal 28 13" xfId="2429" xr:uid="{E0C18C61-2352-46F0-BFD3-A927FA780AAA}"/>
    <cellStyle name="Normal 28 14" xfId="2430" xr:uid="{E47B99E3-22C2-430A-A779-7F3DACAA7423}"/>
    <cellStyle name="Normal 28 15" xfId="2431" xr:uid="{D077E3A1-A0F2-4FC8-A940-B2AE5B62BA5E}"/>
    <cellStyle name="Normal 28 16" xfId="2432" xr:uid="{611C3DB2-356B-4FF2-BF22-3546C19665B3}"/>
    <cellStyle name="Normal 28 17" xfId="2433" xr:uid="{74CE19BC-21ED-4A3B-AC83-4D71EE98D08B}"/>
    <cellStyle name="Normal 28 18" xfId="2434" xr:uid="{D05F8206-5168-479F-9FCF-912DF4B976A8}"/>
    <cellStyle name="Normal 28 19" xfId="2435" xr:uid="{56E2F59D-AA92-41C7-9064-FA12D9353C08}"/>
    <cellStyle name="Normal 28 2" xfId="2436" xr:uid="{32BC96F8-1B43-4715-97FD-9211B514E1EA}"/>
    <cellStyle name="Normal 28 20" xfId="2437" xr:uid="{058AD900-FE16-44DE-A617-AA91F50C106C}"/>
    <cellStyle name="Normal 28 21" xfId="2438" xr:uid="{7B8CE2B7-8530-4C94-A0AE-1E8EB90A537B}"/>
    <cellStyle name="Normal 28 22" xfId="2439" xr:uid="{9878466A-7C0F-43C1-8D60-15A22F5532AB}"/>
    <cellStyle name="Normal 28 23" xfId="2440" xr:uid="{98F3D714-920B-46A8-828F-D9033F7A0084}"/>
    <cellStyle name="Normal 28 24" xfId="2441" xr:uid="{5A71685E-E27F-441F-AC7F-39BF5FC3945F}"/>
    <cellStyle name="Normal 28 25" xfId="2442" xr:uid="{33729CDC-5968-4363-82AB-E3E2019EEFE9}"/>
    <cellStyle name="Normal 28 26" xfId="2443" xr:uid="{07B456E4-BE9F-4F99-A58C-7C2C4C70036D}"/>
    <cellStyle name="Normal 28 27" xfId="2444" xr:uid="{C3D3D8A7-17EB-446B-BFAB-51A9ACBC2CE8}"/>
    <cellStyle name="Normal 28 28" xfId="2445" xr:uid="{D148B5F8-A72A-4C44-9053-69B6114B3E2E}"/>
    <cellStyle name="Normal 28 29" xfId="2446" xr:uid="{1DDEA70F-0F0A-404E-9DAE-7BF7C5204842}"/>
    <cellStyle name="Normal 28 3" xfId="2447" xr:uid="{5DEDB9F6-C30C-4331-9989-BB6EC014399A}"/>
    <cellStyle name="Normal 28 30" xfId="2448" xr:uid="{D0B91D23-F8C6-4A7F-88CA-9D3B13801FB7}"/>
    <cellStyle name="Normal 28 31" xfId="2449" xr:uid="{EF551AC9-4865-4ABE-8681-9C4041DF3531}"/>
    <cellStyle name="Normal 28 32" xfId="2450" xr:uid="{49DEE10D-0C7C-4777-A5C9-D746DC43B0BD}"/>
    <cellStyle name="Normal 28 33" xfId="2451" xr:uid="{CBD8E242-7768-46BD-BCA9-4947DCEADD82}"/>
    <cellStyle name="Normal 28 34" xfId="2452" xr:uid="{96707C84-D522-4387-B24D-ADA8A14A13CA}"/>
    <cellStyle name="Normal 28 35" xfId="2453" xr:uid="{BF22CED8-CBD6-4FD4-B465-114C736CC8FB}"/>
    <cellStyle name="Normal 28 36" xfId="2454" xr:uid="{01B5803B-0421-4697-877E-EB0F940A7BCD}"/>
    <cellStyle name="Normal 28 37" xfId="2455" xr:uid="{1AF22E85-48C4-4F64-99BE-1845D4C47742}"/>
    <cellStyle name="Normal 28 38" xfId="2456" xr:uid="{C9CC3759-346C-4178-B803-685793B9DE62}"/>
    <cellStyle name="Normal 28 39" xfId="2457" xr:uid="{2EE22A99-DF8B-43E3-8923-B27A67C9974B}"/>
    <cellStyle name="Normal 28 4" xfId="2458" xr:uid="{A12DF378-B511-4FCA-9055-ED06A478B1E4}"/>
    <cellStyle name="Normal 28 40" xfId="2459" xr:uid="{E76F04DD-C4A4-47E6-80BC-AD7867C53436}"/>
    <cellStyle name="Normal 28 41" xfId="2460" xr:uid="{AB99E732-4894-4DCF-BCA1-E53C86607394}"/>
    <cellStyle name="Normal 28 42" xfId="2461" xr:uid="{B6BE4F96-E10E-489E-9E80-C93A6BE56D4E}"/>
    <cellStyle name="Normal 28 43" xfId="2462" xr:uid="{57384486-C3AE-4357-8903-DE9C76D8E2B7}"/>
    <cellStyle name="Normal 28 44" xfId="2463" xr:uid="{99554527-21EF-4965-9718-2679168E4682}"/>
    <cellStyle name="Normal 28 45" xfId="2464" xr:uid="{43878500-2F0A-4F86-8A1E-02EE35AF8B28}"/>
    <cellStyle name="Normal 28 46" xfId="2465" xr:uid="{3BDFE6CD-3F6D-49A6-8FDB-911C9A7B1656}"/>
    <cellStyle name="Normal 28 47" xfId="2466" xr:uid="{34BAA772-F79D-420D-B169-C627D623D449}"/>
    <cellStyle name="Normal 28 48" xfId="2467" xr:uid="{B14234CD-24BA-4DB5-9B5D-A73178EC2D2E}"/>
    <cellStyle name="Normal 28 49" xfId="2468" xr:uid="{03BEB112-25A9-46ED-84CA-23642E466CD7}"/>
    <cellStyle name="Normal 28 5" xfId="2469" xr:uid="{9C70B1F4-5767-4E40-BBE1-F5E3836F1B64}"/>
    <cellStyle name="Normal 28 50" xfId="2470" xr:uid="{B9206F02-A97A-481A-A819-D7FC5F94C553}"/>
    <cellStyle name="Normal 28 51" xfId="2471" xr:uid="{F6713E87-42FA-4524-B6FB-F45510E2D76D}"/>
    <cellStyle name="Normal 28 52" xfId="2472" xr:uid="{7ECCC359-41C5-4C6B-B85A-0663E0177DBB}"/>
    <cellStyle name="Normal 28 53" xfId="2473" xr:uid="{83622D4A-C829-4351-B8EE-A7A1F0F41100}"/>
    <cellStyle name="Normal 28 54" xfId="2474" xr:uid="{68E43F43-A52D-4EDE-92BF-9661CA029097}"/>
    <cellStyle name="Normal 28 55" xfId="2475" xr:uid="{B99445AB-7A0B-48C1-AE30-FB4FA75915BD}"/>
    <cellStyle name="Normal 28 56" xfId="2476" xr:uid="{3F67A005-3D53-421E-A289-29D5B0D78C92}"/>
    <cellStyle name="Normal 28 57" xfId="2477" xr:uid="{6A061808-DB4E-464B-9962-FBAF8CF6418A}"/>
    <cellStyle name="Normal 28 58" xfId="2478" xr:uid="{E2598E03-DA82-4841-84F8-DFBD2FE9DF89}"/>
    <cellStyle name="Normal 28 59" xfId="2479" xr:uid="{67EE64A8-53DF-4BA1-89CD-CE50C7679F37}"/>
    <cellStyle name="Normal 28 6" xfId="2480" xr:uid="{CCBA482B-D771-4AC5-A54C-330EE6530A27}"/>
    <cellStyle name="Normal 28 60" xfId="2481" xr:uid="{E7D5CAF7-AE24-40CD-BE2A-5635E796EC9F}"/>
    <cellStyle name="Normal 28 61" xfId="2482" xr:uid="{458845F1-6E38-4947-9AA1-448E038A1FE1}"/>
    <cellStyle name="Normal 28 62" xfId="2483" xr:uid="{7948E4C3-3C00-40D7-97A0-80FEBC97D915}"/>
    <cellStyle name="Normal 28 63" xfId="2484" xr:uid="{BBF72ECF-851A-44B6-AF2F-2B0AD417438D}"/>
    <cellStyle name="Normal 28 64" xfId="2485" xr:uid="{8B57F9E4-B8E8-4746-B235-C3975C7CE54A}"/>
    <cellStyle name="Normal 28 65" xfId="2486" xr:uid="{56CB1F59-EB34-40BF-A1D9-805B4E2771AD}"/>
    <cellStyle name="Normal 28 66" xfId="2487" xr:uid="{3FBFEC83-A795-4683-9E03-F8F164743FC9}"/>
    <cellStyle name="Normal 28 67" xfId="2488" xr:uid="{784FF18E-D05E-496D-8DD2-F438E841E9AB}"/>
    <cellStyle name="Normal 28 68" xfId="2489" xr:uid="{CFBAB798-C464-4AA0-B4E9-08B2BFD263DB}"/>
    <cellStyle name="Normal 28 69" xfId="2490" xr:uid="{0C1B426B-5E40-400E-94F8-1FDA50A5ACF5}"/>
    <cellStyle name="Normal 28 7" xfId="2491" xr:uid="{E724963F-2271-4C49-9E94-AF130FBCE9BB}"/>
    <cellStyle name="Normal 28 70" xfId="2492" xr:uid="{0A1B11DE-E647-43A2-A577-C8C328656678}"/>
    <cellStyle name="Normal 28 71" xfId="2493" xr:uid="{A726EA35-B053-46CF-88BF-851E65D47B4A}"/>
    <cellStyle name="Normal 28 72" xfId="2494" xr:uid="{205993D0-4C71-4C63-83E7-A88F035F49EA}"/>
    <cellStyle name="Normal 28 73" xfId="2495" xr:uid="{B9571BF5-5E58-4999-90F3-F741EE90DAE0}"/>
    <cellStyle name="Normal 28 74" xfId="2496" xr:uid="{C9012702-F70E-48EB-83A3-C674927E07D7}"/>
    <cellStyle name="Normal 28 75" xfId="2497" xr:uid="{6C7E3DB5-9046-4B3D-98B7-28D7242AC02B}"/>
    <cellStyle name="Normal 28 76" xfId="2498" xr:uid="{DFA6B9C5-131B-47DC-9144-D00E637FAF5D}"/>
    <cellStyle name="Normal 28 77" xfId="2499" xr:uid="{AC85AB7F-AE94-466F-9E95-36AA7DCAF213}"/>
    <cellStyle name="Normal 28 78" xfId="2500" xr:uid="{A405323C-5E7B-40A1-89F0-6EFAD7A5CF16}"/>
    <cellStyle name="Normal 28 79" xfId="2501" xr:uid="{2313BF67-CCDA-4BA4-A6AD-CE0861564C8C}"/>
    <cellStyle name="Normal 28 8" xfId="2502" xr:uid="{5FF185C8-599F-4D3B-B9C4-10BD0F8207AD}"/>
    <cellStyle name="Normal 28 80" xfId="2503" xr:uid="{FB4914F4-E953-4B5C-AA57-7AE7C03956BD}"/>
    <cellStyle name="Normal 28 81" xfId="2504" xr:uid="{027BBDA1-573B-4CFC-BBB1-16913AFCEF5B}"/>
    <cellStyle name="Normal 28 82" xfId="2505" xr:uid="{ABA98A11-5204-4F01-8206-3FEF73674F4C}"/>
    <cellStyle name="Normal 28 83" xfId="2506" xr:uid="{D89DFCC2-788B-415E-AB2E-C99BAE3AA55C}"/>
    <cellStyle name="Normal 28 84" xfId="2507" xr:uid="{0F336C9A-AC47-4AEE-B885-F663E4B5179C}"/>
    <cellStyle name="Normal 28 85" xfId="2508" xr:uid="{1D976EAC-2CFC-4B34-8AF9-310DD1F1C986}"/>
    <cellStyle name="Normal 28 86" xfId="2509" xr:uid="{9C104113-4622-44A7-A935-619AC65D38BA}"/>
    <cellStyle name="Normal 28 87" xfId="2510" xr:uid="{95FE7518-50DC-44A7-8AC3-FC98C5242FC2}"/>
    <cellStyle name="Normal 28 88" xfId="2511" xr:uid="{84D2B566-52E8-451F-8835-E47390298151}"/>
    <cellStyle name="Normal 28 89" xfId="2512" xr:uid="{32D4A25D-A7B1-4AD1-BD63-98171571F600}"/>
    <cellStyle name="Normal 28 9" xfId="2513" xr:uid="{530B6CF8-42ED-4802-AE52-3D7D8F796FAA}"/>
    <cellStyle name="Normal 28 90" xfId="2514" xr:uid="{B076B028-BB7A-482F-9DCD-70C3FD81FF07}"/>
    <cellStyle name="Normal 28 91" xfId="2515" xr:uid="{88792B8A-77EC-4083-A259-33D8CDE25AC4}"/>
    <cellStyle name="Normal 28 92" xfId="2516" xr:uid="{080AFFF6-3B6C-4183-A82F-4D50114FFDF1}"/>
    <cellStyle name="Normal 28 93" xfId="2517" xr:uid="{F3CD4770-DDC9-42A2-9E30-45B4CCE5AB20}"/>
    <cellStyle name="Normal 28 94" xfId="2518" xr:uid="{417EBC2F-F0C6-472F-A884-FF0CCDA4C160}"/>
    <cellStyle name="Normal 28 95" xfId="2519" xr:uid="{9332D8B9-FC20-4A1E-8311-C1C003A111D5}"/>
    <cellStyle name="Normal 28 96" xfId="2520" xr:uid="{E424FBE5-AB33-484B-B6E8-6216213DABC4}"/>
    <cellStyle name="Normal 28 97" xfId="2521" xr:uid="{634A5F2A-A2AD-47D3-8105-12CDA23B4DEF}"/>
    <cellStyle name="Normal 28 98" xfId="2522" xr:uid="{B7FC0A42-6BC0-4FA7-9E84-7B8C8EC099EA}"/>
    <cellStyle name="Normal 28 99" xfId="2523" xr:uid="{0844B219-2777-4320-8998-8A19023042F4}"/>
    <cellStyle name="Normal 29" xfId="2524" xr:uid="{B3E16118-D5F5-4C2A-84C1-A06B2C24AADD}"/>
    <cellStyle name="Normal 29 10" xfId="2525" xr:uid="{C8D97A3F-FAE6-4856-A633-3ECA7E0FCC8D}"/>
    <cellStyle name="Normal 29 100" xfId="2526" xr:uid="{0737A0D6-6392-497B-B690-43BF4604335F}"/>
    <cellStyle name="Normal 29 101" xfId="2527" xr:uid="{5AC5896B-A798-400C-87E1-1F6C2132202D}"/>
    <cellStyle name="Normal 29 102" xfId="2528" xr:uid="{B48DEEFC-6EB0-4598-B025-5ACF5C7FDD7F}"/>
    <cellStyle name="Normal 29 103" xfId="2529" xr:uid="{0CC03B72-78D5-43F2-A517-ED63A99BF6E7}"/>
    <cellStyle name="Normal 29 104" xfId="2530" xr:uid="{9EE80FE7-38FA-46D9-AAF9-0D8333C50304}"/>
    <cellStyle name="Normal 29 105" xfId="2531" xr:uid="{AA0A6641-9CAC-4758-8546-44B9E8FCA025}"/>
    <cellStyle name="Normal 29 106" xfId="2532" xr:uid="{3C0849E4-AE00-4DAB-8B23-5E9A1F4C2350}"/>
    <cellStyle name="Normal 29 107" xfId="2533" xr:uid="{AA29CF3B-683D-4844-8392-83F4B476255B}"/>
    <cellStyle name="Normal 29 108" xfId="2534" xr:uid="{F145327F-8E9D-4EBD-B233-68D68A660CE3}"/>
    <cellStyle name="Normal 29 109" xfId="2535" xr:uid="{EF3BEBBD-39A3-4182-81AB-81852C63457D}"/>
    <cellStyle name="Normal 29 11" xfId="2536" xr:uid="{339A447A-D963-49CA-8E0F-7ABF220D5777}"/>
    <cellStyle name="Normal 29 12" xfId="2537" xr:uid="{B17BDC8B-9509-4FAC-AACA-896A05BCF4F8}"/>
    <cellStyle name="Normal 29 13" xfId="2538" xr:uid="{7EED088A-590D-49A5-ABE9-AAF8A18B56F9}"/>
    <cellStyle name="Normal 29 14" xfId="2539" xr:uid="{44F60FD0-B257-4EF9-A944-4A9A5E14D38F}"/>
    <cellStyle name="Normal 29 15" xfId="2540" xr:uid="{A54995B6-CC18-4E66-919C-950AB105D0FF}"/>
    <cellStyle name="Normal 29 16" xfId="2541" xr:uid="{06708F5D-C6A9-4D07-824F-AAAB830EF3A5}"/>
    <cellStyle name="Normal 29 17" xfId="2542" xr:uid="{B7B91B99-19AB-4F6A-A096-DB3FE4046CC0}"/>
    <cellStyle name="Normal 29 18" xfId="2543" xr:uid="{BB08912C-31D6-4EC0-A92F-AF885446D305}"/>
    <cellStyle name="Normal 29 19" xfId="2544" xr:uid="{0644BE88-0178-4FAD-AC0C-2ED62A990B50}"/>
    <cellStyle name="Normal 29 2" xfId="2545" xr:uid="{CC12AC2C-164F-45A9-A38E-74B91D53D1C4}"/>
    <cellStyle name="Normal 29 20" xfId="2546" xr:uid="{87A4900A-DD7B-43AB-82B4-789DACAA24D2}"/>
    <cellStyle name="Normal 29 21" xfId="2547" xr:uid="{5A5BE59F-5BF6-483E-99CD-0E909BAE291B}"/>
    <cellStyle name="Normal 29 22" xfId="2548" xr:uid="{5B6AAFDC-B551-4067-B05B-911AB77E280E}"/>
    <cellStyle name="Normal 29 23" xfId="2549" xr:uid="{1C7F9690-3397-4874-9CF2-19926BBFE598}"/>
    <cellStyle name="Normal 29 24" xfId="2550" xr:uid="{5035A370-1E4F-4C6F-B77F-8BD8E23CADDB}"/>
    <cellStyle name="Normal 29 25" xfId="2551" xr:uid="{7E05B390-B8C8-4B7D-9812-3F8C93E946EE}"/>
    <cellStyle name="Normal 29 26" xfId="2552" xr:uid="{FE75BB90-2699-4749-AF56-F3EF5FF3368F}"/>
    <cellStyle name="Normal 29 27" xfId="2553" xr:uid="{F4E3C198-F0E8-46C8-8739-8143C432F37B}"/>
    <cellStyle name="Normal 29 28" xfId="2554" xr:uid="{71C6954A-8D9A-4E37-A4EC-C3FFF7D38568}"/>
    <cellStyle name="Normal 29 29" xfId="2555" xr:uid="{B03DF876-61B8-455A-BF50-20298169AFDC}"/>
    <cellStyle name="Normal 29 3" xfId="2556" xr:uid="{C4A92A06-78A5-4037-9BD6-00C304D6A517}"/>
    <cellStyle name="Normal 29 30" xfId="2557" xr:uid="{D38D0298-F2B0-4C46-BDA3-4E6D71438AE5}"/>
    <cellStyle name="Normal 29 31" xfId="2558" xr:uid="{DEC81290-6898-485E-90E2-1835AA424C83}"/>
    <cellStyle name="Normal 29 32" xfId="2559" xr:uid="{56737D27-EBE4-4E39-A7EE-5F7D87DC3E0F}"/>
    <cellStyle name="Normal 29 33" xfId="2560" xr:uid="{85A789EC-13EA-4A5B-9ED9-D12F80B3D6D9}"/>
    <cellStyle name="Normal 29 34" xfId="2561" xr:uid="{6F5068B1-573A-4386-AD01-CC66C02512D5}"/>
    <cellStyle name="Normal 29 35" xfId="2562" xr:uid="{AE13BD65-422F-40F3-8507-3E1B95BE026E}"/>
    <cellStyle name="Normal 29 36" xfId="2563" xr:uid="{B82E74C3-4ADF-4584-9962-BFFB03815389}"/>
    <cellStyle name="Normal 29 37" xfId="2564" xr:uid="{03617CB1-33F5-420D-BF1E-D48A5E63B4B7}"/>
    <cellStyle name="Normal 29 38" xfId="2565" xr:uid="{2B60F3B2-DFDD-427E-BF59-A89185813DC3}"/>
    <cellStyle name="Normal 29 39" xfId="2566" xr:uid="{0DECCEDF-26D3-41AC-A17E-13831CF60150}"/>
    <cellStyle name="Normal 29 4" xfId="2567" xr:uid="{23A6FEB1-B0D9-45E3-AFD7-410B1F9EFEB0}"/>
    <cellStyle name="Normal 29 40" xfId="2568" xr:uid="{66F5F981-B162-462C-BFED-CB9766A92B84}"/>
    <cellStyle name="Normal 29 41" xfId="2569" xr:uid="{2F0D1527-B490-4C0D-8AFB-E0FA32BBED90}"/>
    <cellStyle name="Normal 29 42" xfId="2570" xr:uid="{FEB7FDC4-C294-4308-8042-2A9DBFE5BF6D}"/>
    <cellStyle name="Normal 29 43" xfId="2571" xr:uid="{565E3EA6-4D7F-4E7C-952A-B52BDDDBACFE}"/>
    <cellStyle name="Normal 29 44" xfId="2572" xr:uid="{3E1EED42-CC9A-42C6-AE63-CAB3C0FF8FA2}"/>
    <cellStyle name="Normal 29 45" xfId="2573" xr:uid="{035BC86D-0820-4835-9E6B-0DB3A046CFB5}"/>
    <cellStyle name="Normal 29 46" xfId="2574" xr:uid="{BFE1F725-A687-4969-8B25-89789B897800}"/>
    <cellStyle name="Normal 29 47" xfId="2575" xr:uid="{43D0A9AF-B54F-4F82-AD70-95EEB4049963}"/>
    <cellStyle name="Normal 29 48" xfId="2576" xr:uid="{BD05AB81-BAB1-409E-A4B0-F882D7AC577D}"/>
    <cellStyle name="Normal 29 49" xfId="2577" xr:uid="{9FC33D96-518D-45E6-A135-BE8AD89927A0}"/>
    <cellStyle name="Normal 29 5" xfId="2578" xr:uid="{09426200-1B0E-48D0-B6C8-1B139436434A}"/>
    <cellStyle name="Normal 29 50" xfId="2579" xr:uid="{65122A71-DC31-40C2-B746-8D879C2EA0C7}"/>
    <cellStyle name="Normal 29 51" xfId="2580" xr:uid="{602CA56B-088D-4525-9222-C172A611DF01}"/>
    <cellStyle name="Normal 29 52" xfId="2581" xr:uid="{297B78B3-CB61-437A-A5C6-452959FEF6B4}"/>
    <cellStyle name="Normal 29 53" xfId="2582" xr:uid="{4E35B323-09AB-433D-A130-6FAD17A7F28C}"/>
    <cellStyle name="Normal 29 54" xfId="2583" xr:uid="{2C896124-DBE7-451D-96B1-DB93ABF66719}"/>
    <cellStyle name="Normal 29 55" xfId="2584" xr:uid="{3052D4AB-5B4C-45D3-BDE4-4B41196263D9}"/>
    <cellStyle name="Normal 29 56" xfId="2585" xr:uid="{15D1987F-4B3C-4A7A-9A88-197907960CBE}"/>
    <cellStyle name="Normal 29 57" xfId="2586" xr:uid="{C74EA354-FA95-4CE4-A101-3D8387667EB7}"/>
    <cellStyle name="Normal 29 58" xfId="2587" xr:uid="{101B2C3B-279D-4B14-840B-C949053206AF}"/>
    <cellStyle name="Normal 29 59" xfId="2588" xr:uid="{38CC02C4-A423-4671-9572-5594235FB57D}"/>
    <cellStyle name="Normal 29 6" xfId="2589" xr:uid="{368B0DC5-F952-495D-B9D4-7E8B616A0D9C}"/>
    <cellStyle name="Normal 29 60" xfId="2590" xr:uid="{80C36DE1-DABE-449F-A9A0-BA540CD39616}"/>
    <cellStyle name="Normal 29 61" xfId="2591" xr:uid="{3151FCC4-FB58-4609-B4BA-CA6C58A3BCDC}"/>
    <cellStyle name="Normal 29 62" xfId="2592" xr:uid="{ED4A2C60-7FB4-485D-A140-6641E1365255}"/>
    <cellStyle name="Normal 29 63" xfId="2593" xr:uid="{79D9BAC8-1AA3-433D-9B5F-7B35B3D2B8F4}"/>
    <cellStyle name="Normal 29 64" xfId="2594" xr:uid="{230B0E9B-BCF9-4863-8A90-ED3830DB3819}"/>
    <cellStyle name="Normal 29 65" xfId="2595" xr:uid="{4C0CE467-8631-44CD-8154-CBFB993342D0}"/>
    <cellStyle name="Normal 29 66" xfId="2596" xr:uid="{D02F4471-69EF-4E6D-BACE-9E5DE8873760}"/>
    <cellStyle name="Normal 29 67" xfId="2597" xr:uid="{C15F2828-AC10-42A9-9B97-DF02B942800D}"/>
    <cellStyle name="Normal 29 68" xfId="2598" xr:uid="{B499E237-5BAA-4B7E-B6AE-528B3FD2455D}"/>
    <cellStyle name="Normal 29 69" xfId="2599" xr:uid="{75FEC570-953C-4C6E-9DAE-746BD9A4B638}"/>
    <cellStyle name="Normal 29 7" xfId="2600" xr:uid="{0C71ED30-831A-4411-8A27-52A636B25A85}"/>
    <cellStyle name="Normal 29 70" xfId="2601" xr:uid="{B610FF6B-63EF-474F-9F7E-1A73BB25C7DB}"/>
    <cellStyle name="Normal 29 71" xfId="2602" xr:uid="{6592FA6B-E5E1-47F2-A61A-A6C3B89B039D}"/>
    <cellStyle name="Normal 29 72" xfId="2603" xr:uid="{55EF639D-AECC-4AD3-B171-1A224FF9F8EB}"/>
    <cellStyle name="Normal 29 73" xfId="2604" xr:uid="{3A09150E-4B03-4E40-818F-304931108101}"/>
    <cellStyle name="Normal 29 74" xfId="2605" xr:uid="{27E5773B-E0D7-45B6-B383-C7E37A1F8733}"/>
    <cellStyle name="Normal 29 75" xfId="2606" xr:uid="{8BA7EDCB-6E05-42C0-95CF-C524A1A00F29}"/>
    <cellStyle name="Normal 29 76" xfId="2607" xr:uid="{AB8E6ED9-814C-49FF-9A3E-63773925741B}"/>
    <cellStyle name="Normal 29 77" xfId="2608" xr:uid="{9CBDC1F4-3207-4A50-8839-A757185F9D0A}"/>
    <cellStyle name="Normal 29 78" xfId="2609" xr:uid="{D9058932-F2E3-4FF4-B747-5141C7046B9F}"/>
    <cellStyle name="Normal 29 79" xfId="2610" xr:uid="{9BB60F22-D7FB-4BEA-B416-EDDEA93DCA6E}"/>
    <cellStyle name="Normal 29 8" xfId="2611" xr:uid="{6DBFE984-F36A-4E2A-94E9-27351756EEB3}"/>
    <cellStyle name="Normal 29 80" xfId="2612" xr:uid="{3DE878CC-7555-4C9B-BB06-05B8C4070F84}"/>
    <cellStyle name="Normal 29 81" xfId="2613" xr:uid="{84280D8F-022B-47BE-A510-419FD117DB81}"/>
    <cellStyle name="Normal 29 82" xfId="2614" xr:uid="{61301DCC-96AA-4A3D-9497-644DE1F84177}"/>
    <cellStyle name="Normal 29 83" xfId="2615" xr:uid="{2C04FB99-417D-49F4-9037-2EB6B01DAF14}"/>
    <cellStyle name="Normal 29 84" xfId="2616" xr:uid="{2DCBC860-52A5-45AB-BF3B-32FCC4A63A66}"/>
    <cellStyle name="Normal 29 85" xfId="2617" xr:uid="{588AD405-E596-4709-B0B8-D08CA3743931}"/>
    <cellStyle name="Normal 29 86" xfId="2618" xr:uid="{59CCCDC8-CC2A-4982-8BA1-70F2EE2DC526}"/>
    <cellStyle name="Normal 29 87" xfId="2619" xr:uid="{95F098B2-966C-427F-860C-EFD778D3F3EF}"/>
    <cellStyle name="Normal 29 88" xfId="2620" xr:uid="{CE618477-DDE5-4E39-B415-C55E1711D08A}"/>
    <cellStyle name="Normal 29 89" xfId="2621" xr:uid="{DBB20483-F8DC-4693-B1F6-E0855E40B3C3}"/>
    <cellStyle name="Normal 29 9" xfId="2622" xr:uid="{3AC12081-814E-4077-A401-76C37CC39E52}"/>
    <cellStyle name="Normal 29 90" xfId="2623" xr:uid="{3D126E33-95CB-421C-A04B-DB8BD6B6BD77}"/>
    <cellStyle name="Normal 29 91" xfId="2624" xr:uid="{1589ADF8-8C96-4BF1-84FD-BCC52FEDEAC1}"/>
    <cellStyle name="Normal 29 92" xfId="2625" xr:uid="{C6CBED93-8AA1-4179-A30C-2EF9DD2DA886}"/>
    <cellStyle name="Normal 29 93" xfId="2626" xr:uid="{67851D79-758F-4B07-9251-19E7B3DB8BA4}"/>
    <cellStyle name="Normal 29 94" xfId="2627" xr:uid="{3EB3FD91-3004-47D7-98BA-D338BAB4AC97}"/>
    <cellStyle name="Normal 29 95" xfId="2628" xr:uid="{BD466956-2C52-4133-908A-85CF715CAB4D}"/>
    <cellStyle name="Normal 29 96" xfId="2629" xr:uid="{8EFA498B-D718-4F0D-8F18-4391BB2E5B91}"/>
    <cellStyle name="Normal 29 97" xfId="2630" xr:uid="{478E25E1-AB3B-4BBA-BF5A-F5CB1881A1CD}"/>
    <cellStyle name="Normal 29 98" xfId="2631" xr:uid="{7FB6FF95-4DFB-4172-8763-467D2DE31C3B}"/>
    <cellStyle name="Normal 29 99" xfId="2632" xr:uid="{6F1C480C-05E7-44CD-A365-C31F9CC274AF}"/>
    <cellStyle name="Normal 3" xfId="6" xr:uid="{5EF7C570-554D-442E-BF47-46F56F3C6F37}"/>
    <cellStyle name="Normal-- 3" xfId="2633" xr:uid="{95FB9621-CE09-4F99-A976-F5CA3947F752}"/>
    <cellStyle name="Normal 3 10" xfId="2634" xr:uid="{472DAF93-2EC1-454C-9965-82CA18FD3220}"/>
    <cellStyle name="Normal 3 11" xfId="2635" xr:uid="{DF4B6B65-27D6-41E4-B919-44F624DF5F78}"/>
    <cellStyle name="Normal 3 12" xfId="2636" xr:uid="{AC2A91E1-F730-4A3C-A6AA-6ED0BF41CC59}"/>
    <cellStyle name="Normal 3 13" xfId="2637" xr:uid="{7EE155EE-46D0-48FE-BB9A-0AC74A8940C0}"/>
    <cellStyle name="Normal 3 14" xfId="2638" xr:uid="{DE9643CB-A569-40DE-8590-63580273BA6B}"/>
    <cellStyle name="Normal 3 15" xfId="2639" xr:uid="{8334E19B-E69F-4CAA-A535-B4C2D1B95CC5}"/>
    <cellStyle name="Normal 3 16" xfId="2640" xr:uid="{CE912E77-7380-4616-B0D9-6045C376920C}"/>
    <cellStyle name="Normal 3 17" xfId="2641" xr:uid="{1A0CBB84-9D70-4FA1-8113-821FAF6D9C93}"/>
    <cellStyle name="Normal 3 18" xfId="2642" xr:uid="{10EFBA1B-87DB-41AF-BC3C-07F32265CF38}"/>
    <cellStyle name="Normal 3 19" xfId="2643" xr:uid="{524D2283-0AF3-468A-8633-1BB782EE2D0A}"/>
    <cellStyle name="Normal 3 2" xfId="2644" xr:uid="{69028ABB-4863-4D94-91BB-3B48081A318D}"/>
    <cellStyle name="Normal 3 2 2" xfId="2645" xr:uid="{59574B8A-5AA2-4945-AD5D-0558F6C94653}"/>
    <cellStyle name="Normal 3 2 2 2" xfId="2646" xr:uid="{12A5EA35-44F3-4A11-B3F5-9B55C7756795}"/>
    <cellStyle name="Normal 3 2 3" xfId="2647" xr:uid="{A4C697D6-48BF-4D9C-AE1A-9F5F298E1D3E}"/>
    <cellStyle name="Normal 3 2 4" xfId="2648" xr:uid="{7ED800A0-9D05-465D-9618-97BCEF11D5CF}"/>
    <cellStyle name="Normal 3 20" xfId="2649" xr:uid="{3613D1FA-50E8-49EA-A72D-9A85756D936D}"/>
    <cellStyle name="Normal 3 21" xfId="2650" xr:uid="{D7DA224C-CC1B-41FC-8BF0-D6CC306D3EAE}"/>
    <cellStyle name="Normal 3 22" xfId="2651" xr:uid="{4797B50F-6E55-4A46-B5AB-DFFC9B574913}"/>
    <cellStyle name="Normal 3 22 2" xfId="2652" xr:uid="{6939E58C-AC90-4C63-ACD3-CCB686B43D81}"/>
    <cellStyle name="Normal 3 22 2 2" xfId="2653" xr:uid="{5A118CD0-80DC-4638-AAAA-3121170CABCF}"/>
    <cellStyle name="Normal 3 22 2 2 2" xfId="2654" xr:uid="{350B2112-18B9-47C3-B0F1-2A0DD4028F59}"/>
    <cellStyle name="Normal 3 22 2 3" xfId="2655" xr:uid="{5E01053A-DED1-4174-9D9D-E12DB8F53B9E}"/>
    <cellStyle name="Normal 3 22 3" xfId="2656" xr:uid="{2C466B32-B537-4E4D-9625-84A6A74FE5EA}"/>
    <cellStyle name="Normal 3 22 3 2" xfId="2657" xr:uid="{B6806791-E2F8-4EDD-8A1C-B984A313891E}"/>
    <cellStyle name="Normal 3 22 4" xfId="2658" xr:uid="{7B242D88-AAE7-4501-B9CA-C57E214D80EA}"/>
    <cellStyle name="Normal 3 23" xfId="2659" xr:uid="{F98B083F-CF04-4330-BFC0-8236627F86A9}"/>
    <cellStyle name="Normal 3 24" xfId="2660" xr:uid="{B78C99DD-8A15-443A-A188-347EA659845B}"/>
    <cellStyle name="Normal 3 24 2" xfId="2661" xr:uid="{7B7C6097-BEA7-43EA-8ACC-39A796C55CBB}"/>
    <cellStyle name="Normal 3 24 2 2" xfId="2662" xr:uid="{70D3679B-78D3-4F12-A0DE-B2CB561619FE}"/>
    <cellStyle name="Normal 3 24 3" xfId="2663" xr:uid="{D6869B58-1ECF-4D84-8697-EDC6FC676D09}"/>
    <cellStyle name="Normal 3 25" xfId="2664" xr:uid="{8778B321-F3BA-4274-BEED-1DEA821E2698}"/>
    <cellStyle name="Normal 3 26" xfId="2665" xr:uid="{7659066C-B1D9-4CBE-AE23-32D63DDB19D0}"/>
    <cellStyle name="Normal 3 27" xfId="2666" xr:uid="{21DE2045-F211-4270-B707-146ED0769FC0}"/>
    <cellStyle name="Normal 3 28" xfId="2667" xr:uid="{F650307A-009E-4DC0-8CA8-4AADC1B93F66}"/>
    <cellStyle name="Normal 3 29" xfId="2668" xr:uid="{BA70C104-AB8A-46A2-90F9-1DE834417136}"/>
    <cellStyle name="Normal 3 3" xfId="2669" xr:uid="{B2E6E807-CBC7-4FB2-8B5A-AD090063BD6A}"/>
    <cellStyle name="Normal 3 3 2" xfId="2670" xr:uid="{DDE3C43A-FE76-4CC2-9CB9-874CD6024F8E}"/>
    <cellStyle name="Normal 3 3 3" xfId="2671" xr:uid="{1A396659-D281-414C-A947-8587C6229F79}"/>
    <cellStyle name="Normal 3 3 4" xfId="2672" xr:uid="{1D762345-ED53-4B52-AB9F-05481A239FD1}"/>
    <cellStyle name="Normal 3 30" xfId="2673" xr:uid="{5DCB6E05-67BC-44E7-A7BC-C051709786B8}"/>
    <cellStyle name="Normal 3 31" xfId="2674" xr:uid="{A63EDE97-C699-4B88-AAED-8EEA0FB2BD3E}"/>
    <cellStyle name="Normal 3 32" xfId="2675" xr:uid="{89019F21-04D2-4BD2-936E-4299517A3857}"/>
    <cellStyle name="Normal 3 33" xfId="2676" xr:uid="{CBEF2FDE-A473-428F-83A4-656A07DCC477}"/>
    <cellStyle name="Normal 3 34" xfId="2677" xr:uid="{0140FE21-07AD-45BD-9848-6A5ECC1F3C1C}"/>
    <cellStyle name="Normal 3 35" xfId="2678" xr:uid="{6DEF7C34-D2D0-4007-98FB-008DAC75DC24}"/>
    <cellStyle name="Normal 3 36" xfId="2679" xr:uid="{F78B2E1A-635A-475C-B727-37DB44B2A55F}"/>
    <cellStyle name="Normal 3 37" xfId="2680" xr:uid="{A2C3727F-3026-4840-999D-69ED692B62C5}"/>
    <cellStyle name="Normal 3 38" xfId="2681" xr:uid="{D724984A-C5D1-4DE4-A837-7A0505DA1895}"/>
    <cellStyle name="Normal 3 39" xfId="2682" xr:uid="{6F27372E-075C-4090-A898-AD2B261EB149}"/>
    <cellStyle name="Normal 3 39 2" xfId="2683" xr:uid="{8104EC89-D500-4C50-8C9F-9D80AAC3CAE0}"/>
    <cellStyle name="Normal 3 4" xfId="2684" xr:uid="{D5C8E4E5-30CF-48AC-94EA-65469BB75048}"/>
    <cellStyle name="Normal 3 4 2" xfId="2685" xr:uid="{98B915F2-8F60-46C8-B40B-5FDFF3775061}"/>
    <cellStyle name="Normal 3 4 3" xfId="2686" xr:uid="{3C42DEB8-DA42-48DF-9CB6-56EB81C4F0C3}"/>
    <cellStyle name="Normal 3 40" xfId="2687" xr:uid="{1BC434F2-4381-4289-AF4D-CF6ABB9DB3D3}"/>
    <cellStyle name="Normal 3 41" xfId="2688" xr:uid="{E29C4242-9B4C-450D-9526-84D6DEA6B6D7}"/>
    <cellStyle name="Normal 3 42" xfId="2689" xr:uid="{9BB5A59D-02B2-4451-AEBB-B2FE777C7487}"/>
    <cellStyle name="Normal 3 43" xfId="2690" xr:uid="{7FC79097-CB54-4E82-903E-F083ED37C4B4}"/>
    <cellStyle name="Normal 3 44" xfId="2691" xr:uid="{0318A39D-02DF-4361-9C60-051FA6689045}"/>
    <cellStyle name="Normal 3 45" xfId="2692" xr:uid="{ADE2590B-8311-4006-8070-0A547D392995}"/>
    <cellStyle name="Normal 3 46" xfId="2693" xr:uid="{78227811-0EDE-4ADF-9ED4-768B1452BF75}"/>
    <cellStyle name="Normal 3 47" xfId="2694" xr:uid="{AF3E25B7-671B-49DB-8DFF-5D9514A8C0F1}"/>
    <cellStyle name="Normal 3 48" xfId="2695" xr:uid="{E99B6D03-7C23-46A1-9ADB-03992EDA8875}"/>
    <cellStyle name="Normal 3 49" xfId="2696" xr:uid="{BA65A90A-36ED-4EA7-94DC-5773F660F016}"/>
    <cellStyle name="Normal 3 5" xfId="2697" xr:uid="{5EEA0E02-D82F-4028-85EA-8690720A7E9B}"/>
    <cellStyle name="Normal 3 5 2" xfId="2698" xr:uid="{7678D38E-E466-4C94-9E19-F2A542941968}"/>
    <cellStyle name="Normal 3 50" xfId="2699" xr:uid="{DAC9A91D-2959-4E2F-B405-C98CFC1E1EFB}"/>
    <cellStyle name="Normal 3 51" xfId="2700" xr:uid="{923A61F1-59B2-4481-A27C-098242185BE0}"/>
    <cellStyle name="Normal 3 52" xfId="2701" xr:uid="{4C33A9B8-4CEF-451B-B5F2-A5CA254C5AD2}"/>
    <cellStyle name="Normal 3 53" xfId="2702" xr:uid="{F049A75B-021F-4323-B4F2-F695B25FD233}"/>
    <cellStyle name="Normal 3 6" xfId="2703" xr:uid="{B0317646-E328-4AC7-94D2-D0D204E4D47F}"/>
    <cellStyle name="Normal 3 7" xfId="2704" xr:uid="{B30EB049-2233-43B3-B2CE-2F9295EF6707}"/>
    <cellStyle name="Normal 3 8" xfId="2705" xr:uid="{85B27497-4F34-4BDB-A1C3-B8B30ECC1AC1}"/>
    <cellStyle name="Normal 3 9" xfId="2706" xr:uid="{CD82A6E8-2AAA-45C1-AED8-342F8F46FE8A}"/>
    <cellStyle name="Normal 30" xfId="2707" xr:uid="{1CD73588-D197-4160-A935-82D6F7F5154C}"/>
    <cellStyle name="Normal 30 10" xfId="2708" xr:uid="{57139C25-8859-495F-BD7B-7F2F9D90682E}"/>
    <cellStyle name="Normal 30 100" xfId="2709" xr:uid="{62886582-AF79-423E-93E6-2B0F40A1E1FF}"/>
    <cellStyle name="Normal 30 101" xfId="2710" xr:uid="{FF9786AF-F15D-4F7B-A7A7-86AA968CBFBE}"/>
    <cellStyle name="Normal 30 102" xfId="2711" xr:uid="{386F220A-13AA-48DB-87AE-7DD0D49E63F0}"/>
    <cellStyle name="Normal 30 103" xfId="2712" xr:uid="{25AE0827-E91E-487C-9875-947C9224EE26}"/>
    <cellStyle name="Normal 30 104" xfId="2713" xr:uid="{348B280B-1F48-4143-8A64-B4633875516D}"/>
    <cellStyle name="Normal 30 105" xfId="2714" xr:uid="{F001577F-6973-48AD-8CCF-6F3E704A2692}"/>
    <cellStyle name="Normal 30 106" xfId="2715" xr:uid="{E5B9EB8A-B7E8-4512-BE71-E5CFC23F6362}"/>
    <cellStyle name="Normal 30 107" xfId="2716" xr:uid="{E8334057-1449-4B74-9ADF-1FAD53AC0B26}"/>
    <cellStyle name="Normal 30 108" xfId="2717" xr:uid="{1E72D57D-87D7-4677-86A1-BEF088D6B141}"/>
    <cellStyle name="Normal 30 109" xfId="2718" xr:uid="{122A599C-FD75-48CC-A9F0-093248A89D4A}"/>
    <cellStyle name="Normal 30 11" xfId="2719" xr:uid="{09BD3820-652F-4F6F-90D6-0BCBABE2E8FE}"/>
    <cellStyle name="Normal 30 12" xfId="2720" xr:uid="{02C22B41-6DE6-49A8-80C7-228F358C4B44}"/>
    <cellStyle name="Normal 30 13" xfId="2721" xr:uid="{A36F4ADE-AAF9-4D1D-A9B6-9F22097D107B}"/>
    <cellStyle name="Normal 30 14" xfId="2722" xr:uid="{4BA3B547-3F96-4F3C-882C-1D94702BBF16}"/>
    <cellStyle name="Normal 30 15" xfId="2723" xr:uid="{5B26EACF-FA4F-4477-ADEE-583D190319D6}"/>
    <cellStyle name="Normal 30 16" xfId="2724" xr:uid="{CDE53094-3B49-4633-8228-D4F310A961EC}"/>
    <cellStyle name="Normal 30 17" xfId="2725" xr:uid="{15617CDB-7808-4066-BBAF-FDC8E1129421}"/>
    <cellStyle name="Normal 30 18" xfId="2726" xr:uid="{6638950F-F329-4DC5-A6CA-5D1B53121779}"/>
    <cellStyle name="Normal 30 19" xfId="2727" xr:uid="{78746A84-F88F-4E16-A352-CD7496E46ECE}"/>
    <cellStyle name="Normal 30 2" xfId="2728" xr:uid="{858F0A91-401F-4A7C-AF3F-BB9E5B6F7644}"/>
    <cellStyle name="Normal 30 20" xfId="2729" xr:uid="{398AF4B3-FC00-4B9B-992B-C31E67DA7B9E}"/>
    <cellStyle name="Normal 30 21" xfId="2730" xr:uid="{7F7FBAE9-B3AC-4314-ADB9-040191DE3C12}"/>
    <cellStyle name="Normal 30 22" xfId="2731" xr:uid="{8CEA0BD6-1657-412A-B4F2-98415171E2FF}"/>
    <cellStyle name="Normal 30 23" xfId="2732" xr:uid="{DAA87C22-C408-487D-A5DE-C2F9B0EC0200}"/>
    <cellStyle name="Normal 30 24" xfId="2733" xr:uid="{10D2F475-DEF4-495E-A49E-DF3339DD3C9C}"/>
    <cellStyle name="Normal 30 25" xfId="2734" xr:uid="{486A2FA6-E0F3-49B9-AD54-6F890A7FF1E5}"/>
    <cellStyle name="Normal 30 26" xfId="2735" xr:uid="{91A8BA1B-6EEB-4452-9A1D-09C8F60ECE6B}"/>
    <cellStyle name="Normal 30 27" xfId="2736" xr:uid="{F096F8F4-8725-4833-BC5F-05135D03885C}"/>
    <cellStyle name="Normal 30 28" xfId="2737" xr:uid="{CF4254C8-31D0-4C77-8622-5348F966064C}"/>
    <cellStyle name="Normal 30 29" xfId="2738" xr:uid="{B77D54B2-5E11-46FD-BFCF-86547BA226F3}"/>
    <cellStyle name="Normal 30 3" xfId="2739" xr:uid="{E4DB9C72-8B90-49D1-9D6A-3E80B7BDF5C4}"/>
    <cellStyle name="Normal 30 30" xfId="2740" xr:uid="{11199E8B-5B82-4D30-BD97-067AAB7ECEFE}"/>
    <cellStyle name="Normal 30 31" xfId="2741" xr:uid="{444FB0EA-BB7E-496B-ACC2-3395742198A5}"/>
    <cellStyle name="Normal 30 32" xfId="2742" xr:uid="{80F4CC23-08B8-4191-8349-F8BD207E138D}"/>
    <cellStyle name="Normal 30 33" xfId="2743" xr:uid="{B5B65827-0A1B-4628-80D1-BF3A4A46F9EB}"/>
    <cellStyle name="Normal 30 34" xfId="2744" xr:uid="{C763447B-E870-49ED-A333-41FF896D0873}"/>
    <cellStyle name="Normal 30 35" xfId="2745" xr:uid="{27AA8484-D0D7-4B5D-BD11-EBEB0BA802A4}"/>
    <cellStyle name="Normal 30 36" xfId="2746" xr:uid="{E162E47F-3F96-400F-B87D-7F08B2884E4E}"/>
    <cellStyle name="Normal 30 37" xfId="2747" xr:uid="{BB74BDD2-EBC2-4247-9DE1-6D2E9B5E7F1A}"/>
    <cellStyle name="Normal 30 38" xfId="2748" xr:uid="{ECD27D92-EE38-4B0B-989D-918AFA1B793E}"/>
    <cellStyle name="Normal 30 39" xfId="2749" xr:uid="{93A9CA3C-42A5-442C-95CA-7F62EA8126A1}"/>
    <cellStyle name="Normal 30 4" xfId="2750" xr:uid="{E08DCECD-4216-4A91-90E3-DA6955BD4C96}"/>
    <cellStyle name="Normal 30 40" xfId="2751" xr:uid="{368BAB09-6E9E-43AB-B0E2-99C1C479F558}"/>
    <cellStyle name="Normal 30 41" xfId="2752" xr:uid="{5AA3D4ED-754D-4CB7-AA23-B934158141B0}"/>
    <cellStyle name="Normal 30 42" xfId="2753" xr:uid="{903D70EC-623C-4459-A258-49DBB0ADA30D}"/>
    <cellStyle name="Normal 30 43" xfId="2754" xr:uid="{B9BEDD80-5939-4684-AB36-4F2F47E3719D}"/>
    <cellStyle name="Normal 30 44" xfId="2755" xr:uid="{D5D8051F-80C3-44E0-A678-B906EE29C3EB}"/>
    <cellStyle name="Normal 30 45" xfId="2756" xr:uid="{AD273092-A05A-4798-ABC0-BA3B087D4717}"/>
    <cellStyle name="Normal 30 46" xfId="2757" xr:uid="{C9FFA37C-E762-45FA-94A2-EDFCAF644CE6}"/>
    <cellStyle name="Normal 30 47" xfId="2758" xr:uid="{4BD8F5A9-F090-44E8-8711-F389831AD3D9}"/>
    <cellStyle name="Normal 30 48" xfId="2759" xr:uid="{A2030CA0-4E37-4218-B371-2B2377C1A7C0}"/>
    <cellStyle name="Normal 30 49" xfId="2760" xr:uid="{4D1F78D4-E28A-4E00-986E-CFC8545E076D}"/>
    <cellStyle name="Normal 30 5" xfId="2761" xr:uid="{2449CCD8-E8D7-4933-8C4E-4257C2DD64CC}"/>
    <cellStyle name="Normal 30 50" xfId="2762" xr:uid="{6C629C9C-1F79-48C4-A32F-DFEEB41F95E1}"/>
    <cellStyle name="Normal 30 51" xfId="2763" xr:uid="{59425342-04DB-4572-9BF1-5B8DA5FC6F60}"/>
    <cellStyle name="Normal 30 52" xfId="2764" xr:uid="{4EA46887-43AD-4165-81BF-5AA8D806C81A}"/>
    <cellStyle name="Normal 30 53" xfId="2765" xr:uid="{E89D9DCA-466D-4BEF-A463-43CF9CBF2C39}"/>
    <cellStyle name="Normal 30 54" xfId="2766" xr:uid="{9038135B-17E4-4F0C-9F4B-744BC9B3D430}"/>
    <cellStyle name="Normal 30 55" xfId="2767" xr:uid="{82BA58FA-10A8-44E7-ADE8-82F7A3C0CD77}"/>
    <cellStyle name="Normal 30 56" xfId="2768" xr:uid="{38605F0C-F3AF-4643-8A2C-A34C6719403F}"/>
    <cellStyle name="Normal 30 57" xfId="2769" xr:uid="{42A68404-AADD-416C-B285-29012D4EC159}"/>
    <cellStyle name="Normal 30 58" xfId="2770" xr:uid="{3C4BDF32-3C0A-479F-94CC-AE8D4A6FAB64}"/>
    <cellStyle name="Normal 30 59" xfId="2771" xr:uid="{017D88F4-A4D9-4EF3-8AFD-8330FAD1AEBD}"/>
    <cellStyle name="Normal 30 6" xfId="2772" xr:uid="{A8146C19-993F-4630-9D40-B4302E620A29}"/>
    <cellStyle name="Normal 30 60" xfId="2773" xr:uid="{84F87437-D65C-45E3-BDB9-39AA3F808E64}"/>
    <cellStyle name="Normal 30 61" xfId="2774" xr:uid="{D1FDD0E1-321A-43C5-88FE-21F2BE49058C}"/>
    <cellStyle name="Normal 30 62" xfId="2775" xr:uid="{9B6A39EB-B203-483B-BDA7-943E718C8BF4}"/>
    <cellStyle name="Normal 30 63" xfId="2776" xr:uid="{FFF2EA7F-4D2C-4A30-A298-6A5073041578}"/>
    <cellStyle name="Normal 30 64" xfId="2777" xr:uid="{DE08CAE1-782C-4AB4-A594-5ADFCF28E85E}"/>
    <cellStyle name="Normal 30 65" xfId="2778" xr:uid="{BF727FB9-B046-4393-99BD-BD4EA91A6974}"/>
    <cellStyle name="Normal 30 66" xfId="2779" xr:uid="{FF2162B3-FCB2-4D24-8DA9-49C955566B01}"/>
    <cellStyle name="Normal 30 67" xfId="2780" xr:uid="{337E761B-56B8-403B-A191-589974E2273C}"/>
    <cellStyle name="Normal 30 68" xfId="2781" xr:uid="{652A2BD6-4BC7-4D05-8BE7-EAA9074269B8}"/>
    <cellStyle name="Normal 30 69" xfId="2782" xr:uid="{59020645-2B11-4C56-B740-69BB0B68D73B}"/>
    <cellStyle name="Normal 30 7" xfId="2783" xr:uid="{5693D8D2-1651-4860-A0BD-976BF24C01C2}"/>
    <cellStyle name="Normal 30 70" xfId="2784" xr:uid="{87091EC4-8E21-4EBC-AFC9-8D52ACB0C26E}"/>
    <cellStyle name="Normal 30 71" xfId="2785" xr:uid="{71E472B6-5645-44E9-9D1F-BE2BA2AF9496}"/>
    <cellStyle name="Normal 30 72" xfId="2786" xr:uid="{874A7F21-CAB4-450E-8120-4DEE369BE87A}"/>
    <cellStyle name="Normal 30 73" xfId="2787" xr:uid="{84AF825E-7BB0-4B2C-B876-90B485BD1DC3}"/>
    <cellStyle name="Normal 30 74" xfId="2788" xr:uid="{E8954AEA-9D51-4A4E-A3F8-3ED534569FD2}"/>
    <cellStyle name="Normal 30 75" xfId="2789" xr:uid="{16430DAB-36D9-4EE3-A634-21F9CE241784}"/>
    <cellStyle name="Normal 30 76" xfId="2790" xr:uid="{27E233FA-89D8-432B-BFE4-217C42FA661F}"/>
    <cellStyle name="Normal 30 77" xfId="2791" xr:uid="{01EB4577-8561-422D-9ED7-90073EC64885}"/>
    <cellStyle name="Normal 30 78" xfId="2792" xr:uid="{9BBEC4A7-4828-4B6D-B7E0-E4B758BD0A57}"/>
    <cellStyle name="Normal 30 79" xfId="2793" xr:uid="{430F3925-19E4-47BE-BFFF-898B2890A954}"/>
    <cellStyle name="Normal 30 8" xfId="2794" xr:uid="{8571A40D-821B-4346-ADA7-40D19EB16E15}"/>
    <cellStyle name="Normal 30 80" xfId="2795" xr:uid="{08813B91-1759-42AC-AC0F-E8D65804AEDD}"/>
    <cellStyle name="Normal 30 81" xfId="2796" xr:uid="{DA2CF4E8-94B7-421E-A9FD-BD0B7668943C}"/>
    <cellStyle name="Normal 30 82" xfId="2797" xr:uid="{D95BF6A5-337A-49D3-8935-76AF39F7D650}"/>
    <cellStyle name="Normal 30 83" xfId="2798" xr:uid="{2CAD5D3A-2535-4A44-A81A-7B4F5E785E68}"/>
    <cellStyle name="Normal 30 84" xfId="2799" xr:uid="{9818E93C-6AF0-41EC-B159-8AE653BE9977}"/>
    <cellStyle name="Normal 30 85" xfId="2800" xr:uid="{927B3505-3449-46C9-8F35-B30B0EF85595}"/>
    <cellStyle name="Normal 30 86" xfId="2801" xr:uid="{7C7845D5-9405-4AAE-BE39-B43DF4D7F4A7}"/>
    <cellStyle name="Normal 30 87" xfId="2802" xr:uid="{0DC2D329-933B-46FE-AD11-673FD475A04B}"/>
    <cellStyle name="Normal 30 88" xfId="2803" xr:uid="{3882889D-89A5-45DC-9716-20E0E344A1F0}"/>
    <cellStyle name="Normal 30 89" xfId="2804" xr:uid="{D30CC0A2-BC5E-498E-A13A-272E742FF22C}"/>
    <cellStyle name="Normal 30 9" xfId="2805" xr:uid="{7CC5C35C-450A-4472-A99E-E4AF6C6A8AFF}"/>
    <cellStyle name="Normal 30 90" xfId="2806" xr:uid="{42B48144-9141-4C24-B346-A69A4C0DC78D}"/>
    <cellStyle name="Normal 30 91" xfId="2807" xr:uid="{F0231724-B66E-4E9E-A722-2A0BCC0FF507}"/>
    <cellStyle name="Normal 30 92" xfId="2808" xr:uid="{3057AC91-66A0-4BB1-BCA5-A247BDE3A0F2}"/>
    <cellStyle name="Normal 30 93" xfId="2809" xr:uid="{1574159D-BC7F-4732-8CAA-AD3B70F533FA}"/>
    <cellStyle name="Normal 30 94" xfId="2810" xr:uid="{B5B5D7C1-FEBB-479F-9BA7-215F49633F1D}"/>
    <cellStyle name="Normal 30 95" xfId="2811" xr:uid="{23E41806-84B8-4917-BD55-0CDC2C6E4345}"/>
    <cellStyle name="Normal 30 96" xfId="2812" xr:uid="{9A8341A7-9C83-4F2E-B3EB-DD781A1E11FE}"/>
    <cellStyle name="Normal 30 97" xfId="2813" xr:uid="{D9B42C31-53F2-4D6B-94BA-B8D169FF74E6}"/>
    <cellStyle name="Normal 30 98" xfId="2814" xr:uid="{1FF2AC98-7088-4BEC-A6F4-796A041CD881}"/>
    <cellStyle name="Normal 30 99" xfId="2815" xr:uid="{87A681FD-43F5-4F02-8DCC-29CA65B114E5}"/>
    <cellStyle name="Normal 31" xfId="2816" xr:uid="{010FA0A8-A693-41AC-AA71-34170EDDD50C}"/>
    <cellStyle name="Normal 31 10" xfId="2817" xr:uid="{1822FFBF-8BFA-4604-8B35-C92212F887CB}"/>
    <cellStyle name="Normal 31 100" xfId="2818" xr:uid="{84BBD4B7-D05B-4D0E-8790-FC33C409F837}"/>
    <cellStyle name="Normal 31 101" xfId="2819" xr:uid="{8951F313-FE42-4040-8045-12675C8A6707}"/>
    <cellStyle name="Normal 31 102" xfId="2820" xr:uid="{0FB18F88-D1CF-4881-84DE-702E385E2BA1}"/>
    <cellStyle name="Normal 31 103" xfId="2821" xr:uid="{4C6176DA-C602-44CD-87BA-0A5E2A95D023}"/>
    <cellStyle name="Normal 31 104" xfId="2822" xr:uid="{DADD70AB-1AA4-4D4D-813D-7C8F39E55C02}"/>
    <cellStyle name="Normal 31 105" xfId="2823" xr:uid="{A010BCCB-F55F-4D17-BD90-D5EF5613C242}"/>
    <cellStyle name="Normal 31 106" xfId="2824" xr:uid="{7E2B24E9-037C-45A7-BFF6-134A30422654}"/>
    <cellStyle name="Normal 31 107" xfId="2825" xr:uid="{6045180D-A517-44E0-87ED-ED86C4547BC2}"/>
    <cellStyle name="Normal 31 108" xfId="2826" xr:uid="{5EA6CCAC-B118-4E32-80F5-4B6C925AA29C}"/>
    <cellStyle name="Normal 31 109" xfId="2827" xr:uid="{2202635F-5A95-41AA-93F5-8D64BCA45B3F}"/>
    <cellStyle name="Normal 31 11" xfId="2828" xr:uid="{E9123858-ABA6-41D1-A804-78EA398B85B7}"/>
    <cellStyle name="Normal 31 12" xfId="2829" xr:uid="{D2A480B5-AD6B-44AD-BC0E-DAEAA478C3CA}"/>
    <cellStyle name="Normal 31 13" xfId="2830" xr:uid="{C65AB3AE-29BE-4BB7-B954-31D38F8BE10D}"/>
    <cellStyle name="Normal 31 14" xfId="2831" xr:uid="{19A7A292-B913-436A-BB0C-C45358EDD388}"/>
    <cellStyle name="Normal 31 15" xfId="2832" xr:uid="{C6BF6619-7D00-49CC-ACB6-4A6287A69C68}"/>
    <cellStyle name="Normal 31 16" xfId="2833" xr:uid="{81EE96B6-4234-4F66-8F58-96EA9EDB097E}"/>
    <cellStyle name="Normal 31 17" xfId="2834" xr:uid="{30A3CBA2-F763-4D21-97B3-7F9ED4F8A6C3}"/>
    <cellStyle name="Normal 31 18" xfId="2835" xr:uid="{993FFE4B-E4F3-4896-ADCF-9CDDBC1C8B64}"/>
    <cellStyle name="Normal 31 19" xfId="2836" xr:uid="{F8826E2D-8571-4343-A7B0-52CEEF21E1E3}"/>
    <cellStyle name="Normal 31 2" xfId="2837" xr:uid="{A6C0FDA6-A6A1-42C5-A660-AE368D3EEEE5}"/>
    <cellStyle name="Normal 31 20" xfId="2838" xr:uid="{7354BA18-FB0A-4150-B4FD-E77F891D112E}"/>
    <cellStyle name="Normal 31 21" xfId="2839" xr:uid="{F92E7D34-E335-4F7D-9453-AA024BE363D8}"/>
    <cellStyle name="Normal 31 22" xfId="2840" xr:uid="{21CC66B6-13B0-400E-AE47-02B1D7B1060F}"/>
    <cellStyle name="Normal 31 23" xfId="2841" xr:uid="{DBE4E4AD-04A7-4BFE-A9AA-0DF92F9599C0}"/>
    <cellStyle name="Normal 31 24" xfId="2842" xr:uid="{419A2BEE-5AE1-4C92-B63B-B23329DA7167}"/>
    <cellStyle name="Normal 31 25" xfId="2843" xr:uid="{A6BA24BC-051A-472D-9E98-ED987AF4238B}"/>
    <cellStyle name="Normal 31 26" xfId="2844" xr:uid="{B615E3B4-D5C5-4D2D-A769-462E40E7D43D}"/>
    <cellStyle name="Normal 31 27" xfId="2845" xr:uid="{8FD001CA-1ECC-4759-8AA3-8184F3A564EF}"/>
    <cellStyle name="Normal 31 28" xfId="2846" xr:uid="{683DE124-B251-4CE4-AFA3-1F972FF9F49C}"/>
    <cellStyle name="Normal 31 29" xfId="2847" xr:uid="{20243F05-9ADA-407E-B1C6-9E7C39C53BC8}"/>
    <cellStyle name="Normal 31 3" xfId="2848" xr:uid="{D2C4B4F3-8EDE-4043-82E4-886B349CE11B}"/>
    <cellStyle name="Normal 31 30" xfId="2849" xr:uid="{F25A0DC9-F22B-4C5F-8184-FB019D50161F}"/>
    <cellStyle name="Normal 31 31" xfId="2850" xr:uid="{18E3DA21-3A2C-4A67-B4BF-07C835D34284}"/>
    <cellStyle name="Normal 31 32" xfId="2851" xr:uid="{8A06729B-EFF1-48D5-ACB7-295781B94065}"/>
    <cellStyle name="Normal 31 33" xfId="2852" xr:uid="{FAA6A6B3-5CBE-4D39-9445-CE9839B0D34E}"/>
    <cellStyle name="Normal 31 34" xfId="2853" xr:uid="{9B111A1B-7587-449A-AA7D-66530CB30F2D}"/>
    <cellStyle name="Normal 31 35" xfId="2854" xr:uid="{7E995A23-1D07-460D-991D-C463B61FF2B8}"/>
    <cellStyle name="Normal 31 36" xfId="2855" xr:uid="{266F4902-1971-4F14-815F-63063373EB42}"/>
    <cellStyle name="Normal 31 37" xfId="2856" xr:uid="{E8D5E665-18DF-4B39-965E-8295582C7C6F}"/>
    <cellStyle name="Normal 31 38" xfId="2857" xr:uid="{44AC673A-DF08-4408-BB82-88B666A3A31C}"/>
    <cellStyle name="Normal 31 39" xfId="2858" xr:uid="{22E74C7C-3496-4369-98CD-0985A8D42CEF}"/>
    <cellStyle name="Normal 31 4" xfId="2859" xr:uid="{4561BBC9-47F0-4EBD-884E-935E9C8EC0CA}"/>
    <cellStyle name="Normal 31 40" xfId="2860" xr:uid="{EC379244-FE02-4BD1-BFEF-14DEC80F80B6}"/>
    <cellStyle name="Normal 31 41" xfId="2861" xr:uid="{EF34CDDA-B03F-405E-A40A-53991A86D93D}"/>
    <cellStyle name="Normal 31 42" xfId="2862" xr:uid="{5778579F-BD88-409F-8AF2-C9E1452D0226}"/>
    <cellStyle name="Normal 31 43" xfId="2863" xr:uid="{AFF8390E-7F4C-454A-A078-1B4389C8D89B}"/>
    <cellStyle name="Normal 31 44" xfId="2864" xr:uid="{C63EDEE7-0E1A-412E-AB23-5D8EAA425B55}"/>
    <cellStyle name="Normal 31 45" xfId="2865" xr:uid="{63428FC7-D4A5-45F1-81BF-59F73C58ADAC}"/>
    <cellStyle name="Normal 31 46" xfId="2866" xr:uid="{BB2FA15A-B187-4A93-AB2C-F8F9BC581197}"/>
    <cellStyle name="Normal 31 47" xfId="2867" xr:uid="{8BB56E37-CAB7-4790-B62C-3A82BF77EF8E}"/>
    <cellStyle name="Normal 31 48" xfId="2868" xr:uid="{17DFB329-07D6-46D8-B7C8-A15471C1AE1C}"/>
    <cellStyle name="Normal 31 49" xfId="2869" xr:uid="{E1923A70-6EE3-4A57-A726-19EDA4246468}"/>
    <cellStyle name="Normal 31 5" xfId="2870" xr:uid="{4EE0845B-CC2B-433D-A505-A54820AF4830}"/>
    <cellStyle name="Normal 31 50" xfId="2871" xr:uid="{3791AD76-8F14-4C9A-98D7-1B6F7913E575}"/>
    <cellStyle name="Normal 31 51" xfId="2872" xr:uid="{31031CA2-ED38-47BB-8DC0-9D7BC482426E}"/>
    <cellStyle name="Normal 31 52" xfId="2873" xr:uid="{F3A14589-A51F-4A36-80E5-CC4777A677F1}"/>
    <cellStyle name="Normal 31 53" xfId="2874" xr:uid="{264210BE-2F06-4D24-A662-FBBDAF459E22}"/>
    <cellStyle name="Normal 31 54" xfId="2875" xr:uid="{602A7E47-8F40-440E-88AA-9FD2D04835BD}"/>
    <cellStyle name="Normal 31 55" xfId="2876" xr:uid="{4821A3CD-C1DA-4207-BE92-426490744036}"/>
    <cellStyle name="Normal 31 56" xfId="2877" xr:uid="{8D375978-0E0B-4C8B-A606-3F5A19B446EE}"/>
    <cellStyle name="Normal 31 57" xfId="2878" xr:uid="{BC2E5E92-3BD7-4B86-88FA-86E265064711}"/>
    <cellStyle name="Normal 31 58" xfId="2879" xr:uid="{743F034B-03CF-4ECC-83A9-018D7DD89393}"/>
    <cellStyle name="Normal 31 59" xfId="2880" xr:uid="{C4BB17B8-781B-435F-A51B-500AFA83A7BD}"/>
    <cellStyle name="Normal 31 6" xfId="2881" xr:uid="{F2ED8E13-D08C-41EF-B153-E2B79717BC06}"/>
    <cellStyle name="Normal 31 60" xfId="2882" xr:uid="{32C24194-76BB-4197-BF08-850C0B4AB0D0}"/>
    <cellStyle name="Normal 31 61" xfId="2883" xr:uid="{1D19523B-E166-416C-BE2D-16C773740C85}"/>
    <cellStyle name="Normal 31 62" xfId="2884" xr:uid="{D42A50D1-541F-4730-9CAC-CA178275DA35}"/>
    <cellStyle name="Normal 31 63" xfId="2885" xr:uid="{6465D772-1EE1-4D62-9725-A36F631A98FB}"/>
    <cellStyle name="Normal 31 64" xfId="2886" xr:uid="{2B47827F-49E5-40C1-879E-30207B0DF4E4}"/>
    <cellStyle name="Normal 31 65" xfId="2887" xr:uid="{9C5DEFB4-ED59-41B0-B036-E7E071C20270}"/>
    <cellStyle name="Normal 31 66" xfId="2888" xr:uid="{37AE252E-6DC6-459D-856F-C95BFBFB3553}"/>
    <cellStyle name="Normal 31 67" xfId="2889" xr:uid="{3714D296-D22D-419C-ADDF-410D030C7099}"/>
    <cellStyle name="Normal 31 68" xfId="2890" xr:uid="{56A95192-0597-478D-B7A8-11645E048E42}"/>
    <cellStyle name="Normal 31 69" xfId="2891" xr:uid="{27C0A41E-7C34-433E-84CA-1229152418EC}"/>
    <cellStyle name="Normal 31 7" xfId="2892" xr:uid="{D2D36459-8EDE-498B-ACE2-8061F7D34733}"/>
    <cellStyle name="Normal 31 70" xfId="2893" xr:uid="{931D3E3D-9569-4AE0-BF4C-297C9EAB8B3A}"/>
    <cellStyle name="Normal 31 71" xfId="2894" xr:uid="{EC9ED336-6A47-4587-A3C0-0DFCEF09162D}"/>
    <cellStyle name="Normal 31 72" xfId="2895" xr:uid="{B540DC7A-1D54-42CD-8C4E-972BDFA0D8DB}"/>
    <cellStyle name="Normal 31 73" xfId="2896" xr:uid="{9EB73853-0D64-4CF5-A4CF-CCC37DF62714}"/>
    <cellStyle name="Normal 31 74" xfId="2897" xr:uid="{3C20EC6C-D0E1-4BFB-A15B-0D02B8EDEA5C}"/>
    <cellStyle name="Normal 31 75" xfId="2898" xr:uid="{B30592A0-AAFD-4165-B642-337F1BCCDB33}"/>
    <cellStyle name="Normal 31 76" xfId="2899" xr:uid="{22003D96-4AF9-4DC9-A89E-D0D20A4AE948}"/>
    <cellStyle name="Normal 31 77" xfId="2900" xr:uid="{5F61AB72-8335-491F-96DD-DCA1C7AD6078}"/>
    <cellStyle name="Normal 31 78" xfId="2901" xr:uid="{19155B27-CAB9-4D2D-9294-CA1BFF286D00}"/>
    <cellStyle name="Normal 31 79" xfId="2902" xr:uid="{40845544-CDC7-4CFF-BA2B-D86A16D68D97}"/>
    <cellStyle name="Normal 31 8" xfId="2903" xr:uid="{032FB6C4-62CD-4667-AF50-0B2340094DCC}"/>
    <cellStyle name="Normal 31 80" xfId="2904" xr:uid="{20C2DBAC-85CA-4A9B-88DC-473582E04F9E}"/>
    <cellStyle name="Normal 31 81" xfId="2905" xr:uid="{7C3AD367-0703-4BAF-90FE-0498C4897F13}"/>
    <cellStyle name="Normal 31 82" xfId="2906" xr:uid="{CD43F1E2-6C06-4503-AD10-E92C99846458}"/>
    <cellStyle name="Normal 31 83" xfId="2907" xr:uid="{443980BE-5750-49A3-8D9E-F81AAA2C6550}"/>
    <cellStyle name="Normal 31 84" xfId="2908" xr:uid="{22FFFE41-5EB4-4589-9575-36B938A7A319}"/>
    <cellStyle name="Normal 31 85" xfId="2909" xr:uid="{BE555CCF-24B9-4A88-9B45-19D3D3A9A7E3}"/>
    <cellStyle name="Normal 31 86" xfId="2910" xr:uid="{D90E4D50-FCBE-4FB8-A2AD-5D7985113D77}"/>
    <cellStyle name="Normal 31 87" xfId="2911" xr:uid="{565486BA-841E-45ED-9DFB-E322D0496EF9}"/>
    <cellStyle name="Normal 31 88" xfId="2912" xr:uid="{790021FB-3899-4F47-8CA3-EE4DD9E53A84}"/>
    <cellStyle name="Normal 31 89" xfId="2913" xr:uid="{80B82419-4CB7-423C-A5F9-3506756E7849}"/>
    <cellStyle name="Normal 31 9" xfId="2914" xr:uid="{01552404-721F-4FA8-9CA6-83358EF64F52}"/>
    <cellStyle name="Normal 31 90" xfId="2915" xr:uid="{E303BEDD-18A5-4C9B-88F1-CFBC2FE6DB0B}"/>
    <cellStyle name="Normal 31 91" xfId="2916" xr:uid="{760F0716-08DD-4500-B345-E6FA5F81FFB2}"/>
    <cellStyle name="Normal 31 92" xfId="2917" xr:uid="{E48E1A47-AEDA-4520-8F5D-4DFE43D7D81D}"/>
    <cellStyle name="Normal 31 93" xfId="2918" xr:uid="{BB843BF1-D903-4EE6-BAD0-EFF5FF84612A}"/>
    <cellStyle name="Normal 31 94" xfId="2919" xr:uid="{9DE2ED3E-E3E1-44D9-AEDE-275E36539220}"/>
    <cellStyle name="Normal 31 95" xfId="2920" xr:uid="{6561F11B-880B-47E3-8253-91B71AC586FA}"/>
    <cellStyle name="Normal 31 96" xfId="2921" xr:uid="{0BAB2706-7B7E-4C91-A511-5751FB87B23D}"/>
    <cellStyle name="Normal 31 97" xfId="2922" xr:uid="{B83AE8B4-1438-460A-89EA-5E84E89258B9}"/>
    <cellStyle name="Normal 31 98" xfId="2923" xr:uid="{4CF5BA94-6499-448E-A5FF-5E4BF69B1881}"/>
    <cellStyle name="Normal 31 99" xfId="2924" xr:uid="{17EE3569-E4AB-4D22-B00B-CF5106FC6B1A}"/>
    <cellStyle name="Normal 32" xfId="2925" xr:uid="{164A889A-4968-44CF-9F13-D32282542DFD}"/>
    <cellStyle name="Normal 32 2" xfId="2926" xr:uid="{15356218-943B-446B-8CCB-3045A0DF2C20}"/>
    <cellStyle name="Normal 33" xfId="2927" xr:uid="{A59BC590-B60A-4130-A805-9DD59CF0EB8B}"/>
    <cellStyle name="Normal 33 2" xfId="2928" xr:uid="{52E9F55F-94A0-42EC-B669-B7DBB52FF7E1}"/>
    <cellStyle name="Normal 34" xfId="2929" xr:uid="{E9220EEE-94F2-4E36-AE47-A3DB63801E6D}"/>
    <cellStyle name="Normal 35" xfId="2930" xr:uid="{5A820841-3D1F-40DA-A413-F12EDB9425FA}"/>
    <cellStyle name="Normal 35 10" xfId="2931" xr:uid="{E90AEAB9-9AC0-4BC9-9E1C-3CF0B94D3672}"/>
    <cellStyle name="Normal 35 100" xfId="2932" xr:uid="{6B6E3991-A18E-42B7-A53F-B66CB404FC3D}"/>
    <cellStyle name="Normal 35 101" xfId="2933" xr:uid="{B33F9217-9B4B-4BF6-BD72-423040E7048D}"/>
    <cellStyle name="Normal 35 102" xfId="2934" xr:uid="{43667E01-F03C-47EF-82E4-E5D1AA324A5A}"/>
    <cellStyle name="Normal 35 103" xfId="2935" xr:uid="{D8A691AC-82E5-4CDC-8A12-BBF25D52FE8F}"/>
    <cellStyle name="Normal 35 104" xfId="2936" xr:uid="{9C37AA2E-C1FF-4900-B0AA-BBB78BE0029F}"/>
    <cellStyle name="Normal 35 105" xfId="2937" xr:uid="{C3F9F9DC-920D-4751-96EF-122E24D5D360}"/>
    <cellStyle name="Normal 35 106" xfId="2938" xr:uid="{D2F8228B-5E31-4AC0-A24D-E2C4EA81BFFE}"/>
    <cellStyle name="Normal 35 107" xfId="2939" xr:uid="{36FFD230-0DAB-437D-BEC3-025B35DED916}"/>
    <cellStyle name="Normal 35 108" xfId="2940" xr:uid="{A66972AB-E9B1-4703-ACD1-8A2D2065B1BD}"/>
    <cellStyle name="Normal 35 109" xfId="2941" xr:uid="{4AE1C18B-0AEC-4088-A9B4-E5A2BEEEEFDE}"/>
    <cellStyle name="Normal 35 11" xfId="2942" xr:uid="{3693E5DA-6CE6-42A9-B9C9-FF6B5412DA31}"/>
    <cellStyle name="Normal 35 12" xfId="2943" xr:uid="{25654B4E-C71D-4EA2-B3B4-6D33A5310554}"/>
    <cellStyle name="Normal 35 13" xfId="2944" xr:uid="{0A5E3502-FCE2-4C08-A055-7249146946A0}"/>
    <cellStyle name="Normal 35 14" xfId="2945" xr:uid="{3F0E2394-9487-4BDB-9445-2E3769AF54A2}"/>
    <cellStyle name="Normal 35 15" xfId="2946" xr:uid="{60933D4C-8F99-4DC6-9FA0-8349327B22C4}"/>
    <cellStyle name="Normal 35 16" xfId="2947" xr:uid="{1EA132DC-8B3A-4EDE-BC74-8321603D7D4D}"/>
    <cellStyle name="Normal 35 17" xfId="2948" xr:uid="{6314D2A7-7D19-4DEB-931F-4CCB4865229F}"/>
    <cellStyle name="Normal 35 18" xfId="2949" xr:uid="{93518DC9-55EB-4D34-BA0F-26BA12F0A37C}"/>
    <cellStyle name="Normal 35 19" xfId="2950" xr:uid="{AF22B9E0-B60F-4397-A970-C5CBC748FF16}"/>
    <cellStyle name="Normal 35 2" xfId="2951" xr:uid="{4A495A62-EABE-4744-903B-2DDBB6A3C4BD}"/>
    <cellStyle name="Normal 35 20" xfId="2952" xr:uid="{0DC09A9F-DDD0-4551-9FAC-320AF9B548FE}"/>
    <cellStyle name="Normal 35 21" xfId="2953" xr:uid="{C85822B5-D04B-4655-B48F-AB3FB89F0A3D}"/>
    <cellStyle name="Normal 35 22" xfId="2954" xr:uid="{477E0C06-E7A3-48AD-A8FD-BD192A76C9B1}"/>
    <cellStyle name="Normal 35 23" xfId="2955" xr:uid="{6EAB2DE6-B0FC-40F9-A2E7-64FB240BA277}"/>
    <cellStyle name="Normal 35 24" xfId="2956" xr:uid="{994D7334-4149-4281-A021-4696C524F021}"/>
    <cellStyle name="Normal 35 25" xfId="2957" xr:uid="{F2B67419-9195-48DD-AB03-8C82FA3132AE}"/>
    <cellStyle name="Normal 35 26" xfId="2958" xr:uid="{C9E3AA1E-29D1-4255-B0BC-BBA83B430360}"/>
    <cellStyle name="Normal 35 27" xfId="2959" xr:uid="{CF5CBF62-EF49-4B75-BA15-47CD385564D8}"/>
    <cellStyle name="Normal 35 28" xfId="2960" xr:uid="{74E1ADC0-1154-4DFA-B113-B7CA5AA23D94}"/>
    <cellStyle name="Normal 35 29" xfId="2961" xr:uid="{45379ED6-E038-4D55-AC3D-B41D7DB158B1}"/>
    <cellStyle name="Normal 35 3" xfId="2962" xr:uid="{96DD5CD5-2A26-4416-B69F-A34DF1E527C1}"/>
    <cellStyle name="Normal 35 30" xfId="2963" xr:uid="{6ED5B25F-E09B-46A5-BB16-F2B510C62C99}"/>
    <cellStyle name="Normal 35 31" xfId="2964" xr:uid="{935160FE-3BF8-40EE-8DF9-FB82E481A8D9}"/>
    <cellStyle name="Normal 35 32" xfId="2965" xr:uid="{75D7A11F-2671-4B31-A10E-B01377CF5263}"/>
    <cellStyle name="Normal 35 33" xfId="2966" xr:uid="{D36C15E2-1AEF-4E17-9114-796B1568D0B4}"/>
    <cellStyle name="Normal 35 34" xfId="2967" xr:uid="{532ED493-3D8A-4C51-B09D-F530F7A424A1}"/>
    <cellStyle name="Normal 35 35" xfId="2968" xr:uid="{AB1F9292-7EF8-49AE-8AA4-0A316EF4B9A2}"/>
    <cellStyle name="Normal 35 36" xfId="2969" xr:uid="{89295FFD-EFF0-409A-A053-75EB407A03BC}"/>
    <cellStyle name="Normal 35 37" xfId="2970" xr:uid="{9F9017C5-001A-46A3-87D5-42E438AF6660}"/>
    <cellStyle name="Normal 35 38" xfId="2971" xr:uid="{EDF67BC3-B22D-44CE-B5BF-40C40C445E86}"/>
    <cellStyle name="Normal 35 39" xfId="2972" xr:uid="{0BF13F2E-2C85-4D4F-B887-E3ADAE39AD8E}"/>
    <cellStyle name="Normal 35 4" xfId="2973" xr:uid="{2A80BE26-9BBB-49A9-9428-5306DA8C6AF9}"/>
    <cellStyle name="Normal 35 40" xfId="2974" xr:uid="{0326D5A5-8222-4FAE-8397-2E7FF59DFD3E}"/>
    <cellStyle name="Normal 35 41" xfId="2975" xr:uid="{C98EA998-933C-4139-8DE9-455AD9B6E063}"/>
    <cellStyle name="Normal 35 42" xfId="2976" xr:uid="{9230AFE0-A88C-435F-B972-26BBCA679906}"/>
    <cellStyle name="Normal 35 43" xfId="2977" xr:uid="{6E997C2F-2D47-4E00-A0EA-91CABB57D532}"/>
    <cellStyle name="Normal 35 44" xfId="2978" xr:uid="{559B1DF5-A53C-4BCC-844B-C9000148416E}"/>
    <cellStyle name="Normal 35 45" xfId="2979" xr:uid="{D3D6F204-CDF3-4F44-BA43-A4E3A97DA2E9}"/>
    <cellStyle name="Normal 35 46" xfId="2980" xr:uid="{6B5CA724-F076-4122-ACBE-CB4B69486BF6}"/>
    <cellStyle name="Normal 35 47" xfId="2981" xr:uid="{6A00D9BE-B726-45C1-9B98-93CA70E38FF1}"/>
    <cellStyle name="Normal 35 48" xfId="2982" xr:uid="{246BC9B7-4FDC-480E-93FE-D370A1172472}"/>
    <cellStyle name="Normal 35 49" xfId="2983" xr:uid="{2C8486DF-2460-44E6-8BBD-FEE03EF3DAB1}"/>
    <cellStyle name="Normal 35 5" xfId="2984" xr:uid="{A840B238-7C81-45B2-8281-2FD3BC8153CD}"/>
    <cellStyle name="Normal 35 50" xfId="2985" xr:uid="{513087A2-F5D4-405F-932D-05EDE6A807EC}"/>
    <cellStyle name="Normal 35 51" xfId="2986" xr:uid="{AAE875B0-5802-48C8-B04B-80C00B41293E}"/>
    <cellStyle name="Normal 35 52" xfId="2987" xr:uid="{6C3F32CA-0069-473C-9E70-20F50021EA7E}"/>
    <cellStyle name="Normal 35 53" xfId="2988" xr:uid="{ACEAEA2B-ED06-42FE-817D-FED818359B43}"/>
    <cellStyle name="Normal 35 54" xfId="2989" xr:uid="{D08C6828-3653-46B2-BBFC-B2E5A637BA8E}"/>
    <cellStyle name="Normal 35 55" xfId="2990" xr:uid="{F23935C5-AACD-4374-8649-C333D1E98646}"/>
    <cellStyle name="Normal 35 56" xfId="2991" xr:uid="{F15450E7-A99A-4FC5-8CEC-65CE66E7B217}"/>
    <cellStyle name="Normal 35 57" xfId="2992" xr:uid="{110C3A06-8E24-4199-8AB4-5283AB295947}"/>
    <cellStyle name="Normal 35 58" xfId="2993" xr:uid="{7523DB8F-8E6B-4781-83C5-D30F29751C67}"/>
    <cellStyle name="Normal 35 59" xfId="2994" xr:uid="{D9648535-A802-4877-85F9-E7D9F68231DE}"/>
    <cellStyle name="Normal 35 6" xfId="2995" xr:uid="{DBE4F546-69D5-4D64-924F-7AB942E5F556}"/>
    <cellStyle name="Normal 35 60" xfId="2996" xr:uid="{2BF03C20-7EC4-4B75-88A5-93032C94B4AA}"/>
    <cellStyle name="Normal 35 61" xfId="2997" xr:uid="{7CBEFC7C-2B46-4340-A4D0-FF20BCB83D08}"/>
    <cellStyle name="Normal 35 62" xfId="2998" xr:uid="{D26BDDF1-4A1C-476A-9F70-E56C4E0DC324}"/>
    <cellStyle name="Normal 35 63" xfId="2999" xr:uid="{11857BAE-0F77-41C2-8276-5088C13A67CD}"/>
    <cellStyle name="Normal 35 64" xfId="3000" xr:uid="{858BB4E5-7399-444F-80C1-05C0A93FD2EC}"/>
    <cellStyle name="Normal 35 65" xfId="3001" xr:uid="{FF1AA0EA-E6AF-4EB4-996E-1474C598A9B8}"/>
    <cellStyle name="Normal 35 66" xfId="3002" xr:uid="{C0899AA7-8034-4924-A483-7AC2D068646B}"/>
    <cellStyle name="Normal 35 67" xfId="3003" xr:uid="{216088B9-098E-4399-9E29-08393286C960}"/>
    <cellStyle name="Normal 35 68" xfId="3004" xr:uid="{F7219FFA-E19B-4F65-BFAF-BB42B32A02A8}"/>
    <cellStyle name="Normal 35 69" xfId="3005" xr:uid="{366D0DF6-B432-4AC5-9AC0-4CAD7D48AAE0}"/>
    <cellStyle name="Normal 35 7" xfId="3006" xr:uid="{4D943324-AC14-46DF-B6D1-A5F1831E91D4}"/>
    <cellStyle name="Normal 35 70" xfId="3007" xr:uid="{3B18F5EE-97B0-4203-BD9A-3A93678DA4E2}"/>
    <cellStyle name="Normal 35 71" xfId="3008" xr:uid="{7CE72942-A1C3-4AB0-B5CD-41A26EDF07F1}"/>
    <cellStyle name="Normal 35 72" xfId="3009" xr:uid="{B87B579F-3600-43FD-95DD-035F430B9354}"/>
    <cellStyle name="Normal 35 73" xfId="3010" xr:uid="{AA02BAAB-0A8E-4D43-91FB-666C79994349}"/>
    <cellStyle name="Normal 35 74" xfId="3011" xr:uid="{646F9B3A-214C-4CAD-A23A-A6177060AE65}"/>
    <cellStyle name="Normal 35 75" xfId="3012" xr:uid="{5A1F74C1-B497-4629-8D0E-8E2CEED7784F}"/>
    <cellStyle name="Normal 35 76" xfId="3013" xr:uid="{ADBBC69B-56B8-45E0-8B98-EA9B708620EB}"/>
    <cellStyle name="Normal 35 77" xfId="3014" xr:uid="{270EE699-B1F7-4715-AB13-BD662F961D73}"/>
    <cellStyle name="Normal 35 78" xfId="3015" xr:uid="{A1CE208D-2580-46C7-96A9-D96F8FD7ACAD}"/>
    <cellStyle name="Normal 35 79" xfId="3016" xr:uid="{979A0A10-69BB-40E5-8796-BF172789E773}"/>
    <cellStyle name="Normal 35 8" xfId="3017" xr:uid="{253F2378-278F-427F-A1CA-F9C44C0BCF2A}"/>
    <cellStyle name="Normal 35 80" xfId="3018" xr:uid="{E2A951FC-313F-4CFA-BF07-08BDE5EE161F}"/>
    <cellStyle name="Normal 35 81" xfId="3019" xr:uid="{94F88EB4-CE7A-4EA2-8285-B83CBCF6523E}"/>
    <cellStyle name="Normal 35 82" xfId="3020" xr:uid="{43552D3D-E599-4D20-B0C5-9DEB8FADCCB4}"/>
    <cellStyle name="Normal 35 83" xfId="3021" xr:uid="{1048FE84-2583-4047-9A3E-317833F3BB47}"/>
    <cellStyle name="Normal 35 84" xfId="3022" xr:uid="{E8410068-E132-43D0-AA0E-C0FA9C5572D2}"/>
    <cellStyle name="Normal 35 85" xfId="3023" xr:uid="{5CF8A7C4-BC0F-4755-BA7A-9D8CB6A4B3C2}"/>
    <cellStyle name="Normal 35 86" xfId="3024" xr:uid="{2FFBD380-E019-4761-8CA4-25550B688BBD}"/>
    <cellStyle name="Normal 35 87" xfId="3025" xr:uid="{7CE8EEFD-05B4-4613-AED7-D4AE7C10FFA7}"/>
    <cellStyle name="Normal 35 88" xfId="3026" xr:uid="{6904ED43-663C-42DA-9379-5A6B0497875D}"/>
    <cellStyle name="Normal 35 89" xfId="3027" xr:uid="{793D4E09-F319-4283-BF90-CF9244377E7C}"/>
    <cellStyle name="Normal 35 9" xfId="3028" xr:uid="{F260C3D8-C372-4774-B2AF-97D82CA7A373}"/>
    <cellStyle name="Normal 35 90" xfId="3029" xr:uid="{D3347AFC-1CF1-4C65-9CC8-1A17F94FC642}"/>
    <cellStyle name="Normal 35 91" xfId="3030" xr:uid="{35DF3C1C-437E-4791-ACE5-37125BA6D6F3}"/>
    <cellStyle name="Normal 35 92" xfId="3031" xr:uid="{37A120FF-3E0A-41A0-BD0F-E07105B306FE}"/>
    <cellStyle name="Normal 35 93" xfId="3032" xr:uid="{AC86545B-BD59-4291-BFAE-2E04A065A5B0}"/>
    <cellStyle name="Normal 35 94" xfId="3033" xr:uid="{005F935C-68E7-49F0-A3B4-93A211ADC6B0}"/>
    <cellStyle name="Normal 35 95" xfId="3034" xr:uid="{3A590BF6-8942-4908-A3AB-AEF95E840964}"/>
    <cellStyle name="Normal 35 96" xfId="3035" xr:uid="{AED3495A-8367-484B-A848-0B4F2B6B9B8B}"/>
    <cellStyle name="Normal 35 97" xfId="3036" xr:uid="{DCD150BC-30A5-46A8-96F8-ACB22094C5ED}"/>
    <cellStyle name="Normal 35 98" xfId="3037" xr:uid="{E5498C7A-96E8-4176-A230-A991785499AB}"/>
    <cellStyle name="Normal 35 99" xfId="3038" xr:uid="{10CCECDE-FD6F-42D3-8B72-D2CD1994A418}"/>
    <cellStyle name="Normal 36" xfId="3039" xr:uid="{08B8B549-C439-430B-95CF-62D1EC7837ED}"/>
    <cellStyle name="Normal 36 10" xfId="3040" xr:uid="{97EA2C73-5572-4EA2-BDFF-E134DEAC5090}"/>
    <cellStyle name="Normal 36 100" xfId="3041" xr:uid="{E5C8FFCD-F06C-4E10-BA0F-D4841DC203CC}"/>
    <cellStyle name="Normal 36 101" xfId="3042" xr:uid="{9EAAD68D-1FFE-4228-B2E6-CF3A94E9B8E8}"/>
    <cellStyle name="Normal 36 102" xfId="3043" xr:uid="{18674CCA-38BD-4060-83AF-754006D0A433}"/>
    <cellStyle name="Normal 36 103" xfId="3044" xr:uid="{24DA41C0-B00F-4235-8AB0-EF67B88B3C28}"/>
    <cellStyle name="Normal 36 104" xfId="3045" xr:uid="{DC16D317-2239-42A1-9107-A458DA62F47A}"/>
    <cellStyle name="Normal 36 105" xfId="3046" xr:uid="{31A18975-BDA1-400B-9BDA-04149E41C31A}"/>
    <cellStyle name="Normal 36 106" xfId="3047" xr:uid="{6E98CEB3-5B0B-4EE3-9836-3566E2B5B1CC}"/>
    <cellStyle name="Normal 36 107" xfId="3048" xr:uid="{3CA100F8-1769-46DB-9B17-4C77EA3ABB3B}"/>
    <cellStyle name="Normal 36 108" xfId="3049" xr:uid="{301F23C5-9A06-45DD-81B3-A87B666AC7EB}"/>
    <cellStyle name="Normal 36 109" xfId="3050" xr:uid="{42CBDA5A-899A-4A43-A8F7-4A71D7CA8170}"/>
    <cellStyle name="Normal 36 11" xfId="3051" xr:uid="{554220ED-A32E-4F51-BC8A-B5E229968285}"/>
    <cellStyle name="Normal 36 12" xfId="3052" xr:uid="{B6227F7B-2A1D-4D8C-81FD-BDD82419CDA4}"/>
    <cellStyle name="Normal 36 13" xfId="3053" xr:uid="{65078FB0-2A2C-4B53-9B73-BBFDF2D9A8BB}"/>
    <cellStyle name="Normal 36 14" xfId="3054" xr:uid="{68A73FB4-D5BD-4AA4-BDD5-7F8B9317D5FC}"/>
    <cellStyle name="Normal 36 15" xfId="3055" xr:uid="{ACF84A9C-884A-49B7-9741-9769A4B01AA2}"/>
    <cellStyle name="Normal 36 16" xfId="3056" xr:uid="{958EC43E-1A00-4640-84CD-85C363B14C33}"/>
    <cellStyle name="Normal 36 17" xfId="3057" xr:uid="{7CF0B039-2366-4480-A545-B6DA5B6EAFF7}"/>
    <cellStyle name="Normal 36 18" xfId="3058" xr:uid="{F1BBE4F4-1D17-4DFE-8DC2-0F350869D44F}"/>
    <cellStyle name="Normal 36 19" xfId="3059" xr:uid="{6EAAC5FA-2EF6-4AC4-9D22-112B09B41BFE}"/>
    <cellStyle name="Normal 36 2" xfId="3060" xr:uid="{B6937E6A-F963-47FF-B9E8-81AD1CC8B507}"/>
    <cellStyle name="Normal 36 20" xfId="3061" xr:uid="{2B334A18-DFF9-46FF-9923-D5DF1022BB8B}"/>
    <cellStyle name="Normal 36 21" xfId="3062" xr:uid="{AAEA8607-3838-4838-8E5E-20F53917AF5C}"/>
    <cellStyle name="Normal 36 22" xfId="3063" xr:uid="{15984B95-76A7-4506-B9B2-8DD1264FE067}"/>
    <cellStyle name="Normal 36 23" xfId="3064" xr:uid="{18E81656-CFC3-492A-B546-E1873BA1705F}"/>
    <cellStyle name="Normal 36 24" xfId="3065" xr:uid="{E0C48D10-D239-4600-A000-520F07C78AEC}"/>
    <cellStyle name="Normal 36 25" xfId="3066" xr:uid="{FC25B247-1B20-433E-966D-C79E83E0E756}"/>
    <cellStyle name="Normal 36 26" xfId="3067" xr:uid="{6E526F9C-D7FC-4D20-ADE0-BDD8CDFA92B3}"/>
    <cellStyle name="Normal 36 27" xfId="3068" xr:uid="{DB82F90C-B14D-4AD8-8CD2-A5B6F98B4A67}"/>
    <cellStyle name="Normal 36 28" xfId="3069" xr:uid="{1677A6B7-DF18-459D-86DC-78E28B7606F6}"/>
    <cellStyle name="Normal 36 29" xfId="3070" xr:uid="{272C69B8-FC7D-4A6E-BFE0-F7F2FCB91A8B}"/>
    <cellStyle name="Normal 36 3" xfId="3071" xr:uid="{2629E4B8-2C36-425C-B189-4225B41F1014}"/>
    <cellStyle name="Normal 36 30" xfId="3072" xr:uid="{411B3F65-08A5-4AF5-8C8C-48207FA49491}"/>
    <cellStyle name="Normal 36 31" xfId="3073" xr:uid="{E1FF79A3-7371-4890-961E-0CE93E5B89B9}"/>
    <cellStyle name="Normal 36 32" xfId="3074" xr:uid="{2D6E39DB-6925-4F95-A2DD-707B7ACE5391}"/>
    <cellStyle name="Normal 36 33" xfId="3075" xr:uid="{38F0E6CA-9545-4D77-8EFA-EBA23B8006F9}"/>
    <cellStyle name="Normal 36 34" xfId="3076" xr:uid="{A3178564-9D65-4DB7-A1C2-0D57296358E9}"/>
    <cellStyle name="Normal 36 35" xfId="3077" xr:uid="{F636AA80-2FFF-477A-9639-022FB73B51B9}"/>
    <cellStyle name="Normal 36 36" xfId="3078" xr:uid="{7520CCAD-8EF1-4AA0-9BC7-AB33ED682205}"/>
    <cellStyle name="Normal 36 37" xfId="3079" xr:uid="{51DC3CD0-D1A1-4907-8D7F-19163BDA2665}"/>
    <cellStyle name="Normal 36 38" xfId="3080" xr:uid="{97066766-71F7-4DF4-A89F-82DCC462ED78}"/>
    <cellStyle name="Normal 36 39" xfId="3081" xr:uid="{E2D3873F-2136-4EB3-9FA7-400417BE3333}"/>
    <cellStyle name="Normal 36 4" xfId="3082" xr:uid="{5709B04E-48C9-4D37-95C8-0EE1BA4E6560}"/>
    <cellStyle name="Normal 36 40" xfId="3083" xr:uid="{72C9A4C5-2ED7-42A5-98D9-375551645384}"/>
    <cellStyle name="Normal 36 41" xfId="3084" xr:uid="{EB47F7CE-5480-4604-8C9F-FC482A20774C}"/>
    <cellStyle name="Normal 36 42" xfId="3085" xr:uid="{5B87C42D-ADBF-48F8-901E-62CDFBB10C0E}"/>
    <cellStyle name="Normal 36 43" xfId="3086" xr:uid="{EE90015E-25A7-4115-A88E-7B76AB398220}"/>
    <cellStyle name="Normal 36 44" xfId="3087" xr:uid="{043B9994-04E3-4D6F-A8E4-D1528528990A}"/>
    <cellStyle name="Normal 36 45" xfId="3088" xr:uid="{BFDA489C-AC1C-44AD-8AAB-FE25E88F4647}"/>
    <cellStyle name="Normal 36 46" xfId="3089" xr:uid="{6D636588-F2F1-4E63-B765-0D8C89F2DFCE}"/>
    <cellStyle name="Normal 36 47" xfId="3090" xr:uid="{B3AB0550-64A4-49C6-A01F-D38B943F388A}"/>
    <cellStyle name="Normal 36 48" xfId="3091" xr:uid="{03FE0673-D94F-4944-B58C-A31D1E58D17B}"/>
    <cellStyle name="Normal 36 49" xfId="3092" xr:uid="{E33937C9-423B-437C-A3DA-1F24B48EA7CC}"/>
    <cellStyle name="Normal 36 5" xfId="3093" xr:uid="{D1362C08-6DE1-43AD-B2D1-5E51D3997B2A}"/>
    <cellStyle name="Normal 36 50" xfId="3094" xr:uid="{897E87CC-1B34-4BD2-946C-9AEAB9F4BA1B}"/>
    <cellStyle name="Normal 36 51" xfId="3095" xr:uid="{298BC7D5-406E-422C-932B-D3FCACB934A2}"/>
    <cellStyle name="Normal 36 52" xfId="3096" xr:uid="{FAFAEDFD-E270-4B14-A468-6805936B051B}"/>
    <cellStyle name="Normal 36 53" xfId="3097" xr:uid="{C8300A79-0D3C-4652-8B87-C2B979426BBA}"/>
    <cellStyle name="Normal 36 54" xfId="3098" xr:uid="{456B32D4-AD94-4FE1-893F-3E8554FDBDFD}"/>
    <cellStyle name="Normal 36 55" xfId="3099" xr:uid="{784093E8-7633-458D-B5CD-6BF73A8E6F74}"/>
    <cellStyle name="Normal 36 56" xfId="3100" xr:uid="{ED6A05F1-A289-489B-A562-E5C9D2ED59E4}"/>
    <cellStyle name="Normal 36 57" xfId="3101" xr:uid="{405AD71D-7028-4631-AC0F-2E14152E55A1}"/>
    <cellStyle name="Normal 36 58" xfId="3102" xr:uid="{526A1B3B-54D2-4276-8285-DCFC197B5CF1}"/>
    <cellStyle name="Normal 36 59" xfId="3103" xr:uid="{AFD482ED-7E03-4CB6-B2D1-F18149E3011B}"/>
    <cellStyle name="Normal 36 6" xfId="3104" xr:uid="{06A40286-9FF7-43E5-9DAE-ED43BD6307B2}"/>
    <cellStyle name="Normal 36 60" xfId="3105" xr:uid="{AD80EA97-3F69-4745-ABE9-4BDAEECEAC2E}"/>
    <cellStyle name="Normal 36 61" xfId="3106" xr:uid="{671ECF23-F0BD-44EE-9E0A-86C94DB9B8EB}"/>
    <cellStyle name="Normal 36 62" xfId="3107" xr:uid="{6F2E3E02-4A54-494A-8FD9-3B3AE55244DA}"/>
    <cellStyle name="Normal 36 63" xfId="3108" xr:uid="{B6198FDE-A54A-4C68-87AC-2444CDFF30E7}"/>
    <cellStyle name="Normal 36 64" xfId="3109" xr:uid="{1CD39822-6BF0-4512-B0CD-85BCACD8BC23}"/>
    <cellStyle name="Normal 36 65" xfId="3110" xr:uid="{76309487-5A32-43BB-AE58-103501201603}"/>
    <cellStyle name="Normal 36 66" xfId="3111" xr:uid="{31EB2D28-63E2-4817-A7BB-355484018AD0}"/>
    <cellStyle name="Normal 36 67" xfId="3112" xr:uid="{9360C2B7-D223-4CC5-9DD5-6ECE7F4C137F}"/>
    <cellStyle name="Normal 36 68" xfId="3113" xr:uid="{28C7C70A-80D4-41A9-9FB5-0D384CCA905F}"/>
    <cellStyle name="Normal 36 69" xfId="3114" xr:uid="{F04AE6F8-D429-46D8-A751-F508F7BF8C2C}"/>
    <cellStyle name="Normal 36 7" xfId="3115" xr:uid="{EF24FBE7-CA03-4EB2-9768-2931C0680026}"/>
    <cellStyle name="Normal 36 70" xfId="3116" xr:uid="{BC0800A5-C306-4C6D-BFA1-ED4932B8106C}"/>
    <cellStyle name="Normal 36 71" xfId="3117" xr:uid="{F238DCDB-44F1-40D0-B3E7-8734509D24E4}"/>
    <cellStyle name="Normal 36 72" xfId="3118" xr:uid="{F4C6734C-B166-426A-A2FB-07CC91C20B2C}"/>
    <cellStyle name="Normal 36 73" xfId="3119" xr:uid="{6151C81A-CEEA-4066-A834-AB6D6E0E9442}"/>
    <cellStyle name="Normal 36 74" xfId="3120" xr:uid="{4A18D9F7-5537-4189-89D2-CDAEE868C57A}"/>
    <cellStyle name="Normal 36 75" xfId="3121" xr:uid="{577DDDC3-1C13-4B8C-B3B5-687916199ACA}"/>
    <cellStyle name="Normal 36 76" xfId="3122" xr:uid="{267AFD09-ABB1-4EC3-8159-0791D6FBB0CA}"/>
    <cellStyle name="Normal 36 77" xfId="3123" xr:uid="{C585A8E9-221C-4511-ADBE-6C11788C9318}"/>
    <cellStyle name="Normal 36 78" xfId="3124" xr:uid="{E6F83FA1-22BD-4FE9-83C3-D9FE1E87FDAB}"/>
    <cellStyle name="Normal 36 79" xfId="3125" xr:uid="{6DCBA024-DEA7-4983-B7EA-B91BA1AA33BF}"/>
    <cellStyle name="Normal 36 8" xfId="3126" xr:uid="{495F2E30-7341-4189-BF70-125026410E50}"/>
    <cellStyle name="Normal 36 80" xfId="3127" xr:uid="{67B8DCB2-DF9D-4681-A3D6-63FB097F3735}"/>
    <cellStyle name="Normal 36 81" xfId="3128" xr:uid="{9B303333-7618-4E39-B25D-D37E611C58DB}"/>
    <cellStyle name="Normal 36 82" xfId="3129" xr:uid="{6E5DD66A-674C-4D5A-BFD9-A45573B3583C}"/>
    <cellStyle name="Normal 36 83" xfId="3130" xr:uid="{6513C11F-1D69-42EB-8977-483C946FE1EF}"/>
    <cellStyle name="Normal 36 84" xfId="3131" xr:uid="{54F4F8B4-8CBA-4A92-8DFD-10CFD8E7E450}"/>
    <cellStyle name="Normal 36 85" xfId="3132" xr:uid="{E147ADD5-506B-486B-B951-24546FFBA77F}"/>
    <cellStyle name="Normal 36 86" xfId="3133" xr:uid="{C2BBD80B-27A5-469A-8586-1B14440D3C74}"/>
    <cellStyle name="Normal 36 87" xfId="3134" xr:uid="{17C84C8C-D0F4-4697-9A40-2557C4D59D0F}"/>
    <cellStyle name="Normal 36 88" xfId="3135" xr:uid="{73F95BFD-F3CE-46C9-B068-B9D76B94688A}"/>
    <cellStyle name="Normal 36 89" xfId="3136" xr:uid="{DBAD2114-8A5A-4B0C-85C6-35194C6AAA3E}"/>
    <cellStyle name="Normal 36 9" xfId="3137" xr:uid="{90F9B60F-6DA5-48E2-9626-96F097D31AC2}"/>
    <cellStyle name="Normal 36 90" xfId="3138" xr:uid="{02E7785B-B2A4-4292-99BF-4926EAFC81E6}"/>
    <cellStyle name="Normal 36 91" xfId="3139" xr:uid="{D199679E-0B2D-4B80-A319-B7D7B97F10D7}"/>
    <cellStyle name="Normal 36 92" xfId="3140" xr:uid="{BF67D484-4EFD-433F-88F9-7B29CA14AD3F}"/>
    <cellStyle name="Normal 36 93" xfId="3141" xr:uid="{2B05F414-2AB0-4EF6-9558-DDF0C1718C1C}"/>
    <cellStyle name="Normal 36 94" xfId="3142" xr:uid="{9D78ECAF-6E6C-4AB4-9608-BC098A535B63}"/>
    <cellStyle name="Normal 36 95" xfId="3143" xr:uid="{D4FBCDC5-1CC1-43AB-BA0D-AF18138DD5D7}"/>
    <cellStyle name="Normal 36 96" xfId="3144" xr:uid="{5157B8C3-C92C-4FF0-871B-78BDA49CB968}"/>
    <cellStyle name="Normal 36 97" xfId="3145" xr:uid="{1E3E39D2-0D95-401C-9B78-27D0243D461A}"/>
    <cellStyle name="Normal 36 98" xfId="3146" xr:uid="{F8422DF9-774C-46B2-B9DD-40E04AACD234}"/>
    <cellStyle name="Normal 36 99" xfId="3147" xr:uid="{D1FF7F73-ABE1-4A87-BAA4-85E5C99971F6}"/>
    <cellStyle name="Normal 37" xfId="3148" xr:uid="{4678B415-C014-4088-8930-A2703C45C0E0}"/>
    <cellStyle name="Normal 38" xfId="3149" xr:uid="{5DD91DFF-62F9-4083-BE53-A8047E64C325}"/>
    <cellStyle name="Normal 39" xfId="3150" xr:uid="{ABFF5132-05C8-46B4-A40E-CAB602CDD5DF}"/>
    <cellStyle name="Normal 4" xfId="52" xr:uid="{E805EBFF-98E9-4710-A6BE-B68AF6B12C0A}"/>
    <cellStyle name="Normal-- 4" xfId="3151" xr:uid="{0B4DE5F2-68EA-4D54-9FD1-D1405268BF02}"/>
    <cellStyle name="Normal 4 10" xfId="3152" xr:uid="{7A54EB5D-4B4B-4947-AB2F-EF3281C9C3AC}"/>
    <cellStyle name="Normal 4 10 2" xfId="3153" xr:uid="{7F1EB9C1-EDCA-403B-845F-A62A7D449C63}"/>
    <cellStyle name="Normal 4 100" xfId="3154" xr:uid="{C3C4E107-1D2E-4D5E-BBD7-2BA70F794230}"/>
    <cellStyle name="Normal 4 101" xfId="3155" xr:uid="{FB5E2FDF-8460-4D54-89AA-A77ABC8C075B}"/>
    <cellStyle name="Normal 4 102" xfId="3156" xr:uid="{E660E49C-9045-4FD7-BDB5-926419EB2E74}"/>
    <cellStyle name="Normal 4 103" xfId="3157" xr:uid="{F2438A55-A577-4485-BB11-107B52384812}"/>
    <cellStyle name="Normal 4 104" xfId="3158" xr:uid="{697EF338-811D-4A15-8848-DD6DAADDA4C6}"/>
    <cellStyle name="Normal 4 105" xfId="3159" xr:uid="{85EC1D43-0B4C-4C7F-A4AD-4F401154C3FE}"/>
    <cellStyle name="Normal 4 106" xfId="3160" xr:uid="{B5D1310B-4465-4536-A79F-A109BDB5E82E}"/>
    <cellStyle name="Normal 4 107" xfId="3161" xr:uid="{E619F738-27DE-4993-8713-2B000D45707E}"/>
    <cellStyle name="Normal 4 108" xfId="3162" xr:uid="{CC62AA5F-451C-40E9-A824-4C134011F5FE}"/>
    <cellStyle name="Normal 4 109" xfId="3163" xr:uid="{6CE48755-407E-4C84-BD72-9E33B3CCF040}"/>
    <cellStyle name="Normal 4 11" xfId="3164" xr:uid="{E7B9BE90-2EDD-4B90-83C7-7107A7EAFB18}"/>
    <cellStyle name="Normal 4 11 2" xfId="3165" xr:uid="{E80852D4-0112-40F3-BB4E-7CBB6BC861E2}"/>
    <cellStyle name="Normal 4 110" xfId="3166" xr:uid="{EF177672-AE2E-46C0-B03B-EB9D0829A03C}"/>
    <cellStyle name="Normal 4 111" xfId="3167" xr:uid="{EDE06D58-8BF8-4D68-9513-90ED7036D600}"/>
    <cellStyle name="Normal 4 112" xfId="3168" xr:uid="{94A93F9C-F7A1-4F29-8DA3-DB07357529D5}"/>
    <cellStyle name="Normal 4 113" xfId="3169" xr:uid="{23708DCC-B1AF-46C1-A9E7-CAD71B2B6AA2}"/>
    <cellStyle name="Normal 4 114" xfId="3170" xr:uid="{26E534C6-AE86-45E7-B2EB-9D2DC0412512}"/>
    <cellStyle name="Normal 4 115" xfId="3171" xr:uid="{091C542C-F800-4437-B6F9-7A7842602947}"/>
    <cellStyle name="Normal 4 116" xfId="3172" xr:uid="{895C3C37-FDF3-4609-B063-6751F9DE0F33}"/>
    <cellStyle name="Normal 4 117" xfId="3173" xr:uid="{0D2F5CCD-1EEB-4032-97A2-E86BE565590C}"/>
    <cellStyle name="Normal 4 118" xfId="3174" xr:uid="{34A83E04-4F18-44BC-B4BB-73C85E4D3CBF}"/>
    <cellStyle name="Normal 4 119" xfId="3175" xr:uid="{B00D2C36-F191-4FD6-8F8B-60A7DAD17CDF}"/>
    <cellStyle name="Normal 4 12" xfId="3176" xr:uid="{ACECEEDF-C8ED-4109-A49F-FF0BEC6B5406}"/>
    <cellStyle name="Normal 4 12 2" xfId="3177" xr:uid="{23592CA4-1D85-4D83-9C14-8E779ACC3A11}"/>
    <cellStyle name="Normal 4 120" xfId="3178" xr:uid="{648A48F1-3A5F-4187-A68E-746B8EA91FC8}"/>
    <cellStyle name="Normal 4 121" xfId="207" xr:uid="{DC5A596D-D3B0-4C4E-BBA8-E5E8A69806C5}"/>
    <cellStyle name="Normal 4 13" xfId="3179" xr:uid="{BE17BE14-28D0-403D-9F0A-30F0A5F16F62}"/>
    <cellStyle name="Normal 4 13 2" xfId="3180" xr:uid="{0CEB9AC9-0CA3-4564-A1FB-A05031CBB390}"/>
    <cellStyle name="Normal 4 14" xfId="3181" xr:uid="{C19FED15-557A-4AC8-A8C0-733DE23CFD72}"/>
    <cellStyle name="Normal 4 14 2" xfId="3182" xr:uid="{8595AC23-75A7-4031-8911-0E8338DE28A7}"/>
    <cellStyle name="Normal 4 15" xfId="3183" xr:uid="{94AFF819-545B-497B-BF84-636D422C0773}"/>
    <cellStyle name="Normal 4 15 2" xfId="3184" xr:uid="{AE1BEE91-B71F-4CCB-BD52-5B558FD8FF08}"/>
    <cellStyle name="Normal 4 16" xfId="3185" xr:uid="{A422F697-3949-4CD3-8B45-DDBBDDAD209B}"/>
    <cellStyle name="Normal 4 16 2" xfId="3186" xr:uid="{EC2F8545-CA42-441A-9B7D-75AFB20F1C34}"/>
    <cellStyle name="Normal 4 17" xfId="3187" xr:uid="{72FED5F9-4E2E-45A1-8048-6B46450B97AB}"/>
    <cellStyle name="Normal 4 17 2" xfId="3188" xr:uid="{0CABDB6B-E8AA-4518-9D17-8945DCC6CAA7}"/>
    <cellStyle name="Normal 4 18" xfId="3189" xr:uid="{6F0B2A17-6F17-4C5C-B5F9-DE753B5810E0}"/>
    <cellStyle name="Normal 4 18 2" xfId="3190" xr:uid="{FCBD436A-D8B8-4BC2-90C4-20FDAE3E0774}"/>
    <cellStyle name="Normal 4 19" xfId="3191" xr:uid="{D513FDFE-B6D0-48A0-B762-A23E9CBC9FFB}"/>
    <cellStyle name="Normal 4 19 2" xfId="3192" xr:uid="{D6CFB223-1632-470C-8475-130C7B67987E}"/>
    <cellStyle name="Normal 4 2" xfId="55" xr:uid="{D5122DD2-73D5-4E83-A5FB-9B1872BA9822}"/>
    <cellStyle name="Normal 4 2 10" xfId="208" xr:uid="{D9D265A2-966C-437A-A1F9-8DA71D4D8162}"/>
    <cellStyle name="Normal 4 2 2" xfId="3193" xr:uid="{FFE9EA99-E297-408B-B98B-CAFC09983BA2}"/>
    <cellStyle name="Normal 4 2 3" xfId="3194" xr:uid="{328FB1C3-D119-4DA0-A9A1-03A28B296179}"/>
    <cellStyle name="Normal 4 2 4" xfId="3195" xr:uid="{17CC1051-7240-489B-8C90-C032252BA442}"/>
    <cellStyle name="Normal 4 2 5" xfId="3196" xr:uid="{91F124CF-1215-4B1D-B813-65B58EF176AD}"/>
    <cellStyle name="Normal 4 2 6" xfId="3197" xr:uid="{AAD7573C-850C-4908-9296-43B623AFE5C2}"/>
    <cellStyle name="Normal 4 2 7" xfId="3198" xr:uid="{AB27AFCD-D339-4555-B50F-06D160D9BB29}"/>
    <cellStyle name="Normal 4 2 8" xfId="3199" xr:uid="{DB88A279-7296-441D-8D36-F2DB53B7BDA7}"/>
    <cellStyle name="Normal 4 2 9" xfId="3200" xr:uid="{19C2BBC5-E76D-45A3-BA4E-7A454ED5F501}"/>
    <cellStyle name="Normal 4 20" xfId="3201" xr:uid="{02001125-6170-4D52-9BBC-25826B14975E}"/>
    <cellStyle name="Normal 4 20 2" xfId="3202" xr:uid="{1A3853D3-3A45-4612-B193-498D5E16DDBE}"/>
    <cellStyle name="Normal 4 21" xfId="3203" xr:uid="{A0552954-41DF-4263-AABB-4CB8120959DB}"/>
    <cellStyle name="Normal 4 21 2" xfId="3204" xr:uid="{04589A40-D7E6-4180-89A9-133FFAC2DE14}"/>
    <cellStyle name="Normal 4 21 2 2" xfId="3205" xr:uid="{6B4C9921-3490-4BB5-9414-793A9924D8C3}"/>
    <cellStyle name="Normal 4 21 2 2 2" xfId="3206" xr:uid="{98A52E9C-EE42-4488-A060-0D0C12577EBF}"/>
    <cellStyle name="Normal 4 21 2 2 2 2" xfId="3207" xr:uid="{6100CE7B-ECB8-40CB-9338-B4290E277913}"/>
    <cellStyle name="Normal 4 21 2 2 3" xfId="3208" xr:uid="{F163DAC0-ACE7-4624-99D2-916AED1CD9B2}"/>
    <cellStyle name="Normal 4 21 2 3" xfId="3209" xr:uid="{2981231D-620C-4437-ACBA-771E9059D866}"/>
    <cellStyle name="Normal 4 21 2 3 2" xfId="3210" xr:uid="{AC2BFA2E-1FD0-46EF-9E4B-B131FC171E6D}"/>
    <cellStyle name="Normal 4 21 2 4" xfId="3211" xr:uid="{6EEE70F0-CC64-4377-BC3C-E0590D01D48E}"/>
    <cellStyle name="Normal 4 21 3" xfId="3212" xr:uid="{0380B01D-0F2A-42EE-AE9A-D564ACA3C774}"/>
    <cellStyle name="Normal 4 21 3 2" xfId="3213" xr:uid="{A24A0F81-1954-4070-BE47-3B308FE5F4A6}"/>
    <cellStyle name="Normal 4 21 3 2 2" xfId="3214" xr:uid="{E3634CC1-4EEA-4145-B334-558AB1ECBA7F}"/>
    <cellStyle name="Normal 4 21 3 2 2 2" xfId="3215" xr:uid="{08CD77F9-722A-4FB2-8E4A-6E0A3FA65D57}"/>
    <cellStyle name="Normal 4 21 3 2 3" xfId="3216" xr:uid="{2F42F3BC-DDA7-44B3-95D3-88715660EE69}"/>
    <cellStyle name="Normal 4 21 3 3" xfId="3217" xr:uid="{4C2BFCA2-A7E9-4E73-B721-270BF87D9A55}"/>
    <cellStyle name="Normal 4 21 3 3 2" xfId="3218" xr:uid="{91BA1AE3-713F-4059-A439-01F38EC77948}"/>
    <cellStyle name="Normal 4 21 3 4" xfId="3219" xr:uid="{EF21B3C8-E473-4BC3-BD19-8EF3D7063A99}"/>
    <cellStyle name="Normal 4 21 4" xfId="3220" xr:uid="{78811308-3B8F-45E4-A9FA-795D67D7341A}"/>
    <cellStyle name="Normal 4 21 4 2" xfId="3221" xr:uid="{9E10CE0B-2CAD-4B00-8EDD-951944303E10}"/>
    <cellStyle name="Normal 4 21 4 2 2" xfId="3222" xr:uid="{6EB3C0AA-F9B1-4E2B-BF92-044093D3CDDC}"/>
    <cellStyle name="Normal 4 21 4 2 2 2" xfId="3223" xr:uid="{78FD614E-FB43-43AE-8C4C-EF795AD10CD8}"/>
    <cellStyle name="Normal 4 21 4 2 3" xfId="3224" xr:uid="{136C4922-3DAB-43F5-B255-E7422834D036}"/>
    <cellStyle name="Normal 4 21 4 3" xfId="3225" xr:uid="{39469B39-2E94-47AE-BF44-A7418F3CB2F3}"/>
    <cellStyle name="Normal 4 21 4 3 2" xfId="3226" xr:uid="{628C593C-93FD-4BBC-888A-46F0AC2D6E34}"/>
    <cellStyle name="Normal 4 21 4 4" xfId="3227" xr:uid="{F4ACDCC8-72D5-4EF9-9E14-714CBCDC9690}"/>
    <cellStyle name="Normal 4 21 5" xfId="3228" xr:uid="{63AC80C9-23FA-459F-88E6-7685FC068FD3}"/>
    <cellStyle name="Normal 4 21 5 2" xfId="3229" xr:uid="{C3734F44-645A-4C58-BD6C-00572CD4E36C}"/>
    <cellStyle name="Normal 4 21 5 2 2" xfId="3230" xr:uid="{8040B74B-3C8A-4F35-A83E-0B168BF675DB}"/>
    <cellStyle name="Normal 4 21 5 3" xfId="3231" xr:uid="{89022283-7395-4123-BB1C-AFE76E6CB586}"/>
    <cellStyle name="Normal 4 21 6" xfId="3232" xr:uid="{0FA0117F-2D34-4D41-8176-01788AC74D37}"/>
    <cellStyle name="Normal 4 21 6 2" xfId="3233" xr:uid="{EFE079DA-0235-4E04-AFB7-CB5AF69E228A}"/>
    <cellStyle name="Normal 4 21 7" xfId="3234" xr:uid="{B1413A1B-1160-4937-9E03-FA9B062BA476}"/>
    <cellStyle name="Normal 4 21 8" xfId="3235" xr:uid="{E23EEB1D-E024-4A49-9486-1BE15054108E}"/>
    <cellStyle name="Normal 4 22" xfId="3236" xr:uid="{9C2749D7-D14B-4974-A55A-55407B3987AB}"/>
    <cellStyle name="Normal 4 22 2" xfId="3237" xr:uid="{E9E9E270-CB63-4069-ABA7-73C72F1427FE}"/>
    <cellStyle name="Normal 4 22 2 2" xfId="3238" xr:uid="{2DE66499-365F-424D-BFED-9C8EE0CE10FB}"/>
    <cellStyle name="Normal 4 22 2 2 2" xfId="3239" xr:uid="{AE3F4EBF-5436-4707-AAAB-E5BE25F29D38}"/>
    <cellStyle name="Normal 4 22 2 3" xfId="3240" xr:uid="{7043F1F2-D9FF-48E5-A841-E79C7F490384}"/>
    <cellStyle name="Normal 4 22 3" xfId="3241" xr:uid="{1F2E9A69-2D42-4FFA-9ACA-ABBE175BEDCB}"/>
    <cellStyle name="Normal 4 22 3 2" xfId="3242" xr:uid="{4CC4798D-2F50-4148-B764-2863615EB9FC}"/>
    <cellStyle name="Normal 4 22 4" xfId="3243" xr:uid="{856A2CE4-D1D2-4502-AFBC-F5383CC7C304}"/>
    <cellStyle name="Normal 4 22 5" xfId="3244" xr:uid="{EDC6561D-BC3C-4027-956C-8CCED6D1A731}"/>
    <cellStyle name="Normal 4 23" xfId="3245" xr:uid="{D2D99CC8-5425-40F6-9875-7A33D7B0DAD9}"/>
    <cellStyle name="Normal 4 23 2" xfId="3246" xr:uid="{47BA469A-1D52-42A6-8E33-AB9957ED8411}"/>
    <cellStyle name="Normal 4 23 2 2" xfId="3247" xr:uid="{17E5EBAD-55D2-4046-9282-C02D54F9A35C}"/>
    <cellStyle name="Normal 4 23 2 2 2" xfId="3248" xr:uid="{D52DAB5B-50F0-4260-A093-EC0107380139}"/>
    <cellStyle name="Normal 4 23 2 3" xfId="3249" xr:uid="{C8DED7AC-D927-4001-B9A6-ADCCF38B3AC8}"/>
    <cellStyle name="Normal 4 23 3" xfId="3250" xr:uid="{B9E4FC44-8FB4-4F84-BFC3-145CAD8AF03D}"/>
    <cellStyle name="Normal 4 23 3 2" xfId="3251" xr:uid="{5BB86DD0-64F8-47C6-A9A5-1831FF358C76}"/>
    <cellStyle name="Normal 4 23 4" xfId="3252" xr:uid="{52F390C3-3460-4D1D-847A-723AED500EBB}"/>
    <cellStyle name="Normal 4 23 5" xfId="3253" xr:uid="{9C9D0905-2C23-4E6F-B18D-05B2E5C0266E}"/>
    <cellStyle name="Normal 4 24" xfId="3254" xr:uid="{6320B6D0-4ECC-4538-804F-78FADCD5184D}"/>
    <cellStyle name="Normal 4 24 2" xfId="3255" xr:uid="{D520A1A1-B3BA-434F-A5F1-BA0310927B97}"/>
    <cellStyle name="Normal 4 24 2 2" xfId="3256" xr:uid="{5302B35B-5C39-4545-8A70-52571BE3B92E}"/>
    <cellStyle name="Normal 4 24 2 2 2" xfId="3257" xr:uid="{59B7C3DF-CDB0-4891-B828-354D82FDD678}"/>
    <cellStyle name="Normal 4 24 2 3" xfId="3258" xr:uid="{331E2679-B954-4634-A20D-5D21D137DDB4}"/>
    <cellStyle name="Normal 4 24 3" xfId="3259" xr:uid="{0490468A-D78B-425B-9CE3-55AD03405113}"/>
    <cellStyle name="Normal 4 24 3 2" xfId="3260" xr:uid="{F50FBE96-C16D-4860-BBB7-9624F5D731D4}"/>
    <cellStyle name="Normal 4 24 4" xfId="3261" xr:uid="{2124583E-B5B1-4C5B-9AB1-FCB5FE072FA5}"/>
    <cellStyle name="Normal 4 24 5" xfId="3262" xr:uid="{4922C092-4083-4CD7-A807-3A2A601A5CC1}"/>
    <cellStyle name="Normal 4 25" xfId="3263" xr:uid="{D8F3BE2F-91AA-4379-AEFE-70757EAAEBC0}"/>
    <cellStyle name="Normal 4 25 2" xfId="3264" xr:uid="{E9B2F03C-D7C6-40A5-91D9-53051A4991F2}"/>
    <cellStyle name="Normal 4 25 2 2" xfId="3265" xr:uid="{3130FF58-7054-4CA9-8F73-B25C4909AB95}"/>
    <cellStyle name="Normal 4 25 3" xfId="3266" xr:uid="{30880F9B-4974-4065-BE28-03CA24EAC713}"/>
    <cellStyle name="Normal 4 25 4" xfId="3267" xr:uid="{DCA0FE77-6CA0-4C7F-A8CE-181D2F172D30}"/>
    <cellStyle name="Normal 4 26" xfId="3268" xr:uid="{B9EE8DCC-D2E5-4BED-A88A-2C315C18F82A}"/>
    <cellStyle name="Normal 4 26 2" xfId="3269" xr:uid="{A25ECD19-AF9A-400B-AF2E-DC75482FCD82}"/>
    <cellStyle name="Normal 4 27" xfId="3270" xr:uid="{2271EFA3-5656-489C-8C3F-85DD370E4015}"/>
    <cellStyle name="Normal 4 27 2" xfId="3271" xr:uid="{310056E4-605F-4FF7-94FB-9E4C3DFDD9FA}"/>
    <cellStyle name="Normal 4 27 2 2" xfId="3272" xr:uid="{2A886DED-FB80-41A8-9FBF-6F4234D0F17D}"/>
    <cellStyle name="Normal 4 27 3" xfId="3273" xr:uid="{4142736F-4C0D-4B86-8B1B-9ACF236DE9C5}"/>
    <cellStyle name="Normal 4 27 4" xfId="3274" xr:uid="{F16C1E28-0F1E-4337-9A97-B53DA178A3B4}"/>
    <cellStyle name="Normal 4 28" xfId="3275" xr:uid="{2EA57B1E-8AE6-42A1-B848-DAAA70EC1F7B}"/>
    <cellStyle name="Normal 4 28 2" xfId="3276" xr:uid="{CE6E1DD0-76BD-4FD0-94A0-0F6A0CE6FDA6}"/>
    <cellStyle name="Normal 4 28 3" xfId="3277" xr:uid="{05BEF4FA-847D-412F-9D9A-CC34649B6E36}"/>
    <cellStyle name="Normal 4 29" xfId="3278" xr:uid="{BE46EC32-7C85-412E-911E-7B830CB449BD}"/>
    <cellStyle name="Normal 4 29 2" xfId="3279" xr:uid="{2C7F09A4-B5D3-4232-A37D-35C677426C0F}"/>
    <cellStyle name="Normal 4 3" xfId="3280" xr:uid="{F63E355A-EF21-446A-B306-4D3D09ADF198}"/>
    <cellStyle name="Normal 4 3 2" xfId="3281" xr:uid="{5E07E9A7-1D36-4449-AC94-3DD21C1AD276}"/>
    <cellStyle name="Normal 4 3 2 2" xfId="3282" xr:uid="{21AD112D-82A8-4096-AFE4-FEF70644CAA9}"/>
    <cellStyle name="Normal 4 3 2 2 2" xfId="3283" xr:uid="{916E3DEB-7C85-4005-ABCB-0F4ED6516B49}"/>
    <cellStyle name="Normal 4 3 2 3" xfId="3284" xr:uid="{CFC3B82D-7A1D-428E-BA7F-D4D961C64721}"/>
    <cellStyle name="Normal 4 3 2 4" xfId="3285" xr:uid="{A6DBF006-2BE4-4654-8D5E-1479BA021711}"/>
    <cellStyle name="Normal 4 3 3" xfId="3286" xr:uid="{1593F210-0777-4D79-8E94-C22EB4172A4F}"/>
    <cellStyle name="Normal 4 3 4" xfId="3287" xr:uid="{B474E04C-B868-4A22-9371-F508E6D7D5F5}"/>
    <cellStyle name="Normal 4 30" xfId="3288" xr:uid="{3E9CFF5C-3242-4469-BCDB-3279594D0A8D}"/>
    <cellStyle name="Normal 4 30 2" xfId="3289" xr:uid="{3CC6BDBD-7D74-4792-8F7B-7330D84F75B2}"/>
    <cellStyle name="Normal 4 31" xfId="3290" xr:uid="{77CF377E-D46E-4EF3-AF86-F07C3EA59A39}"/>
    <cellStyle name="Normal 4 31 2" xfId="3291" xr:uid="{31A4D234-D025-4D9E-AA74-8B6DBA11FD4F}"/>
    <cellStyle name="Normal 4 32" xfId="3292" xr:uid="{3684F337-36D2-4397-BA35-7367BDEBCA3E}"/>
    <cellStyle name="Normal 4 32 2" xfId="3293" xr:uid="{EC42A47D-B433-4D90-821E-3FD7D3DC74FF}"/>
    <cellStyle name="Normal 4 33" xfId="3294" xr:uid="{E62C0E94-5E25-45E4-B0C7-F5C524761F33}"/>
    <cellStyle name="Normal 4 33 2" xfId="3295" xr:uid="{99F6A10D-D06C-495F-8EA4-75122C2E26F7}"/>
    <cellStyle name="Normal 4 34" xfId="3296" xr:uid="{A81D4150-6B34-4447-ADB5-10D0E4C980DD}"/>
    <cellStyle name="Normal 4 35" xfId="3297" xr:uid="{941F368E-EBAF-4BD1-9A70-1531FCC69DB2}"/>
    <cellStyle name="Normal 4 36" xfId="3298" xr:uid="{58E3E195-5B63-4A35-83BF-F67C34B28A5E}"/>
    <cellStyle name="Normal 4 37" xfId="3299" xr:uid="{CA7E63BD-6AD9-4B70-9376-D5126A0B2C6C}"/>
    <cellStyle name="Normal 4 38" xfId="3300" xr:uid="{051367D5-51B6-4CDF-903E-189A108785F1}"/>
    <cellStyle name="Normal 4 39" xfId="3301" xr:uid="{A7FA5D4C-788F-4A61-BEC6-B9365CAEBE01}"/>
    <cellStyle name="Normal 4 4" xfId="3302" xr:uid="{C46C8857-6D77-4717-A198-FE0642EA2E80}"/>
    <cellStyle name="Normal 4 4 2" xfId="3303" xr:uid="{A38CFC4E-D260-41E4-B245-4F6EC23E682B}"/>
    <cellStyle name="Normal 4 4 3" xfId="3304" xr:uid="{7180BF79-F1E0-4A94-A914-4B4546BA6504}"/>
    <cellStyle name="Normal 4 4 4" xfId="3305" xr:uid="{68CB5D52-CCC7-4741-951C-21F41E23DE37}"/>
    <cellStyle name="Normal 4 40" xfId="3306" xr:uid="{7802568D-A13E-4DCB-BF8C-152EE6FB2E85}"/>
    <cellStyle name="Normal 4 41" xfId="3307" xr:uid="{359F7FC7-1D23-4396-B8B6-E6B32E7E9342}"/>
    <cellStyle name="Normal 4 42" xfId="3308" xr:uid="{74AAA292-78D1-4919-AEDB-9B51CB46006D}"/>
    <cellStyle name="Normal 4 43" xfId="3309" xr:uid="{D3BF1984-BBA1-4548-82A5-A52B0C3AD0A8}"/>
    <cellStyle name="Normal 4 44" xfId="3310" xr:uid="{F09F0362-B6FC-4689-9B52-D84C4BFDC5A3}"/>
    <cellStyle name="Normal 4 45" xfId="3311" xr:uid="{58177315-7B2B-4310-BE61-966BC16AA55F}"/>
    <cellStyle name="Normal 4 46" xfId="3312" xr:uid="{88F633BD-5043-4016-A4F4-A33D77399373}"/>
    <cellStyle name="Normal 4 47" xfId="3313" xr:uid="{54E15809-F87A-4CDE-A890-083495669C8F}"/>
    <cellStyle name="Normal 4 48" xfId="3314" xr:uid="{22076ECF-FB7B-48F2-BD6B-BA940C5A5CE0}"/>
    <cellStyle name="Normal 4 49" xfId="3315" xr:uid="{75C84E0B-576E-4ED1-8A35-3EE021B413A4}"/>
    <cellStyle name="Normal 4 5" xfId="3316" xr:uid="{6895F46F-0AD4-4A9E-AE3D-94C4D73A5097}"/>
    <cellStyle name="Normal 4 5 2" xfId="3317" xr:uid="{C1558021-8F64-4816-8F40-2F2F07A6B1EF}"/>
    <cellStyle name="Normal 4 50" xfId="3318" xr:uid="{C36E445C-D395-43BA-8E25-A85B98D09C02}"/>
    <cellStyle name="Normal 4 51" xfId="3319" xr:uid="{1A7511C0-84AF-4FB1-888C-4AAACF506225}"/>
    <cellStyle name="Normal 4 52" xfId="3320" xr:uid="{71B5F6BA-7309-46D2-83ED-921D58803729}"/>
    <cellStyle name="Normal 4 53" xfId="3321" xr:uid="{72D7B68E-C339-412D-BFFB-2CB9FB2915BB}"/>
    <cellStyle name="Normal 4 54" xfId="3322" xr:uid="{F54EE9CC-C94F-4091-B386-7D12D40C31E0}"/>
    <cellStyle name="Normal 4 55" xfId="3323" xr:uid="{FBF7D560-4D12-4F2B-96FA-3320C83DB0AC}"/>
    <cellStyle name="Normal 4 56" xfId="3324" xr:uid="{81F43A2D-B220-41A2-AA4A-EC4EE04A39DC}"/>
    <cellStyle name="Normal 4 57" xfId="3325" xr:uid="{9CC3BC3D-B77A-4BF6-8370-267CCE76AFD3}"/>
    <cellStyle name="Normal 4 58" xfId="3326" xr:uid="{9B82E88C-A64E-4056-B62B-2992AED656C9}"/>
    <cellStyle name="Normal 4 59" xfId="3327" xr:uid="{EE74D537-F864-4351-94FD-9CD69E52FC5C}"/>
    <cellStyle name="Normal 4 6" xfId="3328" xr:uid="{B58AE54F-402F-4148-934F-D564F14BF09D}"/>
    <cellStyle name="Normal 4 6 2" xfId="3329" xr:uid="{DB2F7F86-EC58-499D-B851-5877F9A4991F}"/>
    <cellStyle name="Normal 4 60" xfId="3330" xr:uid="{40D4BC28-61A9-49A3-952E-611B764046B8}"/>
    <cellStyle name="Normal 4 61" xfId="3331" xr:uid="{B6084AE1-FC25-4D1C-99AE-9655D8B0FBAE}"/>
    <cellStyle name="Normal 4 62" xfId="3332" xr:uid="{81B32894-8A58-4D66-B239-1C6EC27BF172}"/>
    <cellStyle name="Normal 4 63" xfId="3333" xr:uid="{21C22230-6C6E-4A71-B975-E4F8523B3112}"/>
    <cellStyle name="Normal 4 64" xfId="3334" xr:uid="{A04371A7-0972-4F94-B478-409D998F0F1D}"/>
    <cellStyle name="Normal 4 65" xfId="3335" xr:uid="{14426C45-C8B2-4D2D-8EB1-B87EC9C15E43}"/>
    <cellStyle name="Normal 4 66" xfId="3336" xr:uid="{4E65BDB9-B241-45F6-A4A2-F262E5647633}"/>
    <cellStyle name="Normal 4 67" xfId="3337" xr:uid="{9E8B68DB-EEC2-4331-AD7F-56EBCD3B2A30}"/>
    <cellStyle name="Normal 4 68" xfId="3338" xr:uid="{CB8D4D9D-2B75-46AB-B351-49935D202C07}"/>
    <cellStyle name="Normal 4 69" xfId="3339" xr:uid="{F32C3500-A470-4C4D-8FFD-403DB53FD9E1}"/>
    <cellStyle name="Normal 4 7" xfId="3340" xr:uid="{5CDDC7C6-8C19-4990-A701-07F9FB843F05}"/>
    <cellStyle name="Normal 4 7 2" xfId="3341" xr:uid="{1C518E99-4FD3-4946-B403-776A96BC27D5}"/>
    <cellStyle name="Normal 4 70" xfId="3342" xr:uid="{D5509977-956A-44EC-B241-A8E83546FD12}"/>
    <cellStyle name="Normal 4 71" xfId="3343" xr:uid="{7D6D3DB7-1CCA-4073-8EA3-C678EE89EBA0}"/>
    <cellStyle name="Normal 4 72" xfId="3344" xr:uid="{5F94749F-AA9E-4905-8ADF-301AEF145D62}"/>
    <cellStyle name="Normal 4 73" xfId="3345" xr:uid="{C1DBA9CF-7B30-435A-99AE-8E31AEE46F6B}"/>
    <cellStyle name="Normal 4 74" xfId="3346" xr:uid="{2B63ADC6-3AC8-4669-8BE4-21711E95496E}"/>
    <cellStyle name="Normal 4 75" xfId="3347" xr:uid="{C31D8352-CF7C-4F98-BDEE-AFA46893108B}"/>
    <cellStyle name="Normal 4 76" xfId="3348" xr:uid="{0A2D3C5A-71FF-4B15-A248-8813D73E95EF}"/>
    <cellStyle name="Normal 4 77" xfId="3349" xr:uid="{65124738-FC31-4840-9E6C-893BAB032E9F}"/>
    <cellStyle name="Normal 4 78" xfId="3350" xr:uid="{1652B59F-8C1B-49CC-94AB-B9C698DD0289}"/>
    <cellStyle name="Normal 4 79" xfId="3351" xr:uid="{E1924954-B1BF-4201-8C08-3D5B6502211E}"/>
    <cellStyle name="Normal 4 8" xfId="3352" xr:uid="{9374B5E9-F4C7-4926-AEE6-1BC7448283FD}"/>
    <cellStyle name="Normal 4 8 2" xfId="3353" xr:uid="{D5208938-3E02-4D97-95D4-92793DBE929E}"/>
    <cellStyle name="Normal 4 80" xfId="3354" xr:uid="{4DF3E820-49BD-40BC-AF16-ED06F347C621}"/>
    <cellStyle name="Normal 4 81" xfId="3355" xr:uid="{B7390CB6-5257-4EEC-AD63-0FF84033E846}"/>
    <cellStyle name="Normal 4 82" xfId="3356" xr:uid="{CDBEC2E0-44B9-4B42-8784-84F1568AB8AD}"/>
    <cellStyle name="Normal 4 83" xfId="3357" xr:uid="{004D5AF0-C5DA-46D6-B5CD-E8912F2E319C}"/>
    <cellStyle name="Normal 4 84" xfId="3358" xr:uid="{78A69C03-750E-485D-8FD3-7C6CE4D24261}"/>
    <cellStyle name="Normal 4 85" xfId="3359" xr:uid="{6C4D6512-E2D3-466A-8EE8-6F516208219A}"/>
    <cellStyle name="Normal 4 86" xfId="3360" xr:uid="{998833FD-F3CB-49B5-998C-329B2B2F04F2}"/>
    <cellStyle name="Normal 4 87" xfId="3361" xr:uid="{94B01D0F-D334-4F13-B717-B52512D4F26C}"/>
    <cellStyle name="Normal 4 88" xfId="3362" xr:uid="{EF7EA9E4-A4D9-410A-81AC-562865BA22C5}"/>
    <cellStyle name="Normal 4 89" xfId="3363" xr:uid="{29F3CEB8-DBA7-41FE-B1C5-CA7B5005CC8B}"/>
    <cellStyle name="Normal 4 9" xfId="3364" xr:uid="{98434274-3657-4A3E-A186-7F42DF0DDA25}"/>
    <cellStyle name="Normal 4 9 2" xfId="3365" xr:uid="{A9FBEA22-C5FC-4D99-9374-842BD9A6BDE8}"/>
    <cellStyle name="Normal 4 90" xfId="3366" xr:uid="{5F15C3E9-3EE8-4A18-8170-3E25989C63C0}"/>
    <cellStyle name="Normal 4 91" xfId="3367" xr:uid="{7AE56309-53AB-421F-835A-F7726D7FBC08}"/>
    <cellStyle name="Normal 4 92" xfId="3368" xr:uid="{3062665E-7A71-4BB7-BDD3-3D3C8F10B028}"/>
    <cellStyle name="Normal 4 93" xfId="3369" xr:uid="{B0E5C4F7-2BCE-41E8-80C7-EFB3B3DA381E}"/>
    <cellStyle name="Normal 4 94" xfId="3370" xr:uid="{C4566319-8DE1-4029-9C8F-6FB84D14E881}"/>
    <cellStyle name="Normal 4 95" xfId="3371" xr:uid="{5B995832-2EBE-4EDC-A011-FAE046EC0879}"/>
    <cellStyle name="Normal 4 96" xfId="3372" xr:uid="{74ABBF9F-AEDC-4B73-9E69-45409A0A1BD5}"/>
    <cellStyle name="Normal 4 97" xfId="3373" xr:uid="{A7B6B387-0103-45D0-B111-CD2435B3A607}"/>
    <cellStyle name="Normal 4 98" xfId="3374" xr:uid="{8D443B8C-9BFA-47A0-8AC7-60B768306DDD}"/>
    <cellStyle name="Normal 4 99" xfId="3375" xr:uid="{5C958505-13AD-412D-8CC6-7B1F31E6362F}"/>
    <cellStyle name="Normal 4_Centre Wellington 2013 Load Foecast-April 4" xfId="209" xr:uid="{399241BF-F349-495C-B950-551610CC60D7}"/>
    <cellStyle name="Normal 40" xfId="3376" xr:uid="{E21A2758-C991-4E0F-8D1E-1BC86B9747C2}"/>
    <cellStyle name="Normal 41" xfId="3377" xr:uid="{C3D0212A-1F18-427E-893A-53AB60DCFC4D}"/>
    <cellStyle name="Normal 42" xfId="3378" xr:uid="{D0E7BD63-E489-4D1F-9E6C-C3AD557A9D0E}"/>
    <cellStyle name="Normal 43" xfId="3379" xr:uid="{DEA34B1E-BEA3-4F52-8912-4441FF75ED15}"/>
    <cellStyle name="Normal 44" xfId="3380" xr:uid="{D3B28E7B-3210-452A-8F1A-9133FC11216B}"/>
    <cellStyle name="Normal 45" xfId="3381" xr:uid="{2098592A-2B39-4D88-AA5B-42EE0B43F871}"/>
    <cellStyle name="Normal 46" xfId="3382" xr:uid="{8B194FB2-4799-4F36-8BDF-833EAF927286}"/>
    <cellStyle name="Normal 47" xfId="3383" xr:uid="{8FFD16EE-A8C5-4133-8CB3-BD7161CA706A}"/>
    <cellStyle name="Normal 47 10" xfId="3384" xr:uid="{35ABF075-C899-4E78-9928-330B6A77837B}"/>
    <cellStyle name="Normal 47 11" xfId="3385" xr:uid="{36850D68-20C5-4749-AB00-313A49E7D426}"/>
    <cellStyle name="Normal 47 11 2" xfId="3386" xr:uid="{AD13EB50-7B18-4CD0-B4BF-0A984D81D30B}"/>
    <cellStyle name="Normal 47 11 3" xfId="3387" xr:uid="{B5B62BBE-2E99-42E5-94DC-C47DA99D7A0B}"/>
    <cellStyle name="Normal 47 11 4" xfId="3388" xr:uid="{806D2C06-16F5-43E1-9F2D-A1971425AFBF}"/>
    <cellStyle name="Normal 47 11 5" xfId="3389" xr:uid="{32A45329-7038-4806-879A-66A7E29A1F8F}"/>
    <cellStyle name="Normal 47 11 6" xfId="3390" xr:uid="{C267A7B0-65B6-447D-B2AE-1C96F1487B75}"/>
    <cellStyle name="Normal 47 11 7" xfId="3391" xr:uid="{FABAF87D-CCFA-428C-ABCD-A8524F5453C8}"/>
    <cellStyle name="Normal 47 11 8" xfId="3392" xr:uid="{0E70162B-D5E1-45F8-89E0-B3E07BC65719}"/>
    <cellStyle name="Normal 47 12" xfId="3393" xr:uid="{A8B14919-0ACB-4BE5-842C-78D4C035D60E}"/>
    <cellStyle name="Normal 47 13" xfId="3394" xr:uid="{DFB5D110-DA57-4553-8DCB-79CC728E4E65}"/>
    <cellStyle name="Normal 47 14" xfId="3395" xr:uid="{653D91A4-B2EE-47BC-AE55-D95C4CA54985}"/>
    <cellStyle name="Normal 47 15" xfId="3396" xr:uid="{4DDD8530-288A-42D8-B089-CD3DC537B0D8}"/>
    <cellStyle name="Normal 47 16" xfId="3397" xr:uid="{D1AA333A-DCAD-4AD7-B4F6-FBF9E5DF236C}"/>
    <cellStyle name="Normal 47 17" xfId="3398" xr:uid="{F409B9F6-532C-4304-A123-6E1843E883C4}"/>
    <cellStyle name="Normal 47 2" xfId="3399" xr:uid="{6D61E1D6-B5E2-4150-B836-C80A2F237AD7}"/>
    <cellStyle name="Normal 47 3" xfId="3400" xr:uid="{A337CB69-F418-4A4B-B64D-BAA4255F2B2D}"/>
    <cellStyle name="Normal 47 3 2" xfId="3401" xr:uid="{E288783A-ACB6-4BE6-8BFF-289C463C8221}"/>
    <cellStyle name="Normal 47 3 3" xfId="3402" xr:uid="{7581760D-074F-4D8F-98D9-995700442AE6}"/>
    <cellStyle name="Normal 47 3 4" xfId="3403" xr:uid="{01ACD72A-FDA6-4502-BA73-8CB36DEB6C5A}"/>
    <cellStyle name="Normal 47 3 5" xfId="3404" xr:uid="{CE56A850-E3B8-4853-9BCB-4BDF07E87FE4}"/>
    <cellStyle name="Normal 47 3 6" xfId="3405" xr:uid="{D77BF020-49D4-4906-AE26-65CD3B2C7495}"/>
    <cellStyle name="Normal 47 3 7" xfId="3406" xr:uid="{18FD5DB9-E291-4415-95BC-7E5C8E7FA2B6}"/>
    <cellStyle name="Normal 47 3 8" xfId="3407" xr:uid="{0C4B4040-68A4-4D09-A8A8-39308CF11F86}"/>
    <cellStyle name="Normal 47 4" xfId="3408" xr:uid="{D801B28A-83C4-4F72-BCA7-85000F8C0229}"/>
    <cellStyle name="Normal 47 4 2" xfId="3409" xr:uid="{A3061DB8-BE38-488D-9726-DD29E0B08B0C}"/>
    <cellStyle name="Normal 47 4 3" xfId="3410" xr:uid="{64FA9A9E-A27D-4B2D-8A73-396EA33A0E9A}"/>
    <cellStyle name="Normal 47 4 4" xfId="3411" xr:uid="{60481335-216A-486B-84D4-DC4CB107D4A2}"/>
    <cellStyle name="Normal 47 4 5" xfId="3412" xr:uid="{28D29889-1BD2-43C2-A493-2D19A4206FC3}"/>
    <cellStyle name="Normal 47 4 6" xfId="3413" xr:uid="{1EDC0556-941C-4F82-9397-A7EB296DBA09}"/>
    <cellStyle name="Normal 47 4 7" xfId="3414" xr:uid="{72AA7AD9-32CE-473F-B422-93DEC3A5305E}"/>
    <cellStyle name="Normal 47 4 8" xfId="3415" xr:uid="{9DFA61FF-AACD-4267-AFDB-7A2F0043E5BA}"/>
    <cellStyle name="Normal 47 5" xfId="3416" xr:uid="{FA03D106-CBAA-4384-B3A7-09DED4A4F17D}"/>
    <cellStyle name="Normal 47 5 2" xfId="3417" xr:uid="{720AC03F-668A-47C0-BC5D-90780D8F516A}"/>
    <cellStyle name="Normal 47 5 3" xfId="3418" xr:uid="{8FDD4A21-FC11-4CE0-BB4E-96DD2B252601}"/>
    <cellStyle name="Normal 47 5 4" xfId="3419" xr:uid="{95B9756A-8DD6-4324-9717-717755C02B79}"/>
    <cellStyle name="Normal 47 5 5" xfId="3420" xr:uid="{98B6B668-DF2D-474F-A939-93400C904A52}"/>
    <cellStyle name="Normal 47 5 6" xfId="3421" xr:uid="{B5156BB2-2E65-4E02-A8C3-52C563A0B072}"/>
    <cellStyle name="Normal 47 5 7" xfId="3422" xr:uid="{AD40B832-025F-46E0-93C2-455845A997DC}"/>
    <cellStyle name="Normal 47 5 8" xfId="3423" xr:uid="{480D59D4-C4F7-4930-A9D4-B44BFDD4F5BA}"/>
    <cellStyle name="Normal 47 6" xfId="3424" xr:uid="{7D7BDEE5-4F3D-4323-BF7C-8A2E466907FD}"/>
    <cellStyle name="Normal 47 6 2" xfId="3425" xr:uid="{4A80DE60-E441-4F03-9998-046FFE8B11F5}"/>
    <cellStyle name="Normal 47 6 3" xfId="3426" xr:uid="{C2C6960C-7A19-450C-8A44-A91F14C577B5}"/>
    <cellStyle name="Normal 47 6 4" xfId="3427" xr:uid="{91D31780-1FD9-4AE8-AB81-C832047DB4FB}"/>
    <cellStyle name="Normal 47 6 5" xfId="3428" xr:uid="{71FD5D63-3CB6-43C4-B4CD-AECCEA9A55C1}"/>
    <cellStyle name="Normal 47 6 6" xfId="3429" xr:uid="{5C624CEB-63E1-46DB-B7B8-203AFD470855}"/>
    <cellStyle name="Normal 47 6 7" xfId="3430" xr:uid="{AD0EA0B6-AAD4-41A3-B2BB-DF044B978DA6}"/>
    <cellStyle name="Normal 47 6 8" xfId="3431" xr:uid="{57D3854C-B868-49F9-B750-C497506B5AAC}"/>
    <cellStyle name="Normal 47 7" xfId="3432" xr:uid="{EF140B91-3FF4-4DA8-9BD1-BA11E7F94EE0}"/>
    <cellStyle name="Normal 47 7 2" xfId="3433" xr:uid="{20F47550-8912-4F69-A2AF-BD1CA5CDDB49}"/>
    <cellStyle name="Normal 47 7 3" xfId="3434" xr:uid="{D566FBE7-4D14-4EC6-AC71-B57CFFD27643}"/>
    <cellStyle name="Normal 47 7 4" xfId="3435" xr:uid="{AA976A66-E7AF-4685-9B1B-C419ED07BCE5}"/>
    <cellStyle name="Normal 47 7 5" xfId="3436" xr:uid="{3E38C12A-31F7-487E-9749-76C3ABE5CEE8}"/>
    <cellStyle name="Normal 47 7 6" xfId="3437" xr:uid="{8CC1FF8B-3818-48F9-84F5-6537023E557B}"/>
    <cellStyle name="Normal 47 7 7" xfId="3438" xr:uid="{EC281F82-FB33-4201-8ABD-48CA1E20A2BD}"/>
    <cellStyle name="Normal 47 7 8" xfId="3439" xr:uid="{9EB302AD-FAD5-482B-B851-F63761BE74B1}"/>
    <cellStyle name="Normal 47 8" xfId="3440" xr:uid="{A4FAE1F4-3EEF-4C73-92F7-30B0CF6DFC14}"/>
    <cellStyle name="Normal 47 8 2" xfId="3441" xr:uid="{BD586C69-2234-4995-98A2-D9CB06618A6B}"/>
    <cellStyle name="Normal 47 8 3" xfId="3442" xr:uid="{F4776B46-F10B-4333-94A5-83AACC1F0254}"/>
    <cellStyle name="Normal 47 8 4" xfId="3443" xr:uid="{6EA78FEE-D91D-4304-A9CA-CDF7D800C64A}"/>
    <cellStyle name="Normal 47 8 5" xfId="3444" xr:uid="{625518CE-6D3D-42E7-91D8-2516B6CE6975}"/>
    <cellStyle name="Normal 47 8 6" xfId="3445" xr:uid="{B4638106-F89E-456B-BBE4-9515FB04F9B6}"/>
    <cellStyle name="Normal 47 8 7" xfId="3446" xr:uid="{CC3CC7F6-A162-4989-8B1B-ECE702BA2FAF}"/>
    <cellStyle name="Normal 47 8 8" xfId="3447" xr:uid="{FFDE853E-4CE2-440D-9097-16A7C5D0142A}"/>
    <cellStyle name="Normal 47 9" xfId="3448" xr:uid="{311D64C9-7704-456F-AD56-04D707278556}"/>
    <cellStyle name="Normal 48" xfId="3449" xr:uid="{CB43F043-5FCD-488B-863C-18251344B05F}"/>
    <cellStyle name="Normal 49" xfId="3450" xr:uid="{B791AD76-99B3-40EE-8B2F-A3224CADAC08}"/>
    <cellStyle name="Normal 49 2" xfId="3451" xr:uid="{9E189721-0C9D-4EBA-B669-44FF0D0B8B82}"/>
    <cellStyle name="Normal 49 2 2" xfId="3452" xr:uid="{195532C3-733E-4FA7-9E40-B19E3A3928BC}"/>
    <cellStyle name="Normal 49 2 2 2" xfId="3453" xr:uid="{03B4A24D-CCBD-46D2-892D-7CA59C3A56C3}"/>
    <cellStyle name="Normal 49 2 2 2 2" xfId="3454" xr:uid="{73D7682A-68E9-4A17-833E-E3996A3C5CC1}"/>
    <cellStyle name="Normal 49 2 2 3" xfId="3455" xr:uid="{A4D9A616-4D8F-4372-B3D7-AF76D86CC7E8}"/>
    <cellStyle name="Normal 49 2 3" xfId="3456" xr:uid="{7EED4887-BEE3-4010-B05D-CA7848169B48}"/>
    <cellStyle name="Normal 49 2 3 2" xfId="3457" xr:uid="{5714B9A3-5E15-452F-ACB6-E08AD1B45381}"/>
    <cellStyle name="Normal 49 2 4" xfId="3458" xr:uid="{6BD4A551-D862-45D5-BE05-0CA1D6E02A63}"/>
    <cellStyle name="Normal 49 3" xfId="3459" xr:uid="{3C233A4B-AD7E-4CD3-B552-7B40DEEBC053}"/>
    <cellStyle name="Normal 49 3 2" xfId="3460" xr:uid="{7972DE3B-212D-457A-84CD-90833AF50057}"/>
    <cellStyle name="Normal 49 3 2 2" xfId="3461" xr:uid="{806A88FF-5437-46FF-92A1-DB71AFF1986E}"/>
    <cellStyle name="Normal 49 3 2 2 2" xfId="3462" xr:uid="{AAEA2D14-258D-48D5-BDCC-A650A3E9EBE9}"/>
    <cellStyle name="Normal 49 3 2 3" xfId="3463" xr:uid="{6D1821F9-3CA1-472B-8E62-FB34A26ECE92}"/>
    <cellStyle name="Normal 49 3 3" xfId="3464" xr:uid="{D238B771-D40E-44CA-802E-1CA88B1C6718}"/>
    <cellStyle name="Normal 49 3 3 2" xfId="3465" xr:uid="{569B1E6D-37F4-4600-B4A6-8706917DE3C5}"/>
    <cellStyle name="Normal 49 3 4" xfId="3466" xr:uid="{D6A1609C-EA5A-48C2-B23C-64E7491BDF05}"/>
    <cellStyle name="Normal 49 4" xfId="3467" xr:uid="{B0BC26D0-B093-430A-B5DE-FAA1B3AC8B85}"/>
    <cellStyle name="Normal 49 4 2" xfId="3468" xr:uid="{CD28CEBF-F6F4-41BC-BFEB-45B0FA879FC1}"/>
    <cellStyle name="Normal 49 4 2 2" xfId="3469" xr:uid="{9059D945-04EC-4D47-BDBF-A7BBA86AD552}"/>
    <cellStyle name="Normal 49 4 2 2 2" xfId="3470" xr:uid="{A673F661-C880-490D-9984-30ADDD1C949C}"/>
    <cellStyle name="Normal 49 4 2 3" xfId="3471" xr:uid="{9D7C9498-FAA7-4F24-88FC-A1D3C67C7179}"/>
    <cellStyle name="Normal 49 4 3" xfId="3472" xr:uid="{6F4352F2-4B15-46A4-9EFB-1D3CD0207AC4}"/>
    <cellStyle name="Normal 49 4 3 2" xfId="3473" xr:uid="{E60B9A20-D102-490D-A0E4-B4AEED280697}"/>
    <cellStyle name="Normal 49 4 4" xfId="3474" xr:uid="{ED41DC2A-41D7-4A58-962A-83FE5523A816}"/>
    <cellStyle name="Normal 49 5" xfId="3475" xr:uid="{472BC9F8-B446-481D-A0DD-D5CBF0CB3D08}"/>
    <cellStyle name="Normal 49 5 2" xfId="3476" xr:uid="{E4B9A232-044E-4948-B240-188BAF2289B2}"/>
    <cellStyle name="Normal 49 5 2 2" xfId="3477" xr:uid="{B0B138DE-C7DA-4B48-A60A-A494FFC75F9F}"/>
    <cellStyle name="Normal 49 5 3" xfId="3478" xr:uid="{C189BF6B-55CD-4DCC-89F5-1E64EF0B9FBD}"/>
    <cellStyle name="Normal 49 6" xfId="3479" xr:uid="{2F1E9DD3-4F7B-4284-9591-75B94C931A02}"/>
    <cellStyle name="Normal 49 6 2" xfId="3480" xr:uid="{260B1194-3FF7-45EB-AAF2-A042CFEE2508}"/>
    <cellStyle name="Normal 49 7" xfId="3481" xr:uid="{7830FBC3-6563-40E2-B37C-058329CCD43D}"/>
    <cellStyle name="Normal 49 8" xfId="3482" xr:uid="{7F937E7E-ABEA-42CB-9A27-5994D4745B5D}"/>
    <cellStyle name="Normal 5" xfId="144" xr:uid="{F3B67BD5-F479-4407-A945-B331DC7DEFEB}"/>
    <cellStyle name="Normal-- 5" xfId="3483" xr:uid="{880CDE03-704D-4C6B-82A0-D4C259F3FF08}"/>
    <cellStyle name="Normal 5 10" xfId="3484" xr:uid="{5AE537A1-1EB0-4977-BDFD-1D06C2BD33A0}"/>
    <cellStyle name="Normal 5 10 2" xfId="3485" xr:uid="{1E8CF697-64BB-4A9A-8316-D97DABCACD60}"/>
    <cellStyle name="Normal 5 100" xfId="3486" xr:uid="{1EDE71A5-B545-45A9-9340-BD78370561B4}"/>
    <cellStyle name="Normal 5 101" xfId="3487" xr:uid="{EB58B884-6EFB-424C-8630-271F802F9E94}"/>
    <cellStyle name="Normal 5 102" xfId="3488" xr:uid="{E67C1AA0-B02F-4348-B591-289159E7E7FA}"/>
    <cellStyle name="Normal 5 103" xfId="3489" xr:uid="{B75DBE9C-969C-4C5C-BA1C-5E7849302E41}"/>
    <cellStyle name="Normal 5 104" xfId="3490" xr:uid="{772AF970-1C0C-4F74-B244-00D5382F4AC0}"/>
    <cellStyle name="Normal 5 105" xfId="3491" xr:uid="{79A7A945-540C-4222-8DE4-F664FA9E1CA5}"/>
    <cellStyle name="Normal 5 106" xfId="3492" xr:uid="{82F32AF9-826B-4B6B-91A3-48800ED09B9C}"/>
    <cellStyle name="Normal 5 107" xfId="3493" xr:uid="{0762212E-794F-4C06-9396-E670E913770D}"/>
    <cellStyle name="Normal 5 108" xfId="3494" xr:uid="{9304C91C-9F87-48D6-B20B-5656E6776535}"/>
    <cellStyle name="Normal 5 109" xfId="3495" xr:uid="{C7BC5DCC-9E8A-4775-8C1B-0FFA9D7073EE}"/>
    <cellStyle name="Normal 5 11" xfId="3496" xr:uid="{5FDBAC76-7B0A-4C9B-9F4B-D0D3CABE16DE}"/>
    <cellStyle name="Normal 5 11 2" xfId="3497" xr:uid="{9E4BB1B1-49BD-4CE7-9BB3-F5BCD9D1CCE9}"/>
    <cellStyle name="Normal 5 110" xfId="3498" xr:uid="{FB3506AE-D1FB-463C-9A7A-E6BF138AE631}"/>
    <cellStyle name="Normal 5 111" xfId="3499" xr:uid="{66F6A12C-DF22-4ED0-8029-1D0138CBD7BE}"/>
    <cellStyle name="Normal 5 112" xfId="3500" xr:uid="{B6980345-FBEA-425E-9080-F84337153ED5}"/>
    <cellStyle name="Normal 5 113" xfId="3501" xr:uid="{163D84C2-D869-4EDB-896B-96365061F871}"/>
    <cellStyle name="Normal 5 12" xfId="3502" xr:uid="{96ED92F1-775E-4C46-ABBB-163276265CA8}"/>
    <cellStyle name="Normal 5 12 2" xfId="3503" xr:uid="{66FB2B6B-C678-4D1C-BF03-E1318FCB4D40}"/>
    <cellStyle name="Normal 5 13" xfId="3504" xr:uid="{D603E152-B4AA-4CD5-9CB0-65F1EB5493F5}"/>
    <cellStyle name="Normal 5 13 2" xfId="3505" xr:uid="{0D6EB675-AED4-423B-953C-12628A4F4FBA}"/>
    <cellStyle name="Normal 5 14" xfId="3506" xr:uid="{6B081BF4-FE0C-45AD-A124-920F63D29C4C}"/>
    <cellStyle name="Normal 5 14 2" xfId="3507" xr:uid="{7D59A4DE-116A-4F46-ADDD-47851C94CB87}"/>
    <cellStyle name="Normal 5 15" xfId="3508" xr:uid="{5723C0A1-5A0B-4AE0-AB11-969581899672}"/>
    <cellStyle name="Normal 5 15 2" xfId="3509" xr:uid="{B8F6EBE1-1D7D-4233-80D8-572726404E06}"/>
    <cellStyle name="Normal 5 16" xfId="3510" xr:uid="{B7536B21-6E7D-4CDB-BC2A-AACB7682FBC7}"/>
    <cellStyle name="Normal 5 16 2" xfId="3511" xr:uid="{A1C34FE6-76FB-48CB-A5F3-DF1E67E48346}"/>
    <cellStyle name="Normal 5 17" xfId="3512" xr:uid="{4A330434-A5B7-4712-8522-89C4EEC1A4DC}"/>
    <cellStyle name="Normal 5 17 2" xfId="3513" xr:uid="{622A6653-F234-4E62-B642-466D4311E0CA}"/>
    <cellStyle name="Normal 5 18" xfId="3514" xr:uid="{55518E1E-F717-45CB-9BE8-32C2DB9C2B78}"/>
    <cellStyle name="Normal 5 18 2" xfId="3515" xr:uid="{B8BE5BE1-0842-4D71-9690-C48019362B22}"/>
    <cellStyle name="Normal 5 19" xfId="3516" xr:uid="{525BC249-F42F-4E6D-97D2-B301B7336EAA}"/>
    <cellStyle name="Normal 5 19 2" xfId="3517" xr:uid="{E0AD7CC4-D9CE-4185-A47E-6379CEA29082}"/>
    <cellStyle name="Normal 5 2" xfId="174" xr:uid="{58DAC596-7E10-4EFB-B81F-215DC6670A29}"/>
    <cellStyle name="Normal 5 2 2" xfId="178" xr:uid="{2F3B00E5-3906-40BE-9FD0-B018F53EA213}"/>
    <cellStyle name="Normal 5 2 2 2" xfId="3519" xr:uid="{251FF474-34F0-4BF2-BA8D-DD6F9BA5B77D}"/>
    <cellStyle name="Normal 5 2 3" xfId="3520" xr:uid="{44A6319D-29CC-4D89-ADAD-F8D6E4542A3B}"/>
    <cellStyle name="Normal 5 2 4" xfId="3521" xr:uid="{679251CE-21E9-435E-A1E0-9F6A2448D9DE}"/>
    <cellStyle name="Normal 5 2 5" xfId="3522" xr:uid="{D7DEBAFE-0927-44AB-9434-D61C7A8859DA}"/>
    <cellStyle name="Normal 5 2 6" xfId="3518" xr:uid="{EC7E4B8E-E527-49FE-A761-C35A372A7176}"/>
    <cellStyle name="Normal 5 20" xfId="3523" xr:uid="{CBBA8CF1-5CCF-4A16-A231-25912ED4E1E6}"/>
    <cellStyle name="Normal 5 20 2" xfId="3524" xr:uid="{E6C4048B-31A7-4EF1-AA16-3CA4947F1810}"/>
    <cellStyle name="Normal 5 21" xfId="3525" xr:uid="{19AE4100-0402-45CA-BB1E-FA6812D8911E}"/>
    <cellStyle name="Normal 5 21 2" xfId="3526" xr:uid="{5316ACBB-DE5D-4408-A94A-ADC91BA77CE2}"/>
    <cellStyle name="Normal 5 22" xfId="3527" xr:uid="{92C338BD-81E1-4E9A-91F8-E69193410DA5}"/>
    <cellStyle name="Normal 5 22 2" xfId="3528" xr:uid="{959B0CC4-AC4E-4A51-A6AA-E195DD673F29}"/>
    <cellStyle name="Normal 5 22 2 2" xfId="3529" xr:uid="{EC8DE900-E67C-4762-805A-74EFA5821BE8}"/>
    <cellStyle name="Normal 5 22 3" xfId="3530" xr:uid="{2466FDE3-43D5-4A91-B7EB-5D2B8DC77770}"/>
    <cellStyle name="Normal 5 22 4" xfId="3531" xr:uid="{1167D982-5C7D-4884-BB2F-97601B1B23BA}"/>
    <cellStyle name="Normal 5 23" xfId="3532" xr:uid="{D66C32CD-0D25-436C-B7EB-1AE1D06BFBD6}"/>
    <cellStyle name="Normal 5 23 2" xfId="3533" xr:uid="{A77538C8-BCC0-4F56-A513-5CE26A7D3DCF}"/>
    <cellStyle name="Normal 5 24" xfId="3534" xr:uid="{A6527946-0F8D-44E7-B92A-FF0446D31380}"/>
    <cellStyle name="Normal 5 24 2" xfId="3535" xr:uid="{B462CA8F-1B9F-4119-A6E7-51FCD9559D48}"/>
    <cellStyle name="Normal 5 25" xfId="3536" xr:uid="{62051FC6-1CA2-47AC-B979-C8B256723363}"/>
    <cellStyle name="Normal 5 25 2" xfId="3537" xr:uid="{4E3399E3-07E4-4D1B-97E8-A6127C47C2BF}"/>
    <cellStyle name="Normal 5 26" xfId="3538" xr:uid="{EF9C3DCB-FE8E-44B5-A0CD-68709825B884}"/>
    <cellStyle name="Normal 5 26 2" xfId="3539" xr:uid="{3F58B678-486E-4FD1-8933-3EFE11D9ACDE}"/>
    <cellStyle name="Normal 5 27" xfId="3540" xr:uid="{DA4B87FF-CFDE-4132-9AD0-03798FBC0B39}"/>
    <cellStyle name="Normal 5 27 2" xfId="3541" xr:uid="{62DF7C8E-5F90-4BA9-8338-FB2CF07A8082}"/>
    <cellStyle name="Normal 5 28" xfId="3542" xr:uid="{F730066C-09FA-4283-B5D5-9F1B7F28DEFD}"/>
    <cellStyle name="Normal 5 28 2" xfId="3543" xr:uid="{E368D0E7-3BE5-43BE-9691-96C82AE9600C}"/>
    <cellStyle name="Normal 5 29" xfId="3544" xr:uid="{D32F6612-A0D6-4CA4-AF36-89974096B287}"/>
    <cellStyle name="Normal 5 29 2" xfId="3545" xr:uid="{69ECE4D4-E9C3-474F-A75C-34C877370CE6}"/>
    <cellStyle name="Normal 5 3" xfId="3546" xr:uid="{535121AD-E411-4240-9992-DC40034FA181}"/>
    <cellStyle name="Normal 5 3 2" xfId="3547" xr:uid="{AD184598-88B3-49E0-A171-D8BFB444F23C}"/>
    <cellStyle name="Normal 5 30" xfId="3548" xr:uid="{1B99D633-C84A-432D-8A93-A4225F530B40}"/>
    <cellStyle name="Normal 5 30 2" xfId="3549" xr:uid="{926BCACD-9B9C-47E0-87AE-778DD86DCC7A}"/>
    <cellStyle name="Normal 5 31" xfId="3550" xr:uid="{1B9B4C1C-093E-4CCE-ABE8-42F03BF9A607}"/>
    <cellStyle name="Normal 5 31 2" xfId="3551" xr:uid="{E5E2EC33-D672-4E11-9894-F48B87A774BD}"/>
    <cellStyle name="Normal 5 32" xfId="3552" xr:uid="{2EB25BBF-5C81-4C70-A705-90B8AEDF990A}"/>
    <cellStyle name="Normal 5 32 2" xfId="3553" xr:uid="{09D2F6D5-51A2-44F9-928A-EFD2E06B249E}"/>
    <cellStyle name="Normal 5 33" xfId="3554" xr:uid="{63C687B8-783F-4D93-9E00-2E95559CCFD1}"/>
    <cellStyle name="Normal 5 33 2" xfId="3555" xr:uid="{D7BDF9ED-F0F9-42E4-8E53-2C824FD1F32D}"/>
    <cellStyle name="Normal 5 34" xfId="3556" xr:uid="{66062A30-0550-48F2-A71B-CB97F560729C}"/>
    <cellStyle name="Normal 5 34 2" xfId="3557" xr:uid="{9772C7BE-7C4F-4658-99B0-BCC2661F0E2A}"/>
    <cellStyle name="Normal 5 35" xfId="3558" xr:uid="{A94D1736-A8DC-4E48-8884-B42F306AC82A}"/>
    <cellStyle name="Normal 5 35 2" xfId="3559" xr:uid="{0147EAB3-4811-4A16-967E-3E062258FEAD}"/>
    <cellStyle name="Normal 5 36" xfId="3560" xr:uid="{E44542BD-53E6-486B-BCE8-B034B6444C70}"/>
    <cellStyle name="Normal 5 36 2" xfId="3561" xr:uid="{2221C7C7-7B8C-4B99-AC58-A0218C9C0C1E}"/>
    <cellStyle name="Normal 5 37" xfId="3562" xr:uid="{3E41E57D-A0C0-4442-8808-BA016256079A}"/>
    <cellStyle name="Normal 5 37 2" xfId="3563" xr:uid="{7836DFD2-7AFA-4015-B92E-66B877E2FB70}"/>
    <cellStyle name="Normal 5 38" xfId="3564" xr:uid="{CA76C75A-C600-41EA-BE0F-AECE914FBABD}"/>
    <cellStyle name="Normal 5 39" xfId="3565" xr:uid="{5D8FFE8B-3710-4451-9095-A899EA265EB1}"/>
    <cellStyle name="Normal 5 4" xfId="3566" xr:uid="{2C37C8F4-8DC5-49E2-9CED-14441BB384B1}"/>
    <cellStyle name="Normal 5 4 2" xfId="3567" xr:uid="{93178B6A-5CB8-4789-A7B2-556ACE7D907D}"/>
    <cellStyle name="Normal 5 40" xfId="3568" xr:uid="{B36CE756-2109-4034-8AA4-1FAA84852537}"/>
    <cellStyle name="Normal 5 41" xfId="3569" xr:uid="{5462376B-6616-4D3F-92FB-63BCF0391E23}"/>
    <cellStyle name="Normal 5 42" xfId="3570" xr:uid="{D9291E62-0536-4083-9CEE-BF3C4DBF0068}"/>
    <cellStyle name="Normal 5 43" xfId="3571" xr:uid="{92F55448-89C5-47CB-A0C6-909BC2EA8681}"/>
    <cellStyle name="Normal 5 44" xfId="3572" xr:uid="{3C5F0993-DA69-40AA-9C82-E339C90400FD}"/>
    <cellStyle name="Normal 5 45" xfId="3573" xr:uid="{0A91FB02-A279-42A5-AE56-AD20B23F2372}"/>
    <cellStyle name="Normal 5 46" xfId="3574" xr:uid="{AFE63D0B-9E64-44DF-8730-AFD1A29ABD88}"/>
    <cellStyle name="Normal 5 47" xfId="3575" xr:uid="{FC3FF5E8-6A0B-41DE-8CF9-80CE696A1902}"/>
    <cellStyle name="Normal 5 48" xfId="3576" xr:uid="{630FBB6C-236C-4E41-95E5-269B06A5AAB1}"/>
    <cellStyle name="Normal 5 49" xfId="3577" xr:uid="{F782B00C-907F-410B-9F56-81E3BE7C4AF8}"/>
    <cellStyle name="Normal 5 5" xfId="3578" xr:uid="{92FBDB14-A7F4-4818-98C2-859223C9C8B5}"/>
    <cellStyle name="Normal 5 5 2" xfId="3579" xr:uid="{1174DBB4-9ECF-4675-812F-FC588DD9778B}"/>
    <cellStyle name="Normal 5 50" xfId="3580" xr:uid="{973B1DB8-DA3B-4819-9C22-6219E757EE75}"/>
    <cellStyle name="Normal 5 51" xfId="3581" xr:uid="{8D06B5FE-55C8-4309-9E15-9BB6C2099E30}"/>
    <cellStyle name="Normal 5 52" xfId="3582" xr:uid="{627BEBD8-8EF1-48F1-BC55-F67846CC7DD6}"/>
    <cellStyle name="Normal 5 53" xfId="3583" xr:uid="{1521E855-73DB-4B7A-A2B7-F4E8523EE4D6}"/>
    <cellStyle name="Normal 5 54" xfId="3584" xr:uid="{FE013847-9AFD-4AFC-B810-8E787ABFECD9}"/>
    <cellStyle name="Normal 5 55" xfId="3585" xr:uid="{108B3A6F-5012-4AF4-8A77-C65F84E4CB23}"/>
    <cellStyle name="Normal 5 56" xfId="3586" xr:uid="{95B2066D-9C7A-4C3B-A4E3-F7DC986D8CC3}"/>
    <cellStyle name="Normal 5 57" xfId="3587" xr:uid="{76F2D8AB-36D4-475A-B165-4BF0CB6DDD1B}"/>
    <cellStyle name="Normal 5 58" xfId="3588" xr:uid="{038E4FB1-36E5-472D-8739-6E763E742302}"/>
    <cellStyle name="Normal 5 59" xfId="3589" xr:uid="{D5DA24A5-CBAC-4566-8AE8-2B23C1175A24}"/>
    <cellStyle name="Normal 5 6" xfId="3590" xr:uid="{1A9E4E5D-34DF-4D96-99B2-B758C61DC6FB}"/>
    <cellStyle name="Normal 5 6 2" xfId="3591" xr:uid="{F7861400-B55D-42CD-8D5C-5150C61A6F1F}"/>
    <cellStyle name="Normal 5 60" xfId="3592" xr:uid="{7A8F24A3-8638-4717-9891-058E0D1D36AC}"/>
    <cellStyle name="Normal 5 61" xfId="3593" xr:uid="{C0FB5B5F-B009-49FD-93A1-6DA517AFD311}"/>
    <cellStyle name="Normal 5 62" xfId="3594" xr:uid="{CFE24365-1A0F-4B96-B057-7096B8162E2D}"/>
    <cellStyle name="Normal 5 63" xfId="3595" xr:uid="{5AC5CED8-E4AF-4AA0-B53E-EE9A25DBCF91}"/>
    <cellStyle name="Normal 5 64" xfId="3596" xr:uid="{5D396047-7606-49A5-812C-B14171CED7E8}"/>
    <cellStyle name="Normal 5 65" xfId="3597" xr:uid="{F1BD2F97-D8EB-4632-8840-BFD0FBD8D53F}"/>
    <cellStyle name="Normal 5 66" xfId="3598" xr:uid="{FACAB737-958A-4198-827B-1AEDA1FC5AC3}"/>
    <cellStyle name="Normal 5 67" xfId="3599" xr:uid="{36EECBE7-DC9B-4745-8C61-8BE13347401B}"/>
    <cellStyle name="Normal 5 68" xfId="3600" xr:uid="{7DE0DF1A-AD47-414B-84C0-0E495608B5E3}"/>
    <cellStyle name="Normal 5 69" xfId="3601" xr:uid="{B0257C49-5388-45D6-B60B-B792BD155A7A}"/>
    <cellStyle name="Normal 5 7" xfId="3602" xr:uid="{003B6570-5595-40B6-ABA5-D9C90910F33C}"/>
    <cellStyle name="Normal 5 7 2" xfId="3603" xr:uid="{E3C1ED5A-BC72-437F-890E-99213FEF0ACE}"/>
    <cellStyle name="Normal 5 70" xfId="3604" xr:uid="{1157DE20-6FF7-4CCF-A295-E78039571253}"/>
    <cellStyle name="Normal 5 71" xfId="3605" xr:uid="{4F3896A6-D2A9-434C-9C7C-5621E75F0653}"/>
    <cellStyle name="Normal 5 72" xfId="3606" xr:uid="{98CA4AF2-1EC9-4354-8498-6F2FDC3463D1}"/>
    <cellStyle name="Normal 5 73" xfId="3607" xr:uid="{2E3ADA5A-4C00-4C1D-8F51-E9926A1E897C}"/>
    <cellStyle name="Normal 5 74" xfId="3608" xr:uid="{C5E3276E-FDED-4F42-AFD3-7F9592AA9E08}"/>
    <cellStyle name="Normal 5 75" xfId="3609" xr:uid="{B27C9274-FC99-4256-9879-9292E41F38FC}"/>
    <cellStyle name="Normal 5 76" xfId="3610" xr:uid="{2173CF76-38B1-4F15-9D6E-24B9B8F7ED04}"/>
    <cellStyle name="Normal 5 77" xfId="3611" xr:uid="{589C0B2B-49B0-477A-915A-364F9AA09DFE}"/>
    <cellStyle name="Normal 5 78" xfId="3612" xr:uid="{3E23D1F4-2197-4664-9F79-C97104633541}"/>
    <cellStyle name="Normal 5 79" xfId="3613" xr:uid="{8040C626-E8C3-490D-BB45-A3BCA8F5672A}"/>
    <cellStyle name="Normal 5 8" xfId="3614" xr:uid="{BB632919-0EC0-4A49-81F0-575F2B2A1019}"/>
    <cellStyle name="Normal 5 8 2" xfId="3615" xr:uid="{854E2725-9EAB-44C6-BBD3-1C7B7FE0B05D}"/>
    <cellStyle name="Normal 5 80" xfId="3616" xr:uid="{1D6521B9-6DC8-4EE0-B0AE-2D57FB9574F2}"/>
    <cellStyle name="Normal 5 81" xfId="3617" xr:uid="{B845C960-A1CB-4928-A18D-E6C2DAE8CA1B}"/>
    <cellStyle name="Normal 5 82" xfId="3618" xr:uid="{585B3189-591D-4536-9A19-9CC4CDAA0B3C}"/>
    <cellStyle name="Normal 5 83" xfId="3619" xr:uid="{AA9DAA73-FE18-4501-98A4-812107BD93EC}"/>
    <cellStyle name="Normal 5 84" xfId="3620" xr:uid="{E1F5CACB-1903-4819-8881-4340C10071EB}"/>
    <cellStyle name="Normal 5 85" xfId="3621" xr:uid="{9FD3AC73-CC2D-4222-B842-E4E2344A811E}"/>
    <cellStyle name="Normal 5 86" xfId="3622" xr:uid="{D0AD96ED-7E0F-4160-BF95-41D462049C16}"/>
    <cellStyle name="Normal 5 87" xfId="3623" xr:uid="{A47DA375-B68E-4E32-96F0-07BA25B77371}"/>
    <cellStyle name="Normal 5 88" xfId="3624" xr:uid="{B2ED9C63-562D-47C6-B038-1B1F84621768}"/>
    <cellStyle name="Normal 5 89" xfId="3625" xr:uid="{D603F726-3F21-4114-8413-2D38FE50CD79}"/>
    <cellStyle name="Normal 5 9" xfId="3626" xr:uid="{E43A2EB4-7228-495E-84FC-B61682F80776}"/>
    <cellStyle name="Normal 5 9 2" xfId="3627" xr:uid="{F9193159-972C-4336-A134-FC87054E25A1}"/>
    <cellStyle name="Normal 5 90" xfId="3628" xr:uid="{8568EB1F-2395-4CED-BEAA-A83C19A8A1BE}"/>
    <cellStyle name="Normal 5 91" xfId="3629" xr:uid="{436342BD-30A6-46B3-AA35-379A0EDAAB9E}"/>
    <cellStyle name="Normal 5 92" xfId="3630" xr:uid="{4C51EA4F-D304-442F-A6EC-D825BBD28E85}"/>
    <cellStyle name="Normal 5 93" xfId="3631" xr:uid="{DDE000AE-9636-4998-95C6-0C871A64570E}"/>
    <cellStyle name="Normal 5 94" xfId="3632" xr:uid="{B37BF8F2-F474-4394-A0A7-E9A17696D072}"/>
    <cellStyle name="Normal 5 95" xfId="3633" xr:uid="{DD906820-14C1-424D-91FC-B1A9C740D869}"/>
    <cellStyle name="Normal 5 96" xfId="3634" xr:uid="{9B65D75B-8BF5-4E1B-9A52-70059509144B}"/>
    <cellStyle name="Normal 5 97" xfId="3635" xr:uid="{3D203169-0F4E-4788-8358-B9799C3FA698}"/>
    <cellStyle name="Normal 5 98" xfId="3636" xr:uid="{A73EB398-249A-40DF-80E6-79C41F5B5FA8}"/>
    <cellStyle name="Normal 5 99" xfId="3637" xr:uid="{F9D24977-944D-4748-A987-8A1C42D9E65D}"/>
    <cellStyle name="Normal 50" xfId="3638" xr:uid="{27231A06-21AF-4943-989C-6A41DF45ADFA}"/>
    <cellStyle name="Normal 50 2" xfId="3639" xr:uid="{8F1631E6-E1A0-41CB-9A79-1C22ED6BADE1}"/>
    <cellStyle name="Normal 50 3" xfId="3640" xr:uid="{8588D7D8-3A7A-456E-8853-EDF056222E9E}"/>
    <cellStyle name="Normal 50 4" xfId="3641" xr:uid="{B7E0283C-7837-40B1-843A-47E9A0C7DCB2}"/>
    <cellStyle name="Normal 50 5" xfId="3642" xr:uid="{73A06DB0-40DB-4920-A071-EC4EE147406A}"/>
    <cellStyle name="Normal 50 6" xfId="3643" xr:uid="{9DA43D01-0721-44FE-8134-0394CAC235ED}"/>
    <cellStyle name="Normal 50 7" xfId="3644" xr:uid="{98442F47-4E2A-4F4D-9B6D-FAB20B87FFD1}"/>
    <cellStyle name="Normal 50 8" xfId="3645" xr:uid="{9756C14D-4A71-4584-B4C4-363940B56A35}"/>
    <cellStyle name="Normal 51" xfId="3646" xr:uid="{CA3EA15E-4795-4408-9865-F4C0EBB49CC6}"/>
    <cellStyle name="Normal 51 2" xfId="3647" xr:uid="{B4B9CC82-12FD-4179-BD66-6EF066C2FF68}"/>
    <cellStyle name="Normal 51 2 2" xfId="3648" xr:uid="{39088B3D-B2B8-40C7-B21D-742350F9FA4E}"/>
    <cellStyle name="Normal 51 2 2 2" xfId="3649" xr:uid="{07B4ACFB-0F54-431B-BD95-0D7F597B33EC}"/>
    <cellStyle name="Normal 51 2 2 2 2" xfId="3650" xr:uid="{804BA3FB-1921-4C34-9408-0A798EBEB3CD}"/>
    <cellStyle name="Normal 51 2 2 3" xfId="3651" xr:uid="{F66A2099-C44B-445E-9417-A0F697F71307}"/>
    <cellStyle name="Normal 51 2 3" xfId="3652" xr:uid="{216CF69E-24BC-4498-9E5C-DE1650DDAE2C}"/>
    <cellStyle name="Normal 51 2 3 2" xfId="3653" xr:uid="{0BCD7F5E-6B3B-4580-9E02-EE8C1113B010}"/>
    <cellStyle name="Normal 51 2 4" xfId="3654" xr:uid="{ACA424FB-3D4F-4992-9BB7-48CFBAEA4AAC}"/>
    <cellStyle name="Normal 51 3" xfId="3655" xr:uid="{05969898-1750-4349-BB82-ECAC948BFB47}"/>
    <cellStyle name="Normal 51 3 2" xfId="3656" xr:uid="{D1D3F54D-685D-4D44-8923-9C67B83F56A7}"/>
    <cellStyle name="Normal 51 3 2 2" xfId="3657" xr:uid="{04062ABF-5C50-43DB-AC26-D435AF4FE7F4}"/>
    <cellStyle name="Normal 51 3 3" xfId="3658" xr:uid="{FAD52D8B-083D-4ED7-8928-05E60DD49017}"/>
    <cellStyle name="Normal 51 4" xfId="3659" xr:uid="{4DF4AB10-5B9D-4E78-8ECB-B9FF635545A8}"/>
    <cellStyle name="Normal 51 4 2" xfId="3660" xr:uid="{CE3B8A85-5E03-44F1-8047-B0FC18EA390C}"/>
    <cellStyle name="Normal 51 5" xfId="3661" xr:uid="{9AF4ADC8-DCCB-41CB-96ED-E61C67EBDAAB}"/>
    <cellStyle name="Normal 51 6" xfId="3662" xr:uid="{EDA540CB-D0A3-48A5-BC17-957D5DF12F71}"/>
    <cellStyle name="Normal 51 7" xfId="3663" xr:uid="{A2C0F702-DC9F-4FD1-A7F0-2EDB72459826}"/>
    <cellStyle name="Normal 51 8" xfId="3664" xr:uid="{50518C11-6485-4D5A-98DE-391BACB399DD}"/>
    <cellStyle name="Normal 52" xfId="3665" xr:uid="{5E060551-D454-415C-96A8-F86603EFF30C}"/>
    <cellStyle name="Normal 52 2" xfId="3666" xr:uid="{B3A6FFE0-A760-43AC-8F96-DBDB5FCD667F}"/>
    <cellStyle name="Normal 52 2 2" xfId="3667" xr:uid="{C765F228-59BD-4543-B326-7BCC6E09E2EB}"/>
    <cellStyle name="Normal 52 3" xfId="3668" xr:uid="{89A9BE64-6EE6-4B36-B29D-EF4DF757A743}"/>
    <cellStyle name="Normal 52 4" xfId="3669" xr:uid="{9FB7EFD0-507A-4FD7-AC3E-BB6577ED5FCB}"/>
    <cellStyle name="Normal 52 5" xfId="3670" xr:uid="{07E67231-6909-4691-A9ED-85DD69503078}"/>
    <cellStyle name="Normal 52 6" xfId="3671" xr:uid="{7E8852D3-F293-4E26-9F74-C1C29CB4D988}"/>
    <cellStyle name="Normal 52 7" xfId="3672" xr:uid="{F15B3FA5-4239-430E-9FE2-DCC178D01F7A}"/>
    <cellStyle name="Normal 52 8" xfId="3673" xr:uid="{00DD337F-CA7D-40D2-9E2A-351EC5E5C450}"/>
    <cellStyle name="Normal 53" xfId="3674" xr:uid="{A64A2779-FF3E-4715-B4C3-FA4115BAD2BE}"/>
    <cellStyle name="Normal 53 2" xfId="3675" xr:uid="{6BFA692C-00B4-4B2C-85D8-14BCE0B24E6F}"/>
    <cellStyle name="Normal 53 2 2" xfId="3676" xr:uid="{31F4A085-1250-4B9F-AF6A-977A4A027C46}"/>
    <cellStyle name="Normal 53 2 2 2" xfId="3677" xr:uid="{FBA9D672-93ED-4073-9E4E-9DC5CD8DD816}"/>
    <cellStyle name="Normal 53 2 3" xfId="3678" xr:uid="{9F0BFEC8-4251-4D4A-96AA-CC5C8970348A}"/>
    <cellStyle name="Normal 53 3" xfId="3679" xr:uid="{5032B0CB-0C71-4FE2-8B6F-52AEF1711496}"/>
    <cellStyle name="Normal 53 3 2" xfId="3680" xr:uid="{1E876D5A-7094-41CC-9180-C6BEFFA28D8B}"/>
    <cellStyle name="Normal 53 4" xfId="3681" xr:uid="{3848F678-2126-4798-A693-812FB8916913}"/>
    <cellStyle name="Normal 53 5" xfId="3682" xr:uid="{7549640B-1EBC-46EE-94DB-A83133A218A5}"/>
    <cellStyle name="Normal 53 6" xfId="3683" xr:uid="{89664C25-1BA9-4131-82D7-244167CC1783}"/>
    <cellStyle name="Normal 53 7" xfId="3684" xr:uid="{D328920B-4A44-44C1-AF66-EADF1960ED76}"/>
    <cellStyle name="Normal 53 8" xfId="3685" xr:uid="{C2B232A0-63D9-40F6-8086-7BF90D511081}"/>
    <cellStyle name="Normal 54" xfId="3686" xr:uid="{52FA59A4-C6C9-4040-867D-642C36A3D18F}"/>
    <cellStyle name="Normal 54 2" xfId="3687" xr:uid="{E8347F91-D00A-4A28-B76E-B7B9C3417990}"/>
    <cellStyle name="Normal 54 3" xfId="3688" xr:uid="{C6874A95-AFBB-45F2-90A0-B3210C120C01}"/>
    <cellStyle name="Normal 54 4" xfId="3689" xr:uid="{10BC571A-3447-4ED4-B0F5-7CFA1D6085D8}"/>
    <cellStyle name="Normal 54 5" xfId="3690" xr:uid="{E74321CF-8BED-4003-89C5-F37D7B842983}"/>
    <cellStyle name="Normal 54 6" xfId="3691" xr:uid="{16DFF69C-2F7D-4495-9948-A922B455CEB2}"/>
    <cellStyle name="Normal 54 7" xfId="3692" xr:uid="{93AA04F2-541B-4814-B431-522ABB796803}"/>
    <cellStyle name="Normal 54 8" xfId="3693" xr:uid="{F9BF469F-E8C3-4934-BCD0-35138D546209}"/>
    <cellStyle name="Normal 55" xfId="3694" xr:uid="{F5114096-8D3F-4503-8B57-5235BB041A75}"/>
    <cellStyle name="Normal 55 2" xfId="3695" xr:uid="{ACC3EC61-F77C-4E91-ACD2-BE1F8CC8B553}"/>
    <cellStyle name="Normal 55 3" xfId="3696" xr:uid="{091C97D0-6661-4A76-B5BC-391F22DEF781}"/>
    <cellStyle name="Normal 55 4" xfId="3697" xr:uid="{2E83B728-B73A-445B-A66B-0FD83DEA11F6}"/>
    <cellStyle name="Normal 55 5" xfId="3698" xr:uid="{D72A2590-0C07-42E6-B889-5DDC74704F36}"/>
    <cellStyle name="Normal 55 6" xfId="3699" xr:uid="{6A04D597-A6C0-4D14-8A57-EA314CE9A1EE}"/>
    <cellStyle name="Normal 55 7" xfId="3700" xr:uid="{BD356BBD-84F0-49D2-9F04-19951961763D}"/>
    <cellStyle name="Normal 55 8" xfId="3701" xr:uid="{0DDEB319-7B68-42BC-A98C-AFD7D6E9B004}"/>
    <cellStyle name="Normal 56" xfId="3702" xr:uid="{9C505DEA-9D95-4FAC-A344-F2C7DF0C2F16}"/>
    <cellStyle name="Normal 56 2" xfId="3703" xr:uid="{13B6BD6B-9855-4609-82E2-FB523537E7BD}"/>
    <cellStyle name="Normal 56 3" xfId="3704" xr:uid="{1AF18C94-5511-476B-9E2D-CBA7F0CF1D68}"/>
    <cellStyle name="Normal 56 4" xfId="3705" xr:uid="{9EC96E8F-115C-4A7F-8A9D-20DDD2B51CA7}"/>
    <cellStyle name="Normal 56 5" xfId="3706" xr:uid="{5BD0D915-5E92-4446-890C-11904B6F74DE}"/>
    <cellStyle name="Normal 56 6" xfId="3707" xr:uid="{EAF5D0FD-C1C3-4C3F-929D-18E950E2FE9B}"/>
    <cellStyle name="Normal 56 7" xfId="3708" xr:uid="{2D2E5FAF-BB1A-4111-A7D2-27571DD9DB38}"/>
    <cellStyle name="Normal 56 8" xfId="3709" xr:uid="{D088DE88-3B37-40C4-95DD-567D207652B9}"/>
    <cellStyle name="Normal 57" xfId="3710" xr:uid="{3A2736FD-D0BE-40C8-B4D6-90B219CE0462}"/>
    <cellStyle name="Normal 57 2" xfId="3711" xr:uid="{820308BB-1498-472D-AE88-E3BC4BCE62C9}"/>
    <cellStyle name="Normal 57 3" xfId="3712" xr:uid="{3CB06AAC-6188-41C2-ACA5-23455EB7E370}"/>
    <cellStyle name="Normal 57 4" xfId="3713" xr:uid="{4D24E437-5088-4F54-9BBD-C0F48A4296ED}"/>
    <cellStyle name="Normal 57 5" xfId="3714" xr:uid="{61DA591B-C35B-4773-A0F5-F6DBFFEA8F76}"/>
    <cellStyle name="Normal 57 6" xfId="3715" xr:uid="{A775A192-1400-4951-BB16-318544BDEC2E}"/>
    <cellStyle name="Normal 57 7" xfId="3716" xr:uid="{4A9517AF-EC6A-4A4F-9CED-EECD17251581}"/>
    <cellStyle name="Normal 57 8" xfId="3717" xr:uid="{5BEDA996-0F86-4A99-9A84-F08D11A7FAF7}"/>
    <cellStyle name="Normal 58" xfId="3718" xr:uid="{58EA262C-88DF-4620-A857-937F8B7EF556}"/>
    <cellStyle name="Normal 58 2" xfId="3719" xr:uid="{5F6E6AD6-7141-4D22-A336-3FD1988A2B3D}"/>
    <cellStyle name="Normal 58 3" xfId="3720" xr:uid="{B46155D1-E446-4251-9B06-2B8DCC53B666}"/>
    <cellStyle name="Normal 58 4" xfId="3721" xr:uid="{7CCD8A66-61D8-4636-92A3-8451110868E5}"/>
    <cellStyle name="Normal 58 5" xfId="3722" xr:uid="{18406A76-F8B1-46A0-B77B-F8AE9A7157F6}"/>
    <cellStyle name="Normal 58 6" xfId="3723" xr:uid="{4968D4BB-9F8B-4CB5-A931-202292555B51}"/>
    <cellStyle name="Normal 58 7" xfId="3724" xr:uid="{95596670-5ED6-4CCB-B012-93F9C4F4EE00}"/>
    <cellStyle name="Normal 58 8" xfId="3725" xr:uid="{3C71E06D-C0FB-4AE5-A753-DB11C60E0FEC}"/>
    <cellStyle name="Normal 59" xfId="3726" xr:uid="{2013294B-E28D-47E1-99D6-A8395EAAE10B}"/>
    <cellStyle name="Normal 59 2" xfId="3727" xr:uid="{A38FC2C5-8506-4099-A673-C6BCE7328A6D}"/>
    <cellStyle name="Normal 59 3" xfId="3728" xr:uid="{2E4EBCB1-9FE6-4246-BF1D-28EE3A236D8F}"/>
    <cellStyle name="Normal 59 4" xfId="3729" xr:uid="{AE7B554B-D604-49FA-B6FD-108FB0D847C2}"/>
    <cellStyle name="Normal 59 5" xfId="3730" xr:uid="{7BD35ED8-B1FE-4600-961E-1FCCA64037AB}"/>
    <cellStyle name="Normal 59 6" xfId="3731" xr:uid="{57672D10-AA8B-4F68-BBC9-996A6BF3C336}"/>
    <cellStyle name="Normal 59 7" xfId="3732" xr:uid="{51E8E398-D249-4B52-A2DB-D4238DE17BB2}"/>
    <cellStyle name="Normal 59 8" xfId="3733" xr:uid="{0299D6FD-D55E-4093-AE81-E53E2B21E0EE}"/>
    <cellStyle name="Normal 6" xfId="147" xr:uid="{8B2F368D-B911-4A58-868C-2AE2C7BF3236}"/>
    <cellStyle name="Normal-- 6" xfId="3735" xr:uid="{4953CBD5-FA4D-43F4-8DC5-1753E3D6BCE7}"/>
    <cellStyle name="Normal 6 10" xfId="3736" xr:uid="{3CB095E7-A8DD-4DDF-A71B-EB748F05FADA}"/>
    <cellStyle name="Normal 6 10 2" xfId="3737" xr:uid="{FF6392BA-AF1B-4CD9-9208-C98556A4B4DD}"/>
    <cellStyle name="Normal 6 100" xfId="3738" xr:uid="{1B36112E-BCA5-4412-9C13-1A4328DD7DCC}"/>
    <cellStyle name="Normal 6 101" xfId="3739" xr:uid="{51E5AC4D-C38D-457A-8EC9-235D64273801}"/>
    <cellStyle name="Normal 6 102" xfId="3740" xr:uid="{01669F65-CABF-481C-937D-1D8501ABB085}"/>
    <cellStyle name="Normal 6 103" xfId="3741" xr:uid="{D991C5F5-A1FE-43C3-BF90-5FAE4C733F66}"/>
    <cellStyle name="Normal 6 104" xfId="3742" xr:uid="{CE9448B1-BE04-4B67-A830-F8CAADC4BA06}"/>
    <cellStyle name="Normal 6 105" xfId="3743" xr:uid="{6ABB82CE-0C2E-465E-9BD0-910A9B1133C0}"/>
    <cellStyle name="Normal 6 106" xfId="3744" xr:uid="{431CFE18-03D2-4BBD-9680-84922D45B660}"/>
    <cellStyle name="Normal 6 107" xfId="3745" xr:uid="{4A7BC857-3FD8-4B3D-AC72-2D1B6943D4FF}"/>
    <cellStyle name="Normal 6 108" xfId="3746" xr:uid="{8E55D946-CD10-4E57-800D-E8FB0FC69284}"/>
    <cellStyle name="Normal 6 109" xfId="3747" xr:uid="{6CB386B5-6AB9-47AC-89D6-867769D58D98}"/>
    <cellStyle name="Normal 6 11" xfId="3748" xr:uid="{DDD02498-40ED-459E-B64B-3F2E036AFA01}"/>
    <cellStyle name="Normal 6 11 2" xfId="3749" xr:uid="{0C5F2DE6-6C41-47E5-9852-7955B6F2C51C}"/>
    <cellStyle name="Normal 6 110" xfId="3750" xr:uid="{09FAF507-3BD6-46AF-A8E4-8C20AB17B876}"/>
    <cellStyle name="Normal 6 111" xfId="3751" xr:uid="{54B6760A-70E9-46E3-9F8F-1676FEAEF838}"/>
    <cellStyle name="Normal 6 112" xfId="3752" xr:uid="{549A7D3A-F090-46D9-A129-316DFBC5F3A2}"/>
    <cellStyle name="Normal 6 113" xfId="3753" xr:uid="{0E8C43F9-5757-4BD7-8087-C0B14B619872}"/>
    <cellStyle name="Normal 6 114" xfId="3754" xr:uid="{3CF170A5-48BB-4642-B421-C6DF15D74FC5}"/>
    <cellStyle name="Normal 6 115" xfId="3755" xr:uid="{25861C7F-6393-4B81-866E-01348DAE7276}"/>
    <cellStyle name="Normal 6 116" xfId="3756" xr:uid="{F53E2D99-2E43-4E46-AAB1-9E7DDA5B1460}"/>
    <cellStyle name="Normal 6 117" xfId="3757" xr:uid="{07EA2270-33FB-4F1D-A134-ED7EFA32021A}"/>
    <cellStyle name="Normal 6 118" xfId="3734" xr:uid="{5821C985-7155-4B6F-B87C-B8733C292315}"/>
    <cellStyle name="Normal 6 12" xfId="3758" xr:uid="{D1CA993D-EE20-4599-A919-4D41865054E3}"/>
    <cellStyle name="Normal 6 12 2" xfId="3759" xr:uid="{B9BEAEB7-7B94-40B3-A118-20F5B269DA52}"/>
    <cellStyle name="Normal 6 13" xfId="3760" xr:uid="{E2E12106-3C4E-45BD-A95E-F165E1A3A69C}"/>
    <cellStyle name="Normal 6 13 2" xfId="3761" xr:uid="{36DBAB6D-3BF0-4633-991E-B282F6E4246A}"/>
    <cellStyle name="Normal 6 14" xfId="3762" xr:uid="{11A5D407-3FEC-4157-A5AB-F5ACA4334950}"/>
    <cellStyle name="Normal 6 14 2" xfId="3763" xr:uid="{15E3FDD0-3735-4BAA-9D30-A8C278E609C0}"/>
    <cellStyle name="Normal 6 15" xfId="3764" xr:uid="{6BC145D1-76E5-453A-A0E1-E18CCE615D01}"/>
    <cellStyle name="Normal 6 15 2" xfId="3765" xr:uid="{7DAFA6F4-D827-4530-8D23-97439BC0A958}"/>
    <cellStyle name="Normal 6 16" xfId="3766" xr:uid="{25A599B2-1DE4-417A-A6EE-458A10743CD7}"/>
    <cellStyle name="Normal 6 16 2" xfId="3767" xr:uid="{54A6602D-8A06-4AE0-9FE6-16B17B2D69C5}"/>
    <cellStyle name="Normal 6 17" xfId="3768" xr:uid="{98AD7314-73E4-4D92-B672-B555F3B4EA35}"/>
    <cellStyle name="Normal 6 17 2" xfId="3769" xr:uid="{8B7A27A8-5DDD-43C4-9526-52F797375994}"/>
    <cellStyle name="Normal 6 18" xfId="3770" xr:uid="{7D9DB184-C96F-43E5-9918-67D6011D8C6D}"/>
    <cellStyle name="Normal 6 18 2" xfId="3771" xr:uid="{357340D5-FEF8-4F06-B1A9-B9EA038FEA17}"/>
    <cellStyle name="Normal 6 19" xfId="3772" xr:uid="{A5A5680B-D371-48CB-8D78-43B7FE60D1E7}"/>
    <cellStyle name="Normal 6 19 2" xfId="3773" xr:uid="{F66DA9E7-3E17-49B2-BE21-99C1CFFE0E62}"/>
    <cellStyle name="Normal 6 2" xfId="3774" xr:uid="{CB91F139-2D7A-4419-857A-5929685BEDBF}"/>
    <cellStyle name="Normal 6 2 2" xfId="3775" xr:uid="{114717B0-A031-44BC-BE9D-8B3BA944B1E7}"/>
    <cellStyle name="Normal 6 2 3" xfId="3776" xr:uid="{02FC8D0D-1FAA-46FF-8089-6F64DF75F676}"/>
    <cellStyle name="Normal 6 2 4" xfId="3777" xr:uid="{88E95821-C066-4439-BE03-4A7C8AC9037F}"/>
    <cellStyle name="Normal 6 2 5" xfId="3778" xr:uid="{FBB0E42E-BB76-4224-B8B6-0A7B7FBA4458}"/>
    <cellStyle name="Normal 6 20" xfId="3779" xr:uid="{9F414A41-1BF6-46B1-8493-DF047D67ACD5}"/>
    <cellStyle name="Normal 6 20 2" xfId="3780" xr:uid="{7712ADBB-057A-4631-9319-728728B01BC9}"/>
    <cellStyle name="Normal 6 21" xfId="3781" xr:uid="{C262C703-B56D-47E1-B01C-1B6B74B7CE51}"/>
    <cellStyle name="Normal 6 21 2" xfId="3782" xr:uid="{F9E3CE7A-E07C-4D3A-B53F-6733A674DCE8}"/>
    <cellStyle name="Normal 6 21 2 2" xfId="3783" xr:uid="{E84483B6-716D-40AF-945D-9490872AF4E6}"/>
    <cellStyle name="Normal 6 21 3" xfId="3784" xr:uid="{848542E9-9520-43AF-ACC2-7DC8B1A69A38}"/>
    <cellStyle name="Normal 6 21 4" xfId="3785" xr:uid="{E5304CBA-493D-4323-BF39-E942CC78763B}"/>
    <cellStyle name="Normal 6 22" xfId="3786" xr:uid="{CD05CC68-C744-4B20-A75C-2E8C3677BB94}"/>
    <cellStyle name="Normal 6 22 2" xfId="3787" xr:uid="{CEAE95FE-BC25-46CB-99C0-67CE128D92AC}"/>
    <cellStyle name="Normal 6 22 2 2" xfId="3788" xr:uid="{4C6BB835-80DA-4EEF-B23A-A4BD32AFC9E6}"/>
    <cellStyle name="Normal 6 22 3" xfId="3789" xr:uid="{EA7D5B3A-DCFE-4C2E-8063-7C9AE31B37F2}"/>
    <cellStyle name="Normal 6 22 4" xfId="3790" xr:uid="{8B638B66-DE94-4451-8AFD-806EA00530E3}"/>
    <cellStyle name="Normal 6 23" xfId="3791" xr:uid="{A974872E-91D3-4DA9-9153-84D8EE1FCF24}"/>
    <cellStyle name="Normal 6 23 2" xfId="3792" xr:uid="{F58711F9-D6E0-4FA8-A495-45FFE69D846F}"/>
    <cellStyle name="Normal 6 24" xfId="3793" xr:uid="{E0969C0D-F601-4D19-9D4A-F292A7806F2D}"/>
    <cellStyle name="Normal 6 24 2" xfId="3794" xr:uid="{5343424A-9F3E-48CD-A38A-5CAACE955667}"/>
    <cellStyle name="Normal 6 25" xfId="3795" xr:uid="{0447378F-431A-4D90-B53E-9744A75D6181}"/>
    <cellStyle name="Normal 6 25 2" xfId="3796" xr:uid="{A99D7B0E-B4CA-4445-BD2F-19D707416D08}"/>
    <cellStyle name="Normal 6 26" xfId="3797" xr:uid="{456589A0-0649-48C7-B4BD-83F514D97836}"/>
    <cellStyle name="Normal 6 26 2" xfId="3798" xr:uid="{65C4E252-2A6C-4CDE-A674-A1361A7FC8BB}"/>
    <cellStyle name="Normal 6 27" xfId="3799" xr:uid="{5131B7A2-B2DC-42DF-8C5F-C10DE656BB0C}"/>
    <cellStyle name="Normal 6 27 2" xfId="3800" xr:uid="{A27E8983-C52B-494C-BD93-B086DE75BDE4}"/>
    <cellStyle name="Normal 6 28" xfId="3801" xr:uid="{ADFD6F66-8A95-4184-81B8-2EEBA3A439E9}"/>
    <cellStyle name="Normal 6 28 2" xfId="3802" xr:uid="{BC4AD924-4BA3-4656-B786-4A775800B702}"/>
    <cellStyle name="Normal 6 29" xfId="3803" xr:uid="{D83E53E0-AD91-487B-84FB-5DF33EEBE31A}"/>
    <cellStyle name="Normal 6 29 2" xfId="3804" xr:uid="{34947D03-9005-44EC-9F6B-8B0CAA4A942C}"/>
    <cellStyle name="Normal 6 3" xfId="3805" xr:uid="{458F166C-C018-464F-AF30-260C34DDDE99}"/>
    <cellStyle name="Normal 6 3 2" xfId="3806" xr:uid="{01F871F9-A90F-480C-A984-0CB5BF1015C8}"/>
    <cellStyle name="Normal 6 3 3" xfId="3807" xr:uid="{662812FB-A9C4-497C-A79B-95C53724952C}"/>
    <cellStyle name="Normal 6 3 4" xfId="3808" xr:uid="{6B1C0ED1-BF3C-47C5-93E2-93452E6351CA}"/>
    <cellStyle name="Normal 6 30" xfId="3809" xr:uid="{59FEE228-EDAA-4699-A38E-A1888DA43377}"/>
    <cellStyle name="Normal 6 31" xfId="3810" xr:uid="{29E2503E-A836-4D09-9882-6EE7C55FBAFB}"/>
    <cellStyle name="Normal 6 32" xfId="3811" xr:uid="{4B8F5BA0-EA2F-4CB3-AE98-5B9AED88D20D}"/>
    <cellStyle name="Normal 6 33" xfId="3812" xr:uid="{BDDB6FEE-4926-4397-B894-BFF7D2140E33}"/>
    <cellStyle name="Normal 6 34" xfId="3813" xr:uid="{DA1CC769-434F-433D-8321-CA1D65E647CA}"/>
    <cellStyle name="Normal 6 35" xfId="3814" xr:uid="{0678277E-C43A-43C8-9CFD-A16EDCFFE4FE}"/>
    <cellStyle name="Normal 6 36" xfId="3815" xr:uid="{BAF5718F-CF46-4651-8F83-FAD3CD6BACAB}"/>
    <cellStyle name="Normal 6 37" xfId="3816" xr:uid="{9DC27F3D-DA2F-4C74-A4C5-C3C5ACC88AD1}"/>
    <cellStyle name="Normal 6 38" xfId="3817" xr:uid="{3BE57C6E-16F5-4F29-9431-150C913AA1F0}"/>
    <cellStyle name="Normal 6 39" xfId="3818" xr:uid="{03F7D2BA-A617-426D-AA75-30D18EB4257A}"/>
    <cellStyle name="Normal 6 4" xfId="3819" xr:uid="{180067D1-635D-4804-839C-C7ED97CA8FA3}"/>
    <cellStyle name="Normal 6 4 2" xfId="3820" xr:uid="{3CE82F88-EA58-4E80-B413-D71ED11F4B59}"/>
    <cellStyle name="Normal 6 40" xfId="3821" xr:uid="{25A13D9A-ECBE-45D5-85AB-2EC1C419F965}"/>
    <cellStyle name="Normal 6 41" xfId="3822" xr:uid="{BE3B1EDF-1BF1-4559-AA02-326D2E229E47}"/>
    <cellStyle name="Normal 6 42" xfId="3823" xr:uid="{9E07A485-BDE3-47CD-8BAE-77D7014828A2}"/>
    <cellStyle name="Normal 6 43" xfId="3824" xr:uid="{C8DD053A-D63B-4001-B02E-E6E53D0EB60B}"/>
    <cellStyle name="Normal 6 44" xfId="3825" xr:uid="{BC43646C-CABD-49CB-9CCD-9965196C0FE1}"/>
    <cellStyle name="Normal 6 45" xfId="3826" xr:uid="{2A836795-26E3-4AA6-9957-B68204A77A76}"/>
    <cellStyle name="Normal 6 46" xfId="3827" xr:uid="{D99DC7BF-9013-44FE-86F6-95ECDB1D4647}"/>
    <cellStyle name="Normal 6 47" xfId="3828" xr:uid="{7699D2FB-C067-4F0B-99C8-2BA3A515E0CE}"/>
    <cellStyle name="Normal 6 48" xfId="3829" xr:uid="{96FD5481-BC33-4464-A5DD-246D1C58C0A7}"/>
    <cellStyle name="Normal 6 49" xfId="3830" xr:uid="{21F1158D-2339-4A9A-B89D-81773670399C}"/>
    <cellStyle name="Normal 6 5" xfId="3831" xr:uid="{16D546FA-7155-4C35-AF5F-A95E51CC6A8B}"/>
    <cellStyle name="Normal 6 5 2" xfId="3832" xr:uid="{52553FAA-3E37-49A0-8FA7-68B8547FE550}"/>
    <cellStyle name="Normal 6 50" xfId="3833" xr:uid="{95828BCC-C7FA-405F-A9D0-2E545275E3B3}"/>
    <cellStyle name="Normal 6 51" xfId="3834" xr:uid="{92F58655-38CF-443B-A327-6598F06E4CBB}"/>
    <cellStyle name="Normal 6 52" xfId="3835" xr:uid="{AD49EC8D-4789-4D2A-8227-1A22B8095B47}"/>
    <cellStyle name="Normal 6 53" xfId="3836" xr:uid="{5D4D9984-B8AA-4DFF-8F13-DDA5E497099F}"/>
    <cellStyle name="Normal 6 54" xfId="3837" xr:uid="{2082064E-A651-44BB-B217-43A05A704782}"/>
    <cellStyle name="Normal 6 55" xfId="3838" xr:uid="{D033F58F-50B7-4157-9F40-0FDEF492D4C8}"/>
    <cellStyle name="Normal 6 56" xfId="3839" xr:uid="{F527BCE8-116D-4A84-A2F3-AE31B52F19CB}"/>
    <cellStyle name="Normal 6 57" xfId="3840" xr:uid="{322D8964-2733-423C-995C-3E484ED55C8C}"/>
    <cellStyle name="Normal 6 58" xfId="3841" xr:uid="{47E5EC80-ACC3-4022-8041-D627899B6BAE}"/>
    <cellStyle name="Normal 6 59" xfId="3842" xr:uid="{D0C08A85-149C-488D-A4D8-B7CD2EC6C6E5}"/>
    <cellStyle name="Normal 6 6" xfId="3843" xr:uid="{D6FBC034-255A-461E-AACD-C8A68A994E9F}"/>
    <cellStyle name="Normal 6 6 2" xfId="3844" xr:uid="{842A39EE-C926-4EFC-B85E-CA4B110C9ECF}"/>
    <cellStyle name="Normal 6 60" xfId="3845" xr:uid="{19BB3F1A-06B4-4660-8E64-EA3371BCDD65}"/>
    <cellStyle name="Normal 6 61" xfId="3846" xr:uid="{D8ADAA98-F730-456B-B56C-C7C99DD63DB9}"/>
    <cellStyle name="Normal 6 62" xfId="3847" xr:uid="{7366ED5A-F322-429E-9207-127CBE17A0FE}"/>
    <cellStyle name="Normal 6 63" xfId="3848" xr:uid="{12CC59C4-0F26-4BBD-90DE-A25173A210EC}"/>
    <cellStyle name="Normal 6 64" xfId="3849" xr:uid="{2C7795F4-9E50-4FFD-8C45-33C5D65D65E0}"/>
    <cellStyle name="Normal 6 65" xfId="3850" xr:uid="{09E9744D-FB57-4C65-A76A-2FB9D471EF05}"/>
    <cellStyle name="Normal 6 66" xfId="3851" xr:uid="{A2A699C3-F903-44E0-86D6-6BDFDA7CE6A7}"/>
    <cellStyle name="Normal 6 67" xfId="3852" xr:uid="{6A06FC34-EDC8-4F60-8667-B89C2BF4697D}"/>
    <cellStyle name="Normal 6 68" xfId="3853" xr:uid="{3D6AD4B7-4957-4645-AB1C-CB2F4FA92E26}"/>
    <cellStyle name="Normal 6 69" xfId="3854" xr:uid="{12D6CB8E-DD3A-466F-94A1-19D1F5E413F2}"/>
    <cellStyle name="Normal 6 7" xfId="3855" xr:uid="{8B7DD852-41AD-4F87-BBA8-B108804B4775}"/>
    <cellStyle name="Normal 6 7 2" xfId="3856" xr:uid="{B39E5753-0550-40DC-8F81-C5C89E08A42E}"/>
    <cellStyle name="Normal 6 70" xfId="3857" xr:uid="{6CF501C6-5E0E-474E-9B94-507FEEB268DA}"/>
    <cellStyle name="Normal 6 71" xfId="3858" xr:uid="{DDDBDB4B-F060-4C44-B6B8-782E9D491023}"/>
    <cellStyle name="Normal 6 72" xfId="3859" xr:uid="{B7CF6A7F-8456-4FF0-9886-9188758A188D}"/>
    <cellStyle name="Normal 6 73" xfId="3860" xr:uid="{0F93FC8A-51D3-4749-82B4-4F6C216E8624}"/>
    <cellStyle name="Normal 6 74" xfId="3861" xr:uid="{E709E247-A917-4B0F-9D04-0B3B3F66BFED}"/>
    <cellStyle name="Normal 6 75" xfId="3862" xr:uid="{4461C8FA-302E-4B3A-A1C4-4542AC91C1DF}"/>
    <cellStyle name="Normal 6 76" xfId="3863" xr:uid="{54910AFD-901C-4F7E-8872-A585436C68A3}"/>
    <cellStyle name="Normal 6 77" xfId="3864" xr:uid="{74E4AD7A-D657-4E13-80A6-9066265341C9}"/>
    <cellStyle name="Normal 6 78" xfId="3865" xr:uid="{C58E7628-3A33-4B78-92B7-3A1E52E66912}"/>
    <cellStyle name="Normal 6 79" xfId="3866" xr:uid="{CE21658D-150D-435E-B28F-A6BEDBA1A26E}"/>
    <cellStyle name="Normal 6 8" xfId="3867" xr:uid="{0F032CA6-1B8C-4AB4-860E-08E45C8958DE}"/>
    <cellStyle name="Normal 6 8 2" xfId="3868" xr:uid="{A0EA4990-DEC2-41D9-8239-34F6C5A70BAD}"/>
    <cellStyle name="Normal 6 80" xfId="3869" xr:uid="{B90645EF-9419-43C3-8A83-7F897CE268B9}"/>
    <cellStyle name="Normal 6 81" xfId="3870" xr:uid="{51ED3770-1AB2-4E16-B3D9-EB1A975391EF}"/>
    <cellStyle name="Normal 6 82" xfId="3871" xr:uid="{5A75C9A0-F8E2-42A9-BFF7-D960E8D0C54C}"/>
    <cellStyle name="Normal 6 83" xfId="3872" xr:uid="{171C9CEE-176A-4936-BA5F-3604DE49AFFD}"/>
    <cellStyle name="Normal 6 84" xfId="3873" xr:uid="{EAC6408D-F760-4524-9BD8-3885363D2951}"/>
    <cellStyle name="Normal 6 85" xfId="3874" xr:uid="{A86D33D3-F2C8-43EB-B37A-54BB1D4C359B}"/>
    <cellStyle name="Normal 6 86" xfId="3875" xr:uid="{264826B8-0A0F-460E-AD03-22AA27562775}"/>
    <cellStyle name="Normal 6 87" xfId="3876" xr:uid="{C5646959-FFF3-4B2A-BA06-AA85E38CCA77}"/>
    <cellStyle name="Normal 6 88" xfId="3877" xr:uid="{C39A32CC-713B-458B-B3F0-34D0DC6D61C1}"/>
    <cellStyle name="Normal 6 89" xfId="3878" xr:uid="{0CD55EF3-A320-4AAF-A515-B83C902B18D4}"/>
    <cellStyle name="Normal 6 9" xfId="3879" xr:uid="{3E6DE246-D75C-4E2D-8DB1-13270D5F9C91}"/>
    <cellStyle name="Normal 6 9 2" xfId="3880" xr:uid="{248454BF-EEFF-4881-A521-5CFF345D218A}"/>
    <cellStyle name="Normal 6 90" xfId="3881" xr:uid="{C09E252B-D6F0-4489-8A36-E964BB4B1968}"/>
    <cellStyle name="Normal 6 91" xfId="3882" xr:uid="{04CBB7B1-5DCB-47E0-9E3C-A1F37B0F328D}"/>
    <cellStyle name="Normal 6 92" xfId="3883" xr:uid="{122CB362-F781-4338-9267-C13FC8D09FC7}"/>
    <cellStyle name="Normal 6 93" xfId="3884" xr:uid="{916B84AE-466F-4B33-9A6B-5CA87BE0B33F}"/>
    <cellStyle name="Normal 6 94" xfId="3885" xr:uid="{1E1FD63D-B7E8-4CA5-931C-66B496E30592}"/>
    <cellStyle name="Normal 6 95" xfId="3886" xr:uid="{A4819F27-CCA6-4BBA-AF5C-44FA0705CC0B}"/>
    <cellStyle name="Normal 6 96" xfId="3887" xr:uid="{212F55B4-63C9-47EA-956E-C08FF6F209D3}"/>
    <cellStyle name="Normal 6 97" xfId="3888" xr:uid="{4845E1FA-0C23-4285-A348-FBC4C77C986C}"/>
    <cellStyle name="Normal 6 98" xfId="3889" xr:uid="{7D66F7DC-5B45-4FD5-B2AF-F1670EDA2943}"/>
    <cellStyle name="Normal 6 99" xfId="3890" xr:uid="{2BC69364-B9FD-4878-A0E3-530B062775CF}"/>
    <cellStyle name="Normal 60" xfId="196" xr:uid="{4A91D369-747D-4984-95CF-C421149EC330}"/>
    <cellStyle name="Normal 60 2" xfId="3891" xr:uid="{AFE329BF-EF59-4BC2-95B9-A2EBCFA7E320}"/>
    <cellStyle name="Normal 60 3" xfId="3892" xr:uid="{5B30D784-0B73-4605-9C35-95911F69CD78}"/>
    <cellStyle name="Normal 60 4" xfId="3893" xr:uid="{26B4AA8D-202B-4FFA-A8FD-609434A9E582}"/>
    <cellStyle name="Normal 60 5" xfId="3894" xr:uid="{C48B2A2D-9505-4CFE-8A04-FE6A3B80E45B}"/>
    <cellStyle name="Normal 60 6" xfId="3895" xr:uid="{F45B77AA-C85B-406C-A151-73639FC33FDD}"/>
    <cellStyle name="Normal 60 7" xfId="3896" xr:uid="{84C75723-CB20-451A-BF72-277FEB026259}"/>
    <cellStyle name="Normal 60 8" xfId="3897" xr:uid="{FD635809-C32D-49AD-AEDE-9A3ACD39BBD2}"/>
    <cellStyle name="Normal 61" xfId="4691" xr:uid="{E1DF6672-922F-481E-87FB-4E72203A3002}"/>
    <cellStyle name="Normal 61 2" xfId="3898" xr:uid="{458D8920-468B-466F-BC02-174E046FFA29}"/>
    <cellStyle name="Normal 61 3" xfId="3899" xr:uid="{24228525-B975-4B9D-8F08-B27BF2205541}"/>
    <cellStyle name="Normal 61 4" xfId="3900" xr:uid="{F07D4B20-E6B8-4143-A3F4-F8C094A6310C}"/>
    <cellStyle name="Normal 61 5" xfId="3901" xr:uid="{9EFC5FDE-8408-41AD-8F88-053A25CBB911}"/>
    <cellStyle name="Normal 61 6" xfId="3902" xr:uid="{849A7C2C-98BD-45CF-9A31-E7F75553A6D2}"/>
    <cellStyle name="Normal 61 7" xfId="3903" xr:uid="{51330AC0-A3E9-4ADC-A371-05891B24BDE7}"/>
    <cellStyle name="Normal 61 8" xfId="3904" xr:uid="{A7EE3303-A0B9-480E-9D06-D336EE47F5CE}"/>
    <cellStyle name="Normal 62" xfId="4695" xr:uid="{16EC03C1-2A92-402B-B3FB-142CE0492D7A}"/>
    <cellStyle name="Normal 62 2" xfId="3905" xr:uid="{D4DD80FA-E504-4B0C-8832-78C39AEC6895}"/>
    <cellStyle name="Normal 62 3" xfId="3906" xr:uid="{65E44596-4700-4455-A91D-B3FE29C556E8}"/>
    <cellStyle name="Normal 62 4" xfId="3907" xr:uid="{A2BE1014-BBB6-4A1B-8CEA-885A3E024DFF}"/>
    <cellStyle name="Normal 62 5" xfId="3908" xr:uid="{2C0A2D64-475D-433F-A1A1-5586ABE93785}"/>
    <cellStyle name="Normal 62 6" xfId="3909" xr:uid="{BEF440EC-03C5-4364-B0C6-73E6E7438314}"/>
    <cellStyle name="Normal 62 7" xfId="3910" xr:uid="{54692F96-C4CE-4DC8-9F4E-55625F252D24}"/>
    <cellStyle name="Normal 62 8" xfId="3911" xr:uid="{C7A604BB-06FC-4201-BFFD-2E1B90C18BE7}"/>
    <cellStyle name="Normal 63 2" xfId="3912" xr:uid="{5A9AE0CE-FBC1-40D6-AF6E-2AC278862061}"/>
    <cellStyle name="Normal 63 3" xfId="3913" xr:uid="{A569EDBD-29EC-4FB2-88B8-CCF3786BB90E}"/>
    <cellStyle name="Normal 63 4" xfId="3914" xr:uid="{C3B1EB6E-3DA8-4DF1-ABDF-E440ACE320C0}"/>
    <cellStyle name="Normal 63 5" xfId="3915" xr:uid="{4F61A710-2D15-4F8B-BB32-49C71406FC91}"/>
    <cellStyle name="Normal 63 6" xfId="3916" xr:uid="{B715E85C-4E47-4545-988F-BA75FA8D91F3}"/>
    <cellStyle name="Normal 63 7" xfId="3917" xr:uid="{A6865430-43B9-4236-BE39-F1055AC6D8D7}"/>
    <cellStyle name="Normal 63 8" xfId="3918" xr:uid="{8B2BEDE0-6839-4E5E-8FAF-C57D5EF5C519}"/>
    <cellStyle name="Normal 64 2" xfId="3919" xr:uid="{837462A9-3149-4C41-B564-50C41B28F4AA}"/>
    <cellStyle name="Normal 64 3" xfId="3920" xr:uid="{4D2E47BA-8F9F-41B2-8A06-73128F6AF7B2}"/>
    <cellStyle name="Normal 64 4" xfId="3921" xr:uid="{29E05186-4578-4B02-918A-3999197A51B8}"/>
    <cellStyle name="Normal 64 5" xfId="3922" xr:uid="{29DEB181-EDCE-4258-A6A3-F2F2A36BF86B}"/>
    <cellStyle name="Normal 64 6" xfId="3923" xr:uid="{39A492CD-6DB5-47BD-AA7D-326531B1EEEC}"/>
    <cellStyle name="Normal 64 7" xfId="3924" xr:uid="{2F3D890E-9D4C-4D4C-8846-4AB5C317992B}"/>
    <cellStyle name="Normal 64 8" xfId="3925" xr:uid="{E90DDE26-3D6F-4FFB-A164-D4FBF415B3F7}"/>
    <cellStyle name="Normal 65" xfId="3926" xr:uid="{735D84D2-07B1-4841-8F3A-3CA8F85410AF}"/>
    <cellStyle name="Normal 65 2" xfId="3927" xr:uid="{5F1FF834-839E-4D60-8DAA-4BE587BBA1B3}"/>
    <cellStyle name="Normal 65 3" xfId="3928" xr:uid="{F93D6E5D-9C9C-4A03-ACCC-44B2A3216987}"/>
    <cellStyle name="Normal 65 4" xfId="3929" xr:uid="{BE2988B4-5062-4B28-A7F1-CEA1FE11F2DE}"/>
    <cellStyle name="Normal 65 5" xfId="3930" xr:uid="{611C6B1E-7824-4710-B347-5FA329B41A2F}"/>
    <cellStyle name="Normal 65 6" xfId="3931" xr:uid="{A1A0C9A0-8B91-413E-944E-58C71BABF7AD}"/>
    <cellStyle name="Normal 65 7" xfId="3932" xr:uid="{40A32DC1-5EFC-42F5-B7A7-FDE936367694}"/>
    <cellStyle name="Normal 65 8" xfId="3933" xr:uid="{62B1871A-8B25-4E0D-AA4B-D7C1388D42F2}"/>
    <cellStyle name="Normal 67 2" xfId="3934" xr:uid="{31A21967-A0BC-449E-8258-76D85C55AACB}"/>
    <cellStyle name="Normal 67 3" xfId="3935" xr:uid="{6647F28E-C791-4FF5-8EDC-59F560DC92E3}"/>
    <cellStyle name="Normal 67 4" xfId="3936" xr:uid="{E10CB019-E96A-4B15-909C-47381703FD93}"/>
    <cellStyle name="Normal 67 5" xfId="3937" xr:uid="{3B62DFFA-DBFB-460A-9E1F-025618C5837E}"/>
    <cellStyle name="Normal 67 6" xfId="3938" xr:uid="{82C5CFD7-50CA-4F70-8FE0-7F2EC7727FEE}"/>
    <cellStyle name="Normal 67 7" xfId="3939" xr:uid="{A6CA9BE5-F5F9-4B09-8D60-49C1B8592901}"/>
    <cellStyle name="Normal 67 8" xfId="3940" xr:uid="{4B0A60FB-BBD4-43F3-90B8-DD9187814420}"/>
    <cellStyle name="Normal 69 2" xfId="3941" xr:uid="{640346C0-6A2D-4898-90A4-4F33ED17251B}"/>
    <cellStyle name="Normal 69 3" xfId="3942" xr:uid="{289CA38C-735C-45ED-ACC2-195B9A7F47E1}"/>
    <cellStyle name="Normal 69 4" xfId="3943" xr:uid="{741B06E8-59F0-41E0-9A93-998736AC7CE9}"/>
    <cellStyle name="Normal 69 5" xfId="3944" xr:uid="{CD907F9D-22AC-41E3-AA93-B0D04384E3A0}"/>
    <cellStyle name="Normal 69 6" xfId="3945" xr:uid="{EAFECE4A-6B12-499B-A09C-3DF03DB042D8}"/>
    <cellStyle name="Normal 69 7" xfId="3946" xr:uid="{B07D5379-7408-486C-8E02-131BB33DDAE6}"/>
    <cellStyle name="Normal 69 8" xfId="3947" xr:uid="{598ACD77-E71A-4910-BE9B-4C508B617D23}"/>
    <cellStyle name="Normal 7" xfId="181" xr:uid="{8EEE6CA1-48A5-4605-BD9A-EC2055DBEF07}"/>
    <cellStyle name="Normal-- 7" xfId="3948" xr:uid="{EE8F4BE0-BF55-43A3-8AB6-DE5679A48EDC}"/>
    <cellStyle name="Normal 7 10" xfId="3949" xr:uid="{015BD748-A5D7-4F38-958C-2400327BE7E2}"/>
    <cellStyle name="Normal 7 11" xfId="3950" xr:uid="{C9378CCF-259C-4256-AAAB-B339D4107DE1}"/>
    <cellStyle name="Normal 7 12" xfId="3951" xr:uid="{490B75D4-D892-4675-9C11-D2812C8FC470}"/>
    <cellStyle name="Normal 7 13" xfId="3952" xr:uid="{2657DA9B-466C-4A42-8E8F-F88E3C353349}"/>
    <cellStyle name="Normal 7 14" xfId="3953" xr:uid="{57D25E81-8941-4DDA-847A-FE5361FF33D9}"/>
    <cellStyle name="Normal 7 15" xfId="3954" xr:uid="{C8351F1F-51B5-4A21-8612-102015E74F85}"/>
    <cellStyle name="Normal 7 16" xfId="3955" xr:uid="{A94509C5-F65D-4150-B267-DE8396386376}"/>
    <cellStyle name="Normal 7 17" xfId="3956" xr:uid="{85D48A50-2515-40FB-90C6-A36B21F12A80}"/>
    <cellStyle name="Normal 7 18" xfId="3957" xr:uid="{904E67A4-614D-47E9-96B8-4DDC1ADF86AB}"/>
    <cellStyle name="Normal 7 19" xfId="3958" xr:uid="{F88CA9E2-5B11-4434-A40A-C09A9FB69703}"/>
    <cellStyle name="Normal 7 2" xfId="3959" xr:uid="{C6549440-9BB0-488F-9B6E-8462A3A16A50}"/>
    <cellStyle name="Normal 7 2 2" xfId="3960" xr:uid="{590177DF-8253-498D-8F1E-C30803BCBB7A}"/>
    <cellStyle name="Normal 7 2 3" xfId="3961" xr:uid="{A50D3E41-1F82-41C1-B285-4140C1CA47DB}"/>
    <cellStyle name="Normal 7 2 4" xfId="3962" xr:uid="{DD64143A-4838-49BF-94B5-0468A793966C}"/>
    <cellStyle name="Normal 7 20" xfId="3963" xr:uid="{80D01B55-5CA9-485A-A656-FAD31BDD79F4}"/>
    <cellStyle name="Normal 7 21" xfId="3964" xr:uid="{618F042C-3D0C-434A-AB72-29BFC1E7A025}"/>
    <cellStyle name="Normal 7 22" xfId="3965" xr:uid="{CE311043-32AC-4B06-8540-78D06DE3F212}"/>
    <cellStyle name="Normal 7 23" xfId="3966" xr:uid="{0EC0D728-01A4-4D97-9CA7-F66E521D093D}"/>
    <cellStyle name="Normal 7 24" xfId="3967" xr:uid="{C76A18C2-785B-48D1-967A-8B2FA0C55798}"/>
    <cellStyle name="Normal 7 25" xfId="3968" xr:uid="{61459C5F-A7E8-4DAC-A124-E6F3E97AC156}"/>
    <cellStyle name="Normal 7 26" xfId="3969" xr:uid="{2B427AC9-BB07-4C46-A0B0-0C116F8B9673}"/>
    <cellStyle name="Normal 7 27" xfId="3970" xr:uid="{3DC7CF25-5BB4-4C8A-A324-747792515766}"/>
    <cellStyle name="Normal 7 28" xfId="3971" xr:uid="{251D40A7-13A6-45FF-8014-3A4D90F23539}"/>
    <cellStyle name="Normal 7 29" xfId="3972" xr:uid="{FC1F13DA-D2F2-464D-A9E5-51CFA2972474}"/>
    <cellStyle name="Normal 7 3" xfId="3973" xr:uid="{21BABC78-E8E6-491B-B9F8-7AEF15FD7A53}"/>
    <cellStyle name="Normal 7 30" xfId="3974" xr:uid="{E4136E1E-51FB-47B1-8624-1C6F808AFF25}"/>
    <cellStyle name="Normal 7 31" xfId="3975" xr:uid="{66183457-57E2-4085-B14D-6D4152153B0C}"/>
    <cellStyle name="Normal 7 32" xfId="3976" xr:uid="{51EB8108-8038-49B6-88CA-BCC16D3F8C1B}"/>
    <cellStyle name="Normal 7 33" xfId="3977" xr:uid="{084EB0A6-8AB5-45F1-BE0B-C1D1263E095C}"/>
    <cellStyle name="Normal 7 34" xfId="3978" xr:uid="{7B423546-2165-48E5-9A64-9FA06C74E97B}"/>
    <cellStyle name="Normal 7 35" xfId="3979" xr:uid="{B6D6E3DB-F18A-4293-B369-BE39494F8D2A}"/>
    <cellStyle name="Normal 7 36" xfId="3980" xr:uid="{FB49EE8B-6294-468C-9F4E-89FBAB8FABF8}"/>
    <cellStyle name="Normal 7 37" xfId="3981" xr:uid="{62F4C996-ABEA-4D58-AE9A-33CCE0F52141}"/>
    <cellStyle name="Normal 7 38" xfId="3982" xr:uid="{581160C7-FE0A-4317-AA2B-6EF1CBF555EA}"/>
    <cellStyle name="Normal 7 4" xfId="3983" xr:uid="{9862202B-677B-44F9-A817-EE2F6AC4E8CE}"/>
    <cellStyle name="Normal 7 5" xfId="3984" xr:uid="{1C851BF3-3CB4-4D0B-915F-5C874DDF084A}"/>
    <cellStyle name="Normal 7 6" xfId="3985" xr:uid="{B548DC14-FE43-42CF-AA31-81CF5008ECB9}"/>
    <cellStyle name="Normal 7 7" xfId="3986" xr:uid="{6BA4BD2C-868F-46A7-B0BD-D7804D0EE110}"/>
    <cellStyle name="Normal 7 8" xfId="3987" xr:uid="{1DE8892C-8CEB-412E-8966-370DF0080191}"/>
    <cellStyle name="Normal 7 9" xfId="3988" xr:uid="{B78BD5C2-C6D1-4CCB-829A-D0259AF80529}"/>
    <cellStyle name="Normal 70 2" xfId="3989" xr:uid="{38DB8171-7EB5-49EF-BBEC-BE8350EFB27E}"/>
    <cellStyle name="Normal 70 3" xfId="3990" xr:uid="{0AB64461-4C30-4B00-827A-F51A6684C561}"/>
    <cellStyle name="Normal 70 4" xfId="3991" xr:uid="{6EC67A8A-8076-4003-921A-3CE42E5C9FC1}"/>
    <cellStyle name="Normal 70 5" xfId="3992" xr:uid="{2756E890-66BB-41B7-9D69-6400969CA305}"/>
    <cellStyle name="Normal 70 6" xfId="3993" xr:uid="{C3B8CECD-D80D-47EA-B1A6-99730F5603E1}"/>
    <cellStyle name="Normal 70 7" xfId="3994" xr:uid="{EEFA14B6-E9F2-49AE-A3AD-980542F865B5}"/>
    <cellStyle name="Normal 70 8" xfId="3995" xr:uid="{89591943-C16B-4955-B572-0C7034EC2FFD}"/>
    <cellStyle name="Normal 71 2" xfId="3996" xr:uid="{38C37E8A-C839-4333-AEB3-903FA79E7B76}"/>
    <cellStyle name="Normal 71 3" xfId="3997" xr:uid="{4EB7B1BA-3D10-4AEB-9788-0167698EFC3C}"/>
    <cellStyle name="Normal 71 4" xfId="3998" xr:uid="{9115BB96-0E36-4473-873A-E0D1CFF2CC78}"/>
    <cellStyle name="Normal 71 5" xfId="3999" xr:uid="{93B7F242-EE38-4816-93CE-AE63801BA94A}"/>
    <cellStyle name="Normal 71 6" xfId="4000" xr:uid="{13F00762-0F3E-47AA-8B68-E8B42FB58B2B}"/>
    <cellStyle name="Normal 71 7" xfId="4001" xr:uid="{858F7F26-AFB0-4BD8-BA84-B602A1447581}"/>
    <cellStyle name="Normal 71 8" xfId="4002" xr:uid="{8DA197DD-202C-439E-A50F-0BB235097484}"/>
    <cellStyle name="Normal 72 2" xfId="4003" xr:uid="{905B6ED0-DA77-4705-A42B-C746241C76AB}"/>
    <cellStyle name="Normal 72 3" xfId="4004" xr:uid="{F92BA7FA-AB8D-4282-8F9A-CC5C554E176B}"/>
    <cellStyle name="Normal 72 4" xfId="4005" xr:uid="{C12F5023-8DDE-45FF-A3E1-E3B892C0840A}"/>
    <cellStyle name="Normal 72 5" xfId="4006" xr:uid="{2F513D35-C4FD-4D43-A3C3-B9A5E1579ADB}"/>
    <cellStyle name="Normal 72 6" xfId="4007" xr:uid="{50AACCEC-93E0-4790-8422-74224BE7E0FF}"/>
    <cellStyle name="Normal 72 7" xfId="4008" xr:uid="{44DE65EB-6680-4647-A9B5-9AA5AF130420}"/>
    <cellStyle name="Normal 72 8" xfId="4009" xr:uid="{91B83E1F-9E8E-488D-A4BA-BC705103AE51}"/>
    <cellStyle name="Normal 73 2" xfId="4010" xr:uid="{B53A34A6-3D73-454A-9C38-CEF86B465D87}"/>
    <cellStyle name="Normal 73 3" xfId="4011" xr:uid="{B6E28BAD-DBD8-41B4-BBB7-C9F172C074D1}"/>
    <cellStyle name="Normal 73 4" xfId="4012" xr:uid="{72155986-FC82-4B79-8696-D3781120171C}"/>
    <cellStyle name="Normal 73 5" xfId="4013" xr:uid="{EDFF23C2-1909-46FB-BFB1-F9DFC50C125B}"/>
    <cellStyle name="Normal 73 6" xfId="4014" xr:uid="{F636BBA4-9E78-4ACD-8A63-C14B3AD0A0C0}"/>
    <cellStyle name="Normal 73 7" xfId="4015" xr:uid="{7003B536-948D-41BA-B41C-9D6A3A6DB727}"/>
    <cellStyle name="Normal 73 8" xfId="4016" xr:uid="{44681D3E-16E4-4002-9886-70ECA781E07C}"/>
    <cellStyle name="Normal 74 2" xfId="4017" xr:uid="{EFA50328-BA5F-4AA0-9D47-3D1608D58AC5}"/>
    <cellStyle name="Normal 74 3" xfId="4018" xr:uid="{0386E9FB-97B8-4087-80A3-55E39E985B03}"/>
    <cellStyle name="Normal 74 4" xfId="4019" xr:uid="{8DBE4AE4-4B81-4AA8-AC46-7C10FE1A8CE2}"/>
    <cellStyle name="Normal 74 5" xfId="4020" xr:uid="{2D1E50A9-77F4-4864-81E4-0094B7F7B387}"/>
    <cellStyle name="Normal 74 6" xfId="4021" xr:uid="{29E7991A-73AC-482F-9445-43259A9189FA}"/>
    <cellStyle name="Normal 74 7" xfId="4022" xr:uid="{7D6EA6EB-2E68-4F30-878B-1146E6309745}"/>
    <cellStyle name="Normal 74 8" xfId="4023" xr:uid="{D3D4C484-E7DA-4ABE-A087-1FBB764BA8F1}"/>
    <cellStyle name="Normal 75 2" xfId="4024" xr:uid="{75555A7B-0C41-4B28-B1A6-AF6FEC480036}"/>
    <cellStyle name="Normal 75 3" xfId="4025" xr:uid="{A5E6E0AC-E11C-4A80-9422-39774CA5855D}"/>
    <cellStyle name="Normal 75 4" xfId="4026" xr:uid="{C527BEE1-A673-4354-AFB6-B45CAB80F3A3}"/>
    <cellStyle name="Normal 75 5" xfId="4027" xr:uid="{E54712C4-D2B4-4EC4-8BE6-6387B2337017}"/>
    <cellStyle name="Normal 75 6" xfId="4028" xr:uid="{6616D200-0D8C-4C23-ACA5-3E88E97DFC25}"/>
    <cellStyle name="Normal 75 7" xfId="4029" xr:uid="{192178D9-D44D-48B7-96F4-24B8677310C2}"/>
    <cellStyle name="Normal 75 8" xfId="4030" xr:uid="{2D952D54-9CDF-428B-8C71-9015545BE058}"/>
    <cellStyle name="Normal 76" xfId="4031" xr:uid="{1A242E8D-D705-4477-844C-544A42023537}"/>
    <cellStyle name="Normal 77" xfId="4032" xr:uid="{C8E3CD7A-A63C-4A05-A6C6-2811E4BC3BBC}"/>
    <cellStyle name="Normal 8" xfId="190" xr:uid="{E7093EC7-628B-4786-BDC9-95BEA40A4D48}"/>
    <cellStyle name="Normal-- 8" xfId="4034" xr:uid="{3FC972D4-9327-43D6-B8B1-03936D93B5C7}"/>
    <cellStyle name="Normal 8 10" xfId="4035" xr:uid="{01F8BBDB-65F8-4498-A6E5-9F4AF74044F3}"/>
    <cellStyle name="Normal 8 11" xfId="4036" xr:uid="{6579901C-3AEF-4777-9DFE-411A0ACAFB23}"/>
    <cellStyle name="Normal 8 12" xfId="4037" xr:uid="{6261A21C-5CC0-4F85-8C03-C57451CD7681}"/>
    <cellStyle name="Normal 8 13" xfId="4038" xr:uid="{78D4A2FF-85A7-4B18-9C00-ABB9C9471A67}"/>
    <cellStyle name="Normal 8 14" xfId="4039" xr:uid="{6A47DC96-0ACE-4B13-A580-E7D660835A5A}"/>
    <cellStyle name="Normal 8 15" xfId="4040" xr:uid="{AE6A9D39-B7F2-49DA-B50C-A0DFC1D6C701}"/>
    <cellStyle name="Normal 8 16" xfId="4041" xr:uid="{68ADC3C9-A2BB-42B2-9A34-5B673E0DF7C5}"/>
    <cellStyle name="Normal 8 17" xfId="4042" xr:uid="{70B24F1C-07B0-480F-9D7A-97A22B8DFF6F}"/>
    <cellStyle name="Normal 8 18" xfId="4043" xr:uid="{8E2293F5-A1DE-49F0-8977-65058AB13EC3}"/>
    <cellStyle name="Normal 8 19" xfId="4044" xr:uid="{A3E11F1F-D4C6-405F-B21C-A34043AB155A}"/>
    <cellStyle name="Normal 8 2" xfId="4045" xr:uid="{C005E1B0-AC71-492C-930E-D08CCD020AED}"/>
    <cellStyle name="Normal 8 2 2" xfId="4046" xr:uid="{F364099A-B9B2-4A24-9046-0DEB0B5709F8}"/>
    <cellStyle name="Normal 8 20" xfId="4047" xr:uid="{17104D80-8F79-40DE-ADE4-6F4AA2C0BEEE}"/>
    <cellStyle name="Normal 8 21" xfId="4048" xr:uid="{519A8176-8096-4B30-8BF4-4F3C4B7CF95B}"/>
    <cellStyle name="Normal 8 21 2" xfId="4049" xr:uid="{283F2AD3-9CC5-440C-81B2-9C6F3CAF9887}"/>
    <cellStyle name="Normal 8 21 2 2" xfId="4050" xr:uid="{E1F9DC43-0757-42D4-B1AE-CBCE2E157914}"/>
    <cellStyle name="Normal 8 21 2 2 2" xfId="4051" xr:uid="{63A9DB1A-1648-49ED-86DE-6209314C9F08}"/>
    <cellStyle name="Normal 8 21 2 3" xfId="4052" xr:uid="{28DC94B4-64E8-48E9-8FBF-05B4F3175413}"/>
    <cellStyle name="Normal 8 21 3" xfId="4053" xr:uid="{2B2D8ABA-146D-4188-A8A4-76537C24D472}"/>
    <cellStyle name="Normal 8 21 3 2" xfId="4054" xr:uid="{91CE8F18-2E0A-40CC-A669-48D2F147AB0F}"/>
    <cellStyle name="Normal 8 21 4" xfId="4055" xr:uid="{A0AED57C-54D2-40CE-B673-341BAB7E839A}"/>
    <cellStyle name="Normal 8 22" xfId="4056" xr:uid="{BD478262-9EAA-4ED0-92A0-68E439AF10E7}"/>
    <cellStyle name="Normal 8 22 2" xfId="4057" xr:uid="{9A5DE7AA-9B93-4A37-877C-E23B30EA6A35}"/>
    <cellStyle name="Normal 8 22 2 2" xfId="4058" xr:uid="{D336AA5C-414C-4F49-AFA9-D8851BB10C1B}"/>
    <cellStyle name="Normal 8 22 2 2 2" xfId="4059" xr:uid="{03C8E404-337A-4D31-9AAC-1917A439202B}"/>
    <cellStyle name="Normal 8 22 2 3" xfId="4060" xr:uid="{83BB3FE6-B8FC-4583-8979-0F2DC3417342}"/>
    <cellStyle name="Normal 8 22 3" xfId="4061" xr:uid="{2F5F9238-A070-492A-BD49-D670D6985F0E}"/>
    <cellStyle name="Normal 8 22 3 2" xfId="4062" xr:uid="{DF6F4BDB-DC76-458B-96FE-A032E96C684E}"/>
    <cellStyle name="Normal 8 22 4" xfId="4063" xr:uid="{E4B7883E-EC4F-442B-9BA0-518F03038BF0}"/>
    <cellStyle name="Normal 8 23" xfId="4064" xr:uid="{DA44C83E-1F53-4366-8198-7EEE61276D2D}"/>
    <cellStyle name="Normal 8 23 2" xfId="4065" xr:uid="{A4F55F92-D864-4B50-A987-F80497A3E08B}"/>
    <cellStyle name="Normal 8 23 2 2" xfId="4066" xr:uid="{96B056C0-FDCA-439F-8737-2A29071D5734}"/>
    <cellStyle name="Normal 8 23 3" xfId="4067" xr:uid="{5C722001-8059-455A-9834-60B953146389}"/>
    <cellStyle name="Normal 8 24" xfId="4068" xr:uid="{02E39A52-FBCC-40AA-9C91-B8E7164CB221}"/>
    <cellStyle name="Normal 8 24 2" xfId="4069" xr:uid="{5053EB5B-0620-43B8-9359-41AF8C0B7302}"/>
    <cellStyle name="Normal 8 25" xfId="4070" xr:uid="{90E2E2FE-ABBC-42F4-8CA4-A330BDFDD7EB}"/>
    <cellStyle name="Normal 8 26" xfId="4071" xr:uid="{B114CE64-F429-4176-8E8A-B0495C31728B}"/>
    <cellStyle name="Normal 8 27" xfId="4072" xr:uid="{A2AD9AED-3C3A-45ED-B6BA-EE7BA6BCE5BC}"/>
    <cellStyle name="Normal 8 28" xfId="4073" xr:uid="{33BBD8E1-1A55-4CCE-86DF-266275520A08}"/>
    <cellStyle name="Normal 8 29" xfId="4074" xr:uid="{5A37C927-3690-4E83-AE98-875634F53506}"/>
    <cellStyle name="Normal 8 3" xfId="4075" xr:uid="{5B9C28A1-7F82-4954-AD06-A5ABBDA6B6E3}"/>
    <cellStyle name="Normal 8 3 2" xfId="4076" xr:uid="{129C276F-3261-4483-BC79-5D3EB1E3524B}"/>
    <cellStyle name="Normal 8 30" xfId="4077" xr:uid="{D8BB8693-646C-4966-8B66-1B41DE6FE4F4}"/>
    <cellStyle name="Normal 8 31" xfId="4078" xr:uid="{2F61AECA-AB54-472F-8B60-B7FDDF66C3AB}"/>
    <cellStyle name="Normal 8 32" xfId="4079" xr:uid="{5D5150FC-0FCB-4092-B639-51D1E29CC987}"/>
    <cellStyle name="Normal 8 33" xfId="4080" xr:uid="{E2A14B17-327D-4583-ADA6-ABDA32F8B1F0}"/>
    <cellStyle name="Normal 8 34" xfId="4081" xr:uid="{ADD93874-3EC5-4346-8DB0-40A5F1F664FB}"/>
    <cellStyle name="Normal 8 35" xfId="4082" xr:uid="{436B780D-EB3B-4142-946A-5E46A0491C63}"/>
    <cellStyle name="Normal 8 36" xfId="4083" xr:uid="{7B5C3AF0-DCE6-4FB5-8FAE-0EB433751189}"/>
    <cellStyle name="Normal 8 37" xfId="4084" xr:uid="{EA02AAB4-A9AA-454C-B3AC-6FD712E97891}"/>
    <cellStyle name="Normal 8 38" xfId="4085" xr:uid="{E1F6E80D-E622-4B28-A980-4CC195BAB287}"/>
    <cellStyle name="Normal 8 39" xfId="4086" xr:uid="{9BA150EC-04B8-4EF2-890C-35ED6070BF7B}"/>
    <cellStyle name="Normal 8 4" xfId="4087" xr:uid="{80155F68-241E-44AC-87C9-C40AC87704C6}"/>
    <cellStyle name="Normal 8 40" xfId="4088" xr:uid="{15B9C21C-A971-4397-A530-0AAFCBAB111E}"/>
    <cellStyle name="Normal 8 41" xfId="4089" xr:uid="{B8081983-3144-4619-A66A-3A42BC0F8DD1}"/>
    <cellStyle name="Normal 8 42" xfId="4090" xr:uid="{8C2495B6-5379-4F2F-BD6A-4660BBB593A3}"/>
    <cellStyle name="Normal 8 43" xfId="4033" xr:uid="{9776762F-18FC-4DDA-A7B6-4D2A44DA4C64}"/>
    <cellStyle name="Normal 8 5" xfId="4091" xr:uid="{379C83C4-7DCB-4F0E-891B-EC34DD5C7E57}"/>
    <cellStyle name="Normal 8 6" xfId="4092" xr:uid="{34DD44A6-1D8B-4868-8BB0-90A524156D7F}"/>
    <cellStyle name="Normal 8 7" xfId="4093" xr:uid="{F92F920E-D7FF-4464-BAF3-67209C322B9F}"/>
    <cellStyle name="Normal 8 8" xfId="4094" xr:uid="{22FFB9FC-2CCF-4113-9D59-2A9DAF72ACEA}"/>
    <cellStyle name="Normal 8 9" xfId="4095" xr:uid="{BD930180-A890-43AE-BFAE-8EBC3F443B79}"/>
    <cellStyle name="Normal 9" xfId="191" xr:uid="{646F0F26-15BA-4AA9-A491-9B439C128D23}"/>
    <cellStyle name="Normal 9 2" xfId="4097" xr:uid="{EF69D6C2-58DC-4ACD-9CA5-DF344A5FA26A}"/>
    <cellStyle name="Normal 9 2 2" xfId="4098" xr:uid="{FEC9D0AA-CC48-4C75-822B-6BAC3A09C9F6}"/>
    <cellStyle name="Normal 9 3" xfId="4099" xr:uid="{BAE1CF43-BEC4-4A13-BCF0-CD1DD6FDA394}"/>
    <cellStyle name="Normal 9 4" xfId="4100" xr:uid="{B06A2E47-0B7C-4E41-BBFD-5D05E08B1A3E}"/>
    <cellStyle name="Normal 9 5" xfId="4101" xr:uid="{993D1598-8997-4696-A9CE-63AAB64F7571}"/>
    <cellStyle name="Normal 9 6" xfId="4102" xr:uid="{BF3FE1C1-78DE-40A6-84A5-6A296179C7A8}"/>
    <cellStyle name="Normal 9 7" xfId="4096" xr:uid="{F9EDE43F-2234-4CF3-A6D3-788BEA463EC1}"/>
    <cellStyle name="Normal2" xfId="4103" xr:uid="{AF99AA6D-9618-453D-BA54-09ABE13DECE4}"/>
    <cellStyle name="Normale_97.98.us" xfId="4104" xr:uid="{25490027-2141-4BE4-84AB-5AAA76231264}"/>
    <cellStyle name="NormalGB" xfId="4105" xr:uid="{527E6824-279A-42C0-9CCE-8B86F4E07EB1}"/>
    <cellStyle name="Normalx" xfId="4106" xr:uid="{0E2E9A65-C31C-4E5C-B837-02BDF383E86D}"/>
    <cellStyle name="Note" xfId="25" builtinId="10" customBuiltin="1"/>
    <cellStyle name="Note 2" xfId="116" xr:uid="{900DA36F-4391-4CB4-9A35-CCFBBA54B8A7}"/>
    <cellStyle name="Note 2 10" xfId="4108" xr:uid="{73BECA86-2DD3-49D0-8EA3-647472468B75}"/>
    <cellStyle name="Note 2 11" xfId="4109" xr:uid="{CF3B7A6D-4E52-4E39-A9DE-8BB199180F95}"/>
    <cellStyle name="Note 2 12" xfId="4110" xr:uid="{025FA563-549D-489E-93E2-81D85A6708F1}"/>
    <cellStyle name="Note 2 13" xfId="4111" xr:uid="{59CC0283-590B-49BC-B4F8-319EC270CF2C}"/>
    <cellStyle name="Note 2 14" xfId="4107" xr:uid="{CAB24152-EA14-4908-B3D8-A5F9BD27F2EF}"/>
    <cellStyle name="Note 2 2" xfId="4112" xr:uid="{D2EDE862-52C3-4D9D-B9F4-25B9EC067684}"/>
    <cellStyle name="Note 2 2 2" xfId="4113" xr:uid="{E1C29099-F186-4CD6-9CFE-F994BE0CAD0D}"/>
    <cellStyle name="Note 2 2 2 2" xfId="4114" xr:uid="{1F6AB497-F958-47CF-8A22-9CC7D85358FD}"/>
    <cellStyle name="Note 2 2 2 3" xfId="4115" xr:uid="{25ECC718-F6A6-49CB-A557-164C069D61DD}"/>
    <cellStyle name="Note 2 2 3" xfId="4116" xr:uid="{A7F48459-B810-4152-A02C-F63D8DB9DDD1}"/>
    <cellStyle name="Note 2 2 4" xfId="4117" xr:uid="{EE7F5BDD-4EA3-461C-BEC4-51404331CD49}"/>
    <cellStyle name="Note 2 2 5" xfId="4118" xr:uid="{86228917-C998-4360-970E-F412DFD3E9F3}"/>
    <cellStyle name="Note 2 2 6" xfId="4119" xr:uid="{E00BE55E-0FFD-4D55-9966-C7FE833E8064}"/>
    <cellStyle name="Note 2 3" xfId="4120" xr:uid="{3E714330-5025-4429-AF2D-2BB0459A17EE}"/>
    <cellStyle name="Note 2 3 2" xfId="4121" xr:uid="{0EA61706-F7D4-49A1-A57F-E1B218E92AF5}"/>
    <cellStyle name="Note 2 4" xfId="4122" xr:uid="{7D95B677-37A1-40EF-80DC-A8465CD1FC98}"/>
    <cellStyle name="Note 2 5" xfId="4123" xr:uid="{4EE3A32F-F8E1-4957-8A8B-02201EFC3AC4}"/>
    <cellStyle name="Note 2 6" xfId="4124" xr:uid="{B0A4097B-F036-402A-BFA8-1C5120176E46}"/>
    <cellStyle name="Note 2 7" xfId="4125" xr:uid="{B3F49C99-8AAC-4002-B387-83F915DFC203}"/>
    <cellStyle name="Note 2 8" xfId="4126" xr:uid="{E180FC61-382A-48EB-9CC0-2387DFC089E3}"/>
    <cellStyle name="Note 2 9" xfId="4127" xr:uid="{AE79FF33-C6CB-458C-89E1-32B071161036}"/>
    <cellStyle name="Note 3" xfId="97" xr:uid="{34AA5A48-512B-43B1-BB97-11F8CF65642D}"/>
    <cellStyle name="Note 3 2" xfId="4129" xr:uid="{6D150759-10D8-4A83-90FC-136B6A232473}"/>
    <cellStyle name="Note 3 3" xfId="4130" xr:uid="{D920B359-CA2F-4EEA-97E1-2A8296C389E9}"/>
    <cellStyle name="Note 3 4" xfId="4128" xr:uid="{D35F4D8B-9D0D-46F5-A435-51A8CE27A1DF}"/>
    <cellStyle name="Note 4" xfId="4131" xr:uid="{4E9B2482-8589-43EE-B322-F481F9EEC2F3}"/>
    <cellStyle name="Note 4 2" xfId="4132" xr:uid="{942CABEF-F315-4833-AB7B-98B09AAECA15}"/>
    <cellStyle name="Note 5" xfId="4133" xr:uid="{7EBCC3F7-2526-4B4E-B0B1-C82276292822}"/>
    <cellStyle name="Note 5 2" xfId="4134" xr:uid="{82582E43-0A68-4E2D-9A34-44B12A564040}"/>
    <cellStyle name="Note 6" xfId="4135" xr:uid="{699F882F-93C9-468E-B16D-73F95266609A}"/>
    <cellStyle name="Note 6 2" xfId="4136" xr:uid="{52C4854A-7607-4B4E-8EB8-156774BD7579}"/>
    <cellStyle name="Note 7" xfId="4137" xr:uid="{E1CA31DC-211A-4374-8740-18861FB768A6}"/>
    <cellStyle name="Note 7 2" xfId="4138" xr:uid="{B9E72AD4-A101-469E-A52B-556E3CED70E0}"/>
    <cellStyle name="Note 8" xfId="4139" xr:uid="{0B5133AC-6CA5-4FC0-B466-295BA290FD77}"/>
    <cellStyle name="Note 8 2" xfId="4140" xr:uid="{D79697AB-EBB8-4F67-93A8-A62D70B22A73}"/>
    <cellStyle name="Note 8 2 2" xfId="4141" xr:uid="{18874A28-878C-4B17-B258-4538EF3388F4}"/>
    <cellStyle name="Note 8 2 2 2" xfId="4142" xr:uid="{F5EBD6DF-8AF0-4FC9-9097-C37BB8212090}"/>
    <cellStyle name="Note 8 2 2 2 2" xfId="4143" xr:uid="{40F5FC31-B746-4DB6-8740-7B8D6BF87BB7}"/>
    <cellStyle name="Note 8 2 2 3" xfId="4144" xr:uid="{999DC583-107C-4888-B59D-C75B6A80AE45}"/>
    <cellStyle name="Note 8 2 3" xfId="4145" xr:uid="{F10BFA8A-2769-4593-A03D-86505BB2AC6E}"/>
    <cellStyle name="Note 8 2 3 2" xfId="4146" xr:uid="{A6AE134B-97A9-4C3D-BD39-F41406937C66}"/>
    <cellStyle name="Note 8 2 4" xfId="4147" xr:uid="{748C826E-C2DB-4DB8-94A6-35B3A87E334E}"/>
    <cellStyle name="Note 8 3" xfId="4148" xr:uid="{03B19935-CE5C-425C-89B1-69CD7805A39F}"/>
    <cellStyle name="Note 8 3 2" xfId="4149" xr:uid="{DD9A843A-A5DF-451F-9665-6E0207539BDF}"/>
    <cellStyle name="Note 8 3 2 2" xfId="4150" xr:uid="{2F3A1114-30FD-451B-9960-9BB9A2984119}"/>
    <cellStyle name="Note 8 3 2 2 2" xfId="4151" xr:uid="{4D4A368B-AA4D-4C19-B57B-5F376C109A82}"/>
    <cellStyle name="Note 8 3 2 3" xfId="4152" xr:uid="{69A76C95-247E-44BF-BBD2-5A3975F85111}"/>
    <cellStyle name="Note 8 3 3" xfId="4153" xr:uid="{76F5F976-7746-424C-96D6-31F09ECE8D61}"/>
    <cellStyle name="Note 8 3 3 2" xfId="4154" xr:uid="{6385E919-237B-4076-A634-839AC9505C80}"/>
    <cellStyle name="Note 8 3 4" xfId="4155" xr:uid="{A27FDC9B-B39F-4B84-BDAE-C26361FCB797}"/>
    <cellStyle name="Note 8 4" xfId="4156" xr:uid="{B5372D2E-1E69-4B67-90E5-E7D59465EC43}"/>
    <cellStyle name="Note 8 4 2" xfId="4157" xr:uid="{90B6E7BB-D3F3-499F-8E44-93FACE8748EF}"/>
    <cellStyle name="Note 8 4 2 2" xfId="4158" xr:uid="{E7C91A35-3768-4835-8AB4-8F3C355B5366}"/>
    <cellStyle name="Note 8 4 3" xfId="4159" xr:uid="{E164D7FB-FF86-4B3C-BC57-6BADA3801127}"/>
    <cellStyle name="Note 8 5" xfId="4160" xr:uid="{65A4F989-7479-4178-8549-FC66C1F62640}"/>
    <cellStyle name="Note 8 5 2" xfId="4161" xr:uid="{A4A7C41E-F662-4282-A387-7C1C74FA19CD}"/>
    <cellStyle name="Note 8 6" xfId="4162" xr:uid="{EED4742B-AB62-432F-922A-16E42812FC8F}"/>
    <cellStyle name="Nr 0 dec" xfId="4163" xr:uid="{722EECA2-4803-4CA0-9F0A-56CBCBBCBF1A}"/>
    <cellStyle name="Nr 0 dec - Input" xfId="4164" xr:uid="{D313FE36-4785-4308-973D-1BE5FD35681F}"/>
    <cellStyle name="Nr 0 dec - Subtotal" xfId="4165" xr:uid="{0323AF5A-F6A1-4E7E-AFC2-E52CD63780FE}"/>
    <cellStyle name="Nr 0 dec_Data" xfId="4166" xr:uid="{D28C4609-7BBA-429D-80F1-49BC71A3C339}"/>
    <cellStyle name="Nr 1 dec" xfId="4167" xr:uid="{ACF1A77C-F0A4-4DA5-A9F9-7DDA30CA0D28}"/>
    <cellStyle name="Nr 1 dec - Input" xfId="4168" xr:uid="{A159413D-FE89-425C-8396-E6B66541B405}"/>
    <cellStyle name="Nr, 0 dec" xfId="4169" xr:uid="{FD6E7F5F-8436-40DF-BCF9-348E8DF30B98}"/>
    <cellStyle name="number" xfId="4170" xr:uid="{EF58D010-10A6-4A42-B20B-7EEC96F3E864}"/>
    <cellStyle name="Number, 1 dec" xfId="4171" xr:uid="{11DE3201-373D-490B-ACBE-8EE462C7E30E}"/>
    <cellStyle name="Output" xfId="20" builtinId="21" customBuiltin="1"/>
    <cellStyle name="Output (1dp#)" xfId="4172" xr:uid="{E863B895-FA49-413C-B2CD-D77B339949BC}"/>
    <cellStyle name="Output (1dpx)_ Pies " xfId="4173" xr:uid="{44E79216-F6DF-45BC-952F-BDFE360976C6}"/>
    <cellStyle name="Output 2" xfId="111" xr:uid="{285DCCB4-01DC-4695-940D-08470426F2D8}"/>
    <cellStyle name="Output 2 10" xfId="4175" xr:uid="{44D53D9D-19A4-49A1-99B8-921E31FCF4C8}"/>
    <cellStyle name="Output 2 11" xfId="4176" xr:uid="{7097FF70-B2F0-4E24-8986-B25FFB0FE892}"/>
    <cellStyle name="Output 2 12" xfId="4174" xr:uid="{A19498C8-DA35-4E18-B204-75C558D31993}"/>
    <cellStyle name="Output 2 2" xfId="4177" xr:uid="{1CD142C6-B5EC-4C24-8048-FD154906BE28}"/>
    <cellStyle name="Output 2 2 2" xfId="4178" xr:uid="{7195B9B5-4121-4515-98C7-7C366268B448}"/>
    <cellStyle name="Output 2 2 3" xfId="4179" xr:uid="{338D79C5-914A-4E47-AC21-BBC036F15DE8}"/>
    <cellStyle name="Output 2 2 4" xfId="4180" xr:uid="{6E90D5C7-80A6-4145-86AE-8D082E25B414}"/>
    <cellStyle name="Output 2 3" xfId="4181" xr:uid="{B34A0F59-5D6F-4833-9DE9-AD35395FFEF3}"/>
    <cellStyle name="Output 2 4" xfId="4182" xr:uid="{1F9F3DCD-635E-4AEA-8ADC-A889DDAEA0C1}"/>
    <cellStyle name="Output 2 5" xfId="4183" xr:uid="{65762715-1464-479B-8852-577D170FB666}"/>
    <cellStyle name="Output 2 6" xfId="4184" xr:uid="{E8284DFE-FB3E-42D3-8261-2981B36C9AB6}"/>
    <cellStyle name="Output 2 7" xfId="4185" xr:uid="{76019413-48FF-45DD-85C8-FB972A01D343}"/>
    <cellStyle name="Output 2 8" xfId="4186" xr:uid="{0D037C8A-E981-4DAB-8B05-8E977FEAD518}"/>
    <cellStyle name="Output 2 9" xfId="4187" xr:uid="{5C8D15AE-5365-447F-A5A0-4B6F0CDCAC15}"/>
    <cellStyle name="Output 3" xfId="98" xr:uid="{8000D60E-4245-4A31-97C4-B9827B3B5C6D}"/>
    <cellStyle name="Page Heading" xfId="4188" xr:uid="{7320A573-C449-4388-A3F9-A7AC002F2875}"/>
    <cellStyle name="Page Heading Large" xfId="4189" xr:uid="{5F795D09-3022-4355-83B0-0482077AB105}"/>
    <cellStyle name="Page Heading Small" xfId="4190" xr:uid="{8146AD66-CA5E-4CEC-8BF2-2F42C0AFD2CF}"/>
    <cellStyle name="Page Number" xfId="4191" xr:uid="{E4A6DD85-8B8D-40E5-8FD5-A06E7B744735}"/>
    <cellStyle name="pb_page_heading_LS" xfId="4192" xr:uid="{A8AD2504-98AF-4E45-BB70-CCBAE033BC25}"/>
    <cellStyle name="Per aandeel" xfId="4193" xr:uid="{AF6C47AA-CAEE-466D-B10A-081D2F066515}"/>
    <cellStyle name="Percent" xfId="4" builtinId="5"/>
    <cellStyle name="Percent (1)" xfId="4194" xr:uid="{7B51C1AA-25B3-4637-BD1E-6A592C72C84C}"/>
    <cellStyle name="Percent [0]" xfId="4195" xr:uid="{5A752DF8-38E8-4DE3-9869-9AF0B14BB38B}"/>
    <cellStyle name="Percent [00]" xfId="4196" xr:uid="{013928A1-0AF2-4F54-B730-A807155EE74A}"/>
    <cellStyle name="Percent [1]" xfId="4197" xr:uid="{801DBF14-6C1C-4EC4-B844-A9383706E350}"/>
    <cellStyle name="Percent [2]" xfId="173" xr:uid="{8E685501-6E47-4FA3-9550-E94507186C72}"/>
    <cellStyle name="Percent [2] 2" xfId="4199" xr:uid="{E0B9285A-C559-4CB2-902E-2DB96307D0A8}"/>
    <cellStyle name="Percent [2] 3" xfId="4200" xr:uid="{2AFA0BE3-2097-403D-A14D-1421068D65B2}"/>
    <cellStyle name="Percent [2] 4" xfId="4198" xr:uid="{54F10ED3-D7A6-4F04-9CCE-4B76B7D55001}"/>
    <cellStyle name="Percent 1 dec" xfId="4201" xr:uid="{763CA602-F579-46D4-B30D-F03AC41572E1}"/>
    <cellStyle name="Percent 1 dec - Input" xfId="4202" xr:uid="{B5C647BB-7D70-46FB-A9DF-4A310FB1D639}"/>
    <cellStyle name="Percent 1 dec_Data" xfId="4203" xr:uid="{B44D5607-AF24-4109-87BE-C34D10042E86}"/>
    <cellStyle name="Percent 10" xfId="58" xr:uid="{163B8EFC-BE7F-43C3-B1F4-D47297C9B4F2}"/>
    <cellStyle name="Percent 11" xfId="210" xr:uid="{75DA640C-93D6-4815-81D2-68D665BACD5A}"/>
    <cellStyle name="Percent 12" xfId="4692" xr:uid="{BA938549-B965-473D-BED0-714A26E45915}"/>
    <cellStyle name="Percent 13" xfId="4693" xr:uid="{9C793E1B-3CCA-4C5A-9F5E-2AB95E992237}"/>
    <cellStyle name="Percent 2" xfId="3" xr:uid="{00000000-0005-0000-0000-000003000000}"/>
    <cellStyle name="Percent 2 10" xfId="4204" xr:uid="{6CD4C063-5AB5-40BD-B338-381F1D4C4B47}"/>
    <cellStyle name="Percent 2 10 2" xfId="4205" xr:uid="{182C5DDD-D77B-431A-8FEF-C94B5FDD9F58}"/>
    <cellStyle name="Percent 2 10 2 2" xfId="4206" xr:uid="{226830F9-D49B-4F29-A21C-3F99E5FC76D2}"/>
    <cellStyle name="Percent 2 10 3" xfId="4207" xr:uid="{F4F5B745-A3A8-4F11-BA61-66568493877C}"/>
    <cellStyle name="Percent 2 11" xfId="4208" xr:uid="{983BFAE0-DF7C-410B-91CD-A8A008F2ACE6}"/>
    <cellStyle name="Percent 2 12" xfId="4209" xr:uid="{3FA9D5B3-0D04-4828-B52D-FF2EF55CBF54}"/>
    <cellStyle name="Percent 2 12 2" xfId="4210" xr:uid="{17C5250A-CEA6-4D6C-9F20-C62BE289E9A4}"/>
    <cellStyle name="Percent 2 12 2 2" xfId="4211" xr:uid="{C2724C01-0BA4-40B2-8AD2-BCDC7DEF9148}"/>
    <cellStyle name="Percent 2 12 3" xfId="4212" xr:uid="{FF5A75FF-89D7-4004-826B-4A3460B61E8D}"/>
    <cellStyle name="Percent 2 13" xfId="4213" xr:uid="{C88362D4-1174-489F-82EC-09E3C40EAD45}"/>
    <cellStyle name="Percent 2 13 2" xfId="4214" xr:uid="{14FFF296-775D-4D09-8C91-C60D8C4A6A3E}"/>
    <cellStyle name="Percent 2 14" xfId="4215" xr:uid="{BA8D93CB-FCAE-47D4-AB96-0DAF612097FE}"/>
    <cellStyle name="Percent 2 15" xfId="4216" xr:uid="{CE518137-D858-4C91-966C-43AE8C93D0E7}"/>
    <cellStyle name="Percent 2 16" xfId="4217" xr:uid="{8129EC22-99D3-443E-9888-E41E2053E8B5}"/>
    <cellStyle name="Percent 2 17" xfId="4218" xr:uid="{AD313DC3-308F-4B4D-9406-1CBF27287D10}"/>
    <cellStyle name="Percent 2 18" xfId="4219" xr:uid="{A0159875-3923-45CC-A908-ABCAC6405103}"/>
    <cellStyle name="Percent 2 19" xfId="4220" xr:uid="{ABACB68D-BAA6-4F10-B2F4-DAA98D3818C6}"/>
    <cellStyle name="Percent 2 2" xfId="143" xr:uid="{F6690387-4F9E-4721-8AE1-D0934393A7C0}"/>
    <cellStyle name="Percent 2 2 2" xfId="4222" xr:uid="{02CA819A-C953-40FB-8A96-9C9EBA7F5896}"/>
    <cellStyle name="Percent 2 2 3" xfId="4223" xr:uid="{E1F4D550-537D-4EB1-8BB8-0DDC92FE5132}"/>
    <cellStyle name="Percent 2 2 4" xfId="4224" xr:uid="{C6D0109C-1499-42C0-849F-6DBC6E645546}"/>
    <cellStyle name="Percent 2 2 4 2" xfId="4225" xr:uid="{8D2F996A-D295-476F-9BDE-374BCF2B8854}"/>
    <cellStyle name="Percent 2 2 4 2 2" xfId="4226" xr:uid="{C953E82F-A3FF-4720-8C72-8FCF890BE388}"/>
    <cellStyle name="Percent 2 2 4 2 2 2" xfId="4227" xr:uid="{91628391-F7A2-4B6B-8FB8-C6F3B05C22F2}"/>
    <cellStyle name="Percent 2 2 4 2 3" xfId="4228" xr:uid="{FB42FFF9-0617-4DD3-A0A6-292A7FFA0D36}"/>
    <cellStyle name="Percent 2 2 4 3" xfId="4229" xr:uid="{09CC5223-0159-4965-A4BB-14AF1E4628C3}"/>
    <cellStyle name="Percent 2 2 4 3 2" xfId="4230" xr:uid="{70BE868B-E66E-4BB3-AE31-7AD7BB72D0B7}"/>
    <cellStyle name="Percent 2 2 4 4" xfId="4231" xr:uid="{E7C5F5FA-3521-4D68-894C-FD2DA2EAC40D}"/>
    <cellStyle name="Percent 2 2 5" xfId="4232" xr:uid="{474CFE3A-61C3-4AFF-91CA-847D4AF28C55}"/>
    <cellStyle name="Percent 2 2 6" xfId="4233" xr:uid="{323B0C80-FE91-41E9-BC5F-8DBC0601EAF6}"/>
    <cellStyle name="Percent 2 2 7" xfId="4221" xr:uid="{9D9CC9F2-B3FD-4A90-AB43-BB6685E85B66}"/>
    <cellStyle name="Percent 2 20" xfId="211" xr:uid="{1165FCFB-3561-4385-91E6-E594322AC0F9}"/>
    <cellStyle name="Percent 2 3" xfId="4234" xr:uid="{3BA57EFD-5AD1-4B22-B6E3-7833DF2CBC3B}"/>
    <cellStyle name="Percent 2 4" xfId="4235" xr:uid="{BFDEB3CB-111B-4EA2-9E6C-19824F943822}"/>
    <cellStyle name="Percent 2 5" xfId="4236" xr:uid="{31CBC9AF-E908-46AC-B666-027A119027A2}"/>
    <cellStyle name="Percent 2 5 2" xfId="4237" xr:uid="{9ED3ECB6-0B79-4246-8DAD-7B2D045C3CD8}"/>
    <cellStyle name="Percent 2 5 2 2" xfId="4238" xr:uid="{ADA6A0ED-9FF4-4284-B014-1E856E2052CC}"/>
    <cellStyle name="Percent 2 5 2 2 2" xfId="4239" xr:uid="{BD7E0A0A-56C1-475E-88E3-A943C0E44229}"/>
    <cellStyle name="Percent 2 5 2 2 2 2" xfId="4240" xr:uid="{8DCE4708-612A-41D6-9932-6B6E19E63E17}"/>
    <cellStyle name="Percent 2 5 2 2 3" xfId="4241" xr:uid="{5438A621-B274-4E67-B4AE-F615DB445BF1}"/>
    <cellStyle name="Percent 2 5 2 3" xfId="4242" xr:uid="{A4434974-C7BE-4817-A3E4-D5386DF11C81}"/>
    <cellStyle name="Percent 2 5 2 3 2" xfId="4243" xr:uid="{1B7D1934-C2BE-4AFA-A1E0-9F11E436C96B}"/>
    <cellStyle name="Percent 2 5 2 4" xfId="4244" xr:uid="{E0EA4D14-356C-40B7-B3CD-BCC633D30169}"/>
    <cellStyle name="Percent 2 5 3" xfId="4245" xr:uid="{D86B0319-5C90-4B06-8012-EE94271DA755}"/>
    <cellStyle name="Percent 2 5 3 2" xfId="4246" xr:uid="{62AB0160-98C6-4C43-BF04-150FD17E7DEF}"/>
    <cellStyle name="Percent 2 5 3 2 2" xfId="4247" xr:uid="{269B69F2-9637-4D81-9159-D875AC152396}"/>
    <cellStyle name="Percent 2 5 3 2 2 2" xfId="4248" xr:uid="{B43AF529-252F-43B9-97D9-55EBB65F4CBC}"/>
    <cellStyle name="Percent 2 5 3 2 3" xfId="4249" xr:uid="{B9DD9D67-A124-4B0F-8049-3A3520A7EC26}"/>
    <cellStyle name="Percent 2 5 3 3" xfId="4250" xr:uid="{7AE3CA5D-F1ED-441B-9D8D-7EDAADE76A6E}"/>
    <cellStyle name="Percent 2 5 3 3 2" xfId="4251" xr:uid="{B3D44836-E48C-45D3-9429-28E13D119E65}"/>
    <cellStyle name="Percent 2 5 3 4" xfId="4252" xr:uid="{3310653F-ED1A-4B50-9247-8260CF1F80BF}"/>
    <cellStyle name="Percent 2 5 4" xfId="4253" xr:uid="{6D29C289-FF74-4E1F-8ACB-D571CAFD02CB}"/>
    <cellStyle name="Percent 2 5 4 2" xfId="4254" xr:uid="{6EB4E5CC-E6ED-488E-A9D4-B7F26CA57998}"/>
    <cellStyle name="Percent 2 5 4 2 2" xfId="4255" xr:uid="{2C162C8B-62D0-4DD8-974A-757A42569554}"/>
    <cellStyle name="Percent 2 5 4 3" xfId="4256" xr:uid="{7175EFD0-111B-4FC3-881E-BC1AC231CE27}"/>
    <cellStyle name="Percent 2 5 5" xfId="4257" xr:uid="{257D2FAD-C66B-4278-9602-527C5D162386}"/>
    <cellStyle name="Percent 2 5 5 2" xfId="4258" xr:uid="{4127B8B8-6C32-47E9-9BF3-4341CD7D11C3}"/>
    <cellStyle name="Percent 2 5 6" xfId="4259" xr:uid="{F1546DA8-9320-4AAF-BBDF-83084825C624}"/>
    <cellStyle name="Percent 2 6" xfId="4260" xr:uid="{5B72C68B-9E84-44A2-BEA6-ED2A85A879C9}"/>
    <cellStyle name="Percent 2 6 2" xfId="4261" xr:uid="{09DED10F-F13C-450E-9314-81B740310532}"/>
    <cellStyle name="Percent 2 6 2 2" xfId="4262" xr:uid="{078168F9-4B10-4CC4-BEB9-0E2EF7BB8B9B}"/>
    <cellStyle name="Percent 2 6 2 2 2" xfId="4263" xr:uid="{451CF0D6-ED6F-4498-8910-7F08695B0798}"/>
    <cellStyle name="Percent 2 6 2 2 2 2" xfId="4264" xr:uid="{0165D32C-BDEC-44B9-825A-CB3F9A7487BF}"/>
    <cellStyle name="Percent 2 6 2 2 3" xfId="4265" xr:uid="{A259BEA1-4607-4158-B3A0-E8FED63FE03A}"/>
    <cellStyle name="Percent 2 6 2 3" xfId="4266" xr:uid="{D5FD94EA-373D-4ACD-B832-DB0F3E05EA35}"/>
    <cellStyle name="Percent 2 6 2 3 2" xfId="4267" xr:uid="{4902B2E5-123D-4E35-AEC4-360EE554A263}"/>
    <cellStyle name="Percent 2 6 2 4" xfId="4268" xr:uid="{1651339E-A52F-40A4-9E65-B43F23A91DE3}"/>
    <cellStyle name="Percent 2 6 3" xfId="4269" xr:uid="{9C95DDD3-2840-427C-904D-7807A99D99EA}"/>
    <cellStyle name="Percent 2 6 3 2" xfId="4270" xr:uid="{E16A94D6-8601-4012-A7D7-5FDD2109C460}"/>
    <cellStyle name="Percent 2 6 3 2 2" xfId="4271" xr:uid="{8CC01BD0-A5F2-4A46-9E74-DA574497A8EB}"/>
    <cellStyle name="Percent 2 6 3 2 2 2" xfId="4272" xr:uid="{9AB3A364-7A80-478A-830B-B77A16AA6AFD}"/>
    <cellStyle name="Percent 2 6 3 2 3" xfId="4273" xr:uid="{FCFFF0B4-08A6-47C1-93EB-5BF12B5EBCA5}"/>
    <cellStyle name="Percent 2 6 3 3" xfId="4274" xr:uid="{F3ABFD93-3734-447D-A017-F97C5D5B9457}"/>
    <cellStyle name="Percent 2 6 3 3 2" xfId="4275" xr:uid="{0154E9BF-30D4-4366-87FD-3F8CAFDFE6CF}"/>
    <cellStyle name="Percent 2 6 3 4" xfId="4276" xr:uid="{07F7822C-6AC6-4FFD-B787-1E2A5A864B32}"/>
    <cellStyle name="Percent 2 6 4" xfId="4277" xr:uid="{B50D41D0-C798-4AA5-9AB1-4699FC9E32F4}"/>
    <cellStyle name="Percent 2 6 4 2" xfId="4278" xr:uid="{44DAA90F-1C09-4E7B-895E-690476389844}"/>
    <cellStyle name="Percent 2 6 4 2 2" xfId="4279" xr:uid="{96FC160E-D878-43B3-A436-9072A5169837}"/>
    <cellStyle name="Percent 2 6 4 3" xfId="4280" xr:uid="{827973A5-E70F-480D-80A6-4D6E9A070933}"/>
    <cellStyle name="Percent 2 6 5" xfId="4281" xr:uid="{8166AA73-0DB9-477D-802B-BF73AE7624F0}"/>
    <cellStyle name="Percent 2 6 5 2" xfId="4282" xr:uid="{0A09F080-B1B4-416C-AF02-1856868BBBE0}"/>
    <cellStyle name="Percent 2 6 6" xfId="4283" xr:uid="{93449AD8-D4B1-4C6D-A3DC-3AEED19EE1EF}"/>
    <cellStyle name="Percent 2 7" xfId="4284" xr:uid="{1348976D-0A3A-4A3C-91EE-1F5D1D87FF39}"/>
    <cellStyle name="Percent 2 7 2" xfId="4285" xr:uid="{E1000029-5989-4890-A5DF-EA5BD5E0EAA9}"/>
    <cellStyle name="Percent 2 7 3" xfId="4286" xr:uid="{BB5CA1FA-6C6C-48E7-9430-B246B09F1FB0}"/>
    <cellStyle name="Percent 2 7 4" xfId="4287" xr:uid="{3182C4E4-0DF4-47C8-885F-92725FB19716}"/>
    <cellStyle name="Percent 2 7 4 2" xfId="4288" xr:uid="{EE021922-5103-4721-A00F-C05C463F6821}"/>
    <cellStyle name="Percent 2 7 4 2 2" xfId="4289" xr:uid="{C718A4F2-FAB8-42A1-95ED-5CB25D23CEBB}"/>
    <cellStyle name="Percent 2 7 4 3" xfId="4290" xr:uid="{032FB65F-12A0-4AAE-84AC-0D92A835C4C4}"/>
    <cellStyle name="Percent 2 7 5" xfId="4291" xr:uid="{27FD9922-9877-4DBC-B881-3EA5389C2E96}"/>
    <cellStyle name="Percent 2 7 5 2" xfId="4292" xr:uid="{EA2CC233-6888-4C5F-8B4A-8A0C0C218164}"/>
    <cellStyle name="Percent 2 7 6" xfId="4293" xr:uid="{0E6316F5-FC4B-484D-A548-A8FAADE4CCE7}"/>
    <cellStyle name="Percent 2 8" xfId="4294" xr:uid="{B9457F5B-87E5-40E2-91C6-092BDF1EC780}"/>
    <cellStyle name="Percent 2 8 2" xfId="4295" xr:uid="{19E91803-08DE-49CA-8649-C4CE294AB35A}"/>
    <cellStyle name="Percent 2 8 2 2" xfId="4296" xr:uid="{1F916444-0857-46F1-87A6-6E696F638FF2}"/>
    <cellStyle name="Percent 2 8 2 2 2" xfId="4297" xr:uid="{4F7DCF93-21BC-41C6-B2B3-A13FC1FA29DE}"/>
    <cellStyle name="Percent 2 8 2 3" xfId="4298" xr:uid="{C3F7006B-28C2-46B2-8D3E-D2648B9BC262}"/>
    <cellStyle name="Percent 2 8 3" xfId="4299" xr:uid="{2E699A90-6AA6-48A3-9B24-BF91097A6E1C}"/>
    <cellStyle name="Percent 2 8 3 2" xfId="4300" xr:uid="{87E027F8-FCBC-4C73-8E2A-3EAE5D99F24D}"/>
    <cellStyle name="Percent 2 8 4" xfId="4301" xr:uid="{D4A874D1-2EB1-49B9-99E2-C962AFC3E129}"/>
    <cellStyle name="Percent 2 9" xfId="4302" xr:uid="{81E13838-4713-4F3E-9C5D-95F906EFF400}"/>
    <cellStyle name="Percent 3" xfId="7" xr:uid="{2C77C98D-B01D-40D5-A8EF-78DA59FBBC3E}"/>
    <cellStyle name="Percent 3 2" xfId="176" xr:uid="{1EECF953-3181-48B9-B6CD-B05EF19E6E6F}"/>
    <cellStyle name="Percent 3 2 2" xfId="180" xr:uid="{B8134959-178E-4CE6-90B0-CC9086A21733}"/>
    <cellStyle name="Percent 3 2 2 2" xfId="4303" xr:uid="{267B3AD5-AE80-4D6F-9639-BE37513EA6A5}"/>
    <cellStyle name="Percent 3 2 3" xfId="4304" xr:uid="{939EACB0-9C9D-4950-ADDD-903DF3DA01F1}"/>
    <cellStyle name="Percent 3 2 4" xfId="4305" xr:uid="{21C144A8-5373-4DCC-A8A8-9BA70B46E3FF}"/>
    <cellStyle name="Percent 3 3" xfId="146" xr:uid="{74587E77-601E-4219-94E3-3CD3CCABCE51}"/>
    <cellStyle name="Percent 3 3 2" xfId="4306" xr:uid="{F9AAC080-EAC6-4BB5-86BA-A66D56430374}"/>
    <cellStyle name="Percent 3 4" xfId="4307" xr:uid="{0141B4AB-BF76-487A-9E12-BBDE999B9A7C}"/>
    <cellStyle name="Percent 4" xfId="54" xr:uid="{AD5605F2-0436-4F28-9099-969C69378D95}"/>
    <cellStyle name="Percent 4 2" xfId="148" xr:uid="{8E416513-D763-41D6-9F3B-D812EA7C515B}"/>
    <cellStyle name="Percent 4 2 2" xfId="4309" xr:uid="{FC7BCAFE-C1DB-4A7E-92A5-B9215F05F9B8}"/>
    <cellStyle name="Percent 4 3" xfId="4310" xr:uid="{23D04DAC-3BC5-4BF6-B70F-440C99E18D35}"/>
    <cellStyle name="Percent 4 3 2" xfId="4311" xr:uid="{8F2F0751-10BB-4751-A81C-0A391E5ED20A}"/>
    <cellStyle name="Percent 4 3 2 2" xfId="4312" xr:uid="{E2CDE3AC-9F89-4984-9CB7-7531F5BD29AC}"/>
    <cellStyle name="Percent 4 3 3" xfId="4313" xr:uid="{BD1C76B7-9C0E-481C-A202-0465E6C9D625}"/>
    <cellStyle name="Percent 4 4" xfId="4308" xr:uid="{0FC19157-548C-4087-BD00-F3F8EC121956}"/>
    <cellStyle name="Percent 5" xfId="184" xr:uid="{5CE27DAB-AAC9-4E8A-9133-094880E77198}"/>
    <cellStyle name="Percent 5 2" xfId="4314" xr:uid="{1C7CCACF-0DA9-4978-8F07-CFBBBED0347C}"/>
    <cellStyle name="Percent 5 2 2" xfId="4315" xr:uid="{BB927A9B-9420-4539-AB51-F63A329160A8}"/>
    <cellStyle name="Percent 5 2 2 2" xfId="4316" xr:uid="{6CFC0E5E-B72B-456F-9CB9-5EB4554444EB}"/>
    <cellStyle name="Percent 5 2 3" xfId="4317" xr:uid="{B9BED88C-2D2E-48F6-A217-258CCBFE870C}"/>
    <cellStyle name="Percent 5 3" xfId="8" xr:uid="{5877F394-9354-4BDF-842D-814352D4EBCE}"/>
    <cellStyle name="Percent 6" xfId="187" xr:uid="{AF413DD1-FF2A-4C90-90D1-6315A91606B7}"/>
    <cellStyle name="Percent 6 2" xfId="4319" xr:uid="{55AE7F71-3D40-40E7-A3D5-BFA8EF881F6B}"/>
    <cellStyle name="Percent 6 2 2" xfId="4320" xr:uid="{29E99480-3B7A-46A5-826F-E96C6DE155E8}"/>
    <cellStyle name="Percent 6 2 2 2" xfId="4321" xr:uid="{A90DBB5B-EB28-4AE9-B2F7-9B66F53E8171}"/>
    <cellStyle name="Percent 6 2 3" xfId="4322" xr:uid="{A112BD30-4817-4E26-ADFF-C340BA83D5D4}"/>
    <cellStyle name="Percent 6 3" xfId="4323" xr:uid="{1E139472-3FB5-4EFA-A8A8-BEC72F36F143}"/>
    <cellStyle name="Percent 6 3 2" xfId="4324" xr:uid="{B2DC719F-2C31-49E8-85D5-ED63AA736591}"/>
    <cellStyle name="Percent 6 3 2 2" xfId="4325" xr:uid="{8FF84F48-AE08-4A4E-92EF-A2BCAB319BA5}"/>
    <cellStyle name="Percent 6 3 3" xfId="4326" xr:uid="{1BD2FD32-A9C2-4F78-BB6D-EB68827A1177}"/>
    <cellStyle name="Percent 6 4" xfId="4318" xr:uid="{8DCC8000-9F88-4D6C-BEF3-0BD82FD022F2}"/>
    <cellStyle name="Percent 7" xfId="4327" xr:uid="{D177C3BF-688D-4C7D-880C-2E8F47B59BCA}"/>
    <cellStyle name="Percent 7 2" xfId="4328" xr:uid="{891F4087-78A1-480A-8D7E-37D114F5C97E}"/>
    <cellStyle name="Percent 7 2 2" xfId="4329" xr:uid="{8A55F993-8C3D-408D-AD98-C212613EBE4D}"/>
    <cellStyle name="Percent 7 2 2 2" xfId="4330" xr:uid="{763994BB-3072-4ED6-9266-88F9775C9B98}"/>
    <cellStyle name="Percent 7 2 3" xfId="4331" xr:uid="{5ABACD00-39E4-421D-835B-E7F783125676}"/>
    <cellStyle name="Percent 7 3" xfId="4332" xr:uid="{CD75DE64-98B1-4658-8B45-19D7E6684D4E}"/>
    <cellStyle name="Percent 7 3 2" xfId="4333" xr:uid="{6E520CC4-30FF-47CE-A341-F2145E05E039}"/>
    <cellStyle name="Percent 7 4" xfId="4334" xr:uid="{236405AB-91A6-4292-B73F-9E654455C96C}"/>
    <cellStyle name="Percent 8" xfId="4335" xr:uid="{F263DC34-4E25-4BD8-8F5C-2999E8F046F2}"/>
    <cellStyle name="Percent 9" xfId="4336" xr:uid="{DF7C3C37-0932-450C-A4F9-888B23CCEBDC}"/>
    <cellStyle name="Percent Hard" xfId="4337" xr:uid="{72D19B0A-7B2B-46F0-87C5-07EC2E6EF7EB}"/>
    <cellStyle name="percentage" xfId="4338" xr:uid="{E5F44B0F-6BE7-4275-8123-A7EDA249290D}"/>
    <cellStyle name="PercentChange" xfId="4339" xr:uid="{315BCA30-AFCB-4C70-8826-15B9B547162F}"/>
    <cellStyle name="PLAN1" xfId="4340" xr:uid="{B1AD2C1B-B482-4329-B6E8-E11D4CBEA343}"/>
    <cellStyle name="Porcentaje" xfId="4341" xr:uid="{1AC6BC30-3148-4D10-BCA1-C9AC8405FB23}"/>
    <cellStyle name="Pourcentage_Profit &amp; Loss" xfId="4342" xr:uid="{3F5578F7-B0CD-4F8A-97B7-29AF469FC854}"/>
    <cellStyle name="PrePop Currency (0)" xfId="4343" xr:uid="{92691C7F-F01F-4DEC-9741-40E78001AF4D}"/>
    <cellStyle name="PrePop Currency (2)" xfId="4344" xr:uid="{DD4D7BAA-75A2-4BA1-BCA8-280DEFA9E528}"/>
    <cellStyle name="PrePop Units (0)" xfId="4345" xr:uid="{B44FC953-2CE5-4F9D-804F-C8750741702F}"/>
    <cellStyle name="PrePop Units (1)" xfId="4346" xr:uid="{583B145E-BAC4-4027-A511-AB2C9429244B}"/>
    <cellStyle name="PrePop Units (2)" xfId="4347" xr:uid="{69631E84-2D2A-4F92-AC79-A9D6DB27695B}"/>
    <cellStyle name="Procenten" xfId="4348" xr:uid="{EA090229-920A-4C4C-B6D6-8849A8CF16ED}"/>
    <cellStyle name="Procenten estimate" xfId="4349" xr:uid="{A04E6AF3-B161-4C11-8B04-A66FBCA95FD7}"/>
    <cellStyle name="Procenten_EMI" xfId="4350" xr:uid="{A9C1167F-DC4C-4D09-BA6B-01D79231ABAF}"/>
    <cellStyle name="Profit figure" xfId="4351" xr:uid="{E1C0E5E6-B7FA-4371-81C5-C7C96284B07C}"/>
    <cellStyle name="Protected" xfId="4352" xr:uid="{BDCBF93D-E6B0-40A6-968C-0E4EFB9B26D1}"/>
    <cellStyle name="ProtectedDates" xfId="4353" xr:uid="{1FD79D81-664E-4D58-9E92-76994A6DC073}"/>
    <cellStyle name="PSChar" xfId="4354" xr:uid="{780156E0-22D6-4B76-AD0B-79CCFF6A50DC}"/>
    <cellStyle name="PSDate" xfId="4355" xr:uid="{0174B9BA-DE54-4515-B85E-30156BAB1DA9}"/>
    <cellStyle name="PSDec" xfId="4356" xr:uid="{35CAF59E-E77F-486B-BC32-499FB0A637C1}"/>
    <cellStyle name="PSHeading" xfId="4357" xr:uid="{0BFD812E-F72F-4368-9DFC-55354E6BB633}"/>
    <cellStyle name="PSInt" xfId="4358" xr:uid="{D89934D0-8FCC-4F80-ADBD-C3EA70506AF3}"/>
    <cellStyle name="PSSpacer" xfId="4359" xr:uid="{6D325D44-8824-4DA1-8BDD-ECE3A627ED6D}"/>
    <cellStyle name="RatioX" xfId="4360" xr:uid="{0B91BDAA-4380-45CB-BAA0-3B1D6B07113C}"/>
    <cellStyle name="Red font" xfId="4361" xr:uid="{2E35DB53-46FA-4E89-84EB-9DFD1E548152}"/>
    <cellStyle name="ref" xfId="4362" xr:uid="{1E9BF2A8-7CB3-47D6-A261-FDEA0F3CBAFA}"/>
    <cellStyle name="Right" xfId="4363" xr:uid="{6EF721BC-E016-4FF5-BA4A-4EBE6E2DBF74}"/>
    <cellStyle name="Salomon Logo" xfId="4364" xr:uid="{BB6195FA-7737-44D0-BC00-92E3B31F1635}"/>
    <cellStyle name="ScripFactor" xfId="4365" xr:uid="{CD8B60EC-4863-467A-B90D-DAB8CB3D4417}"/>
    <cellStyle name="SectionHeading" xfId="4366" xr:uid="{0917FA39-04C7-4616-B080-4ECCC97290E3}"/>
    <cellStyle name="Shade" xfId="4367" xr:uid="{D39E9960-19C4-4285-9C3A-D6046C0E8858}"/>
    <cellStyle name="Shaded" xfId="4368" xr:uid="{F5E4E60A-5800-4842-AEC8-0363926334E9}"/>
    <cellStyle name="Single Accounting" xfId="4369" xr:uid="{339053F9-045B-4AD2-8FD5-561E51EAD862}"/>
    <cellStyle name="SingleLineAcctgn" xfId="4370" xr:uid="{67408DF2-1D24-4E6E-B554-43C89F4CF123}"/>
    <cellStyle name="SingleLinePercent" xfId="4371" xr:uid="{9BB26836-FF4F-404F-B3EE-FADAD40A17E9}"/>
    <cellStyle name="Source Superscript" xfId="4372" xr:uid="{6CD4C8EE-4DB8-41B1-AB61-7511BB3E3EF8}"/>
    <cellStyle name="Source Text" xfId="4373" xr:uid="{745276BB-DFF2-4F56-9F3F-AF935568ACC3}"/>
    <cellStyle name="ssp " xfId="4374" xr:uid="{1A8EC6D5-36C6-4787-A7A9-33D703A9056B}"/>
    <cellStyle name="Standard" xfId="4375" xr:uid="{F7213DD9-52AB-4428-AC1B-1D1071C45DE2}"/>
    <cellStyle name="Style 1" xfId="4376" xr:uid="{D86F4107-474D-4801-830E-8DA82147F6DD}"/>
    <cellStyle name="Style 10" xfId="4377" xr:uid="{48750062-A086-478C-AAED-7C7900EA6F7B}"/>
    <cellStyle name="Style 100" xfId="4378" xr:uid="{9BDB85EC-3991-4209-AB43-E593DDF72F0F}"/>
    <cellStyle name="Style 101" xfId="4379" xr:uid="{A17C0DFC-15B1-42CF-AA9A-6973B5B62FC7}"/>
    <cellStyle name="Style 102" xfId="4380" xr:uid="{56C0DEFF-B67C-4CBB-AFFB-9684A3815721}"/>
    <cellStyle name="Style 103" xfId="4381" xr:uid="{1F5410A6-48A3-47AD-864C-4B118E02D438}"/>
    <cellStyle name="Style 104" xfId="4382" xr:uid="{02C78041-DC39-47E7-A1DE-1A3A6866E5FA}"/>
    <cellStyle name="Style 105" xfId="4383" xr:uid="{E898537B-BE60-4A4F-A798-64AFD7C5454E}"/>
    <cellStyle name="Style 106" xfId="4384" xr:uid="{324D6772-F89B-44E6-9600-1A8AE3893769}"/>
    <cellStyle name="Style 107" xfId="4385" xr:uid="{1FCDDADD-7EF9-405D-B3E9-182DDE9EC8A3}"/>
    <cellStyle name="Style 108" xfId="4386" xr:uid="{FD7BFED2-385C-48CC-8B20-C75599072B7C}"/>
    <cellStyle name="Style 109" xfId="4387" xr:uid="{8F95645A-5039-4C83-B358-007D0255BC2F}"/>
    <cellStyle name="Style 11" xfId="4388" xr:uid="{41CDAFA8-2BE2-4D2A-9839-99C9ABCAC0E1}"/>
    <cellStyle name="Style 110" xfId="4389" xr:uid="{B7381904-741E-4C4D-82C1-55DAFC2C79CA}"/>
    <cellStyle name="Style 111" xfId="4390" xr:uid="{6B9D6B2F-2D8B-4ABF-A089-2359861FEECE}"/>
    <cellStyle name="Style 112" xfId="4391" xr:uid="{CFB28B50-01F8-4363-B582-D9116F004BF0}"/>
    <cellStyle name="Style 113" xfId="4392" xr:uid="{B7D8864A-11B9-46B2-9A1F-69F003DCA38D}"/>
    <cellStyle name="Style 114" xfId="4393" xr:uid="{ECA712BA-EE29-4849-8176-DECCD38575E4}"/>
    <cellStyle name="Style 115" xfId="4394" xr:uid="{FB9C2A14-1A0B-40A1-A508-A73BC2B4FDCE}"/>
    <cellStyle name="Style 116" xfId="4395" xr:uid="{C16001A7-EF7B-4C3C-9DA6-C9A0F3D05BC3}"/>
    <cellStyle name="Style 117" xfId="4396" xr:uid="{6D5005AC-FE44-4DF6-ABC3-36543F632DE1}"/>
    <cellStyle name="Style 118" xfId="4397" xr:uid="{9EA96A7A-1E4C-4777-AE8D-3B70FA77F84F}"/>
    <cellStyle name="Style 119" xfId="4398" xr:uid="{040284AF-D438-4960-A9ED-3E6BA60C2870}"/>
    <cellStyle name="Style 12" xfId="4399" xr:uid="{420A7211-4D7D-439D-AB30-492C674D15ED}"/>
    <cellStyle name="Style 120" xfId="4400" xr:uid="{C6B8495F-3685-4187-839C-5CF89E6632A9}"/>
    <cellStyle name="Style 121" xfId="4401" xr:uid="{8CBEF578-1171-4EFE-AF9A-5924067EB6FB}"/>
    <cellStyle name="Style 122" xfId="4402" xr:uid="{F43A5966-9E12-4F45-834A-8B5FF94CE42C}"/>
    <cellStyle name="Style 123" xfId="4403" xr:uid="{CBFF7FED-F25D-4F3D-8F1E-32D1BCFDD6F9}"/>
    <cellStyle name="Style 124" xfId="4404" xr:uid="{945D1DF6-423D-4C8C-A492-594B77D2F62A}"/>
    <cellStyle name="Style 125" xfId="4405" xr:uid="{140270A2-B105-4348-81A3-6E0035D6A85E}"/>
    <cellStyle name="Style 126" xfId="4406" xr:uid="{50E5935E-D886-4E4E-9110-5652D7DD572A}"/>
    <cellStyle name="Style 127" xfId="4407" xr:uid="{6CD3654B-B01D-4BFC-9CFC-94B012AD13A3}"/>
    <cellStyle name="Style 128" xfId="4408" xr:uid="{2F97AEF4-70D2-479D-BB28-BC6089974864}"/>
    <cellStyle name="Style 129" xfId="4409" xr:uid="{857BA6B8-DD74-44E0-8917-0BA48A84A73F}"/>
    <cellStyle name="Style 13" xfId="4410" xr:uid="{5E0F7D01-D8CD-48A8-A12D-CD8DACDB68C8}"/>
    <cellStyle name="Style 130" xfId="4411" xr:uid="{5D9A17FF-2222-4891-ACC0-2E0F2DD3C20B}"/>
    <cellStyle name="Style 131" xfId="4412" xr:uid="{A69A7713-0336-413E-89AA-7B310CE34621}"/>
    <cellStyle name="Style 132" xfId="4413" xr:uid="{678A844F-5C4B-41B7-A576-42A95504AA23}"/>
    <cellStyle name="Style 133" xfId="4414" xr:uid="{8CE00E86-75F4-4F04-ADEF-F53802CBCEC6}"/>
    <cellStyle name="Style 134" xfId="4415" xr:uid="{1637FD6B-32B0-4C1F-9F28-F9F8CB14B088}"/>
    <cellStyle name="Style 135" xfId="4416" xr:uid="{B350BE7A-0A16-4A1A-ABBB-87789A4AE878}"/>
    <cellStyle name="Style 136" xfId="4417" xr:uid="{9E2AB44E-05BE-43A5-9DBD-0001F74DA43E}"/>
    <cellStyle name="Style 137" xfId="4418" xr:uid="{C94551B1-EE8D-461F-93B6-00AAEBBF50F1}"/>
    <cellStyle name="Style 138" xfId="4419" xr:uid="{4EFDC2BF-1350-486B-8002-9D41B90BD4BB}"/>
    <cellStyle name="Style 139" xfId="4420" xr:uid="{C2268EC0-DD32-4591-837F-6A54C4ED15F6}"/>
    <cellStyle name="Style 14" xfId="4421" xr:uid="{345B7445-A8B9-472F-9833-5EC875EC7DEF}"/>
    <cellStyle name="Style 140" xfId="4422" xr:uid="{2CFA6F2F-A0DC-4DD9-8AC9-F4107A8C6118}"/>
    <cellStyle name="Style 141" xfId="4423" xr:uid="{F5AF8BD0-6436-4EBB-90F4-D8F954BEEB63}"/>
    <cellStyle name="Style 142" xfId="4424" xr:uid="{81333EAA-658D-4772-A6B3-67C20FF16428}"/>
    <cellStyle name="Style 143" xfId="4425" xr:uid="{AF954E04-9F68-46A8-A784-07D102B19FAC}"/>
    <cellStyle name="Style 144" xfId="4426" xr:uid="{D235E20E-8D47-414E-9F53-76BE160E0662}"/>
    <cellStyle name="Style 145" xfId="4427" xr:uid="{2206354D-F45E-456A-A967-34E0C00823B7}"/>
    <cellStyle name="Style 146" xfId="4428" xr:uid="{E5E4FC7D-9AB8-4104-B0C2-93B5B642801C}"/>
    <cellStyle name="Style 147" xfId="4429" xr:uid="{CFDDE400-FDA5-42B7-AFB1-F8FF6FCAE341}"/>
    <cellStyle name="Style 148" xfId="4430" xr:uid="{6883B360-E1BA-4519-9884-213903ACF7A8}"/>
    <cellStyle name="Style 149" xfId="4431" xr:uid="{EFC22ACF-16C9-4277-A327-540871AFD7A9}"/>
    <cellStyle name="Style 15" xfId="4432" xr:uid="{7633F288-5111-4D34-8403-86E09939AC77}"/>
    <cellStyle name="Style 150" xfId="4433" xr:uid="{6D3C9FC3-6446-4F5A-953B-1D304EE0C447}"/>
    <cellStyle name="Style 151" xfId="4434" xr:uid="{794B18AE-C100-406D-A7BA-B5C6BAF2FC0A}"/>
    <cellStyle name="Style 152" xfId="4435" xr:uid="{7888D0E1-06CA-4ADE-9CD0-F63EAC65027A}"/>
    <cellStyle name="Style 153" xfId="4436" xr:uid="{EA9B402C-E8BF-474B-8452-5609F230FBAD}"/>
    <cellStyle name="Style 154" xfId="4437" xr:uid="{5AD9E449-A767-4E14-931E-C0D3D142FB8E}"/>
    <cellStyle name="Style 155" xfId="4438" xr:uid="{B96F4306-F908-4249-92DA-67C31DF027A4}"/>
    <cellStyle name="Style 156" xfId="4439" xr:uid="{5265D63D-812B-42A0-BBDC-738CEF3AB962}"/>
    <cellStyle name="Style 157" xfId="4440" xr:uid="{2103B8A9-3989-4CD4-9685-DD290D6C5EB9}"/>
    <cellStyle name="Style 158" xfId="4441" xr:uid="{869E4A96-5EC5-46C9-8F4F-DAF5CD5151C9}"/>
    <cellStyle name="Style 159" xfId="4442" xr:uid="{1D55565E-A855-42F1-B1A7-74A1E2AB82C8}"/>
    <cellStyle name="Style 16" xfId="4443" xr:uid="{8FDCE569-4B8D-404B-8478-A5A483A0A325}"/>
    <cellStyle name="Style 160" xfId="4444" xr:uid="{75AD8F0C-B539-4EED-A61E-ADC0CE3C5895}"/>
    <cellStyle name="Style 161" xfId="4445" xr:uid="{F0B5C245-3F81-4476-9489-A4DE6DD9A6BD}"/>
    <cellStyle name="Style 162" xfId="4446" xr:uid="{9EECD280-8117-49D4-A11C-2391733DCAB3}"/>
    <cellStyle name="Style 163" xfId="4447" xr:uid="{56136FE6-FEBA-4949-83E6-108AF3E867D3}"/>
    <cellStyle name="Style 164" xfId="4448" xr:uid="{102877C9-CECC-425C-96CF-43E490DB9195}"/>
    <cellStyle name="Style 165" xfId="4449" xr:uid="{A22466F5-ED0F-4030-BD22-8E2A9B16C7AC}"/>
    <cellStyle name="Style 166" xfId="4450" xr:uid="{956894F1-96CB-4AA9-BFAA-8CDC58E624B1}"/>
    <cellStyle name="Style 167" xfId="4451" xr:uid="{0EAFBC45-ABB4-43E2-9A74-8135A726C726}"/>
    <cellStyle name="Style 168" xfId="4452" xr:uid="{58635BAD-C5AD-4DC3-B661-C888C04368D4}"/>
    <cellStyle name="Style 169" xfId="4453" xr:uid="{01696D97-850E-4F34-8D44-64379AD4CB05}"/>
    <cellStyle name="Style 17" xfId="4454" xr:uid="{D98EF407-621C-49A0-8DE6-7A8605311255}"/>
    <cellStyle name="Style 170" xfId="4455" xr:uid="{4EAA54FC-FAEC-4C37-91D4-10A8D63BEA15}"/>
    <cellStyle name="Style 171" xfId="4456" xr:uid="{881F0467-49F8-4917-BC41-2BD7E93CE831}"/>
    <cellStyle name="Style 172" xfId="4457" xr:uid="{7F6DE882-FB54-4D23-B935-AC3A709CA0BF}"/>
    <cellStyle name="Style 173" xfId="4458" xr:uid="{5AB5BFF1-9EB8-49B9-831D-22CDF3B9DA42}"/>
    <cellStyle name="Style 174" xfId="4459" xr:uid="{ECAF7FD1-2D86-43E4-B197-D842FB23AC05}"/>
    <cellStyle name="Style 175" xfId="4460" xr:uid="{B8F858B0-C1B3-440C-B094-F46F9C944B0C}"/>
    <cellStyle name="Style 176" xfId="4461" xr:uid="{E172A547-9F77-4E72-9E0B-3328E442CCEF}"/>
    <cellStyle name="Style 177" xfId="4462" xr:uid="{F724C662-56B0-4AD6-A87A-9722E65BD0C9}"/>
    <cellStyle name="Style 178" xfId="4463" xr:uid="{BC25A229-E4EB-4CB5-8B69-39DC7EBE3F60}"/>
    <cellStyle name="Style 179" xfId="4464" xr:uid="{C815D23C-29BC-44B8-BA09-8F8F98FA6647}"/>
    <cellStyle name="Style 18" xfId="4465" xr:uid="{A443C496-2BC3-4873-B69B-1930B4AE4454}"/>
    <cellStyle name="Style 180" xfId="4466" xr:uid="{7A6E9072-0C27-412D-A9D2-54062E43AB59}"/>
    <cellStyle name="Style 181" xfId="4467" xr:uid="{EE9D83EE-0F99-4FEE-88E6-72BC26BEEACE}"/>
    <cellStyle name="Style 182" xfId="4468" xr:uid="{1F6D3FF3-231D-40EC-BA79-2AA015E490F2}"/>
    <cellStyle name="Style 183" xfId="4469" xr:uid="{9CC40BA1-0B34-4DE0-A9AF-140E26F6B17A}"/>
    <cellStyle name="Style 184" xfId="4470" xr:uid="{CE4A8241-43D5-44E1-B5C5-5A8659EF22F9}"/>
    <cellStyle name="Style 185" xfId="4471" xr:uid="{33B6D99A-8B32-45E6-AE9F-C8A884C98487}"/>
    <cellStyle name="Style 186" xfId="4472" xr:uid="{66761111-50F4-44B4-857B-DE066C43FB6D}"/>
    <cellStyle name="Style 187" xfId="4473" xr:uid="{C6AD2398-B26F-4E20-AD5C-6855C5DFF163}"/>
    <cellStyle name="Style 188" xfId="4474" xr:uid="{88F722F6-29A7-4C47-9545-F506797401DF}"/>
    <cellStyle name="Style 189" xfId="4475" xr:uid="{B6904BD6-7B27-4DBD-9075-D253CECD3B3D}"/>
    <cellStyle name="Style 19" xfId="4476" xr:uid="{CB57984A-D0BD-4147-B1D0-53D9EE6F0C66}"/>
    <cellStyle name="Style 190" xfId="4477" xr:uid="{8ED5D163-5F06-4EF6-A74E-B24BB1D13460}"/>
    <cellStyle name="Style 191" xfId="4478" xr:uid="{0349A8C3-7EF7-40E3-9774-58BCE2FF25D9}"/>
    <cellStyle name="Style 192" xfId="4479" xr:uid="{60371D3C-BF54-455F-A556-74CA2C04EB86}"/>
    <cellStyle name="Style 193" xfId="4480" xr:uid="{15F9C530-4430-4C9A-917F-EF1752933FDC}"/>
    <cellStyle name="Style 194" xfId="4481" xr:uid="{BB254F24-4647-4201-87BB-FEC6543ED0E3}"/>
    <cellStyle name="Style 195" xfId="4482" xr:uid="{4383EFE8-B2DF-4E27-977A-0715DD49E8CA}"/>
    <cellStyle name="Style 196" xfId="4483" xr:uid="{2387CBCB-18DE-4F53-ABA1-9C019F5BCDF3}"/>
    <cellStyle name="Style 197" xfId="4484" xr:uid="{8E69809D-4C37-4522-9D2D-490007ABB77A}"/>
    <cellStyle name="Style 198" xfId="4485" xr:uid="{0DEBD312-0817-4AF2-BAE2-345375F956B4}"/>
    <cellStyle name="Style 199" xfId="4486" xr:uid="{D8B47231-6ECE-466A-9103-9121B5A1E202}"/>
    <cellStyle name="Style 2" xfId="4487" xr:uid="{9EC827A8-C924-4B10-86EE-B593528A5E3C}"/>
    <cellStyle name="Style 20" xfId="4488" xr:uid="{A95E0F38-CF65-44B1-A75A-EC221C5D4057}"/>
    <cellStyle name="Style 200" xfId="4489" xr:uid="{ADAD1BAA-B7A5-4508-A253-3E9F7AB9A298}"/>
    <cellStyle name="Style 201" xfId="4490" xr:uid="{403AC626-D653-420D-8466-17BAC5ADDF74}"/>
    <cellStyle name="Style 202" xfId="4491" xr:uid="{E7C491F2-F2D8-4A08-9EDD-837A8EFAB86E}"/>
    <cellStyle name="Style 203" xfId="4492" xr:uid="{1BBB242A-E8B8-4D58-B7B3-393EEF1BBBFA}"/>
    <cellStyle name="Style 204" xfId="4493" xr:uid="{24AD690F-726D-46A0-AA4B-97EA4F6B3B70}"/>
    <cellStyle name="Style 205" xfId="4494" xr:uid="{03551852-5FBB-467C-9558-446DC204B3F8}"/>
    <cellStyle name="Style 206" xfId="4495" xr:uid="{592CBDB1-0AB4-4572-8F0A-394CBC4F07CE}"/>
    <cellStyle name="Style 207" xfId="4496" xr:uid="{052B7C0F-A2CF-49EA-A8D9-390E32CC8DF7}"/>
    <cellStyle name="Style 208" xfId="4497" xr:uid="{2A53D905-33AD-48CE-BA5A-7AB44E8C78D8}"/>
    <cellStyle name="Style 209" xfId="4498" xr:uid="{E2775661-2649-415B-8EAE-457811A3F885}"/>
    <cellStyle name="Style 21" xfId="4499" xr:uid="{BAEDF573-84CC-4E2E-8ECE-B2F7AAEC2EBF}"/>
    <cellStyle name="Style 21 2" xfId="4500" xr:uid="{7E53187F-8CE4-4D4B-81C1-B13C911BE364}"/>
    <cellStyle name="Style 22" xfId="4501" xr:uid="{5FDC1A35-5CEE-4CD5-A3A3-D344A1A3A9F6}"/>
    <cellStyle name="Style 22 2" xfId="4502" xr:uid="{5FFE880F-557A-48BA-A35C-B3DB7C8C0E32}"/>
    <cellStyle name="Style 22 3" xfId="4503" xr:uid="{D823F656-9245-462A-BD87-64DF24FB0063}"/>
    <cellStyle name="Style 22 4" xfId="4504" xr:uid="{9E4C4D34-82DD-43D3-98E2-6AF49E646C42}"/>
    <cellStyle name="Style 23" xfId="4505" xr:uid="{DAF2316C-30EB-42AE-9088-4AF2BF781E2A}"/>
    <cellStyle name="Style 23 2" xfId="4506" xr:uid="{DAECF42A-975A-4E87-ABAA-53EEC8D4CC40}"/>
    <cellStyle name="Style 23 3" xfId="4507" xr:uid="{98D31902-D772-4625-9E4F-87FADFFC43CF}"/>
    <cellStyle name="Style 24" xfId="4508" xr:uid="{B0228310-0FC9-4BA5-BF80-A7B5ADACBBAC}"/>
    <cellStyle name="Style 24 2" xfId="4509" xr:uid="{C802EB2F-6384-4983-A45C-BDE60DA0B133}"/>
    <cellStyle name="Style 24 3" xfId="4510" xr:uid="{710B1A52-FFB6-4C95-84A5-E9D63B298B3E}"/>
    <cellStyle name="Style 24 4" xfId="4511" xr:uid="{995FD0C5-4E40-4DB1-BCA6-045753C53F85}"/>
    <cellStyle name="Style 25" xfId="4512" xr:uid="{4E59DE87-5DCC-45A7-A81D-AC1D32DF2785}"/>
    <cellStyle name="Style 25 2" xfId="4513" xr:uid="{8CDD63B3-EBE9-4FA0-83DA-08C43CA339C4}"/>
    <cellStyle name="Style 25 3" xfId="4514" xr:uid="{4E048072-607E-4E83-A4F2-D0BA65EF2F81}"/>
    <cellStyle name="Style 26" xfId="4515" xr:uid="{0B2EA2EB-11DE-4030-8AEB-55D06C86D03B}"/>
    <cellStyle name="Style 26 2" xfId="4516" xr:uid="{F903AE8E-128F-465A-B9C2-4001305C7F98}"/>
    <cellStyle name="Style 26 3" xfId="4517" xr:uid="{560349A0-6012-4503-8369-57812DFBCC35}"/>
    <cellStyle name="Style 26 4" xfId="4518" xr:uid="{6B4E7D64-2CD9-4B53-B34B-80496E297568}"/>
    <cellStyle name="Style 27" xfId="4519" xr:uid="{919DD556-56EC-491E-B64B-BFD92C30D687}"/>
    <cellStyle name="Style 28" xfId="4520" xr:uid="{CEDF2C30-4A51-43DB-8397-8AF3EE7E2A3E}"/>
    <cellStyle name="Style 29" xfId="4521" xr:uid="{CABED643-0243-4FEE-9CEB-B4AA4ECFBBC1}"/>
    <cellStyle name="Style 3" xfId="4522" xr:uid="{88231B0E-296C-4C65-BE4B-280B6FB1843A}"/>
    <cellStyle name="Style 30" xfId="4523" xr:uid="{983460A1-473B-4232-B17B-F86EAA206827}"/>
    <cellStyle name="Style 31" xfId="4524" xr:uid="{2878E2F7-0E9E-472E-92D2-9D644BACED3E}"/>
    <cellStyle name="Style 32" xfId="4525" xr:uid="{906A5F8F-216B-4F98-9CCD-216FEE47FFF1}"/>
    <cellStyle name="Style 33" xfId="4526" xr:uid="{12BAAB0D-2E9C-4585-B026-E93CEB7630E9}"/>
    <cellStyle name="Style 34" xfId="4527" xr:uid="{7CF68E13-F1B7-4F1B-8AB9-C972513C580B}"/>
    <cellStyle name="Style 35" xfId="4528" xr:uid="{6AA5B1F9-F2CA-4C46-AB12-3AF4E2D11D11}"/>
    <cellStyle name="Style 36" xfId="4529" xr:uid="{FC0F0AE7-810F-4CC1-B7A9-416D2ACF740E}"/>
    <cellStyle name="Style 37" xfId="4530" xr:uid="{2A6C8138-62A6-408B-B63A-E804B5488CE3}"/>
    <cellStyle name="Style 38" xfId="4531" xr:uid="{4AE428A4-0B79-45C5-A56E-71F158F90837}"/>
    <cellStyle name="Style 39" xfId="4532" xr:uid="{841C4C87-F916-4AEE-8CFC-C6316C999B49}"/>
    <cellStyle name="Style 4" xfId="4533" xr:uid="{005ED560-2724-4C85-B977-203FB42B81D2}"/>
    <cellStyle name="Style 40" xfId="4534" xr:uid="{BE977751-C9EB-4549-9B0F-E9A6DC3E4381}"/>
    <cellStyle name="Style 41" xfId="4535" xr:uid="{33688CEA-6B67-4055-B0F6-B06E72ADE875}"/>
    <cellStyle name="Style 42" xfId="4536" xr:uid="{40F38C01-3FA3-4BA3-BF46-E14DB60ADE45}"/>
    <cellStyle name="Style 43" xfId="4537" xr:uid="{E85CCE06-0BA6-4F33-9645-06A3F9A3054D}"/>
    <cellStyle name="Style 44" xfId="4538" xr:uid="{3FF9ECBD-3438-403B-B14B-36432C86B5F3}"/>
    <cellStyle name="Style 45" xfId="4539" xr:uid="{A5CADD93-55BE-4E24-86CF-45052B197C53}"/>
    <cellStyle name="Style 46" xfId="4540" xr:uid="{4A29E5BD-BDE2-4158-AABB-CEE2EC6121F7}"/>
    <cellStyle name="Style 47" xfId="4541" xr:uid="{06C2EB5F-7CF8-427E-AB32-9FBCD3CD7F6E}"/>
    <cellStyle name="Style 48" xfId="4542" xr:uid="{4DB456A6-622A-4B75-81EE-0C0952E78DB2}"/>
    <cellStyle name="Style 49" xfId="4543" xr:uid="{7A2860D4-1CC5-4982-A6E8-14CE0A06A82F}"/>
    <cellStyle name="Style 5" xfId="4544" xr:uid="{55A06129-B1AC-48F6-BB95-31D4E5B703C5}"/>
    <cellStyle name="Style 50" xfId="4545" xr:uid="{FC16FD15-0841-4F69-A0C1-A6C26AD4D213}"/>
    <cellStyle name="Style 51" xfId="4546" xr:uid="{3473B784-2AE6-4E41-8F3B-4846CB57C482}"/>
    <cellStyle name="Style 52" xfId="4547" xr:uid="{DA9AA3F8-9E5F-46B8-A0FF-28970593AFCC}"/>
    <cellStyle name="Style 53" xfId="4548" xr:uid="{8D85CC2C-E504-4FD7-BB55-4F6C41ED2E56}"/>
    <cellStyle name="Style 54" xfId="4549" xr:uid="{5402AFF2-836B-43AB-8D38-D9E7EFF272AA}"/>
    <cellStyle name="Style 55" xfId="4550" xr:uid="{41252F59-82F4-4481-B52D-7C83E4F9AFD7}"/>
    <cellStyle name="Style 56" xfId="4551" xr:uid="{BC170789-3595-4318-886F-436B1CD9BB99}"/>
    <cellStyle name="Style 57" xfId="4552" xr:uid="{A770E90C-2954-45E2-9FCB-450755A62B80}"/>
    <cellStyle name="Style 58" xfId="4553" xr:uid="{F5E33022-0495-48C5-B666-9F2ED3691358}"/>
    <cellStyle name="Style 59" xfId="4554" xr:uid="{A9F054A6-1EF4-4775-81DD-645ECE2DE22B}"/>
    <cellStyle name="Style 6" xfId="4555" xr:uid="{1DC6C940-0236-4595-B481-7CC5D03AB3F5}"/>
    <cellStyle name="Style 60" xfId="4556" xr:uid="{E0EBD9BF-BB32-4CFD-8FF4-15040F0AF127}"/>
    <cellStyle name="Style 61" xfId="4557" xr:uid="{AF9017AE-E5E6-482F-875D-FEC71D9367B1}"/>
    <cellStyle name="Style 62" xfId="4558" xr:uid="{03A5F318-9BA7-4511-BA4C-C86C45FC2814}"/>
    <cellStyle name="Style 63" xfId="4559" xr:uid="{5877A5FE-77BD-4F86-A77D-E858D834F72A}"/>
    <cellStyle name="Style 64" xfId="4560" xr:uid="{FA913E4D-2A7E-47A1-8185-37BA0E84D788}"/>
    <cellStyle name="Style 65" xfId="4561" xr:uid="{42715FA5-6F48-4F61-B850-C802CB75798A}"/>
    <cellStyle name="Style 66" xfId="4562" xr:uid="{E2ED4C52-53D0-4AED-8633-155AF932AE70}"/>
    <cellStyle name="Style 67" xfId="4563" xr:uid="{311AD5B0-3301-4F3E-A8F5-07E5095A9062}"/>
    <cellStyle name="Style 68" xfId="4564" xr:uid="{CC705615-2FC0-4EA3-A451-6B4D3A39BED2}"/>
    <cellStyle name="Style 69" xfId="4565" xr:uid="{45047E36-2629-4BCB-A166-9677BB4BEAB1}"/>
    <cellStyle name="Style 7" xfId="4566" xr:uid="{F7A4473F-8386-4F44-9455-4BE470DECA16}"/>
    <cellStyle name="Style 70" xfId="4567" xr:uid="{1F434F57-160B-4AB8-9A2A-6E75742F0A60}"/>
    <cellStyle name="Style 71" xfId="4568" xr:uid="{28C08DEA-8614-406E-8ABE-1C0E3A164C31}"/>
    <cellStyle name="Style 72" xfId="4569" xr:uid="{DED3011E-D385-40AE-84A4-38B5B9295BFC}"/>
    <cellStyle name="Style 73" xfId="4570" xr:uid="{C22B3A6C-8F99-4547-A1C9-C19CE191A8C6}"/>
    <cellStyle name="Style 74" xfId="4571" xr:uid="{41406EDF-C3B4-48A2-97DF-DD2F798B141D}"/>
    <cellStyle name="Style 75" xfId="4572" xr:uid="{0D45E015-4348-4E44-B0D0-8A68F7F7F97C}"/>
    <cellStyle name="Style 76" xfId="4573" xr:uid="{7B1D0BEA-B43E-45A2-8FA9-D7B77F533EB8}"/>
    <cellStyle name="Style 77" xfId="4574" xr:uid="{72A9EA2D-5308-464B-804F-F8CE0A874A07}"/>
    <cellStyle name="Style 78" xfId="4575" xr:uid="{7E76C7E9-44B6-4BBB-8D86-1A41C77C89B7}"/>
    <cellStyle name="Style 79" xfId="4576" xr:uid="{6D06C71B-E31D-4DB6-A83F-3AF18C8444A3}"/>
    <cellStyle name="Style 8" xfId="4577" xr:uid="{8CEFADC0-AF51-4DEB-8781-7FB66A4EE343}"/>
    <cellStyle name="Style 80" xfId="4578" xr:uid="{0FC7D67D-FB02-43C0-9DF8-17D0043806F9}"/>
    <cellStyle name="Style 81" xfId="4579" xr:uid="{643FCA1F-D45E-4D28-90CA-DB9BE9C735CC}"/>
    <cellStyle name="Style 82" xfId="4580" xr:uid="{44B2E1EC-073B-439B-9CED-1FF381567ED5}"/>
    <cellStyle name="Style 83" xfId="4581" xr:uid="{CE14F691-349B-4501-8F15-102C1ECCF807}"/>
    <cellStyle name="Style 84" xfId="4582" xr:uid="{7B3360ED-6BC1-4C05-A663-6ACFF33F9187}"/>
    <cellStyle name="Style 85" xfId="4583" xr:uid="{305FE72C-03E0-424E-9D45-CBA65EA3D255}"/>
    <cellStyle name="Style 86" xfId="4584" xr:uid="{5B9C4C39-B6ED-4C62-9919-DF9A04C4801F}"/>
    <cellStyle name="Style 87" xfId="4585" xr:uid="{BF609305-E754-4032-BC0F-CA04829E930E}"/>
    <cellStyle name="Style 88" xfId="4586" xr:uid="{9D40B097-0984-4DA2-8E37-86057EE3A54A}"/>
    <cellStyle name="Style 89" xfId="4587" xr:uid="{9BD7B4C5-7E6C-4136-A9E4-133BD423989C}"/>
    <cellStyle name="Style 9" xfId="4588" xr:uid="{A69A35A6-DA6D-40ED-9374-FDDFAD0E2365}"/>
    <cellStyle name="Style 90" xfId="4589" xr:uid="{F05DF5CE-3DAE-4C82-8111-21DE455AB4BB}"/>
    <cellStyle name="Style 91" xfId="4590" xr:uid="{A0EAAEBF-C757-4C1A-9F7C-DF331E14490C}"/>
    <cellStyle name="Style 92" xfId="4591" xr:uid="{90071CC0-AEE5-49C2-A953-796B1BBF871A}"/>
    <cellStyle name="Style 93" xfId="4592" xr:uid="{FF1976D7-5D62-4DE9-A8C4-0E264A839AFC}"/>
    <cellStyle name="Style 94" xfId="4593" xr:uid="{19209A01-DEFE-4472-AF61-A6EBF8D3800C}"/>
    <cellStyle name="Style 95" xfId="4594" xr:uid="{7A2564D7-32B3-4559-B97E-A7CA02DFCFE8}"/>
    <cellStyle name="Style 96" xfId="4595" xr:uid="{36AD9B9E-5676-40BB-BC15-6CAD3A233F3A}"/>
    <cellStyle name="Style 97" xfId="4596" xr:uid="{8F21543C-EB1A-4030-8340-482386F90975}"/>
    <cellStyle name="Style 98" xfId="4597" xr:uid="{77DAB270-FF3D-41EE-94A5-9BF622683C33}"/>
    <cellStyle name="Style 99" xfId="4598" xr:uid="{F8410AB8-CD15-436A-AEEE-C0824C182A15}"/>
    <cellStyle name="STYLE1" xfId="4599" xr:uid="{3CBA3B4C-AC46-4CEE-82EF-9EACEB1B7CA6}"/>
    <cellStyle name="STYLE2" xfId="4600" xr:uid="{43B4D4DE-E11F-4284-BA19-D4A1B6BD35FB}"/>
    <cellStyle name="STYLE3" xfId="4601" xr:uid="{D3446DE6-7408-4DCC-8A19-4E9BC03693C4}"/>
    <cellStyle name="Subhead" xfId="4602" xr:uid="{9657BE02-9CCA-40CC-9DB7-26CAEAE786D9}"/>
    <cellStyle name="Subtotal_left" xfId="4603" xr:uid="{CD1BC7C5-029A-466F-9C37-556B86715A73}"/>
    <cellStyle name="SwitchCell" xfId="4604" xr:uid="{AFABC056-AD25-4E9C-A021-549A6F533FC9}"/>
    <cellStyle name="t" xfId="4605" xr:uid="{614491D0-66B1-4035-855F-294EC9378AF4}"/>
    <cellStyle name="Table Col Head" xfId="4606" xr:uid="{1BC0B6DB-E49F-42A2-BBCC-19A0A2D7ECAA}"/>
    <cellStyle name="Table Head" xfId="4607" xr:uid="{334DCAA2-E8B7-49EE-BEEC-174364A1C5B4}"/>
    <cellStyle name="Table Head Aligned" xfId="4608" xr:uid="{0C9E1771-102F-4299-B455-E0BA65EA9A51}"/>
    <cellStyle name="Table Head Blue" xfId="4609" xr:uid="{8C03AF33-AA6E-4E39-9E93-F6D05C46A765}"/>
    <cellStyle name="Table Head Green" xfId="4610" xr:uid="{85B27BE9-C1BC-4E3D-9A57-BB8AB83F1D23}"/>
    <cellStyle name="Table Head_Val_Sum_Graph" xfId="4611" xr:uid="{B1601F7D-94FC-4A56-96AE-0F4EFC018552}"/>
    <cellStyle name="Table Sub Head" xfId="4612" xr:uid="{D50B74AD-4DB0-416B-A39E-D14F90A304E7}"/>
    <cellStyle name="Table Text" xfId="4613" xr:uid="{4BDC0F3E-339E-4409-9FC7-289243B8BF70}"/>
    <cellStyle name="Table Title" xfId="4614" xr:uid="{186537D7-8B13-4CF6-AA2F-6CAC08AD12E7}"/>
    <cellStyle name="Table Units" xfId="4615" xr:uid="{2229DCEF-760A-4018-97CE-D6BDFABE71AB}"/>
    <cellStyle name="Table_Header" xfId="4616" xr:uid="{5132837F-D416-4EAE-A415-2B71DF5E279A}"/>
    <cellStyle name="TableBorder" xfId="4617" xr:uid="{9693EE5C-4D0F-46DE-94A6-E69979BA062E}"/>
    <cellStyle name="TableColumnHeader" xfId="4618" xr:uid="{96B533EC-8EBC-4E48-BB62-8D4D26EC4243}"/>
    <cellStyle name="TableColumnHeader 2" xfId="4619" xr:uid="{90E7D0CE-127E-40C0-850F-4772F4204E1E}"/>
    <cellStyle name="TableColumnHeader 3" xfId="4620" xr:uid="{1F4941B0-28C1-4857-91E6-9967711C8781}"/>
    <cellStyle name="TableHeading" xfId="4621" xr:uid="{8524C0C6-C3D2-41E9-B235-1C771B3E78D9}"/>
    <cellStyle name="TableHighlight" xfId="4622" xr:uid="{CE673E3B-7D7C-4B64-86ED-773E15245B4A}"/>
    <cellStyle name="TableNote" xfId="4623" xr:uid="{A5AF2974-E32D-4814-BE66-BDB7CE837AD4}"/>
    <cellStyle name="test a style" xfId="4624" xr:uid="{8EC1E6F6-488C-4EC0-A13E-5F3C0EEDF532}"/>
    <cellStyle name="Text 1" xfId="4625" xr:uid="{5AC63B11-3066-4235-9C3F-CDC0D6F75251}"/>
    <cellStyle name="Text Head 1" xfId="4626" xr:uid="{F4FD71F5-B189-4BBB-AEFE-030E94235D74}"/>
    <cellStyle name="Text Indent A" xfId="4627" xr:uid="{D67BFC9F-D778-40C1-B99F-E1AA35531A90}"/>
    <cellStyle name="Text Indent B" xfId="4628" xr:uid="{0F53672D-C9E0-40DF-8462-BD3762A0672A}"/>
    <cellStyle name="Text Indent C" xfId="4629" xr:uid="{313294BB-D6ED-4885-AAA7-28596483B30C}"/>
    <cellStyle name="Text Wrap" xfId="4630" xr:uid="{93A69B15-2588-4F0E-96FD-16DC59FF4142}"/>
    <cellStyle name="Time" xfId="4631" xr:uid="{3017F06D-DECB-4195-9B42-553C9FC5966B}"/>
    <cellStyle name="Times 10" xfId="4632" xr:uid="{2E8EF4FF-7577-4A0E-91FE-2D1077D315D6}"/>
    <cellStyle name="Times 12" xfId="4633" xr:uid="{487E2E2B-F9B0-492E-829B-41F93C673E75}"/>
    <cellStyle name="Times New Roman" xfId="4634" xr:uid="{AC48D8EE-D2A5-4EB1-879A-4ED64F0CD68E}"/>
    <cellStyle name="Title" xfId="11" builtinId="15" customBuiltin="1"/>
    <cellStyle name="Title 2" xfId="102" xr:uid="{0FE1DB9F-3B6A-45EA-BBDC-970C8E67471B}"/>
    <cellStyle name="Title 2 2" xfId="4636" xr:uid="{B1CBD869-EA5A-467B-A27A-5ED1BAFF7590}"/>
    <cellStyle name="Title 2 3" xfId="4635" xr:uid="{E3A5C237-C2DB-4F9E-92C0-C012BC1E591A}"/>
    <cellStyle name="Title 3" xfId="99" xr:uid="{4A7032C0-6BBC-4E5B-8ED0-2298039AE09B}"/>
    <cellStyle name="Title 3 2" xfId="4637" xr:uid="{8FA49C9B-9BA4-436B-BF99-F76BDBDDE9E7}"/>
    <cellStyle name="title1" xfId="4638" xr:uid="{B300AD11-5AF5-42A7-95C5-4D3561D5AB41}"/>
    <cellStyle name="title2" xfId="4639" xr:uid="{33589BC4-0041-487E-9804-49C14BDE0092}"/>
    <cellStyle name="Title-2" xfId="4640" xr:uid="{912D33EF-5174-4533-B115-96D240982512}"/>
    <cellStyle name="Titles" xfId="4641" xr:uid="{43BA5623-8F0E-479B-9427-E8403F37AB89}"/>
    <cellStyle name="titre_col" xfId="4642" xr:uid="{B46CFBC4-533D-4069-85B9-FD8E0EFC5791}"/>
    <cellStyle name="TOC" xfId="4643" xr:uid="{BB588A39-897B-4059-B975-4775EBEC3956}"/>
    <cellStyle name="Total" xfId="27" builtinId="25" customBuiltin="1"/>
    <cellStyle name="Total 2" xfId="118" xr:uid="{D2345E1A-4AB8-4AA3-9D14-7776FBB8E650}"/>
    <cellStyle name="Total 2 10" xfId="4645" xr:uid="{675D45A0-5703-42D0-A583-49B630B22450}"/>
    <cellStyle name="Total 2 11" xfId="4646" xr:uid="{2791BB02-1CBB-4769-8385-692DBCD539E0}"/>
    <cellStyle name="Total 2 12" xfId="4647" xr:uid="{2C069901-9ED8-46C8-8233-33BC5472867D}"/>
    <cellStyle name="Total 2 13" xfId="4644" xr:uid="{ED757D16-3D5A-43CA-9AB2-472DDE03D7D6}"/>
    <cellStyle name="Total 2 2" xfId="4648" xr:uid="{14180CA2-87A2-4F3E-88C3-2AA9951161C0}"/>
    <cellStyle name="Total 2 2 2" xfId="4649" xr:uid="{94A7E558-3A12-4B63-BC7E-C2E8FCBE1DD8}"/>
    <cellStyle name="Total 2 2 3" xfId="4650" xr:uid="{04B5EA7D-B6FD-4776-B920-DC61B6A283BB}"/>
    <cellStyle name="Total 2 2 4" xfId="4651" xr:uid="{871EC61B-4342-4BEF-B025-725582332784}"/>
    <cellStyle name="Total 2 3" xfId="4652" xr:uid="{8078BAF5-56CA-45C0-A2CB-2AE12AEC961B}"/>
    <cellStyle name="Total 2 4" xfId="4653" xr:uid="{480567F0-FA09-4EBA-8A67-D7283C20BC01}"/>
    <cellStyle name="Total 2 5" xfId="4654" xr:uid="{555508DA-E38E-4816-B6F6-CE2025B691F4}"/>
    <cellStyle name="Total 2 6" xfId="4655" xr:uid="{88633D2F-19BD-4FCF-8C52-C5E6F3C241AF}"/>
    <cellStyle name="Total 2 7" xfId="4656" xr:uid="{BAD5F457-06A0-4746-B36B-D24A79C5A28D}"/>
    <cellStyle name="Total 2 8" xfId="4657" xr:uid="{176DB0DC-1090-474D-8804-13AA414DA576}"/>
    <cellStyle name="Total 2 9" xfId="4658" xr:uid="{F64822AB-72A6-400C-9C83-E04CD1B1E66E}"/>
    <cellStyle name="Total 3" xfId="100" xr:uid="{8EFEF9FC-2BC3-4213-8A0D-0DB7118AAF91}"/>
    <cellStyle name="Total 3 2" xfId="4659" xr:uid="{04C51CD7-638A-4ACC-BD51-4D4EFD51B8DF}"/>
    <cellStyle name="Total Bold" xfId="4660" xr:uid="{71BDF777-41BA-4D69-A263-A78C3CE225A4}"/>
    <cellStyle name="Totals" xfId="4661" xr:uid="{837CA7E2-7009-4A1C-A613-8FC39FF7E10A}"/>
    <cellStyle name="Underline_Single" xfId="4662" xr:uid="{BEEE134B-33FE-483E-A6D5-CEAA1B2058F6}"/>
    <cellStyle name="UnProtectedCalc" xfId="4663" xr:uid="{FFA9966E-2DF1-4976-96FC-2E802CE3E8D0}"/>
    <cellStyle name="Valuta (0)_Sheet1" xfId="4664" xr:uid="{70A61218-CBC0-4E04-B1C0-D1194C7BA690}"/>
    <cellStyle name="Valuta_piv_polio" xfId="4665" xr:uid="{FDDDE53A-A207-46E3-9C30-037BA1C689C6}"/>
    <cellStyle name="Währung [0]_A17 - 31.03.1998" xfId="4666" xr:uid="{B2DCB91C-38B7-4378-9381-103621A61C70}"/>
    <cellStyle name="Währung_A17 - 31.03.1998" xfId="4667" xr:uid="{F25DA6AC-35C6-4A46-BE0E-35CC0E2F362C}"/>
    <cellStyle name="Warburg" xfId="4668" xr:uid="{B4CDB822-4DC3-4C9D-867F-1A6543EC80D1}"/>
    <cellStyle name="Warning Text" xfId="24" builtinId="11" customBuiltin="1"/>
    <cellStyle name="Warning Text 2" xfId="115" xr:uid="{4E236B29-646B-4B6A-BD36-00E8488BEDDB}"/>
    <cellStyle name="Warning Text 2 10" xfId="4669" xr:uid="{996727AC-304F-4E12-BB35-FB414FF320B8}"/>
    <cellStyle name="Warning Text 2 2" xfId="4670" xr:uid="{D4CB5681-74A5-4717-A369-964C511AF5C2}"/>
    <cellStyle name="Warning Text 2 3" xfId="4671" xr:uid="{9CD7B16D-6294-4ED0-9D22-F8CBD069151D}"/>
    <cellStyle name="Warning Text 2 4" xfId="4672" xr:uid="{BEB36525-28C6-4196-81D2-FB39EFF0DD0B}"/>
    <cellStyle name="Warning Text 2 5" xfId="4673" xr:uid="{B9FA498B-9E96-4A3D-8C62-9D5DDB210C53}"/>
    <cellStyle name="Warning Text 2 6" xfId="4674" xr:uid="{92881249-9192-465A-AF8A-84CFA733715D}"/>
    <cellStyle name="Warning Text 2 7" xfId="4675" xr:uid="{FB5EE38B-C53C-42EC-83DF-2C0B418C021C}"/>
    <cellStyle name="Warning Text 2 8" xfId="4676" xr:uid="{001FDECA-331E-4CE2-8F62-2122CCB0EB53}"/>
    <cellStyle name="Warning Text 2 9" xfId="4677" xr:uid="{38FC39DD-69C0-4AB0-8517-A18C61486EE9}"/>
    <cellStyle name="Warning Text 3" xfId="101" xr:uid="{6E6E049E-A9A6-48BA-B891-7ADE536A917C}"/>
    <cellStyle name="wild guess" xfId="4678" xr:uid="{94AB5452-68DB-4316-8843-AF4A8BA9D96F}"/>
    <cellStyle name="Wildguess" xfId="4679" xr:uid="{37546A63-BE84-4E4D-9AB5-9D9ECDD08FB2}"/>
    <cellStyle name="Year" xfId="4680" xr:uid="{9A5CF7D2-C226-4BF5-A64A-3513D6FCD82A}"/>
    <cellStyle name="Year Estimate" xfId="4681" xr:uid="{E3425BF9-837E-4A5E-98A5-A7940559C50F}"/>
    <cellStyle name="Year, Actual" xfId="4682" xr:uid="{25692F2F-0C5B-4B01-AE43-3D1D7018DAF0}"/>
    <cellStyle name="YearE_ Pies " xfId="4683" xr:uid="{FC827580-921C-425F-A9FE-83EC7DA00B48}"/>
    <cellStyle name="YearFormat" xfId="4684" xr:uid="{0035A920-9DBE-4415-978F-E872A1247A9E}"/>
    <cellStyle name="Yen" xfId="4685" xr:uid="{D99C3EFA-8EF5-432F-98AE-3114B8657A44}"/>
    <cellStyle name="YesNo" xfId="4686" xr:uid="{015CB1D6-60B4-4B96-A378-FC9296145E53}"/>
    <cellStyle name="쬞\?1@" xfId="4687" xr:uid="{5592D84F-C009-419E-B104-14BEDCE61171}"/>
    <cellStyle name="常规 2" xfId="4688" xr:uid="{203EB5B7-0F03-4D59-9457-5EB210A99BD8}"/>
    <cellStyle name="標準_car_JP" xfId="4689" xr:uid="{115E9046-659F-4214-B0C0-3F90660ED24E}"/>
  </cellStyles>
  <dxfs count="0"/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Data'!$R$158:$R$255</c:f>
              <c:numCache>
                <c:formatCode>0.0</c:formatCode>
                <c:ptCount val="98"/>
                <c:pt idx="0">
                  <c:v>-8.1193548387096772</c:v>
                </c:pt>
                <c:pt idx="1">
                  <c:v>-7.1821428571428569</c:v>
                </c:pt>
                <c:pt idx="2">
                  <c:v>-2.5516129032258057</c:v>
                </c:pt>
                <c:pt idx="3">
                  <c:v>8.5533333333333346</c:v>
                </c:pt>
                <c:pt idx="4">
                  <c:v>15.525806451612905</c:v>
                </c:pt>
                <c:pt idx="5">
                  <c:v>21.35</c:v>
                </c:pt>
                <c:pt idx="6">
                  <c:v>20.583870967741937</c:v>
                </c:pt>
                <c:pt idx="7">
                  <c:v>20.967741935483868</c:v>
                </c:pt>
                <c:pt idx="8">
                  <c:v>16.433333333333334</c:v>
                </c:pt>
                <c:pt idx="9">
                  <c:v>10.929032258064517</c:v>
                </c:pt>
                <c:pt idx="10">
                  <c:v>2.023333333333333</c:v>
                </c:pt>
                <c:pt idx="11">
                  <c:v>0.41290322580645139</c:v>
                </c:pt>
                <c:pt idx="12">
                  <c:v>-6.7387096774193527</c:v>
                </c:pt>
                <c:pt idx="13">
                  <c:v>-10.967857142857142</c:v>
                </c:pt>
                <c:pt idx="14">
                  <c:v>-0.2354838709677417</c:v>
                </c:pt>
                <c:pt idx="15">
                  <c:v>8.5599999999999987</c:v>
                </c:pt>
                <c:pt idx="16">
                  <c:v>16.758064516129032</c:v>
                </c:pt>
                <c:pt idx="17">
                  <c:v>19.5</c:v>
                </c:pt>
                <c:pt idx="18">
                  <c:v>21.793548387096774</c:v>
                </c:pt>
                <c:pt idx="19">
                  <c:v>21.041935483870965</c:v>
                </c:pt>
                <c:pt idx="20">
                  <c:v>19.576666666666668</c:v>
                </c:pt>
                <c:pt idx="21">
                  <c:v>11.758064516129032</c:v>
                </c:pt>
                <c:pt idx="22">
                  <c:v>7.16</c:v>
                </c:pt>
                <c:pt idx="23">
                  <c:v>4.5387096774193552</c:v>
                </c:pt>
                <c:pt idx="24">
                  <c:v>-2.8032258064516129</c:v>
                </c:pt>
                <c:pt idx="25">
                  <c:v>-0.97241379310344833</c:v>
                </c:pt>
                <c:pt idx="26">
                  <c:v>4.9548387096774196</c:v>
                </c:pt>
                <c:pt idx="27">
                  <c:v>6.9300000000000015</c:v>
                </c:pt>
                <c:pt idx="28">
                  <c:v>15.122580645161293</c:v>
                </c:pt>
                <c:pt idx="29">
                  <c:v>21.150000000000002</c:v>
                </c:pt>
                <c:pt idx="30">
                  <c:v>23.751612903225805</c:v>
                </c:pt>
                <c:pt idx="31">
                  <c:v>23.641935483870963</c:v>
                </c:pt>
                <c:pt idx="32">
                  <c:v>19.376666666666665</c:v>
                </c:pt>
                <c:pt idx="33">
                  <c:v>12.867741935483869</c:v>
                </c:pt>
                <c:pt idx="34">
                  <c:v>7.49</c:v>
                </c:pt>
                <c:pt idx="35">
                  <c:v>-2.1032258064516132</c:v>
                </c:pt>
                <c:pt idx="36">
                  <c:v>-0.84516129032258069</c:v>
                </c:pt>
                <c:pt idx="37">
                  <c:v>2.2607142857142857</c:v>
                </c:pt>
                <c:pt idx="38">
                  <c:v>1.6354838709677419</c:v>
                </c:pt>
                <c:pt idx="39">
                  <c:v>11.35</c:v>
                </c:pt>
                <c:pt idx="40">
                  <c:v>14.206451612903226</c:v>
                </c:pt>
                <c:pt idx="41">
                  <c:v>21.110000000000003</c:v>
                </c:pt>
                <c:pt idx="42">
                  <c:v>22.41935483870968</c:v>
                </c:pt>
                <c:pt idx="43">
                  <c:v>20.383870967741935</c:v>
                </c:pt>
                <c:pt idx="44">
                  <c:v>18.296666666666667</c:v>
                </c:pt>
                <c:pt idx="45">
                  <c:v>13.496774193548386</c:v>
                </c:pt>
                <c:pt idx="46">
                  <c:v>4.1688159002863392</c:v>
                </c:pt>
                <c:pt idx="47">
                  <c:v>-3.6774193548387095</c:v>
                </c:pt>
                <c:pt idx="48">
                  <c:v>-4.7612903225806438</c:v>
                </c:pt>
                <c:pt idx="49">
                  <c:v>-1.4464285714285716</c:v>
                </c:pt>
                <c:pt idx="50">
                  <c:v>0.76129032258064511</c:v>
                </c:pt>
                <c:pt idx="51">
                  <c:v>4.8133333333333344</c:v>
                </c:pt>
                <c:pt idx="52">
                  <c:v>17.580645161290327</c:v>
                </c:pt>
                <c:pt idx="53">
                  <c:v>20.876666666666669</c:v>
                </c:pt>
                <c:pt idx="54">
                  <c:v>23.261290322580646</c:v>
                </c:pt>
                <c:pt idx="55">
                  <c:v>23.154838709677417</c:v>
                </c:pt>
                <c:pt idx="56">
                  <c:v>19.463333333333335</c:v>
                </c:pt>
                <c:pt idx="57">
                  <c:v>10.816129032258065</c:v>
                </c:pt>
                <c:pt idx="58">
                  <c:v>1.80881590028634</c:v>
                </c:pt>
                <c:pt idx="59">
                  <c:v>0.78064516129032258</c:v>
                </c:pt>
                <c:pt idx="60">
                  <c:v>-4.9612903225806457</c:v>
                </c:pt>
                <c:pt idx="61">
                  <c:v>-2.7464285714285714</c:v>
                </c:pt>
                <c:pt idx="62">
                  <c:v>0.27741935483871</c:v>
                </c:pt>
                <c:pt idx="63">
                  <c:v>8.7199999999999989</c:v>
                </c:pt>
                <c:pt idx="64">
                  <c:v>13.835483870967741</c:v>
                </c:pt>
                <c:pt idx="65">
                  <c:v>19.200000000000003</c:v>
                </c:pt>
                <c:pt idx="66">
                  <c:v>24.144015387373877</c:v>
                </c:pt>
                <c:pt idx="67">
                  <c:v>21.998854097051296</c:v>
                </c:pt>
                <c:pt idx="68">
                  <c:v>19.206666666666667</c:v>
                </c:pt>
                <c:pt idx="69">
                  <c:v>11.664516129032259</c:v>
                </c:pt>
                <c:pt idx="70">
                  <c:v>1.4933333333333334</c:v>
                </c:pt>
                <c:pt idx="71">
                  <c:v>0.97096774193548374</c:v>
                </c:pt>
                <c:pt idx="72">
                  <c:v>-0.1032258064516129</c:v>
                </c:pt>
                <c:pt idx="73">
                  <c:v>-1.6310344827586205</c:v>
                </c:pt>
                <c:pt idx="74">
                  <c:v>4.3806451612903219</c:v>
                </c:pt>
                <c:pt idx="75">
                  <c:v>6.7833333333333332</c:v>
                </c:pt>
                <c:pt idx="76">
                  <c:v>13.677419354838712</c:v>
                </c:pt>
                <c:pt idx="77">
                  <c:v>21.35</c:v>
                </c:pt>
                <c:pt idx="78">
                  <c:v>24.635483870967743</c:v>
                </c:pt>
                <c:pt idx="79">
                  <c:v>21.8728357430439</c:v>
                </c:pt>
                <c:pt idx="80">
                  <c:v>16.807631800572679</c:v>
                </c:pt>
                <c:pt idx="81">
                  <c:v>10.293548387096777</c:v>
                </c:pt>
                <c:pt idx="82">
                  <c:v>7.0254825669530083</c:v>
                </c:pt>
                <c:pt idx="83">
                  <c:v>0.34193548387096778</c:v>
                </c:pt>
                <c:pt idx="84">
                  <c:v>-1.7032258064516126</c:v>
                </c:pt>
                <c:pt idx="85">
                  <c:v>-5.3857142857142852</c:v>
                </c:pt>
                <c:pt idx="86">
                  <c:v>5.1451612903225801</c:v>
                </c:pt>
                <c:pt idx="87">
                  <c:v>9.5166666666666693</c:v>
                </c:pt>
                <c:pt idx="88">
                  <c:v>14.542869484425172</c:v>
                </c:pt>
                <c:pt idx="89">
                  <c:v>22.270000000000003</c:v>
                </c:pt>
                <c:pt idx="90">
                  <c:v>22.20645161290323</c:v>
                </c:pt>
                <c:pt idx="91">
                  <c:v>23.235271968573244</c:v>
                </c:pt>
                <c:pt idx="92">
                  <c:v>18.583333333333332</c:v>
                </c:pt>
                <c:pt idx="93">
                  <c:v>14.877419354838711</c:v>
                </c:pt>
                <c:pt idx="94">
                  <c:v>3.9033333333333342</c:v>
                </c:pt>
                <c:pt idx="95">
                  <c:v>2.4064516129032261</c:v>
                </c:pt>
                <c:pt idx="96">
                  <c:v>-6.7161290322580642</c:v>
                </c:pt>
                <c:pt idx="97">
                  <c:v>-3.6892857142857136</c:v>
                </c:pt>
              </c:numCache>
            </c:numRef>
          </c:xVal>
          <c:yVal>
            <c:numRef>
              <c:f>[1]Weather!#REF!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Data'!$R$256:$R$277</c:f>
              <c:numCache>
                <c:formatCode>0.0</c:formatCode>
                <c:ptCount val="22"/>
                <c:pt idx="0">
                  <c:v>2.9698218389867801</c:v>
                </c:pt>
                <c:pt idx="1">
                  <c:v>6.916666666666667</c:v>
                </c:pt>
                <c:pt idx="2">
                  <c:v>16.374193548387094</c:v>
                </c:pt>
                <c:pt idx="3">
                  <c:v>20.912149233619672</c:v>
                </c:pt>
                <c:pt idx="4">
                  <c:v>23.051612903225802</c:v>
                </c:pt>
                <c:pt idx="5">
                  <c:v>22.417063032812273</c:v>
                </c:pt>
                <c:pt idx="6">
                  <c:v>18.350000000000005</c:v>
                </c:pt>
                <c:pt idx="7">
                  <c:v>11.240577678527769</c:v>
                </c:pt>
                <c:pt idx="8">
                  <c:v>5.7133333333333329</c:v>
                </c:pt>
                <c:pt idx="9">
                  <c:v>6.1290322580645144E-2</c:v>
                </c:pt>
                <c:pt idx="10">
                  <c:v>0.29999999999999949</c:v>
                </c:pt>
                <c:pt idx="11">
                  <c:v>0.45587417887822124</c:v>
                </c:pt>
                <c:pt idx="12">
                  <c:v>2.5129032258064519</c:v>
                </c:pt>
                <c:pt idx="13">
                  <c:v>9.3466666666666676</c:v>
                </c:pt>
                <c:pt idx="14">
                  <c:v>14.503225806451612</c:v>
                </c:pt>
                <c:pt idx="15">
                  <c:v>19.686666666666667</c:v>
                </c:pt>
                <c:pt idx="16">
                  <c:v>22.285950871244843</c:v>
                </c:pt>
                <c:pt idx="17">
                  <c:v>20.439219873184562</c:v>
                </c:pt>
                <c:pt idx="18">
                  <c:v>18.287631800572683</c:v>
                </c:pt>
                <c:pt idx="19">
                  <c:v>12.270967741935481</c:v>
                </c:pt>
                <c:pt idx="20">
                  <c:v>4.5866666666666642</c:v>
                </c:pt>
                <c:pt idx="21">
                  <c:v>4.0838709677419356</c:v>
                </c:pt>
              </c:numCache>
            </c:numRef>
          </c:xVal>
          <c:yVal>
            <c:numRef>
              <c:f>'Weather Data'!$DQ$266:$DQ$277</c:f>
              <c:numCache>
                <c:formatCode>_(* #,##0_);_(* \(#,##0\);_(* "-"??_);_(@_)</c:formatCode>
                <c:ptCount val="12"/>
                <c:pt idx="0">
                  <c:v>21739653.020592146</c:v>
                </c:pt>
                <c:pt idx="1">
                  <c:v>19325500.364851363</c:v>
                </c:pt>
                <c:pt idx="2">
                  <c:v>20403192.423943333</c:v>
                </c:pt>
                <c:pt idx="3">
                  <c:v>18268877.853255227</c:v>
                </c:pt>
                <c:pt idx="4">
                  <c:v>19695117.745425321</c:v>
                </c:pt>
                <c:pt idx="5">
                  <c:v>25536410.654737167</c:v>
                </c:pt>
                <c:pt idx="6">
                  <c:v>33012016.936593421</c:v>
                </c:pt>
                <c:pt idx="7">
                  <c:v>29791544.592128277</c:v>
                </c:pt>
                <c:pt idx="8">
                  <c:v>24279616.849699214</c:v>
                </c:pt>
                <c:pt idx="9">
                  <c:v>19662271.76550518</c:v>
                </c:pt>
                <c:pt idx="10">
                  <c:v>19498370.0278183</c:v>
                </c:pt>
                <c:pt idx="11">
                  <c:v>21949733.195365354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'Res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'Res Predicted Monthly'!$U$2:$U$121</c:f>
              <c:numCache>
                <c:formatCode>_(* #,##0_);_(* \(#,##0\);_(* "-"??_);_(@_)</c:formatCode>
                <c:ptCount val="120"/>
                <c:pt idx="0">
                  <c:v>21707788.365667365</c:v>
                </c:pt>
                <c:pt idx="1">
                  <c:v>18749718.370048918</c:v>
                </c:pt>
                <c:pt idx="2">
                  <c:v>18811846.528201189</c:v>
                </c:pt>
                <c:pt idx="3">
                  <c:v>15596822.07531094</c:v>
                </c:pt>
                <c:pt idx="4">
                  <c:v>18603648.672287807</c:v>
                </c:pt>
                <c:pt idx="5">
                  <c:v>26049457.842847198</c:v>
                </c:pt>
                <c:pt idx="6">
                  <c:v>25586833.981333543</c:v>
                </c:pt>
                <c:pt idx="7">
                  <c:v>26396941.059383214</c:v>
                </c:pt>
                <c:pt idx="8">
                  <c:v>19576182.654946074</c:v>
                </c:pt>
                <c:pt idx="9">
                  <c:v>16176513.069753811</c:v>
                </c:pt>
                <c:pt idx="10">
                  <c:v>17119039.907132234</c:v>
                </c:pt>
                <c:pt idx="11">
                  <c:v>20068158.118491523</c:v>
                </c:pt>
                <c:pt idx="12">
                  <c:v>21663660.396316461</c:v>
                </c:pt>
                <c:pt idx="13">
                  <c:v>19761929.22473013</c:v>
                </c:pt>
                <c:pt idx="14">
                  <c:v>18561846.072983809</c:v>
                </c:pt>
                <c:pt idx="15">
                  <c:v>15835129.052760266</c:v>
                </c:pt>
                <c:pt idx="16">
                  <c:v>20113311.824368738</c:v>
                </c:pt>
                <c:pt idx="17">
                  <c:v>23236950.517982177</c:v>
                </c:pt>
                <c:pt idx="18">
                  <c:v>28347299.404450092</c:v>
                </c:pt>
                <c:pt idx="19">
                  <c:v>26983126.016779386</c:v>
                </c:pt>
                <c:pt idx="20">
                  <c:v>23444940.659095231</c:v>
                </c:pt>
                <c:pt idx="21">
                  <c:v>16553985.920788797</c:v>
                </c:pt>
                <c:pt idx="22">
                  <c:v>16344741.442787416</c:v>
                </c:pt>
                <c:pt idx="23">
                  <c:v>19419900.888891067</c:v>
                </c:pt>
                <c:pt idx="24">
                  <c:v>21057287.569012977</c:v>
                </c:pt>
                <c:pt idx="25">
                  <c:v>18915215.465599831</c:v>
                </c:pt>
                <c:pt idx="26">
                  <c:v>17679320.152569775</c:v>
                </c:pt>
                <c:pt idx="27">
                  <c:v>16441984.081821624</c:v>
                </c:pt>
                <c:pt idx="28">
                  <c:v>19427661.959351789</c:v>
                </c:pt>
                <c:pt idx="29">
                  <c:v>26241920.172171026</c:v>
                </c:pt>
                <c:pt idx="30">
                  <c:v>32616658.483200185</c:v>
                </c:pt>
                <c:pt idx="31">
                  <c:v>32411808.56178645</c:v>
                </c:pt>
                <c:pt idx="32">
                  <c:v>23032215.699442551</c:v>
                </c:pt>
                <c:pt idx="33">
                  <c:v>18181319.88039358</c:v>
                </c:pt>
                <c:pt idx="34">
                  <c:v>16480879.896762725</c:v>
                </c:pt>
                <c:pt idx="35">
                  <c:v>21141306.962126102</c:v>
                </c:pt>
                <c:pt idx="36">
                  <c:v>20886086.582523797</c:v>
                </c:pt>
                <c:pt idx="37">
                  <c:v>17651863.493794799</c:v>
                </c:pt>
                <c:pt idx="38">
                  <c:v>18669523.948416986</c:v>
                </c:pt>
                <c:pt idx="39">
                  <c:v>16293722.440986492</c:v>
                </c:pt>
                <c:pt idx="40">
                  <c:v>18611430.693418384</c:v>
                </c:pt>
                <c:pt idx="41">
                  <c:v>26378776.867517676</c:v>
                </c:pt>
                <c:pt idx="42">
                  <c:v>30125151.699758012</c:v>
                </c:pt>
                <c:pt idx="43">
                  <c:v>26024230.606717978</c:v>
                </c:pt>
                <c:pt idx="44">
                  <c:v>22565455.66670996</c:v>
                </c:pt>
                <c:pt idx="45">
                  <c:v>18127814.710171249</c:v>
                </c:pt>
                <c:pt idx="46">
                  <c:v>17441247.457769219</c:v>
                </c:pt>
                <c:pt idx="47">
                  <c:v>21747452.086063787</c:v>
                </c:pt>
                <c:pt idx="48">
                  <c:v>22007622.826251347</c:v>
                </c:pt>
                <c:pt idx="49">
                  <c:v>18648456.435755108</c:v>
                </c:pt>
                <c:pt idx="50">
                  <c:v>19121619.660516653</c:v>
                </c:pt>
                <c:pt idx="51">
                  <c:v>17412196.682522967</c:v>
                </c:pt>
                <c:pt idx="52">
                  <c:v>21286830.927214257</c:v>
                </c:pt>
                <c:pt idx="53">
                  <c:v>26327360.270826176</c:v>
                </c:pt>
                <c:pt idx="54">
                  <c:v>32124946.255703654</c:v>
                </c:pt>
                <c:pt idx="55">
                  <c:v>31925338.069338016</c:v>
                </c:pt>
                <c:pt idx="56">
                  <c:v>25053449.823500767</c:v>
                </c:pt>
                <c:pt idx="57">
                  <c:v>19317856.528634608</c:v>
                </c:pt>
                <c:pt idx="58">
                  <c:v>18203571.708915953</c:v>
                </c:pt>
                <c:pt idx="59">
                  <c:v>21026074.628724545</c:v>
                </c:pt>
                <c:pt idx="60">
                  <c:v>22311348.367502417</c:v>
                </c:pt>
                <c:pt idx="61">
                  <c:v>19166573.324356783</c:v>
                </c:pt>
                <c:pt idx="62">
                  <c:v>19487816.852651343</c:v>
                </c:pt>
                <c:pt idx="63">
                  <c:v>16866545.482337847</c:v>
                </c:pt>
                <c:pt idx="64">
                  <c:v>18106725.588848837</c:v>
                </c:pt>
                <c:pt idx="65">
                  <c:v>23658460.029543169</c:v>
                </c:pt>
                <c:pt idx="66">
                  <c:v>34206134.899832509</c:v>
                </c:pt>
                <c:pt idx="67">
                  <c:v>29800689.517477822</c:v>
                </c:pt>
                <c:pt idx="68">
                  <c:v>23338322.439878497</c:v>
                </c:pt>
                <c:pt idx="69">
                  <c:v>18073998.315312654</c:v>
                </c:pt>
                <c:pt idx="70">
                  <c:v>18530471.939712275</c:v>
                </c:pt>
                <c:pt idx="71">
                  <c:v>21243901.650010638</c:v>
                </c:pt>
                <c:pt idx="72">
                  <c:v>21501942.674827166</c:v>
                </c:pt>
                <c:pt idx="73">
                  <c:v>20089653.03855449</c:v>
                </c:pt>
                <c:pt idx="74">
                  <c:v>19352909.942231964</c:v>
                </c:pt>
                <c:pt idx="75">
                  <c:v>18322440.783431843</c:v>
                </c:pt>
                <c:pt idx="76">
                  <c:v>20958613.567381177</c:v>
                </c:pt>
                <c:pt idx="77">
                  <c:v>30503774.706641555</c:v>
                </c:pt>
                <c:pt idx="78">
                  <c:v>39597335.722464994</c:v>
                </c:pt>
                <c:pt idx="79">
                  <c:v>32596926.681683406</c:v>
                </c:pt>
                <c:pt idx="80">
                  <c:v>22097304.320542552</c:v>
                </c:pt>
                <c:pt idx="81">
                  <c:v>18679472.969632752</c:v>
                </c:pt>
                <c:pt idx="82">
                  <c:v>18696959.965406917</c:v>
                </c:pt>
                <c:pt idx="83">
                  <c:v>22960319.088422876</c:v>
                </c:pt>
                <c:pt idx="84">
                  <c:v>23216985.080762114</c:v>
                </c:pt>
                <c:pt idx="85">
                  <c:v>21393306.256433908</c:v>
                </c:pt>
                <c:pt idx="86">
                  <c:v>19655757.749232046</c:v>
                </c:pt>
                <c:pt idx="87">
                  <c:v>18176486.788154952</c:v>
                </c:pt>
                <c:pt idx="88">
                  <c:v>21986664.189368855</c:v>
                </c:pt>
                <c:pt idx="89">
                  <c:v>32049844.356515091</c:v>
                </c:pt>
                <c:pt idx="90">
                  <c:v>32943314.790965606</c:v>
                </c:pt>
                <c:pt idx="91">
                  <c:v>35457384.70755896</c:v>
                </c:pt>
                <c:pt idx="92">
                  <c:v>24598418.886262126</c:v>
                </c:pt>
                <c:pt idx="93">
                  <c:v>21370011.261349071</c:v>
                </c:pt>
                <c:pt idx="94">
                  <c:v>19300469.187211074</c:v>
                </c:pt>
                <c:pt idx="95">
                  <c:v>22320526.738461807</c:v>
                </c:pt>
                <c:pt idx="96">
                  <c:v>24399270.526754841</c:v>
                </c:pt>
                <c:pt idx="97">
                  <c:v>20864386.80916708</c:v>
                </c:pt>
                <c:pt idx="98">
                  <c:v>20235476.483310923</c:v>
                </c:pt>
                <c:pt idx="99">
                  <c:v>18659461.40754113</c:v>
                </c:pt>
                <c:pt idx="100">
                  <c:v>22566778.174161259</c:v>
                </c:pt>
                <c:pt idx="101">
                  <c:v>28428873.283027541</c:v>
                </c:pt>
                <c:pt idx="102">
                  <c:v>34410137.093579933</c:v>
                </c:pt>
                <c:pt idx="103">
                  <c:v>32970137.900918175</c:v>
                </c:pt>
                <c:pt idx="104">
                  <c:v>25140186.092487156</c:v>
                </c:pt>
                <c:pt idx="105">
                  <c:v>18831068.173249733</c:v>
                </c:pt>
                <c:pt idx="106">
                  <c:v>19025605.998017345</c:v>
                </c:pt>
                <c:pt idx="107">
                  <c:v>22892842.298800454</c:v>
                </c:pt>
                <c:pt idx="108">
                  <c:v>22522690.114383757</c:v>
                </c:pt>
                <c:pt idx="109">
                  <c:v>19864640.44513081</c:v>
                </c:pt>
                <c:pt idx="110">
                  <c:v>20323748.166111298</c:v>
                </c:pt>
                <c:pt idx="111">
                  <c:v>18794302.892133877</c:v>
                </c:pt>
                <c:pt idx="112">
                  <c:v>20001703.909742076</c:v>
                </c:pt>
                <c:pt idx="113">
                  <c:v>25811489.032672863</c:v>
                </c:pt>
                <c:pt idx="114">
                  <c:v>32157064.699438475</c:v>
                </c:pt>
                <c:pt idx="115">
                  <c:v>28380086.115546111</c:v>
                </c:pt>
                <c:pt idx="116">
                  <c:v>23144630.333951421</c:v>
                </c:pt>
                <c:pt idx="117">
                  <c:v>20264006.101366512</c:v>
                </c:pt>
                <c:pt idx="118">
                  <c:v>19152795.347303659</c:v>
                </c:pt>
                <c:pt idx="119">
                  <c:v>21857418.360205185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'GS&lt;50 Predicted Monthly'!$D$2:$D$121</c:f>
              <c:numCache>
                <c:formatCode>_(* #,##0_);_(* \(#,##0\);_(* "-"??_);_(@_)</c:formatCode>
                <c:ptCount val="120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'GS&lt;50 Predicted Monthly'!$S$2:$S$121</c:f>
              <c:numCache>
                <c:formatCode>_(* #,##0_);_(* \(#,##0\);_(* "-"??_);_(@_)</c:formatCode>
                <c:ptCount val="120"/>
                <c:pt idx="0">
                  <c:v>6265992.1151025286</c:v>
                </c:pt>
                <c:pt idx="1">
                  <c:v>5713370.3603637535</c:v>
                </c:pt>
                <c:pt idx="2">
                  <c:v>5855543.7484805956</c:v>
                </c:pt>
                <c:pt idx="3">
                  <c:v>5201302.4873760827</c:v>
                </c:pt>
                <c:pt idx="4">
                  <c:v>5641696.9900542814</c:v>
                </c:pt>
                <c:pt idx="5">
                  <c:v>6439608.4946879242</c:v>
                </c:pt>
                <c:pt idx="6">
                  <c:v>6484577.1199564636</c:v>
                </c:pt>
                <c:pt idx="7">
                  <c:v>6571700.9805124588</c:v>
                </c:pt>
                <c:pt idx="8">
                  <c:v>5657164.5696100956</c:v>
                </c:pt>
                <c:pt idx="9">
                  <c:v>5340322.2674416229</c:v>
                </c:pt>
                <c:pt idx="10">
                  <c:v>5568062.551198177</c:v>
                </c:pt>
                <c:pt idx="11">
                  <c:v>5920567.5402973443</c:v>
                </c:pt>
                <c:pt idx="12">
                  <c:v>6309406.8864426743</c:v>
                </c:pt>
                <c:pt idx="13">
                  <c:v>6011308.4206873989</c:v>
                </c:pt>
                <c:pt idx="14">
                  <c:v>5849353.8465645481</c:v>
                </c:pt>
                <c:pt idx="15">
                  <c:v>5279607.1304612141</c:v>
                </c:pt>
                <c:pt idx="16">
                  <c:v>5886305.0853819363</c:v>
                </c:pt>
                <c:pt idx="17">
                  <c:v>6178319.2502211798</c:v>
                </c:pt>
                <c:pt idx="18">
                  <c:v>6862440.513524821</c:v>
                </c:pt>
                <c:pt idx="19">
                  <c:v>6699422.807109246</c:v>
                </c:pt>
                <c:pt idx="20">
                  <c:v>6223523.6820124928</c:v>
                </c:pt>
                <c:pt idx="21">
                  <c:v>5500108.3980467543</c:v>
                </c:pt>
                <c:pt idx="22">
                  <c:v>5467989.8092658268</c:v>
                </c:pt>
                <c:pt idx="23">
                  <c:v>5826049.8977547502</c:v>
                </c:pt>
                <c:pt idx="24">
                  <c:v>6248222.5128174163</c:v>
                </c:pt>
                <c:pt idx="25">
                  <c:v>5837102.3771652579</c:v>
                </c:pt>
                <c:pt idx="26">
                  <c:v>5726075.3366281409</c:v>
                </c:pt>
                <c:pt idx="27">
                  <c:v>5476058.0678965207</c:v>
                </c:pt>
                <c:pt idx="28">
                  <c:v>5829870.7226812346</c:v>
                </c:pt>
                <c:pt idx="29">
                  <c:v>6605251.7954189777</c:v>
                </c:pt>
                <c:pt idx="30">
                  <c:v>7404247.2660913635</c:v>
                </c:pt>
                <c:pt idx="31">
                  <c:v>7379061.5049083326</c:v>
                </c:pt>
                <c:pt idx="32">
                  <c:v>6269876.6560030477</c:v>
                </c:pt>
                <c:pt idx="33">
                  <c:v>5737187.9022067096</c:v>
                </c:pt>
                <c:pt idx="34">
                  <c:v>5494193.4424768481</c:v>
                </c:pt>
                <c:pt idx="35">
                  <c:v>6223602.9932763819</c:v>
                </c:pt>
                <c:pt idx="36">
                  <c:v>6224503.1815759027</c:v>
                </c:pt>
                <c:pt idx="37">
                  <c:v>5605342.744434854</c:v>
                </c:pt>
                <c:pt idx="38">
                  <c:v>5977750.2366994061</c:v>
                </c:pt>
                <c:pt idx="39">
                  <c:v>5533606.85274937</c:v>
                </c:pt>
                <c:pt idx="40">
                  <c:v>5868480.4082816252</c:v>
                </c:pt>
                <c:pt idx="41">
                  <c:v>6743856.8444641596</c:v>
                </c:pt>
                <c:pt idx="42">
                  <c:v>7208513.3796680253</c:v>
                </c:pt>
                <c:pt idx="43">
                  <c:v>6752555.672446413</c:v>
                </c:pt>
                <c:pt idx="44">
                  <c:v>6222210.2745092548</c:v>
                </c:pt>
                <c:pt idx="45">
                  <c:v>5867789.3933707494</c:v>
                </c:pt>
                <c:pt idx="46">
                  <c:v>5783279.0130189667</c:v>
                </c:pt>
                <c:pt idx="47">
                  <c:v>6462771.9821251035</c:v>
                </c:pt>
                <c:pt idx="48">
                  <c:v>6568053.2349319961</c:v>
                </c:pt>
                <c:pt idx="49">
                  <c:v>5918787.8926423611</c:v>
                </c:pt>
                <c:pt idx="50">
                  <c:v>6159999.576674155</c:v>
                </c:pt>
                <c:pt idx="51">
                  <c:v>5831221.8279880546</c:v>
                </c:pt>
                <c:pt idx="52">
                  <c:v>6331910.9023073455</c:v>
                </c:pt>
                <c:pt idx="53">
                  <c:v>6810202.8853711523</c:v>
                </c:pt>
                <c:pt idx="54">
                  <c:v>7575845.9925288819</c:v>
                </c:pt>
                <c:pt idx="55">
                  <c:v>7551058.8878328344</c:v>
                </c:pt>
                <c:pt idx="56">
                  <c:v>6663953.8331448864</c:v>
                </c:pt>
                <c:pt idx="57">
                  <c:v>6131203.3006040007</c:v>
                </c:pt>
                <c:pt idx="58">
                  <c:v>6072655.2235927843</c:v>
                </c:pt>
                <c:pt idx="59">
                  <c:v>6394652.4440594623</c:v>
                </c:pt>
                <c:pt idx="60">
                  <c:v>6705643.4431996224</c:v>
                </c:pt>
                <c:pt idx="61">
                  <c:v>6108035.3813354019</c:v>
                </c:pt>
                <c:pt idx="62">
                  <c:v>6312642.2375160735</c:v>
                </c:pt>
                <c:pt idx="63">
                  <c:v>5788685.0492149666</c:v>
                </c:pt>
                <c:pt idx="64">
                  <c:v>5998633.7286063554</c:v>
                </c:pt>
                <c:pt idx="65">
                  <c:v>6605639.3558370173</c:v>
                </c:pt>
                <c:pt idx="66">
                  <c:v>7874989.3138162037</c:v>
                </c:pt>
                <c:pt idx="67">
                  <c:v>7383069.6577731455</c:v>
                </c:pt>
                <c:pt idx="68">
                  <c:v>6603209.8706117086</c:v>
                </c:pt>
                <c:pt idx="69">
                  <c:v>5962039.2363572232</c:v>
                </c:pt>
                <c:pt idx="70">
                  <c:v>6159099.5872691898</c:v>
                </c:pt>
                <c:pt idx="71">
                  <c:v>6454815.7780198883</c:v>
                </c:pt>
                <c:pt idx="72">
                  <c:v>6444470.2548616063</c:v>
                </c:pt>
                <c:pt idx="73">
                  <c:v>6209190.1333727781</c:v>
                </c:pt>
                <c:pt idx="74">
                  <c:v>6091494.8889778825</c:v>
                </c:pt>
                <c:pt idx="75">
                  <c:v>5281477.6584385075</c:v>
                </c:pt>
                <c:pt idx="76">
                  <c:v>5602044.6214171071</c:v>
                </c:pt>
                <c:pt idx="77">
                  <c:v>6452951.1291187471</c:v>
                </c:pt>
                <c:pt idx="78">
                  <c:v>7790057.8474482894</c:v>
                </c:pt>
                <c:pt idx="79">
                  <c:v>7155657.4723124932</c:v>
                </c:pt>
                <c:pt idx="80">
                  <c:v>6043059.4704636354</c:v>
                </c:pt>
                <c:pt idx="81">
                  <c:v>5861376.2275992762</c:v>
                </c:pt>
                <c:pt idx="82">
                  <c:v>5832353.000786162</c:v>
                </c:pt>
                <c:pt idx="83">
                  <c:v>6395504.0874872897</c:v>
                </c:pt>
                <c:pt idx="84">
                  <c:v>6561133.7562948614</c:v>
                </c:pt>
                <c:pt idx="85">
                  <c:v>6262693.1893447153</c:v>
                </c:pt>
                <c:pt idx="86">
                  <c:v>6090926.636991566</c:v>
                </c:pt>
                <c:pt idx="87">
                  <c:v>5795813.9687458882</c:v>
                </c:pt>
                <c:pt idx="88">
                  <c:v>6228389.13136438</c:v>
                </c:pt>
                <c:pt idx="89">
                  <c:v>7183899.3716827193</c:v>
                </c:pt>
                <c:pt idx="90">
                  <c:v>7433849.022365653</c:v>
                </c:pt>
                <c:pt idx="91">
                  <c:v>7670102.0626958022</c:v>
                </c:pt>
                <c:pt idx="92">
                  <c:v>6529356.1314736232</c:v>
                </c:pt>
                <c:pt idx="93">
                  <c:v>6336353.4322173595</c:v>
                </c:pt>
                <c:pt idx="94">
                  <c:v>6124865.9522674521</c:v>
                </c:pt>
                <c:pt idx="95">
                  <c:v>6468134.2091051219</c:v>
                </c:pt>
                <c:pt idx="96">
                  <c:v>6995690.5249734866</c:v>
                </c:pt>
                <c:pt idx="97">
                  <c:v>6350188.295827426</c:v>
                </c:pt>
                <c:pt idx="98">
                  <c:v>6366871.3077159021</c:v>
                </c:pt>
                <c:pt idx="99">
                  <c:v>6114964.2162749413</c:v>
                </c:pt>
                <c:pt idx="100">
                  <c:v>6556775.1524253627</c:v>
                </c:pt>
                <c:pt idx="101">
                  <c:v>7146458.3292546002</c:v>
                </c:pt>
                <c:pt idx="102">
                  <c:v>7813750.3164094668</c:v>
                </c:pt>
                <c:pt idx="103">
                  <c:v>7668035.5321907299</c:v>
                </c:pt>
                <c:pt idx="104">
                  <c:v>6736903.723467092</c:v>
                </c:pt>
                <c:pt idx="105">
                  <c:v>6154666.4376655184</c:v>
                </c:pt>
                <c:pt idx="106">
                  <c:v>6180776.1585518327</c:v>
                </c:pt>
                <c:pt idx="107">
                  <c:v>6685721.8479931029</c:v>
                </c:pt>
                <c:pt idx="108">
                  <c:v>6714184.2166663576</c:v>
                </c:pt>
                <c:pt idx="109">
                  <c:v>6242188.0556085687</c:v>
                </c:pt>
                <c:pt idx="110">
                  <c:v>6481628.4713769779</c:v>
                </c:pt>
                <c:pt idx="111">
                  <c:v>6192388.9929091427</c:v>
                </c:pt>
                <c:pt idx="112">
                  <c:v>6351393.6734078601</c:v>
                </c:pt>
                <c:pt idx="113">
                  <c:v>6962681.1044587819</c:v>
                </c:pt>
                <c:pt idx="114">
                  <c:v>7700802.0864163907</c:v>
                </c:pt>
                <c:pt idx="115">
                  <c:v>7291389.058105913</c:v>
                </c:pt>
                <c:pt idx="116">
                  <c:v>6671085.7195601873</c:v>
                </c:pt>
                <c:pt idx="117">
                  <c:v>6352270.5571073005</c:v>
                </c:pt>
                <c:pt idx="118">
                  <c:v>6243370.0727189258</c:v>
                </c:pt>
                <c:pt idx="119">
                  <c:v>6532757.3913645241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'GS&gt;50 Predicted Monthly'!$D$2:$D$121</c:f>
              <c:numCache>
                <c:formatCode>_(* #,##0_);_(* \(#,##0\);_(* "-"??_);_(@_)</c:formatCode>
                <c:ptCount val="120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'GS&gt;50 Predicted Monthly'!$S$2:$S$121</c:f>
              <c:numCache>
                <c:formatCode>_(* #,##0_);_(* \(#,##0\);_(* "-"??_);_(@_)</c:formatCode>
                <c:ptCount val="120"/>
                <c:pt idx="0">
                  <c:v>14672647.685642105</c:v>
                </c:pt>
                <c:pt idx="1">
                  <c:v>13596976.827297233</c:v>
                </c:pt>
                <c:pt idx="2">
                  <c:v>13762522.873571957</c:v>
                </c:pt>
                <c:pt idx="3">
                  <c:v>12484902.765253603</c:v>
                </c:pt>
                <c:pt idx="4">
                  <c:v>14065189.695587233</c:v>
                </c:pt>
                <c:pt idx="5">
                  <c:v>15885088.642527238</c:v>
                </c:pt>
                <c:pt idx="6">
                  <c:v>16011130.623700293</c:v>
                </c:pt>
                <c:pt idx="7">
                  <c:v>15735069.768561326</c:v>
                </c:pt>
                <c:pt idx="8">
                  <c:v>15565585.324559268</c:v>
                </c:pt>
                <c:pt idx="9">
                  <c:v>14274739.426489979</c:v>
                </c:pt>
                <c:pt idx="10">
                  <c:v>14349674.256948709</c:v>
                </c:pt>
                <c:pt idx="11">
                  <c:v>13691398.025470195</c:v>
                </c:pt>
                <c:pt idx="12">
                  <c:v>14592730.973522792</c:v>
                </c:pt>
                <c:pt idx="13">
                  <c:v>14333239.447397873</c:v>
                </c:pt>
                <c:pt idx="14">
                  <c:v>14025780.215847479</c:v>
                </c:pt>
                <c:pt idx="15">
                  <c:v>12652950.592336226</c:v>
                </c:pt>
                <c:pt idx="16">
                  <c:v>14302913.837967873</c:v>
                </c:pt>
                <c:pt idx="17">
                  <c:v>15593355.850006796</c:v>
                </c:pt>
                <c:pt idx="18">
                  <c:v>16863890.699981119</c:v>
                </c:pt>
                <c:pt idx="19">
                  <c:v>16058205.551570989</c:v>
                </c:pt>
                <c:pt idx="20">
                  <c:v>17063040.679045293</c:v>
                </c:pt>
                <c:pt idx="21">
                  <c:v>14501910.382331144</c:v>
                </c:pt>
                <c:pt idx="22">
                  <c:v>14544361.639137723</c:v>
                </c:pt>
                <c:pt idx="23">
                  <c:v>13537396.49865943</c:v>
                </c:pt>
                <c:pt idx="24">
                  <c:v>14284330.51294633</c:v>
                </c:pt>
                <c:pt idx="25">
                  <c:v>13926311.394357573</c:v>
                </c:pt>
                <c:pt idx="26">
                  <c:v>13656911.382896231</c:v>
                </c:pt>
                <c:pt idx="27">
                  <c:v>13386562.329528781</c:v>
                </c:pt>
                <c:pt idx="28">
                  <c:v>14278126.51691276</c:v>
                </c:pt>
                <c:pt idx="29">
                  <c:v>16590096.450852662</c:v>
                </c:pt>
                <c:pt idx="30">
                  <c:v>17596401.999094743</c:v>
                </c:pt>
                <c:pt idx="31">
                  <c:v>18002166.12728129</c:v>
                </c:pt>
                <c:pt idx="32">
                  <c:v>17221592.690613199</c:v>
                </c:pt>
                <c:pt idx="33">
                  <c:v>14921618.111863755</c:v>
                </c:pt>
                <c:pt idx="34">
                  <c:v>14799639.81389118</c:v>
                </c:pt>
                <c:pt idx="35">
                  <c:v>14232737.832488179</c:v>
                </c:pt>
                <c:pt idx="36">
                  <c:v>14720704.099078514</c:v>
                </c:pt>
                <c:pt idx="37">
                  <c:v>13491483.695936479</c:v>
                </c:pt>
                <c:pt idx="38">
                  <c:v>14661239.496943209</c:v>
                </c:pt>
                <c:pt idx="39">
                  <c:v>13298993.842481192</c:v>
                </c:pt>
                <c:pt idx="40">
                  <c:v>14692096.932914931</c:v>
                </c:pt>
                <c:pt idx="41">
                  <c:v>16959027.192132406</c:v>
                </c:pt>
                <c:pt idx="42">
                  <c:v>17266534.805412263</c:v>
                </c:pt>
                <c:pt idx="43">
                  <c:v>16763297.82508168</c:v>
                </c:pt>
                <c:pt idx="44">
                  <c:v>16880890.10765205</c:v>
                </c:pt>
                <c:pt idx="45">
                  <c:v>15619561.439219918</c:v>
                </c:pt>
                <c:pt idx="46">
                  <c:v>15445969.204919744</c:v>
                </c:pt>
                <c:pt idx="47">
                  <c:v>14620879.865733854</c:v>
                </c:pt>
                <c:pt idx="48">
                  <c:v>15570274.268411167</c:v>
                </c:pt>
                <c:pt idx="49">
                  <c:v>14286840.786242653</c:v>
                </c:pt>
                <c:pt idx="50">
                  <c:v>14665675.661038088</c:v>
                </c:pt>
                <c:pt idx="51">
                  <c:v>14249269.656409057</c:v>
                </c:pt>
                <c:pt idx="52">
                  <c:v>16027643.136808828</c:v>
                </c:pt>
                <c:pt idx="53">
                  <c:v>16962858.736185052</c:v>
                </c:pt>
                <c:pt idx="54">
                  <c:v>18366898.720031098</c:v>
                </c:pt>
                <c:pt idx="55">
                  <c:v>18545366.050374236</c:v>
                </c:pt>
                <c:pt idx="56">
                  <c:v>17651285.218609866</c:v>
                </c:pt>
                <c:pt idx="57">
                  <c:v>16284242.407669231</c:v>
                </c:pt>
                <c:pt idx="58">
                  <c:v>16177945.699789125</c:v>
                </c:pt>
                <c:pt idx="59">
                  <c:v>14533976.628549583</c:v>
                </c:pt>
                <c:pt idx="60">
                  <c:v>15940834.49587612</c:v>
                </c:pt>
                <c:pt idx="61">
                  <c:v>14761349.935007717</c:v>
                </c:pt>
                <c:pt idx="62">
                  <c:v>15299794.751015984</c:v>
                </c:pt>
                <c:pt idx="63">
                  <c:v>14280805.083028549</c:v>
                </c:pt>
                <c:pt idx="64">
                  <c:v>14639866.177509639</c:v>
                </c:pt>
                <c:pt idx="65">
                  <c:v>16796020.784051053</c:v>
                </c:pt>
                <c:pt idx="66">
                  <c:v>19277049.98644698</c:v>
                </c:pt>
                <c:pt idx="67">
                  <c:v>17804667.177551549</c:v>
                </c:pt>
                <c:pt idx="68">
                  <c:v>18175232.051018354</c:v>
                </c:pt>
                <c:pt idx="69">
                  <c:v>15726723.855693545</c:v>
                </c:pt>
                <c:pt idx="70">
                  <c:v>16177956.918123901</c:v>
                </c:pt>
                <c:pt idx="71">
                  <c:v>15159807.97084065</c:v>
                </c:pt>
                <c:pt idx="72">
                  <c:v>15336640.335649451</c:v>
                </c:pt>
                <c:pt idx="73">
                  <c:v>14697934.377280053</c:v>
                </c:pt>
                <c:pt idx="74">
                  <c:v>14798648.601027455</c:v>
                </c:pt>
                <c:pt idx="75">
                  <c:v>12849068.172782583</c:v>
                </c:pt>
                <c:pt idx="76">
                  <c:v>13430120.70189124</c:v>
                </c:pt>
                <c:pt idx="77">
                  <c:v>16140604.98550706</c:v>
                </c:pt>
                <c:pt idx="78">
                  <c:v>18970472.767812505</c:v>
                </c:pt>
                <c:pt idx="79">
                  <c:v>17205996.784691066</c:v>
                </c:pt>
                <c:pt idx="80">
                  <c:v>16697858.880307335</c:v>
                </c:pt>
                <c:pt idx="81">
                  <c:v>15398194.497176185</c:v>
                </c:pt>
                <c:pt idx="82">
                  <c:v>15561430.694186524</c:v>
                </c:pt>
                <c:pt idx="83">
                  <c:v>14984225.270505872</c:v>
                </c:pt>
                <c:pt idx="84">
                  <c:v>15161509.700638197</c:v>
                </c:pt>
                <c:pt idx="85">
                  <c:v>15130051.4354022</c:v>
                </c:pt>
                <c:pt idx="86">
                  <c:v>15083212.588576961</c:v>
                </c:pt>
                <c:pt idx="87">
                  <c:v>14372694.082065996</c:v>
                </c:pt>
                <c:pt idx="88">
                  <c:v>15069911.008541372</c:v>
                </c:pt>
                <c:pt idx="89">
                  <c:v>18005000.769116532</c:v>
                </c:pt>
                <c:pt idx="90">
                  <c:v>18142025.483914211</c:v>
                </c:pt>
                <c:pt idx="91">
                  <c:v>18399871.282006666</c:v>
                </c:pt>
                <c:pt idx="92">
                  <c:v>17724761.894267313</c:v>
                </c:pt>
                <c:pt idx="93">
                  <c:v>16603264.916064311</c:v>
                </c:pt>
                <c:pt idx="94">
                  <c:v>16381925.850118097</c:v>
                </c:pt>
                <c:pt idx="95">
                  <c:v>15227903.690806378</c:v>
                </c:pt>
                <c:pt idx="96">
                  <c:v>16234816.25609117</c:v>
                </c:pt>
                <c:pt idx="97">
                  <c:v>15402453.038686939</c:v>
                </c:pt>
                <c:pt idx="98">
                  <c:v>15736053.724193688</c:v>
                </c:pt>
                <c:pt idx="99">
                  <c:v>14896409.717227995</c:v>
                </c:pt>
                <c:pt idx="100">
                  <c:v>16297279.232753925</c:v>
                </c:pt>
                <c:pt idx="101">
                  <c:v>18099288.381582156</c:v>
                </c:pt>
                <c:pt idx="102">
                  <c:v>18819438.251505267</c:v>
                </c:pt>
                <c:pt idx="103">
                  <c:v>18976919.095000129</c:v>
                </c:pt>
                <c:pt idx="104">
                  <c:v>18209435.656358767</c:v>
                </c:pt>
                <c:pt idx="105">
                  <c:v>16064112.833025422</c:v>
                </c:pt>
                <c:pt idx="106">
                  <c:v>16644396.69726152</c:v>
                </c:pt>
                <c:pt idx="107">
                  <c:v>15540149.845879536</c:v>
                </c:pt>
                <c:pt idx="108">
                  <c:v>15851832.003537836</c:v>
                </c:pt>
                <c:pt idx="109">
                  <c:v>15191041.398577169</c:v>
                </c:pt>
                <c:pt idx="110">
                  <c:v>16038693.410786971</c:v>
                </c:pt>
                <c:pt idx="111">
                  <c:v>14967666.706221946</c:v>
                </c:pt>
                <c:pt idx="112">
                  <c:v>16133018.591749288</c:v>
                </c:pt>
                <c:pt idx="113">
                  <c:v>17752527.074047178</c:v>
                </c:pt>
                <c:pt idx="114">
                  <c:v>18628612.014300443</c:v>
                </c:pt>
                <c:pt idx="115">
                  <c:v>18222161.686473381</c:v>
                </c:pt>
                <c:pt idx="116">
                  <c:v>18227001.144221872</c:v>
                </c:pt>
                <c:pt idx="117">
                  <c:v>16741420.054283664</c:v>
                </c:pt>
                <c:pt idx="118">
                  <c:v>16702761.915273141</c:v>
                </c:pt>
                <c:pt idx="119">
                  <c:v>14983539.842324987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'ED Predicted Monthly (1)'!$D$1</c:f>
              <c:strCache>
                <c:ptCount val="1"/>
                <c:pt idx="0">
                  <c:v> EDkWh2016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'ED Predicted Monthly (1)'!$A$2:$A$121</c15:sqref>
                  </c15:fullRef>
                </c:ext>
              </c:extLst>
              <c:f>'ED Predicted Monthly (1)'!$A$24:$A$121</c:f>
              <c:numCache>
                <c:formatCode>mmm\-yyyy</c:formatCode>
                <c:ptCount val="98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  <c:pt idx="23">
                  <c:v>43009</c:v>
                </c:pt>
                <c:pt idx="24">
                  <c:v>43040</c:v>
                </c:pt>
                <c:pt idx="25">
                  <c:v>43070</c:v>
                </c:pt>
                <c:pt idx="26">
                  <c:v>43101</c:v>
                </c:pt>
                <c:pt idx="27">
                  <c:v>43132</c:v>
                </c:pt>
                <c:pt idx="28">
                  <c:v>43160</c:v>
                </c:pt>
                <c:pt idx="29">
                  <c:v>43191</c:v>
                </c:pt>
                <c:pt idx="30">
                  <c:v>43221</c:v>
                </c:pt>
                <c:pt idx="31">
                  <c:v>43252</c:v>
                </c:pt>
                <c:pt idx="32">
                  <c:v>43282</c:v>
                </c:pt>
                <c:pt idx="33">
                  <c:v>43313</c:v>
                </c:pt>
                <c:pt idx="34">
                  <c:v>43344</c:v>
                </c:pt>
                <c:pt idx="35">
                  <c:v>43374</c:v>
                </c:pt>
                <c:pt idx="36">
                  <c:v>43405</c:v>
                </c:pt>
                <c:pt idx="37">
                  <c:v>43435</c:v>
                </c:pt>
                <c:pt idx="38">
                  <c:v>43466</c:v>
                </c:pt>
                <c:pt idx="39">
                  <c:v>43497</c:v>
                </c:pt>
                <c:pt idx="40">
                  <c:v>43525</c:v>
                </c:pt>
                <c:pt idx="41">
                  <c:v>43556</c:v>
                </c:pt>
                <c:pt idx="42">
                  <c:v>43586</c:v>
                </c:pt>
                <c:pt idx="43">
                  <c:v>43617</c:v>
                </c:pt>
                <c:pt idx="44">
                  <c:v>43647</c:v>
                </c:pt>
                <c:pt idx="45">
                  <c:v>43678</c:v>
                </c:pt>
                <c:pt idx="46">
                  <c:v>43709</c:v>
                </c:pt>
                <c:pt idx="47">
                  <c:v>43739</c:v>
                </c:pt>
                <c:pt idx="48">
                  <c:v>43770</c:v>
                </c:pt>
                <c:pt idx="49">
                  <c:v>43800</c:v>
                </c:pt>
                <c:pt idx="50">
                  <c:v>43831</c:v>
                </c:pt>
                <c:pt idx="51">
                  <c:v>43862</c:v>
                </c:pt>
                <c:pt idx="52">
                  <c:v>43891</c:v>
                </c:pt>
                <c:pt idx="53">
                  <c:v>43922</c:v>
                </c:pt>
                <c:pt idx="54">
                  <c:v>43952</c:v>
                </c:pt>
                <c:pt idx="55">
                  <c:v>43983</c:v>
                </c:pt>
                <c:pt idx="56">
                  <c:v>44013</c:v>
                </c:pt>
                <c:pt idx="57">
                  <c:v>44044</c:v>
                </c:pt>
                <c:pt idx="58">
                  <c:v>44075</c:v>
                </c:pt>
                <c:pt idx="59">
                  <c:v>44105</c:v>
                </c:pt>
                <c:pt idx="60">
                  <c:v>44136</c:v>
                </c:pt>
                <c:pt idx="61">
                  <c:v>44166</c:v>
                </c:pt>
                <c:pt idx="62">
                  <c:v>44197</c:v>
                </c:pt>
                <c:pt idx="63">
                  <c:v>44228</c:v>
                </c:pt>
                <c:pt idx="64">
                  <c:v>44256</c:v>
                </c:pt>
                <c:pt idx="65">
                  <c:v>44287</c:v>
                </c:pt>
                <c:pt idx="66">
                  <c:v>44317</c:v>
                </c:pt>
                <c:pt idx="67">
                  <c:v>44348</c:v>
                </c:pt>
                <c:pt idx="68">
                  <c:v>44378</c:v>
                </c:pt>
                <c:pt idx="69">
                  <c:v>44409</c:v>
                </c:pt>
                <c:pt idx="70">
                  <c:v>44440</c:v>
                </c:pt>
                <c:pt idx="71">
                  <c:v>44470</c:v>
                </c:pt>
                <c:pt idx="72">
                  <c:v>44501</c:v>
                </c:pt>
                <c:pt idx="73">
                  <c:v>44531</c:v>
                </c:pt>
                <c:pt idx="74">
                  <c:v>44562</c:v>
                </c:pt>
                <c:pt idx="75">
                  <c:v>44593</c:v>
                </c:pt>
                <c:pt idx="76">
                  <c:v>44621</c:v>
                </c:pt>
                <c:pt idx="77">
                  <c:v>44652</c:v>
                </c:pt>
                <c:pt idx="78">
                  <c:v>44682</c:v>
                </c:pt>
                <c:pt idx="79">
                  <c:v>44713</c:v>
                </c:pt>
                <c:pt idx="80">
                  <c:v>44743</c:v>
                </c:pt>
                <c:pt idx="81">
                  <c:v>44774</c:v>
                </c:pt>
                <c:pt idx="82">
                  <c:v>44805</c:v>
                </c:pt>
                <c:pt idx="83">
                  <c:v>44835</c:v>
                </c:pt>
                <c:pt idx="84">
                  <c:v>44866</c:v>
                </c:pt>
                <c:pt idx="85">
                  <c:v>44896</c:v>
                </c:pt>
                <c:pt idx="86">
                  <c:v>44927</c:v>
                </c:pt>
                <c:pt idx="87">
                  <c:v>44958</c:v>
                </c:pt>
                <c:pt idx="88">
                  <c:v>44986</c:v>
                </c:pt>
                <c:pt idx="89">
                  <c:v>45017</c:v>
                </c:pt>
                <c:pt idx="90">
                  <c:v>45047</c:v>
                </c:pt>
                <c:pt idx="91">
                  <c:v>45078</c:v>
                </c:pt>
                <c:pt idx="92">
                  <c:v>45108</c:v>
                </c:pt>
                <c:pt idx="93">
                  <c:v>45139</c:v>
                </c:pt>
                <c:pt idx="94">
                  <c:v>45170</c:v>
                </c:pt>
                <c:pt idx="95">
                  <c:v>45200</c:v>
                </c:pt>
                <c:pt idx="96">
                  <c:v>45231</c:v>
                </c:pt>
                <c:pt idx="97">
                  <c:v>45261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'ED Predicted Monthly (1)'!$D$3:$D$122</c15:sqref>
                  </c15:fullRef>
                </c:ext>
              </c:extLst>
              <c:f>'ED Predicted Monthly (1)'!$D$25:$D$122</c:f>
              <c:numCache>
                <c:formatCode>_(* #,##0_);_(* \(#,##0\);_(* "-"??_);_(@_)</c:formatCode>
                <c:ptCount val="98"/>
                <c:pt idx="0">
                  <c:v>2364501</c:v>
                </c:pt>
                <c:pt idx="1">
                  <c:v>2580598</c:v>
                </c:pt>
                <c:pt idx="2">
                  <c:v>2518509</c:v>
                </c:pt>
                <c:pt idx="3">
                  <c:v>2565586</c:v>
                </c:pt>
                <c:pt idx="4">
                  <c:v>2289773</c:v>
                </c:pt>
                <c:pt idx="5">
                  <c:v>2326556</c:v>
                </c:pt>
                <c:pt idx="6">
                  <c:v>2706683</c:v>
                </c:pt>
                <c:pt idx="7">
                  <c:v>3094570</c:v>
                </c:pt>
                <c:pt idx="8">
                  <c:v>3564597</c:v>
                </c:pt>
                <c:pt idx="9">
                  <c:v>2934361</c:v>
                </c:pt>
                <c:pt idx="10">
                  <c:v>2701535</c:v>
                </c:pt>
                <c:pt idx="11">
                  <c:v>2668913</c:v>
                </c:pt>
                <c:pt idx="12">
                  <c:v>2635161</c:v>
                </c:pt>
                <c:pt idx="13">
                  <c:v>3109978</c:v>
                </c:pt>
                <c:pt idx="14">
                  <c:v>2736036</c:v>
                </c:pt>
                <c:pt idx="15">
                  <c:v>2956591</c:v>
                </c:pt>
                <c:pt idx="16">
                  <c:v>2405329</c:v>
                </c:pt>
                <c:pt idx="17">
                  <c:v>2604156</c:v>
                </c:pt>
                <c:pt idx="18">
                  <c:v>2874524</c:v>
                </c:pt>
                <c:pt idx="19">
                  <c:v>2922427</c:v>
                </c:pt>
                <c:pt idx="20">
                  <c:v>3048623</c:v>
                </c:pt>
                <c:pt idx="21">
                  <c:v>2734668</c:v>
                </c:pt>
                <c:pt idx="22">
                  <c:v>2665747</c:v>
                </c:pt>
                <c:pt idx="23">
                  <c:v>2738878</c:v>
                </c:pt>
                <c:pt idx="24">
                  <c:v>2623050</c:v>
                </c:pt>
                <c:pt idx="25">
                  <c:v>2945901</c:v>
                </c:pt>
                <c:pt idx="26">
                  <c:v>2641888</c:v>
                </c:pt>
                <c:pt idx="27">
                  <c:v>2707092</c:v>
                </c:pt>
                <c:pt idx="28">
                  <c:v>2546244</c:v>
                </c:pt>
                <c:pt idx="29">
                  <c:v>2646635</c:v>
                </c:pt>
                <c:pt idx="30">
                  <c:v>2755014</c:v>
                </c:pt>
                <c:pt idx="31">
                  <c:v>2895706</c:v>
                </c:pt>
                <c:pt idx="32">
                  <c:v>2972667</c:v>
                </c:pt>
                <c:pt idx="33">
                  <c:v>2476319</c:v>
                </c:pt>
                <c:pt idx="34">
                  <c:v>2237779</c:v>
                </c:pt>
                <c:pt idx="35">
                  <c:v>2748670</c:v>
                </c:pt>
                <c:pt idx="36">
                  <c:v>2349326</c:v>
                </c:pt>
                <c:pt idx="37">
                  <c:v>2994820</c:v>
                </c:pt>
                <c:pt idx="38">
                  <c:v>2804290</c:v>
                </c:pt>
                <c:pt idx="39">
                  <c:v>2876384</c:v>
                </c:pt>
                <c:pt idx="40">
                  <c:v>2696906</c:v>
                </c:pt>
                <c:pt idx="41">
                  <c:v>2767778</c:v>
                </c:pt>
                <c:pt idx="42">
                  <c:v>2804829</c:v>
                </c:pt>
                <c:pt idx="43">
                  <c:v>3303632</c:v>
                </c:pt>
                <c:pt idx="44">
                  <c:v>3098231</c:v>
                </c:pt>
                <c:pt idx="45">
                  <c:v>2896036</c:v>
                </c:pt>
                <c:pt idx="46">
                  <c:v>2797177</c:v>
                </c:pt>
                <c:pt idx="47">
                  <c:v>2901691</c:v>
                </c:pt>
                <c:pt idx="48">
                  <c:v>2584611</c:v>
                </c:pt>
                <c:pt idx="49">
                  <c:v>2683483</c:v>
                </c:pt>
                <c:pt idx="50">
                  <c:v>2439682</c:v>
                </c:pt>
                <c:pt idx="51">
                  <c:v>2394362</c:v>
                </c:pt>
                <c:pt idx="52">
                  <c:v>1877577</c:v>
                </c:pt>
                <c:pt idx="53">
                  <c:v>2179756</c:v>
                </c:pt>
                <c:pt idx="54">
                  <c:v>2539378</c:v>
                </c:pt>
                <c:pt idx="55">
                  <c:v>2920232</c:v>
                </c:pt>
                <c:pt idx="56">
                  <c:v>2655205</c:v>
                </c:pt>
                <c:pt idx="57">
                  <c:v>2348776</c:v>
                </c:pt>
                <c:pt idx="58">
                  <c:v>2222132</c:v>
                </c:pt>
                <c:pt idx="59">
                  <c:v>2529849</c:v>
                </c:pt>
                <c:pt idx="60">
                  <c:v>2398255</c:v>
                </c:pt>
                <c:pt idx="61">
                  <c:v>2476889</c:v>
                </c:pt>
                <c:pt idx="62">
                  <c:v>2421447</c:v>
                </c:pt>
                <c:pt idx="63">
                  <c:v>1798087</c:v>
                </c:pt>
                <c:pt idx="64">
                  <c:v>1779970</c:v>
                </c:pt>
                <c:pt idx="65">
                  <c:v>2156240</c:v>
                </c:pt>
                <c:pt idx="66">
                  <c:v>2661577</c:v>
                </c:pt>
                <c:pt idx="67">
                  <c:v>2641727</c:v>
                </c:pt>
                <c:pt idx="68">
                  <c:v>2810916</c:v>
                </c:pt>
                <c:pt idx="69">
                  <c:v>2370134</c:v>
                </c:pt>
                <c:pt idx="70">
                  <c:v>2288392</c:v>
                </c:pt>
                <c:pt idx="71">
                  <c:v>2388052</c:v>
                </c:pt>
                <c:pt idx="72">
                  <c:v>2282252</c:v>
                </c:pt>
                <c:pt idx="73">
                  <c:v>2458213</c:v>
                </c:pt>
                <c:pt idx="74">
                  <c:v>2115178</c:v>
                </c:pt>
                <c:pt idx="75">
                  <c:v>2122133</c:v>
                </c:pt>
                <c:pt idx="76">
                  <c:v>2129088</c:v>
                </c:pt>
                <c:pt idx="77">
                  <c:v>2149513</c:v>
                </c:pt>
                <c:pt idx="78">
                  <c:v>2446520</c:v>
                </c:pt>
                <c:pt idx="79">
                  <c:v>2691240</c:v>
                </c:pt>
                <c:pt idx="80">
                  <c:v>2769504</c:v>
                </c:pt>
                <c:pt idx="81">
                  <c:v>2440616</c:v>
                </c:pt>
                <c:pt idx="82">
                  <c:v>2187893</c:v>
                </c:pt>
                <c:pt idx="83">
                  <c:v>2451162</c:v>
                </c:pt>
                <c:pt idx="84">
                  <c:v>2831510</c:v>
                </c:pt>
                <c:pt idx="85">
                  <c:v>3051532.49</c:v>
                </c:pt>
                <c:pt idx="86">
                  <c:v>2758376.97</c:v>
                </c:pt>
                <c:pt idx="87">
                  <c:v>2464136.4899999998</c:v>
                </c:pt>
                <c:pt idx="88">
                  <c:v>2549361.0900000003</c:v>
                </c:pt>
                <c:pt idx="89">
                  <c:v>2835930.8300000005</c:v>
                </c:pt>
                <c:pt idx="90">
                  <c:v>3027700.49</c:v>
                </c:pt>
                <c:pt idx="91">
                  <c:v>3284416.84</c:v>
                </c:pt>
                <c:pt idx="92">
                  <c:v>3286746.61</c:v>
                </c:pt>
                <c:pt idx="93">
                  <c:v>2966546.81</c:v>
                </c:pt>
                <c:pt idx="94">
                  <c:v>2745572.4499999997</c:v>
                </c:pt>
                <c:pt idx="95">
                  <c:v>2746667.53</c:v>
                </c:pt>
                <c:pt idx="96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C-4B05-81F2-1A63F4B082FF}"/>
            </c:ext>
          </c:extLst>
        </c:ser>
        <c:ser>
          <c:idx val="1"/>
          <c:order val="1"/>
          <c:tx>
            <c:strRef>
              <c:f>'ED Predicted Monthly (1)'!$O$1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'ED Predicted Monthly (1)'!$A$2:$A$121</c15:sqref>
                  </c15:fullRef>
                </c:ext>
              </c:extLst>
              <c:f>'ED Predicted Monthly (1)'!$A$24:$A$121</c:f>
              <c:numCache>
                <c:formatCode>mmm\-yyyy</c:formatCode>
                <c:ptCount val="98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  <c:pt idx="23">
                  <c:v>43009</c:v>
                </c:pt>
                <c:pt idx="24">
                  <c:v>43040</c:v>
                </c:pt>
                <c:pt idx="25">
                  <c:v>43070</c:v>
                </c:pt>
                <c:pt idx="26">
                  <c:v>43101</c:v>
                </c:pt>
                <c:pt idx="27">
                  <c:v>43132</c:v>
                </c:pt>
                <c:pt idx="28">
                  <c:v>43160</c:v>
                </c:pt>
                <c:pt idx="29">
                  <c:v>43191</c:v>
                </c:pt>
                <c:pt idx="30">
                  <c:v>43221</c:v>
                </c:pt>
                <c:pt idx="31">
                  <c:v>43252</c:v>
                </c:pt>
                <c:pt idx="32">
                  <c:v>43282</c:v>
                </c:pt>
                <c:pt idx="33">
                  <c:v>43313</c:v>
                </c:pt>
                <c:pt idx="34">
                  <c:v>43344</c:v>
                </c:pt>
                <c:pt idx="35">
                  <c:v>43374</c:v>
                </c:pt>
                <c:pt idx="36">
                  <c:v>43405</c:v>
                </c:pt>
                <c:pt idx="37">
                  <c:v>43435</c:v>
                </c:pt>
                <c:pt idx="38">
                  <c:v>43466</c:v>
                </c:pt>
                <c:pt idx="39">
                  <c:v>43497</c:v>
                </c:pt>
                <c:pt idx="40">
                  <c:v>43525</c:v>
                </c:pt>
                <c:pt idx="41">
                  <c:v>43556</c:v>
                </c:pt>
                <c:pt idx="42">
                  <c:v>43586</c:v>
                </c:pt>
                <c:pt idx="43">
                  <c:v>43617</c:v>
                </c:pt>
                <c:pt idx="44">
                  <c:v>43647</c:v>
                </c:pt>
                <c:pt idx="45">
                  <c:v>43678</c:v>
                </c:pt>
                <c:pt idx="46">
                  <c:v>43709</c:v>
                </c:pt>
                <c:pt idx="47">
                  <c:v>43739</c:v>
                </c:pt>
                <c:pt idx="48">
                  <c:v>43770</c:v>
                </c:pt>
                <c:pt idx="49">
                  <c:v>43800</c:v>
                </c:pt>
                <c:pt idx="50">
                  <c:v>43831</c:v>
                </c:pt>
                <c:pt idx="51">
                  <c:v>43862</c:v>
                </c:pt>
                <c:pt idx="52">
                  <c:v>43891</c:v>
                </c:pt>
                <c:pt idx="53">
                  <c:v>43922</c:v>
                </c:pt>
                <c:pt idx="54">
                  <c:v>43952</c:v>
                </c:pt>
                <c:pt idx="55">
                  <c:v>43983</c:v>
                </c:pt>
                <c:pt idx="56">
                  <c:v>44013</c:v>
                </c:pt>
                <c:pt idx="57">
                  <c:v>44044</c:v>
                </c:pt>
                <c:pt idx="58">
                  <c:v>44075</c:v>
                </c:pt>
                <c:pt idx="59">
                  <c:v>44105</c:v>
                </c:pt>
                <c:pt idx="60">
                  <c:v>44136</c:v>
                </c:pt>
                <c:pt idx="61">
                  <c:v>44166</c:v>
                </c:pt>
                <c:pt idx="62">
                  <c:v>44197</c:v>
                </c:pt>
                <c:pt idx="63">
                  <c:v>44228</c:v>
                </c:pt>
                <c:pt idx="64">
                  <c:v>44256</c:v>
                </c:pt>
                <c:pt idx="65">
                  <c:v>44287</c:v>
                </c:pt>
                <c:pt idx="66">
                  <c:v>44317</c:v>
                </c:pt>
                <c:pt idx="67">
                  <c:v>44348</c:v>
                </c:pt>
                <c:pt idx="68">
                  <c:v>44378</c:v>
                </c:pt>
                <c:pt idx="69">
                  <c:v>44409</c:v>
                </c:pt>
                <c:pt idx="70">
                  <c:v>44440</c:v>
                </c:pt>
                <c:pt idx="71">
                  <c:v>44470</c:v>
                </c:pt>
                <c:pt idx="72">
                  <c:v>44501</c:v>
                </c:pt>
                <c:pt idx="73">
                  <c:v>44531</c:v>
                </c:pt>
                <c:pt idx="74">
                  <c:v>44562</c:v>
                </c:pt>
                <c:pt idx="75">
                  <c:v>44593</c:v>
                </c:pt>
                <c:pt idx="76">
                  <c:v>44621</c:v>
                </c:pt>
                <c:pt idx="77">
                  <c:v>44652</c:v>
                </c:pt>
                <c:pt idx="78">
                  <c:v>44682</c:v>
                </c:pt>
                <c:pt idx="79">
                  <c:v>44713</c:v>
                </c:pt>
                <c:pt idx="80">
                  <c:v>44743</c:v>
                </c:pt>
                <c:pt idx="81">
                  <c:v>44774</c:v>
                </c:pt>
                <c:pt idx="82">
                  <c:v>44805</c:v>
                </c:pt>
                <c:pt idx="83">
                  <c:v>44835</c:v>
                </c:pt>
                <c:pt idx="84">
                  <c:v>44866</c:v>
                </c:pt>
                <c:pt idx="85">
                  <c:v>44896</c:v>
                </c:pt>
                <c:pt idx="86">
                  <c:v>44927</c:v>
                </c:pt>
                <c:pt idx="87">
                  <c:v>44958</c:v>
                </c:pt>
                <c:pt idx="88">
                  <c:v>44986</c:v>
                </c:pt>
                <c:pt idx="89">
                  <c:v>45017</c:v>
                </c:pt>
                <c:pt idx="90">
                  <c:v>45047</c:v>
                </c:pt>
                <c:pt idx="91">
                  <c:v>45078</c:v>
                </c:pt>
                <c:pt idx="92">
                  <c:v>45108</c:v>
                </c:pt>
                <c:pt idx="93">
                  <c:v>45139</c:v>
                </c:pt>
                <c:pt idx="94">
                  <c:v>45170</c:v>
                </c:pt>
                <c:pt idx="95">
                  <c:v>45200</c:v>
                </c:pt>
                <c:pt idx="96">
                  <c:v>45231</c:v>
                </c:pt>
                <c:pt idx="97">
                  <c:v>45261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'ED Predicted Monthly (1)'!$O$2:$O$121</c15:sqref>
                  </c15:fullRef>
                </c:ext>
              </c:extLst>
              <c:f>'ED Predicted Monthly (1)'!$O$24:$O$121</c:f>
              <c:numCache>
                <c:formatCode>_(* #,##0_);_(* \(#,##0\);_(* "-"??_);_(@_)</c:formatCode>
                <c:ptCount val="98"/>
                <c:pt idx="0">
                  <c:v>2414342.0443872837</c:v>
                </c:pt>
                <c:pt idx="1">
                  <c:v>2354329.3392702248</c:v>
                </c:pt>
                <c:pt idx="2">
                  <c:v>2576639.8490888234</c:v>
                </c:pt>
                <c:pt idx="3">
                  <c:v>2519028.2198976753</c:v>
                </c:pt>
                <c:pt idx="4">
                  <c:v>2400807.2171934224</c:v>
                </c:pt>
                <c:pt idx="5">
                  <c:v>2357208.8441598131</c:v>
                </c:pt>
                <c:pt idx="6">
                  <c:v>2426950.9355299058</c:v>
                </c:pt>
                <c:pt idx="7">
                  <c:v>2773892.4263242297</c:v>
                </c:pt>
                <c:pt idx="8">
                  <c:v>3102031.9569751234</c:v>
                </c:pt>
                <c:pt idx="9">
                  <c:v>3088553.0910037486</c:v>
                </c:pt>
                <c:pt idx="10">
                  <c:v>2596590.4687657794</c:v>
                </c:pt>
                <c:pt idx="11">
                  <c:v>2527028.6169707594</c:v>
                </c:pt>
                <c:pt idx="12">
                  <c:v>2490192.794697328</c:v>
                </c:pt>
                <c:pt idx="13">
                  <c:v>2601133.0752874422</c:v>
                </c:pt>
                <c:pt idx="14">
                  <c:v>2560161.5161602395</c:v>
                </c:pt>
                <c:pt idx="15">
                  <c:v>2442828.9835022385</c:v>
                </c:pt>
                <c:pt idx="16">
                  <c:v>2492743.8687151605</c:v>
                </c:pt>
                <c:pt idx="17">
                  <c:v>2256370.0213304046</c:v>
                </c:pt>
                <c:pt idx="18">
                  <c:v>2323616.0399211692</c:v>
                </c:pt>
                <c:pt idx="19">
                  <c:v>2711942.1900794627</c:v>
                </c:pt>
                <c:pt idx="20">
                  <c:v>2891048.6329022348</c:v>
                </c:pt>
                <c:pt idx="21">
                  <c:v>2691452.5232233759</c:v>
                </c:pt>
                <c:pt idx="22">
                  <c:v>2535541.6706074961</c:v>
                </c:pt>
                <c:pt idx="23">
                  <c:v>2477489.0327476994</c:v>
                </c:pt>
                <c:pt idx="24">
                  <c:v>2587560.7024931107</c:v>
                </c:pt>
                <c:pt idx="25">
                  <c:v>2683908.0651919506</c:v>
                </c:pt>
                <c:pt idx="26">
                  <c:v>2735255.6809886815</c:v>
                </c:pt>
                <c:pt idx="27">
                  <c:v>2576724.3937594895</c:v>
                </c:pt>
                <c:pt idx="28">
                  <c:v>2558555.3142849989</c:v>
                </c:pt>
                <c:pt idx="29">
                  <c:v>2440885.1224648813</c:v>
                </c:pt>
                <c:pt idx="30">
                  <c:v>2514013.9790003723</c:v>
                </c:pt>
                <c:pt idx="31">
                  <c:v>2731602.7265301133</c:v>
                </c:pt>
                <c:pt idx="32">
                  <c:v>3013405.7191823563</c:v>
                </c:pt>
                <c:pt idx="33">
                  <c:v>2999452.3498880109</c:v>
                </c:pt>
                <c:pt idx="34">
                  <c:v>2651041.0243500005</c:v>
                </c:pt>
                <c:pt idx="35">
                  <c:v>2568482.5672037974</c:v>
                </c:pt>
                <c:pt idx="36">
                  <c:v>2675724.0541000925</c:v>
                </c:pt>
                <c:pt idx="37">
                  <c:v>2596934.6972963116</c:v>
                </c:pt>
                <c:pt idx="38">
                  <c:v>2778054.0870885355</c:v>
                </c:pt>
                <c:pt idx="39">
                  <c:v>2677967.5260682567</c:v>
                </c:pt>
                <c:pt idx="40">
                  <c:v>2653257.1897057886</c:v>
                </c:pt>
                <c:pt idx="41">
                  <c:v>2420834.5241558049</c:v>
                </c:pt>
                <c:pt idx="42">
                  <c:v>2412924.2953786626</c:v>
                </c:pt>
                <c:pt idx="43">
                  <c:v>2650204.9045319874</c:v>
                </c:pt>
                <c:pt idx="44">
                  <c:v>3177687.4983112235</c:v>
                </c:pt>
                <c:pt idx="45">
                  <c:v>2911991.3640786186</c:v>
                </c:pt>
                <c:pt idx="46">
                  <c:v>2584579.0651663449</c:v>
                </c:pt>
                <c:pt idx="47">
                  <c:v>2500677.1895257588</c:v>
                </c:pt>
                <c:pt idx="48">
                  <c:v>2686767.9160469086</c:v>
                </c:pt>
                <c:pt idx="49">
                  <c:v>2570480.9744336195</c:v>
                </c:pt>
                <c:pt idx="50">
                  <c:v>2587716.7196217789</c:v>
                </c:pt>
                <c:pt idx="51">
                  <c:v>2615722.6378683099</c:v>
                </c:pt>
                <c:pt idx="52">
                  <c:v>2427263.5319608613</c:v>
                </c:pt>
                <c:pt idx="53">
                  <c:v>2247125.2149386392</c:v>
                </c:pt>
                <c:pt idx="54">
                  <c:v>2185907.4680948807</c:v>
                </c:pt>
                <c:pt idx="55">
                  <c:v>2585831.0551293273</c:v>
                </c:pt>
                <c:pt idx="56">
                  <c:v>3057469.7571724579</c:v>
                </c:pt>
                <c:pt idx="57">
                  <c:v>2791719.3136339765</c:v>
                </c:pt>
                <c:pt idx="58">
                  <c:v>2337919.032682878</c:v>
                </c:pt>
                <c:pt idx="59">
                  <c:v>2367318.6223572735</c:v>
                </c:pt>
                <c:pt idx="60">
                  <c:v>2435014.6036989456</c:v>
                </c:pt>
                <c:pt idx="61">
                  <c:v>2435715.3786327634</c:v>
                </c:pt>
                <c:pt idx="62">
                  <c:v>2501999.3584238021</c:v>
                </c:pt>
                <c:pt idx="63">
                  <c:v>2559094.8145213332</c:v>
                </c:pt>
                <c:pt idx="64">
                  <c:v>2385801.5776180807</c:v>
                </c:pt>
                <c:pt idx="65">
                  <c:v>2324654.3842823445</c:v>
                </c:pt>
                <c:pt idx="66">
                  <c:v>2444579.2918777773</c:v>
                </c:pt>
                <c:pt idx="67">
                  <c:v>2880452.3698552912</c:v>
                </c:pt>
                <c:pt idx="68">
                  <c:v>2897830.2125148685</c:v>
                </c:pt>
                <c:pt idx="69">
                  <c:v>3040866.9216928203</c:v>
                </c:pt>
                <c:pt idx="70">
                  <c:v>2532297.6242412208</c:v>
                </c:pt>
                <c:pt idx="71">
                  <c:v>2595968.4329704642</c:v>
                </c:pt>
                <c:pt idx="72">
                  <c:v>2689476.6827192353</c:v>
                </c:pt>
                <c:pt idx="73">
                  <c:v>2665011.9704677239</c:v>
                </c:pt>
                <c:pt idx="74">
                  <c:v>2924239.6787328022</c:v>
                </c:pt>
                <c:pt idx="75">
                  <c:v>2771915.8065018789</c:v>
                </c:pt>
                <c:pt idx="76">
                  <c:v>2605321.766021111</c:v>
                </c:pt>
                <c:pt idx="77">
                  <c:v>2500078.6474874094</c:v>
                </c:pt>
                <c:pt idx="78">
                  <c:v>2578445.3335947157</c:v>
                </c:pt>
                <c:pt idx="79">
                  <c:v>2818889.7476078621</c:v>
                </c:pt>
                <c:pt idx="80">
                  <c:v>3044248.4351753942</c:v>
                </c:pt>
                <c:pt idx="81">
                  <c:v>2926319.0340092545</c:v>
                </c:pt>
                <c:pt idx="82">
                  <c:v>2535458.7435446857</c:v>
                </c:pt>
                <c:pt idx="83">
                  <c:v>2475663.8322587539</c:v>
                </c:pt>
                <c:pt idx="84">
                  <c:v>2654271.297658259</c:v>
                </c:pt>
                <c:pt idx="85">
                  <c:v>2726116.9230058989</c:v>
                </c:pt>
                <c:pt idx="86">
                  <c:v>2771076.0179681145</c:v>
                </c:pt>
                <c:pt idx="87">
                  <c:v>2736985.7041284591</c:v>
                </c:pt>
                <c:pt idx="88">
                  <c:v>2733115.0215171762</c:v>
                </c:pt>
                <c:pt idx="89">
                  <c:v>2596767.9043238186</c:v>
                </c:pt>
                <c:pt idx="90">
                  <c:v>2578207.0882194657</c:v>
                </c:pt>
                <c:pt idx="91">
                  <c:v>2837121.2913455227</c:v>
                </c:pt>
                <c:pt idx="92">
                  <c:v>3117655.134992539</c:v>
                </c:pt>
                <c:pt idx="93">
                  <c:v>2918939.5092010926</c:v>
                </c:pt>
                <c:pt idx="94">
                  <c:v>2655281.942349365</c:v>
                </c:pt>
                <c:pt idx="95">
                  <c:v>2687271.912275908</c:v>
                </c:pt>
                <c:pt idx="96">
                  <c:v>2736199.7582502225</c:v>
                </c:pt>
                <c:pt idx="97">
                  <c:v>2621663.9788513966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C-4B05-81F2-1A63F4B08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'ED Predicted Monthly (2)'!$E$1</c:f>
              <c:strCache>
                <c:ptCount val="1"/>
                <c:pt idx="0">
                  <c:v> AvgEDMD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Predicted Monthly (2)'!$A$2:$A$121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'ED Predicted Monthly (2)'!$D$3:$D$122</c:f>
              <c:numCache>
                <c:formatCode>_(* #,##0_);_(* \(#,##0\);_(* "-"??_);_(@_)</c:formatCode>
                <c:ptCount val="120"/>
                <c:pt idx="0">
                  <c:v>3101238</c:v>
                </c:pt>
                <c:pt idx="1">
                  <c:v>3182338</c:v>
                </c:pt>
                <c:pt idx="2">
                  <c:v>2976481</c:v>
                </c:pt>
                <c:pt idx="3">
                  <c:v>3042348</c:v>
                </c:pt>
                <c:pt idx="4">
                  <c:v>3409531</c:v>
                </c:pt>
                <c:pt idx="5">
                  <c:v>3573547</c:v>
                </c:pt>
                <c:pt idx="6">
                  <c:v>2693259</c:v>
                </c:pt>
                <c:pt idx="7">
                  <c:v>3111799</c:v>
                </c:pt>
                <c:pt idx="8">
                  <c:v>2963385</c:v>
                </c:pt>
                <c:pt idx="9">
                  <c:v>3181573</c:v>
                </c:pt>
                <c:pt idx="10">
                  <c:v>3333306</c:v>
                </c:pt>
                <c:pt idx="11">
                  <c:v>3747992</c:v>
                </c:pt>
                <c:pt idx="12">
                  <c:v>3564671</c:v>
                </c:pt>
                <c:pt idx="13">
                  <c:v>3449912</c:v>
                </c:pt>
                <c:pt idx="14">
                  <c:v>3013821</c:v>
                </c:pt>
                <c:pt idx="15">
                  <c:v>2960403</c:v>
                </c:pt>
                <c:pt idx="16">
                  <c:v>3221522</c:v>
                </c:pt>
                <c:pt idx="17">
                  <c:v>4072605</c:v>
                </c:pt>
                <c:pt idx="18">
                  <c:v>3555685</c:v>
                </c:pt>
                <c:pt idx="19">
                  <c:v>3226818</c:v>
                </c:pt>
                <c:pt idx="20">
                  <c:v>2870641</c:v>
                </c:pt>
                <c:pt idx="21">
                  <c:v>2607047</c:v>
                </c:pt>
                <c:pt idx="22">
                  <c:v>2364501</c:v>
                </c:pt>
                <c:pt idx="23">
                  <c:v>2580598</c:v>
                </c:pt>
                <c:pt idx="24">
                  <c:v>2518509</c:v>
                </c:pt>
                <c:pt idx="25">
                  <c:v>2565586</c:v>
                </c:pt>
                <c:pt idx="26">
                  <c:v>2289773</c:v>
                </c:pt>
                <c:pt idx="27">
                  <c:v>2326556</c:v>
                </c:pt>
                <c:pt idx="28">
                  <c:v>2706683</c:v>
                </c:pt>
                <c:pt idx="29">
                  <c:v>3094570</c:v>
                </c:pt>
                <c:pt idx="30">
                  <c:v>3564597</c:v>
                </c:pt>
                <c:pt idx="31">
                  <c:v>2934361</c:v>
                </c:pt>
                <c:pt idx="32">
                  <c:v>2701535</c:v>
                </c:pt>
                <c:pt idx="33">
                  <c:v>2668913</c:v>
                </c:pt>
                <c:pt idx="34">
                  <c:v>2635161</c:v>
                </c:pt>
                <c:pt idx="35">
                  <c:v>3109978</c:v>
                </c:pt>
                <c:pt idx="36">
                  <c:v>2736036</c:v>
                </c:pt>
                <c:pt idx="37">
                  <c:v>2956591</c:v>
                </c:pt>
                <c:pt idx="38">
                  <c:v>2405329</c:v>
                </c:pt>
                <c:pt idx="39">
                  <c:v>2604156</c:v>
                </c:pt>
                <c:pt idx="40">
                  <c:v>2874524</c:v>
                </c:pt>
                <c:pt idx="41">
                  <c:v>2922427</c:v>
                </c:pt>
                <c:pt idx="42">
                  <c:v>3048623</c:v>
                </c:pt>
                <c:pt idx="43">
                  <c:v>2734668</c:v>
                </c:pt>
                <c:pt idx="44">
                  <c:v>2665747</c:v>
                </c:pt>
                <c:pt idx="45">
                  <c:v>2738878</c:v>
                </c:pt>
                <c:pt idx="46">
                  <c:v>2623050</c:v>
                </c:pt>
                <c:pt idx="47">
                  <c:v>2945901</c:v>
                </c:pt>
                <c:pt idx="48">
                  <c:v>2641888</c:v>
                </c:pt>
                <c:pt idx="49">
                  <c:v>2707092</c:v>
                </c:pt>
                <c:pt idx="50">
                  <c:v>2546244</c:v>
                </c:pt>
                <c:pt idx="51">
                  <c:v>2646635</c:v>
                </c:pt>
                <c:pt idx="52">
                  <c:v>2755014</c:v>
                </c:pt>
                <c:pt idx="53">
                  <c:v>2895706</c:v>
                </c:pt>
                <c:pt idx="54">
                  <c:v>2972667</c:v>
                </c:pt>
                <c:pt idx="55">
                  <c:v>2476319</c:v>
                </c:pt>
                <c:pt idx="56">
                  <c:v>2237779</c:v>
                </c:pt>
                <c:pt idx="57">
                  <c:v>2748670</c:v>
                </c:pt>
                <c:pt idx="58">
                  <c:v>2349326</c:v>
                </c:pt>
                <c:pt idx="59">
                  <c:v>2994820</c:v>
                </c:pt>
                <c:pt idx="60">
                  <c:v>2804290</c:v>
                </c:pt>
                <c:pt idx="61">
                  <c:v>2876384</c:v>
                </c:pt>
                <c:pt idx="62">
                  <c:v>2696906</c:v>
                </c:pt>
                <c:pt idx="63">
                  <c:v>2767778</c:v>
                </c:pt>
                <c:pt idx="64">
                  <c:v>2804829</c:v>
                </c:pt>
                <c:pt idx="65">
                  <c:v>3303632</c:v>
                </c:pt>
                <c:pt idx="66">
                  <c:v>3098231</c:v>
                </c:pt>
                <c:pt idx="67">
                  <c:v>2896036</c:v>
                </c:pt>
                <c:pt idx="68">
                  <c:v>2797177</c:v>
                </c:pt>
                <c:pt idx="69">
                  <c:v>2901691</c:v>
                </c:pt>
                <c:pt idx="70">
                  <c:v>2584611</c:v>
                </c:pt>
                <c:pt idx="71">
                  <c:v>2683483</c:v>
                </c:pt>
                <c:pt idx="72">
                  <c:v>2439682</c:v>
                </c:pt>
                <c:pt idx="73">
                  <c:v>2394362</c:v>
                </c:pt>
                <c:pt idx="74">
                  <c:v>1877577</c:v>
                </c:pt>
                <c:pt idx="75">
                  <c:v>2179756</c:v>
                </c:pt>
                <c:pt idx="76">
                  <c:v>2539378</c:v>
                </c:pt>
                <c:pt idx="77">
                  <c:v>2920232</c:v>
                </c:pt>
                <c:pt idx="78">
                  <c:v>2655205</c:v>
                </c:pt>
                <c:pt idx="79">
                  <c:v>2348776</c:v>
                </c:pt>
                <c:pt idx="80">
                  <c:v>2222132</c:v>
                </c:pt>
                <c:pt idx="81">
                  <c:v>2529849</c:v>
                </c:pt>
                <c:pt idx="82">
                  <c:v>2398255</c:v>
                </c:pt>
                <c:pt idx="83">
                  <c:v>2476889</c:v>
                </c:pt>
                <c:pt idx="84">
                  <c:v>2421447</c:v>
                </c:pt>
                <c:pt idx="85">
                  <c:v>1798087</c:v>
                </c:pt>
                <c:pt idx="86">
                  <c:v>1779970</c:v>
                </c:pt>
                <c:pt idx="87">
                  <c:v>2156240</c:v>
                </c:pt>
                <c:pt idx="88">
                  <c:v>2661577</c:v>
                </c:pt>
                <c:pt idx="89">
                  <c:v>2641727</c:v>
                </c:pt>
                <c:pt idx="90">
                  <c:v>2810916</c:v>
                </c:pt>
                <c:pt idx="91">
                  <c:v>2370134</c:v>
                </c:pt>
                <c:pt idx="92">
                  <c:v>2288392</c:v>
                </c:pt>
                <c:pt idx="93">
                  <c:v>2388052</c:v>
                </c:pt>
                <c:pt idx="94">
                  <c:v>2282252</c:v>
                </c:pt>
                <c:pt idx="95">
                  <c:v>2458213</c:v>
                </c:pt>
                <c:pt idx="96">
                  <c:v>2115178</c:v>
                </c:pt>
                <c:pt idx="97">
                  <c:v>2122133</c:v>
                </c:pt>
                <c:pt idx="98">
                  <c:v>2129088</c:v>
                </c:pt>
                <c:pt idx="99">
                  <c:v>2149513</c:v>
                </c:pt>
                <c:pt idx="100">
                  <c:v>2446520</c:v>
                </c:pt>
                <c:pt idx="101">
                  <c:v>2691240</c:v>
                </c:pt>
                <c:pt idx="102">
                  <c:v>2769504</c:v>
                </c:pt>
                <c:pt idx="103">
                  <c:v>2440616</c:v>
                </c:pt>
                <c:pt idx="104">
                  <c:v>2187893</c:v>
                </c:pt>
                <c:pt idx="105">
                  <c:v>2451162</c:v>
                </c:pt>
                <c:pt idx="106">
                  <c:v>2831510</c:v>
                </c:pt>
                <c:pt idx="107">
                  <c:v>3051532.49</c:v>
                </c:pt>
                <c:pt idx="108">
                  <c:v>2758376.97</c:v>
                </c:pt>
                <c:pt idx="109">
                  <c:v>2464136.4899999998</c:v>
                </c:pt>
                <c:pt idx="110">
                  <c:v>2549361.0900000003</c:v>
                </c:pt>
                <c:pt idx="111">
                  <c:v>2835930.8300000005</c:v>
                </c:pt>
                <c:pt idx="112">
                  <c:v>3027700.49</c:v>
                </c:pt>
                <c:pt idx="113">
                  <c:v>3284416.84</c:v>
                </c:pt>
                <c:pt idx="114">
                  <c:v>3286746.61</c:v>
                </c:pt>
                <c:pt idx="115">
                  <c:v>2966546.81</c:v>
                </c:pt>
                <c:pt idx="116">
                  <c:v>2745572.4499999997</c:v>
                </c:pt>
                <c:pt idx="117">
                  <c:v>2746667.53</c:v>
                </c:pt>
                <c:pt idx="118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1-4F3C-8322-BED921074249}"/>
            </c:ext>
          </c:extLst>
        </c:ser>
        <c:ser>
          <c:idx val="1"/>
          <c:order val="1"/>
          <c:tx>
            <c:strRef>
              <c:f>'ED Predicted Monthly (2)'!$S$1</c:f>
              <c:strCache>
                <c:ptCount val="1"/>
                <c:pt idx="0">
                  <c:v> Predicted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Predicted Monthly (2)'!$A$2:$A$121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'ED Predicted Monthly (2)'!$S$2:$S$121</c:f>
              <c:numCache>
                <c:formatCode>_(* #,##0_);_(* \(#,##0\);_(* "-"??_);_(@_)</c:formatCode>
                <c:ptCount val="120"/>
                <c:pt idx="0">
                  <c:v>4030446.9084788556</c:v>
                </c:pt>
                <c:pt idx="1">
                  <c:v>3528981.2051373576</c:v>
                </c:pt>
                <c:pt idx="2">
                  <c:v>3528510.971963359</c:v>
                </c:pt>
                <c:pt idx="3">
                  <c:v>3077716.1977786161</c:v>
                </c:pt>
                <c:pt idx="4">
                  <c:v>3258014.6712065116</c:v>
                </c:pt>
                <c:pt idx="5">
                  <c:v>3754113.3826824008</c:v>
                </c:pt>
                <c:pt idx="6">
                  <c:v>3835702.4027700033</c:v>
                </c:pt>
                <c:pt idx="7">
                  <c:v>3907853.4815153563</c:v>
                </c:pt>
                <c:pt idx="8">
                  <c:v>3485431.2912433837</c:v>
                </c:pt>
                <c:pt idx="9">
                  <c:v>3509947.8297942085</c:v>
                </c:pt>
                <c:pt idx="10">
                  <c:v>3628780.3586264052</c:v>
                </c:pt>
                <c:pt idx="11">
                  <c:v>3836286.7229399434</c:v>
                </c:pt>
                <c:pt idx="12">
                  <c:v>4052082.9231278519</c:v>
                </c:pt>
                <c:pt idx="13">
                  <c:v>3715744.1489861533</c:v>
                </c:pt>
                <c:pt idx="14">
                  <c:v>3578986.4498621179</c:v>
                </c:pt>
                <c:pt idx="15">
                  <c:v>3209318.7822149242</c:v>
                </c:pt>
                <c:pt idx="16">
                  <c:v>3485108.2434532237</c:v>
                </c:pt>
                <c:pt idx="17">
                  <c:v>3780498.7409112221</c:v>
                </c:pt>
                <c:pt idx="18">
                  <c:v>4143488.4878771696</c:v>
                </c:pt>
                <c:pt idx="19">
                  <c:v>4004789.0918354802</c:v>
                </c:pt>
                <c:pt idx="20">
                  <c:v>3650162.2392711616</c:v>
                </c:pt>
                <c:pt idx="21">
                  <c:v>3416769.2378564472</c:v>
                </c:pt>
                <c:pt idx="22">
                  <c:v>2261749.8739503329</c:v>
                </c:pt>
                <c:pt idx="23">
                  <c:v>2390969.3165134271</c:v>
                </c:pt>
                <c:pt idx="24">
                  <c:v>2553842.5835363837</c:v>
                </c:pt>
                <c:pt idx="25">
                  <c:v>2366576.0180296046</c:v>
                </c:pt>
                <c:pt idx="26">
                  <c:v>2281714.1617582329</c:v>
                </c:pt>
                <c:pt idx="27">
                  <c:v>2190994.0316044819</c:v>
                </c:pt>
                <c:pt idx="28">
                  <c:v>2324979.0870605716</c:v>
                </c:pt>
                <c:pt idx="29">
                  <c:v>2668254.7758520506</c:v>
                </c:pt>
                <c:pt idx="30">
                  <c:v>2991128.7733132108</c:v>
                </c:pt>
                <c:pt idx="31">
                  <c:v>2981286.43332309</c:v>
                </c:pt>
                <c:pt idx="32">
                  <c:v>2557750.9346500305</c:v>
                </c:pt>
                <c:pt idx="33">
                  <c:v>2497535.1490964149</c:v>
                </c:pt>
                <c:pt idx="34">
                  <c:v>2373280.0821464243</c:v>
                </c:pt>
                <c:pt idx="35">
                  <c:v>2602423.9418827989</c:v>
                </c:pt>
                <c:pt idx="36">
                  <c:v>2570476.8003052794</c:v>
                </c:pt>
                <c:pt idx="37">
                  <c:v>2250807.2565795779</c:v>
                </c:pt>
                <c:pt idx="38">
                  <c:v>2343715.5855042329</c:v>
                </c:pt>
                <c:pt idx="39">
                  <c:v>2105796.3767941585</c:v>
                </c:pt>
                <c:pt idx="40">
                  <c:v>2217612.2278015371</c:v>
                </c:pt>
                <c:pt idx="41">
                  <c:v>2589553.0378858321</c:v>
                </c:pt>
                <c:pt idx="42">
                  <c:v>2805265.9939516811</c:v>
                </c:pt>
                <c:pt idx="43">
                  <c:v>2692209.0410255911</c:v>
                </c:pt>
                <c:pt idx="44">
                  <c:v>2507823.9422526248</c:v>
                </c:pt>
                <c:pt idx="45">
                  <c:v>2446148.7708154363</c:v>
                </c:pt>
                <c:pt idx="46">
                  <c:v>2445772.9169617095</c:v>
                </c:pt>
                <c:pt idx="47">
                  <c:v>2686610.4954183418</c:v>
                </c:pt>
                <c:pt idx="48">
                  <c:v>2736654.010705614</c:v>
                </c:pt>
                <c:pt idx="49">
                  <c:v>2359099.519365923</c:v>
                </c:pt>
                <c:pt idx="50">
                  <c:v>2418311.8512375709</c:v>
                </c:pt>
                <c:pt idx="51">
                  <c:v>2265892.5665233266</c:v>
                </c:pt>
                <c:pt idx="52">
                  <c:v>2394632.9367086333</c:v>
                </c:pt>
                <c:pt idx="53">
                  <c:v>2627869.0610441137</c:v>
                </c:pt>
                <c:pt idx="54">
                  <c:v>2907322.3958487161</c:v>
                </c:pt>
                <c:pt idx="55">
                  <c:v>2896547.4430400562</c:v>
                </c:pt>
                <c:pt idx="56">
                  <c:v>2574972.816004158</c:v>
                </c:pt>
                <c:pt idx="57">
                  <c:v>2513235.1843795208</c:v>
                </c:pt>
                <c:pt idx="58">
                  <c:v>2520616.3298971248</c:v>
                </c:pt>
                <c:pt idx="59">
                  <c:v>2655086.7601700723</c:v>
                </c:pt>
                <c:pt idx="60">
                  <c:v>2792647.436639382</c:v>
                </c:pt>
                <c:pt idx="61">
                  <c:v>2465881.0467025582</c:v>
                </c:pt>
                <c:pt idx="62">
                  <c:v>2541371.908482105</c:v>
                </c:pt>
                <c:pt idx="63">
                  <c:v>2309509.8244450558</c:v>
                </c:pt>
                <c:pt idx="64">
                  <c:v>2388815.4867434688</c:v>
                </c:pt>
                <c:pt idx="65">
                  <c:v>2634442.0594885433</c:v>
                </c:pt>
                <c:pt idx="66">
                  <c:v>3064833.4602518156</c:v>
                </c:pt>
                <c:pt idx="67">
                  <c:v>2869430.7620474766</c:v>
                </c:pt>
                <c:pt idx="68">
                  <c:v>2558607.6108431625</c:v>
                </c:pt>
                <c:pt idx="69">
                  <c:v>2500065.9293291746</c:v>
                </c:pt>
                <c:pt idx="70">
                  <c:v>2529614.1115891747</c:v>
                </c:pt>
                <c:pt idx="71">
                  <c:v>2621831.5091815712</c:v>
                </c:pt>
                <c:pt idx="72">
                  <c:v>2624206.1440313105</c:v>
                </c:pt>
                <c:pt idx="73">
                  <c:v>2481800.136955719</c:v>
                </c:pt>
                <c:pt idx="74">
                  <c:v>2307571.9374372438</c:v>
                </c:pt>
                <c:pt idx="75">
                  <c:v>2038593.1817199949</c:v>
                </c:pt>
                <c:pt idx="76">
                  <c:v>1996692.8733436256</c:v>
                </c:pt>
                <c:pt idx="77">
                  <c:v>2388353.7711894717</c:v>
                </c:pt>
                <c:pt idx="78">
                  <c:v>2855497.6826868365</c:v>
                </c:pt>
                <c:pt idx="79">
                  <c:v>2711089.0016209376</c:v>
                </c:pt>
                <c:pt idx="80">
                  <c:v>2326164.6028619879</c:v>
                </c:pt>
                <c:pt idx="81">
                  <c:v>2313604.7317809905</c:v>
                </c:pt>
                <c:pt idx="82">
                  <c:v>2280111.8211462842</c:v>
                </c:pt>
                <c:pt idx="83">
                  <c:v>2419958.2010260089</c:v>
                </c:pt>
                <c:pt idx="84">
                  <c:v>2471442.2667830596</c:v>
                </c:pt>
                <c:pt idx="85">
                  <c:v>2271504.3821903584</c:v>
                </c:pt>
                <c:pt idx="86">
                  <c:v>2264195.2419076059</c:v>
                </c:pt>
                <c:pt idx="87">
                  <c:v>2168216.367771253</c:v>
                </c:pt>
                <c:pt idx="88">
                  <c:v>2327116.2092955522</c:v>
                </c:pt>
                <c:pt idx="89">
                  <c:v>2723621.6430419837</c:v>
                </c:pt>
                <c:pt idx="90">
                  <c:v>2832390.3228668808</c:v>
                </c:pt>
                <c:pt idx="91">
                  <c:v>2948007.5168339014</c:v>
                </c:pt>
                <c:pt idx="92">
                  <c:v>2504505.60621193</c:v>
                </c:pt>
                <c:pt idx="93">
                  <c:v>2560296.7472833474</c:v>
                </c:pt>
                <c:pt idx="94">
                  <c:v>2579118.8807352888</c:v>
                </c:pt>
                <c:pt idx="95">
                  <c:v>2783622.2487593335</c:v>
                </c:pt>
                <c:pt idx="96">
                  <c:v>2962143.1826949571</c:v>
                </c:pt>
                <c:pt idx="97">
                  <c:v>2569332.929353863</c:v>
                </c:pt>
                <c:pt idx="98">
                  <c:v>2528775.8618209199</c:v>
                </c:pt>
                <c:pt idx="99">
                  <c:v>2372677.0915493551</c:v>
                </c:pt>
                <c:pt idx="100">
                  <c:v>2499978.6642801962</c:v>
                </c:pt>
                <c:pt idx="101">
                  <c:v>2749238.2773497477</c:v>
                </c:pt>
                <c:pt idx="102">
                  <c:v>2967942.2290537432</c:v>
                </c:pt>
                <c:pt idx="103">
                  <c:v>2854946.5477009099</c:v>
                </c:pt>
                <c:pt idx="104">
                  <c:v>2485961.8369505666</c:v>
                </c:pt>
                <c:pt idx="105">
                  <c:v>2471258.1782634892</c:v>
                </c:pt>
                <c:pt idx="106">
                  <c:v>2555037.9029640825</c:v>
                </c:pt>
                <c:pt idx="107">
                  <c:v>2821747.9843520001</c:v>
                </c:pt>
                <c:pt idx="108">
                  <c:v>2889680.7964514545</c:v>
                </c:pt>
                <c:pt idx="109">
                  <c:v>2593724.3132675905</c:v>
                </c:pt>
                <c:pt idx="110">
                  <c:v>2698816.5879471335</c:v>
                </c:pt>
                <c:pt idx="111">
                  <c:v>2516679.9838708914</c:v>
                </c:pt>
                <c:pt idx="112">
                  <c:v>2593850.8504351252</c:v>
                </c:pt>
                <c:pt idx="113">
                  <c:v>2860683.484119385</c:v>
                </c:pt>
                <c:pt idx="114">
                  <c:v>3134270.921637224</c:v>
                </c:pt>
                <c:pt idx="115">
                  <c:v>3001769.2361490587</c:v>
                </c:pt>
                <c:pt idx="116">
                  <c:v>2717190.2217761613</c:v>
                </c:pt>
                <c:pt idx="117">
                  <c:v>2718388.3621465745</c:v>
                </c:pt>
                <c:pt idx="118">
                  <c:v>2655558.9379044864</c:v>
                </c:pt>
                <c:pt idx="119">
                  <c:v>2756855.0793494764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1-4F3C-8322-BED92107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Embedded</a:t>
            </a:r>
            <a:r>
              <a:rPr lang="en-US" baseline="0"/>
              <a:t> Distributor</a:t>
            </a:r>
            <a:r>
              <a:rPr lang="en-US"/>
              <a:t>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Summary'!$R$2</c:f>
              <c:strCache>
                <c:ptCount val="1"/>
                <c:pt idx="0">
                  <c:v>Embedded Distributor kWh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Summary'!$R$4:$R$13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Summary'!$S$4:$S$13</c:f>
              <c:numCache>
                <c:formatCode>#,##0</c:formatCode>
                <c:ptCount val="10"/>
                <c:pt idx="2">
                  <c:v>31460057.495894056</c:v>
                </c:pt>
                <c:pt idx="3">
                  <c:v>30654663.246874545</c:v>
                </c:pt>
                <c:pt idx="4">
                  <c:v>32062077.629049107</c:v>
                </c:pt>
                <c:pt idx="5">
                  <c:v>32025426.534491513</c:v>
                </c:pt>
                <c:pt idx="6">
                  <c:v>30074723.335792094</c:v>
                </c:pt>
                <c:pt idx="7">
                  <c:v>31518033.641184963</c:v>
                </c:pt>
                <c:pt idx="8">
                  <c:v>32560969.245598022</c:v>
                </c:pt>
                <c:pt idx="9">
                  <c:v>32990285.263423078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2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244442950.64540383</c:v>
                </c:pt>
                <c:pt idx="1">
                  <c:v>250266821.42193356</c:v>
                </c:pt>
                <c:pt idx="2">
                  <c:v>263627578.88423857</c:v>
                </c:pt>
                <c:pt idx="3">
                  <c:v>254522756.25384831</c:v>
                </c:pt>
                <c:pt idx="4">
                  <c:v>272455323.817904</c:v>
                </c:pt>
                <c:pt idx="5">
                  <c:v>264790988.4074648</c:v>
                </c:pt>
                <c:pt idx="6">
                  <c:v>285357653.46122169</c:v>
                </c:pt>
                <c:pt idx="7">
                  <c:v>292469169.9922756</c:v>
                </c:pt>
                <c:pt idx="8">
                  <c:v>288424224.24101555</c:v>
                </c:pt>
                <c:pt idx="9">
                  <c:v>272274575.51798606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2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Summary'!$H$4:$H$13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70659909.225081325</c:v>
                </c:pt>
                <c:pt idx="1">
                  <c:v>72093835.727472842</c:v>
                </c:pt>
                <c:pt idx="2">
                  <c:v>74230750.577570245</c:v>
                </c:pt>
                <c:pt idx="3">
                  <c:v>74250659.983343825</c:v>
                </c:pt>
                <c:pt idx="4">
                  <c:v>78009546.00167793</c:v>
                </c:pt>
                <c:pt idx="5">
                  <c:v>77956502.639556795</c:v>
                </c:pt>
                <c:pt idx="6">
                  <c:v>75159636.792283773</c:v>
                </c:pt>
                <c:pt idx="7">
                  <c:v>78685516.86454913</c:v>
                </c:pt>
                <c:pt idx="8">
                  <c:v>80770801.842749462</c:v>
                </c:pt>
                <c:pt idx="9">
                  <c:v>79736139.399700925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Summary'!$M$2</c:f>
              <c:strCache>
                <c:ptCount val="1"/>
                <c:pt idx="0">
                  <c:v>GS &gt; 50 kWh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Summary'!$M$4:$M$13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Summary'!$N$4:$N$13</c:f>
              <c:numCache>
                <c:formatCode>#,##0</c:formatCode>
                <c:ptCount val="10"/>
                <c:pt idx="0">
                  <c:v>174094925.91560915</c:v>
                </c:pt>
                <c:pt idx="1">
                  <c:v>178069776.36780471</c:v>
                </c:pt>
                <c:pt idx="2">
                  <c:v>182896495.1627267</c:v>
                </c:pt>
                <c:pt idx="3">
                  <c:v>184420678.50750625</c:v>
                </c:pt>
                <c:pt idx="4">
                  <c:v>193322276.97011796</c:v>
                </c:pt>
                <c:pt idx="5">
                  <c:v>194040109.18616405</c:v>
                </c:pt>
                <c:pt idx="6">
                  <c:v>186071196.06881735</c:v>
                </c:pt>
                <c:pt idx="7">
                  <c:v>195302132.70151827</c:v>
                </c:pt>
                <c:pt idx="8">
                  <c:v>200920752.72956651</c:v>
                </c:pt>
                <c:pt idx="9">
                  <c:v>199440275.84179789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'Res Normalized Monthly'!$D$2:$D$133</c:f>
              <c:numCache>
                <c:formatCode>_(* #,##0_);_(* \(#,##0\);_(* "-"??_);_(@_)</c:formatCode>
                <c:ptCount val="132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5-4D5B-A785-9168B92EBC88}"/>
            </c:ext>
          </c:extLst>
        </c:ser>
        <c:ser>
          <c:idx val="1"/>
          <c:order val="1"/>
          <c:tx>
            <c:strRef>
              <c:f>'Res Normalized Monthly'!$V$1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'Res Normalized Monthly'!$V$2:$V$133</c:f>
              <c:numCache>
                <c:formatCode>_(* #,##0_);_(* \(#,##0\);_(* "-"??_);_(@_)</c:formatCode>
                <c:ptCount val="132"/>
                <c:pt idx="0">
                  <c:v>20723149.959126674</c:v>
                </c:pt>
                <c:pt idx="1">
                  <c:v>17971758.562964357</c:v>
                </c:pt>
                <c:pt idx="2">
                  <c:v>17813461.180214763</c:v>
                </c:pt>
                <c:pt idx="3">
                  <c:v>15873093.861892568</c:v>
                </c:pt>
                <c:pt idx="4">
                  <c:v>18711931.379982948</c:v>
                </c:pt>
                <c:pt idx="5">
                  <c:v>25064342.910156619</c:v>
                </c:pt>
                <c:pt idx="6">
                  <c:v>30166241.585568171</c:v>
                </c:pt>
                <c:pt idx="7">
                  <c:v>28380028.630708676</c:v>
                </c:pt>
                <c:pt idx="8">
                  <c:v>21708041.693167794</c:v>
                </c:pt>
                <c:pt idx="9">
                  <c:v>17188458.759535149</c:v>
                </c:pt>
                <c:pt idx="10">
                  <c:v>16629260.34685586</c:v>
                </c:pt>
                <c:pt idx="11">
                  <c:v>19987015.962855186</c:v>
                </c:pt>
                <c:pt idx="12">
                  <c:v>20982861.382709738</c:v>
                </c:pt>
                <c:pt idx="13">
                  <c:v>18231469.986547422</c:v>
                </c:pt>
                <c:pt idx="14">
                  <c:v>18073172.603797827</c:v>
                </c:pt>
                <c:pt idx="15">
                  <c:v>16132805.28547563</c:v>
                </c:pt>
                <c:pt idx="16">
                  <c:v>18971642.803566013</c:v>
                </c:pt>
                <c:pt idx="17">
                  <c:v>25324054.333739683</c:v>
                </c:pt>
                <c:pt idx="18">
                  <c:v>30425953.009151231</c:v>
                </c:pt>
                <c:pt idx="19">
                  <c:v>28639740.05429174</c:v>
                </c:pt>
                <c:pt idx="20">
                  <c:v>21967753.116750859</c:v>
                </c:pt>
                <c:pt idx="21">
                  <c:v>17448170.183118213</c:v>
                </c:pt>
                <c:pt idx="22">
                  <c:v>16888971.770438924</c:v>
                </c:pt>
                <c:pt idx="23">
                  <c:v>20246727.386438251</c:v>
                </c:pt>
                <c:pt idx="24">
                  <c:v>21242572.806292802</c:v>
                </c:pt>
                <c:pt idx="25">
                  <c:v>19236898.695091717</c:v>
                </c:pt>
                <c:pt idx="26">
                  <c:v>18332884.027380891</c:v>
                </c:pt>
                <c:pt idx="27">
                  <c:v>16392516.709058695</c:v>
                </c:pt>
                <c:pt idx="28">
                  <c:v>19231354.227149077</c:v>
                </c:pt>
                <c:pt idx="29">
                  <c:v>25583765.757322747</c:v>
                </c:pt>
                <c:pt idx="30">
                  <c:v>30685664.432734296</c:v>
                </c:pt>
                <c:pt idx="31">
                  <c:v>28899451.477874801</c:v>
                </c:pt>
                <c:pt idx="32">
                  <c:v>22227464.540333923</c:v>
                </c:pt>
                <c:pt idx="33">
                  <c:v>17707881.606701277</c:v>
                </c:pt>
                <c:pt idx="34">
                  <c:v>17148683.194021989</c:v>
                </c:pt>
                <c:pt idx="35">
                  <c:v>20506438.810021315</c:v>
                </c:pt>
                <c:pt idx="36">
                  <c:v>21502284.229875866</c:v>
                </c:pt>
                <c:pt idx="37">
                  <c:v>18750892.83371355</c:v>
                </c:pt>
                <c:pt idx="38">
                  <c:v>18592595.450963955</c:v>
                </c:pt>
                <c:pt idx="39">
                  <c:v>16652228.132641759</c:v>
                </c:pt>
                <c:pt idx="40">
                  <c:v>19491065.650732141</c:v>
                </c:pt>
                <c:pt idx="41">
                  <c:v>25843477.180905811</c:v>
                </c:pt>
                <c:pt idx="42">
                  <c:v>30945375.85631736</c:v>
                </c:pt>
                <c:pt idx="43">
                  <c:v>29159162.901457865</c:v>
                </c:pt>
                <c:pt idx="44">
                  <c:v>22487175.963916987</c:v>
                </c:pt>
                <c:pt idx="45">
                  <c:v>17967593.030284341</c:v>
                </c:pt>
                <c:pt idx="46">
                  <c:v>17408394.617605053</c:v>
                </c:pt>
                <c:pt idx="47">
                  <c:v>20766150.233604379</c:v>
                </c:pt>
                <c:pt idx="48">
                  <c:v>21761995.653458931</c:v>
                </c:pt>
                <c:pt idx="49">
                  <c:v>19010604.257296614</c:v>
                </c:pt>
                <c:pt idx="50">
                  <c:v>18852306.87454702</c:v>
                </c:pt>
                <c:pt idx="51">
                  <c:v>16911939.556224823</c:v>
                </c:pt>
                <c:pt idx="52">
                  <c:v>19750777.074315205</c:v>
                </c:pt>
                <c:pt idx="53">
                  <c:v>26103188.604488876</c:v>
                </c:pt>
                <c:pt idx="54">
                  <c:v>31205087.279900424</c:v>
                </c:pt>
                <c:pt idx="55">
                  <c:v>29418874.325040929</c:v>
                </c:pt>
                <c:pt idx="56">
                  <c:v>22746887.387500048</c:v>
                </c:pt>
                <c:pt idx="57">
                  <c:v>18227304.453867406</c:v>
                </c:pt>
                <c:pt idx="58">
                  <c:v>17668106.041188117</c:v>
                </c:pt>
                <c:pt idx="59">
                  <c:v>21025861.657187443</c:v>
                </c:pt>
                <c:pt idx="60">
                  <c:v>22021707.077041995</c:v>
                </c:pt>
                <c:pt idx="61">
                  <c:v>19270315.680879679</c:v>
                </c:pt>
                <c:pt idx="62">
                  <c:v>19112018.298130084</c:v>
                </c:pt>
                <c:pt idx="63">
                  <c:v>17171650.979807887</c:v>
                </c:pt>
                <c:pt idx="64">
                  <c:v>20010488.497898269</c:v>
                </c:pt>
                <c:pt idx="65">
                  <c:v>26362900.02807194</c:v>
                </c:pt>
                <c:pt idx="66">
                  <c:v>31464798.703483488</c:v>
                </c:pt>
                <c:pt idx="67">
                  <c:v>29678585.748623993</c:v>
                </c:pt>
                <c:pt idx="68">
                  <c:v>23006598.811083112</c:v>
                </c:pt>
                <c:pt idx="69">
                  <c:v>18487015.877450466</c:v>
                </c:pt>
                <c:pt idx="70">
                  <c:v>17927817.464771181</c:v>
                </c:pt>
                <c:pt idx="71">
                  <c:v>21285573.080770507</c:v>
                </c:pt>
                <c:pt idx="72">
                  <c:v>22281418.500625059</c:v>
                </c:pt>
                <c:pt idx="73">
                  <c:v>20275744.389423974</c:v>
                </c:pt>
                <c:pt idx="74">
                  <c:v>19969533.200865358</c:v>
                </c:pt>
                <c:pt idx="75">
                  <c:v>18192120.30157584</c:v>
                </c:pt>
                <c:pt idx="76">
                  <c:v>21371147.189173825</c:v>
                </c:pt>
                <c:pt idx="77">
                  <c:v>28879978.984701976</c:v>
                </c:pt>
                <c:pt idx="78">
                  <c:v>34974559.144209906</c:v>
                </c:pt>
                <c:pt idx="79">
                  <c:v>32772595.202227872</c:v>
                </c:pt>
                <c:pt idx="80">
                  <c:v>24755601.88775143</c:v>
                </c:pt>
                <c:pt idx="81">
                  <c:v>19531036.887455687</c:v>
                </c:pt>
                <c:pt idx="82">
                  <c:v>19170813.456404209</c:v>
                </c:pt>
                <c:pt idx="83">
                  <c:v>22830734.610768672</c:v>
                </c:pt>
                <c:pt idx="84">
                  <c:v>23753080.326166645</c:v>
                </c:pt>
                <c:pt idx="85">
                  <c:v>20865346.410431337</c:v>
                </c:pt>
                <c:pt idx="86">
                  <c:v>20528146.364024527</c:v>
                </c:pt>
                <c:pt idx="87">
                  <c:v>18261642.25061268</c:v>
                </c:pt>
                <c:pt idx="88">
                  <c:v>21355621.795833766</c:v>
                </c:pt>
                <c:pt idx="89">
                  <c:v>28575348.525023296</c:v>
                </c:pt>
                <c:pt idx="90">
                  <c:v>34421758.313507132</c:v>
                </c:pt>
                <c:pt idx="91">
                  <c:v>32323732.118305732</c:v>
                </c:pt>
                <c:pt idx="92">
                  <c:v>24642990.398063179</c:v>
                </c:pt>
                <c:pt idx="93">
                  <c:v>19594670.914433215</c:v>
                </c:pt>
                <c:pt idx="94">
                  <c:v>19184703.737974778</c:v>
                </c:pt>
                <c:pt idx="95">
                  <c:v>22769083.507747963</c:v>
                </c:pt>
                <c:pt idx="96">
                  <c:v>23608808.282430202</c:v>
                </c:pt>
                <c:pt idx="97">
                  <c:v>20766521.873219222</c:v>
                </c:pt>
                <c:pt idx="98">
                  <c:v>20488956.048031487</c:v>
                </c:pt>
                <c:pt idx="99">
                  <c:v>18331164.199649524</c:v>
                </c:pt>
                <c:pt idx="100">
                  <c:v>21340096.402493708</c:v>
                </c:pt>
                <c:pt idx="101">
                  <c:v>28270718.065344617</c:v>
                </c:pt>
                <c:pt idx="102">
                  <c:v>33868957.482804358</c:v>
                </c:pt>
                <c:pt idx="103">
                  <c:v>31874869.034383595</c:v>
                </c:pt>
                <c:pt idx="104">
                  <c:v>24530378.908374932</c:v>
                </c:pt>
                <c:pt idx="105">
                  <c:v>19658304.941410739</c:v>
                </c:pt>
                <c:pt idx="106">
                  <c:v>19198594.01954535</c:v>
                </c:pt>
                <c:pt idx="107">
                  <c:v>22707432.40472725</c:v>
                </c:pt>
                <c:pt idx="108">
                  <c:v>23464536.238693759</c:v>
                </c:pt>
                <c:pt idx="109">
                  <c:v>20667697.336007111</c:v>
                </c:pt>
                <c:pt idx="110">
                  <c:v>20449765.732038446</c:v>
                </c:pt>
                <c:pt idx="111">
                  <c:v>18400686.148686364</c:v>
                </c:pt>
                <c:pt idx="112">
                  <c:v>21324571.009153649</c:v>
                </c:pt>
                <c:pt idx="113">
                  <c:v>27966087.605665941</c:v>
                </c:pt>
                <c:pt idx="114">
                  <c:v>33316156.652101584</c:v>
                </c:pt>
                <c:pt idx="115">
                  <c:v>31426005.950461455</c:v>
                </c:pt>
                <c:pt idx="116">
                  <c:v>24417767.41868668</c:v>
                </c:pt>
                <c:pt idx="117">
                  <c:v>19721938.968388263</c:v>
                </c:pt>
                <c:pt idx="118">
                  <c:v>19212484.301115926</c:v>
                </c:pt>
                <c:pt idx="119">
                  <c:v>22645781.301706534</c:v>
                </c:pt>
                <c:pt idx="120">
                  <c:v>23724247.662276819</c:v>
                </c:pt>
                <c:pt idx="121">
                  <c:v>21673126.04455141</c:v>
                </c:pt>
                <c:pt idx="122">
                  <c:v>20709477.15562151</c:v>
                </c:pt>
                <c:pt idx="123">
                  <c:v>18660397.572269429</c:v>
                </c:pt>
                <c:pt idx="124">
                  <c:v>21584282.432736713</c:v>
                </c:pt>
                <c:pt idx="125">
                  <c:v>28225799.029249005</c:v>
                </c:pt>
                <c:pt idx="126">
                  <c:v>33575868.075684644</c:v>
                </c:pt>
                <c:pt idx="127">
                  <c:v>31685717.374044519</c:v>
                </c:pt>
                <c:pt idx="128">
                  <c:v>24677478.842269745</c:v>
                </c:pt>
                <c:pt idx="129">
                  <c:v>19981650.391971327</c:v>
                </c:pt>
                <c:pt idx="130">
                  <c:v>19472195.724698991</c:v>
                </c:pt>
                <c:pt idx="131">
                  <c:v>22905492.725289598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5-4D5B-A785-9168B92E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Data'!$DQ$146:$DQ$231</c:f>
              <c:numCache>
                <c:formatCode>_(* #,##0_);_(* \(#,##0\);_(* "-"??_);_(@_)</c:formatCode>
                <c:ptCount val="86"/>
                <c:pt idx="0">
                  <c:v>20994718.441920321</c:v>
                </c:pt>
                <c:pt idx="1">
                  <c:v>18459368.441920321</c:v>
                </c:pt>
                <c:pt idx="2">
                  <c:v>19022967.441920321</c:v>
                </c:pt>
                <c:pt idx="3">
                  <c:v>16896662.441920321</c:v>
                </c:pt>
                <c:pt idx="4">
                  <c:v>18276817.441920321</c:v>
                </c:pt>
                <c:pt idx="5">
                  <c:v>23557841.441920321</c:v>
                </c:pt>
                <c:pt idx="6">
                  <c:v>28812238.441920321</c:v>
                </c:pt>
                <c:pt idx="7">
                  <c:v>26214185.441920321</c:v>
                </c:pt>
                <c:pt idx="8">
                  <c:v>21902500.441920321</c:v>
                </c:pt>
                <c:pt idx="9">
                  <c:v>17572393.441920321</c:v>
                </c:pt>
                <c:pt idx="10">
                  <c:v>18408937.441920321</c:v>
                </c:pt>
                <c:pt idx="11">
                  <c:v>22009708.441920321</c:v>
                </c:pt>
                <c:pt idx="12">
                  <c:v>22664516.836681671</c:v>
                </c:pt>
                <c:pt idx="13">
                  <c:v>19610979.836681671</c:v>
                </c:pt>
                <c:pt idx="14">
                  <c:v>19546615.836681671</c:v>
                </c:pt>
                <c:pt idx="15">
                  <c:v>16464081.83668167</c:v>
                </c:pt>
                <c:pt idx="16">
                  <c:v>17652679.836681671</c:v>
                </c:pt>
                <c:pt idx="17">
                  <c:v>23455955.836681671</c:v>
                </c:pt>
                <c:pt idx="18">
                  <c:v>26457534.836681671</c:v>
                </c:pt>
                <c:pt idx="19">
                  <c:v>25904876.836681671</c:v>
                </c:pt>
                <c:pt idx="20">
                  <c:v>20673917.836681671</c:v>
                </c:pt>
                <c:pt idx="21">
                  <c:v>16731629.83668167</c:v>
                </c:pt>
                <c:pt idx="22">
                  <c:v>18386181.836681671</c:v>
                </c:pt>
                <c:pt idx="23">
                  <c:v>20794911.836681671</c:v>
                </c:pt>
                <c:pt idx="24">
                  <c:v>21479947.723403674</c:v>
                </c:pt>
                <c:pt idx="25">
                  <c:v>19316640.723403674</c:v>
                </c:pt>
                <c:pt idx="26">
                  <c:v>18803817.723403674</c:v>
                </c:pt>
                <c:pt idx="27">
                  <c:v>16195044.723403674</c:v>
                </c:pt>
                <c:pt idx="28">
                  <c:v>18481715.723403674</c:v>
                </c:pt>
                <c:pt idx="29">
                  <c:v>22013089.723403674</c:v>
                </c:pt>
                <c:pt idx="30">
                  <c:v>27823012.723403674</c:v>
                </c:pt>
                <c:pt idx="31">
                  <c:v>28533565.723403674</c:v>
                </c:pt>
                <c:pt idx="32">
                  <c:v>22645412.723403674</c:v>
                </c:pt>
                <c:pt idx="33">
                  <c:v>17144608.723403674</c:v>
                </c:pt>
                <c:pt idx="34">
                  <c:v>16846922.723403674</c:v>
                </c:pt>
                <c:pt idx="35">
                  <c:v>19493995.723403674</c:v>
                </c:pt>
                <c:pt idx="36">
                  <c:v>20444371.530323215</c:v>
                </c:pt>
                <c:pt idx="37">
                  <c:v>18189613.530323215</c:v>
                </c:pt>
                <c:pt idx="38">
                  <c:v>17798736.530323215</c:v>
                </c:pt>
                <c:pt idx="39">
                  <c:v>16235715.530323217</c:v>
                </c:pt>
                <c:pt idx="40">
                  <c:v>18754139.530323215</c:v>
                </c:pt>
                <c:pt idx="41">
                  <c:v>25384555.530323215</c:v>
                </c:pt>
                <c:pt idx="42">
                  <c:v>32718193.530323215</c:v>
                </c:pt>
                <c:pt idx="43">
                  <c:v>32669359.530323215</c:v>
                </c:pt>
                <c:pt idx="44">
                  <c:v>23856752.530323215</c:v>
                </c:pt>
                <c:pt idx="45">
                  <c:v>18119212.530323215</c:v>
                </c:pt>
                <c:pt idx="46">
                  <c:v>17041780.530323215</c:v>
                </c:pt>
                <c:pt idx="47">
                  <c:v>20517598.530323215</c:v>
                </c:pt>
                <c:pt idx="48">
                  <c:v>20681776.379516236</c:v>
                </c:pt>
                <c:pt idx="49">
                  <c:v>17714932.379516236</c:v>
                </c:pt>
                <c:pt idx="50">
                  <c:v>17378968.379516236</c:v>
                </c:pt>
                <c:pt idx="51">
                  <c:v>16275550.379516236</c:v>
                </c:pt>
                <c:pt idx="52">
                  <c:v>16926841.379516236</c:v>
                </c:pt>
                <c:pt idx="53">
                  <c:v>24525329.379516236</c:v>
                </c:pt>
                <c:pt idx="54">
                  <c:v>29775102.379516236</c:v>
                </c:pt>
                <c:pt idx="55">
                  <c:v>27308050.379516236</c:v>
                </c:pt>
                <c:pt idx="56">
                  <c:v>22403228.379516236</c:v>
                </c:pt>
                <c:pt idx="57">
                  <c:v>19127092.379516236</c:v>
                </c:pt>
                <c:pt idx="58">
                  <c:v>18138322.379516236</c:v>
                </c:pt>
                <c:pt idx="59">
                  <c:v>21160329.379516236</c:v>
                </c:pt>
                <c:pt idx="60">
                  <c:v>22336162.245851178</c:v>
                </c:pt>
                <c:pt idx="61">
                  <c:v>19216319.245851178</c:v>
                </c:pt>
                <c:pt idx="62">
                  <c:v>18321227.245851178</c:v>
                </c:pt>
                <c:pt idx="63">
                  <c:v>17447768.245851178</c:v>
                </c:pt>
                <c:pt idx="64">
                  <c:v>20454320.245851178</c:v>
                </c:pt>
                <c:pt idx="65">
                  <c:v>25949584.245851178</c:v>
                </c:pt>
                <c:pt idx="66">
                  <c:v>33050239.245851178</c:v>
                </c:pt>
                <c:pt idx="67">
                  <c:v>32860565.245851178</c:v>
                </c:pt>
                <c:pt idx="68">
                  <c:v>24883110.245851178</c:v>
                </c:pt>
                <c:pt idx="69">
                  <c:v>18771880.245851178</c:v>
                </c:pt>
                <c:pt idx="70">
                  <c:v>18982383.245851178</c:v>
                </c:pt>
                <c:pt idx="71">
                  <c:v>21382567.245851178</c:v>
                </c:pt>
                <c:pt idx="72">
                  <c:v>21716101.81829688</c:v>
                </c:pt>
                <c:pt idx="73">
                  <c:v>19213803.81829688</c:v>
                </c:pt>
                <c:pt idx="74">
                  <c:v>19623814.81829688</c:v>
                </c:pt>
                <c:pt idx="75">
                  <c:v>16928351.81829688</c:v>
                </c:pt>
                <c:pt idx="76">
                  <c:v>17835562.81829688</c:v>
                </c:pt>
                <c:pt idx="77">
                  <c:v>23514118.81829688</c:v>
                </c:pt>
                <c:pt idx="78">
                  <c:v>34879844.81829688</c:v>
                </c:pt>
                <c:pt idx="79">
                  <c:v>30755784.81829688</c:v>
                </c:pt>
                <c:pt idx="80">
                  <c:v>23830627.81829688</c:v>
                </c:pt>
                <c:pt idx="81">
                  <c:v>18077838.81829688</c:v>
                </c:pt>
                <c:pt idx="82">
                  <c:v>19283634.81829688</c:v>
                </c:pt>
                <c:pt idx="83">
                  <c:v>21585918.81829688</c:v>
                </c:pt>
                <c:pt idx="84">
                  <c:v>20814897.730626732</c:v>
                </c:pt>
                <c:pt idx="85">
                  <c:v>19314397.730626732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8-4E91-968D-622AD451A28C}"/>
            </c:ext>
          </c:extLst>
        </c:ser>
        <c:ser>
          <c:idx val="1"/>
          <c:order val="1"/>
          <c:tx>
            <c:v>Residential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Data'!$DQ$232:$DQ$253</c:f>
              <c:numCache>
                <c:formatCode>_(* #,##0_);_(* \(#,##0\);_(* "-"??_);_(@_)</c:formatCode>
                <c:ptCount val="22"/>
                <c:pt idx="0">
                  <c:v>19587303.730626732</c:v>
                </c:pt>
                <c:pt idx="1">
                  <c:v>18859222.730626732</c:v>
                </c:pt>
                <c:pt idx="2">
                  <c:v>21309027.730626732</c:v>
                </c:pt>
                <c:pt idx="3">
                  <c:v>29738196.730626732</c:v>
                </c:pt>
                <c:pt idx="4">
                  <c:v>39172531.730626732</c:v>
                </c:pt>
                <c:pt idx="5">
                  <c:v>33842332.730626732</c:v>
                </c:pt>
                <c:pt idx="6">
                  <c:v>22476560.730626732</c:v>
                </c:pt>
                <c:pt idx="7">
                  <c:v>18710830.730626732</c:v>
                </c:pt>
                <c:pt idx="8">
                  <c:v>19119222.730626732</c:v>
                </c:pt>
                <c:pt idx="9">
                  <c:v>23161092.730626732</c:v>
                </c:pt>
                <c:pt idx="10">
                  <c:v>22785374.314028163</c:v>
                </c:pt>
                <c:pt idx="11">
                  <c:v>21023404.314028163</c:v>
                </c:pt>
                <c:pt idx="12">
                  <c:v>19528691.314028163</c:v>
                </c:pt>
                <c:pt idx="13">
                  <c:v>18206323.314028163</c:v>
                </c:pt>
                <c:pt idx="14">
                  <c:v>21868557.314028163</c:v>
                </c:pt>
                <c:pt idx="15">
                  <c:v>30617187.314028163</c:v>
                </c:pt>
                <c:pt idx="16">
                  <c:v>33247959.314028163</c:v>
                </c:pt>
                <c:pt idx="17">
                  <c:v>36175514.314028166</c:v>
                </c:pt>
                <c:pt idx="18">
                  <c:v>25045935.314028163</c:v>
                </c:pt>
                <c:pt idx="19">
                  <c:v>20811938.314028163</c:v>
                </c:pt>
                <c:pt idx="20">
                  <c:v>19647364.314028163</c:v>
                </c:pt>
                <c:pt idx="21">
                  <c:v>22395464.314028163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68-4E91-968D-622AD451A28C}"/>
            </c:ext>
          </c:extLst>
        </c:ser>
        <c:ser>
          <c:idx val="2"/>
          <c:order val="2"/>
          <c:tx>
            <c:v>Residential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Data'!$DQ$254:$DQ$277</c:f>
              <c:numCache>
                <c:formatCode>_(* #,##0_);_(* \(#,##0\);_(* "-"??_);_(@_)</c:formatCode>
                <c:ptCount val="24"/>
                <c:pt idx="0">
                  <c:v>24029016.395077039</c:v>
                </c:pt>
                <c:pt idx="1">
                  <c:v>20773941.395077039</c:v>
                </c:pt>
                <c:pt idx="2">
                  <c:v>20336375.395077039</c:v>
                </c:pt>
                <c:pt idx="3">
                  <c:v>18574452.395077039</c:v>
                </c:pt>
                <c:pt idx="4">
                  <c:v>21615955.395077039</c:v>
                </c:pt>
                <c:pt idx="5">
                  <c:v>28777042.395077039</c:v>
                </c:pt>
                <c:pt idx="6">
                  <c:v>34236495.395077035</c:v>
                </c:pt>
                <c:pt idx="7">
                  <c:v>32874209.395077039</c:v>
                </c:pt>
                <c:pt idx="8">
                  <c:v>25053426.395077039</c:v>
                </c:pt>
                <c:pt idx="9">
                  <c:v>18291228.395077039</c:v>
                </c:pt>
                <c:pt idx="10">
                  <c:v>19004520.395077039</c:v>
                </c:pt>
                <c:pt idx="11">
                  <c:v>23067827.395077039</c:v>
                </c:pt>
                <c:pt idx="12">
                  <c:v>21739653.020592146</c:v>
                </c:pt>
                <c:pt idx="13">
                  <c:v>19325500.364851363</c:v>
                </c:pt>
                <c:pt idx="14">
                  <c:v>20403192.423943333</c:v>
                </c:pt>
                <c:pt idx="15">
                  <c:v>18268877.853255227</c:v>
                </c:pt>
                <c:pt idx="16">
                  <c:v>19695117.745425321</c:v>
                </c:pt>
                <c:pt idx="17">
                  <c:v>25536410.654737167</c:v>
                </c:pt>
                <c:pt idx="18">
                  <c:v>33012016.936593421</c:v>
                </c:pt>
                <c:pt idx="19">
                  <c:v>29791544.592128277</c:v>
                </c:pt>
                <c:pt idx="20">
                  <c:v>24279616.849699214</c:v>
                </c:pt>
                <c:pt idx="21">
                  <c:v>19662271.76550518</c:v>
                </c:pt>
                <c:pt idx="22">
                  <c:v>19498370.0278183</c:v>
                </c:pt>
                <c:pt idx="23">
                  <c:v>21949733.195365354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23-4F75-912A-5526ED95F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'GS&lt;50 Normalized Monthly'!$D$2:$D$145</c:f>
              <c:numCache>
                <c:formatCode>_(* #,##0_);_(* \(#,##0\);_(* "-"??_);_(@_)</c:formatCode>
                <c:ptCount val="144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'GS&lt;50 Normalized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'GS&lt;50 Normalized Monthly'!$Q$2:$Q$145</c:f>
              <c:numCache>
                <c:formatCode>_(* #,##0_);_(* \(#,##0\);_(* "-"??_);_(@_)</c:formatCode>
                <c:ptCount val="144"/>
                <c:pt idx="0">
                  <c:v>6028744.9364599781</c:v>
                </c:pt>
                <c:pt idx="1">
                  <c:v>5525922.0868634768</c:v>
                </c:pt>
                <c:pt idx="2">
                  <c:v>5616243.552535858</c:v>
                </c:pt>
                <c:pt idx="3">
                  <c:v>5254211.9501285031</c:v>
                </c:pt>
                <c:pt idx="4">
                  <c:v>5634249.3665157827</c:v>
                </c:pt>
                <c:pt idx="5">
                  <c:v>6317586.1809745599</c:v>
                </c:pt>
                <c:pt idx="6">
                  <c:v>6990292.8549899124</c:v>
                </c:pt>
                <c:pt idx="7">
                  <c:v>6787590.9327560924</c:v>
                </c:pt>
                <c:pt idx="8">
                  <c:v>5937419.9622529577</c:v>
                </c:pt>
                <c:pt idx="9">
                  <c:v>5488890.3551238608</c:v>
                </c:pt>
                <c:pt idx="10">
                  <c:v>5457223.1209768262</c:v>
                </c:pt>
                <c:pt idx="11">
                  <c:v>5901016.4570105067</c:v>
                </c:pt>
                <c:pt idx="12">
                  <c:v>6145369.3635023674</c:v>
                </c:pt>
                <c:pt idx="13">
                  <c:v>5642546.5139058661</c:v>
                </c:pt>
                <c:pt idx="14">
                  <c:v>5732867.9795782473</c:v>
                </c:pt>
                <c:pt idx="15">
                  <c:v>5360266.7286370955</c:v>
                </c:pt>
                <c:pt idx="16">
                  <c:v>5740304.145024376</c:v>
                </c:pt>
                <c:pt idx="17">
                  <c:v>6423640.9594831523</c:v>
                </c:pt>
                <c:pt idx="18">
                  <c:v>7092937.8768246081</c:v>
                </c:pt>
                <c:pt idx="19">
                  <c:v>6890235.954590789</c:v>
                </c:pt>
                <c:pt idx="20">
                  <c:v>6040064.9840876544</c:v>
                </c:pt>
                <c:pt idx="21">
                  <c:v>5613146.4267008211</c:v>
                </c:pt>
                <c:pt idx="22">
                  <c:v>5581479.1925537866</c:v>
                </c:pt>
                <c:pt idx="23">
                  <c:v>6025272.528587467</c:v>
                </c:pt>
                <c:pt idx="24">
                  <c:v>6292866.7187479902</c:v>
                </c:pt>
                <c:pt idx="25">
                  <c:v>5914611.4790920261</c:v>
                </c:pt>
                <c:pt idx="26">
                  <c:v>5880365.3348238701</c:v>
                </c:pt>
                <c:pt idx="27">
                  <c:v>5461221.8010169547</c:v>
                </c:pt>
                <c:pt idx="28">
                  <c:v>5841259.2174042342</c:v>
                </c:pt>
                <c:pt idx="29">
                  <c:v>6524596.0318630114</c:v>
                </c:pt>
                <c:pt idx="30">
                  <c:v>7190065.1838314943</c:v>
                </c:pt>
                <c:pt idx="31">
                  <c:v>6987363.2615976743</c:v>
                </c:pt>
                <c:pt idx="32">
                  <c:v>6137192.2910945397</c:v>
                </c:pt>
                <c:pt idx="33">
                  <c:v>5658506.3421034832</c:v>
                </c:pt>
                <c:pt idx="34">
                  <c:v>5626839.1079564486</c:v>
                </c:pt>
                <c:pt idx="35">
                  <c:v>6070632.443990129</c:v>
                </c:pt>
                <c:pt idx="36">
                  <c:v>6372975.100149611</c:v>
                </c:pt>
                <c:pt idx="37">
                  <c:v>5870152.2505531106</c:v>
                </c:pt>
                <c:pt idx="38">
                  <c:v>5960473.7162254909</c:v>
                </c:pt>
                <c:pt idx="39">
                  <c:v>5604610.7279059384</c:v>
                </c:pt>
                <c:pt idx="40">
                  <c:v>5984648.1442932179</c:v>
                </c:pt>
                <c:pt idx="41">
                  <c:v>6667984.9587519951</c:v>
                </c:pt>
                <c:pt idx="42">
                  <c:v>7300264.2200137898</c:v>
                </c:pt>
                <c:pt idx="43">
                  <c:v>7097562.2977799708</c:v>
                </c:pt>
                <c:pt idx="44">
                  <c:v>6247391.3272768361</c:v>
                </c:pt>
                <c:pt idx="45">
                  <c:v>5814202.6394038536</c:v>
                </c:pt>
                <c:pt idx="46">
                  <c:v>5782535.405256818</c:v>
                </c:pt>
                <c:pt idx="47">
                  <c:v>6226328.7412904985</c:v>
                </c:pt>
                <c:pt idx="48">
                  <c:v>6508869.7282194346</c:v>
                </c:pt>
                <c:pt idx="49">
                  <c:v>6006046.8786229342</c:v>
                </c:pt>
                <c:pt idx="50">
                  <c:v>6096368.3442953145</c:v>
                </c:pt>
                <c:pt idx="51">
                  <c:v>5725546.6161016617</c:v>
                </c:pt>
                <c:pt idx="52">
                  <c:v>6105584.0324889412</c:v>
                </c:pt>
                <c:pt idx="53">
                  <c:v>6788920.8469477184</c:v>
                </c:pt>
                <c:pt idx="54">
                  <c:v>7473916.9767159242</c:v>
                </c:pt>
                <c:pt idx="55">
                  <c:v>7271215.0544821052</c:v>
                </c:pt>
                <c:pt idx="56">
                  <c:v>6421044.0839789705</c:v>
                </c:pt>
                <c:pt idx="57">
                  <c:v>5982475.0269935858</c:v>
                </c:pt>
                <c:pt idx="58">
                  <c:v>5950807.7928465512</c:v>
                </c:pt>
                <c:pt idx="59">
                  <c:v>6394601.1288802316</c:v>
                </c:pt>
                <c:pt idx="60">
                  <c:v>6635854.7994460817</c:v>
                </c:pt>
                <c:pt idx="61">
                  <c:v>6133031.9498495813</c:v>
                </c:pt>
                <c:pt idx="62">
                  <c:v>6223353.4155219616</c:v>
                </c:pt>
                <c:pt idx="63">
                  <c:v>5855332.3456121217</c:v>
                </c:pt>
                <c:pt idx="64">
                  <c:v>6235369.7619994013</c:v>
                </c:pt>
                <c:pt idx="65">
                  <c:v>6918706.5764581785</c:v>
                </c:pt>
                <c:pt idx="66">
                  <c:v>7570697.9336578604</c:v>
                </c:pt>
                <c:pt idx="67">
                  <c:v>7367996.0114240404</c:v>
                </c:pt>
                <c:pt idx="68">
                  <c:v>6517825.0409209058</c:v>
                </c:pt>
                <c:pt idx="69">
                  <c:v>6052730.3462026864</c:v>
                </c:pt>
                <c:pt idx="70">
                  <c:v>6021063.1120556509</c:v>
                </c:pt>
                <c:pt idx="71">
                  <c:v>6464856.4480893314</c:v>
                </c:pt>
                <c:pt idx="72">
                  <c:v>6632283.8108453983</c:v>
                </c:pt>
                <c:pt idx="73">
                  <c:v>6254028.5711894352</c:v>
                </c:pt>
                <c:pt idx="74">
                  <c:v>6219782.4269212782</c:v>
                </c:pt>
                <c:pt idx="75">
                  <c:v>5257633.6499080863</c:v>
                </c:pt>
                <c:pt idx="76">
                  <c:v>5637671.0662953667</c:v>
                </c:pt>
                <c:pt idx="77">
                  <c:v>6321007.880754143</c:v>
                </c:pt>
                <c:pt idx="78">
                  <c:v>7372908.1603604704</c:v>
                </c:pt>
                <c:pt idx="79">
                  <c:v>7170206.2381266514</c:v>
                </c:pt>
                <c:pt idx="80">
                  <c:v>6320035.2676235167</c:v>
                </c:pt>
                <c:pt idx="81">
                  <c:v>5960063.7891702335</c:v>
                </c:pt>
                <c:pt idx="82">
                  <c:v>5928396.555023198</c:v>
                </c:pt>
                <c:pt idx="83">
                  <c:v>6372189.8910568785</c:v>
                </c:pt>
                <c:pt idx="84">
                  <c:v>6664106.2159508206</c:v>
                </c:pt>
                <c:pt idx="85">
                  <c:v>6161283.3663543202</c:v>
                </c:pt>
                <c:pt idx="86">
                  <c:v>6251604.8320267005</c:v>
                </c:pt>
                <c:pt idx="87">
                  <c:v>5790803.7455803733</c:v>
                </c:pt>
                <c:pt idx="88">
                  <c:v>6170841.1619676528</c:v>
                </c:pt>
                <c:pt idx="89">
                  <c:v>6854177.97642643</c:v>
                </c:pt>
                <c:pt idx="90">
                  <c:v>7574489.8697137702</c:v>
                </c:pt>
                <c:pt idx="91">
                  <c:v>7371787.9474799503</c:v>
                </c:pt>
                <c:pt idx="92">
                  <c:v>6521616.9769768156</c:v>
                </c:pt>
                <c:pt idx="93">
                  <c:v>6142166.29314656</c:v>
                </c:pt>
                <c:pt idx="94">
                  <c:v>6110499.0589995254</c:v>
                </c:pt>
                <c:pt idx="95">
                  <c:v>6554292.3950332059</c:v>
                </c:pt>
                <c:pt idx="96">
                  <c:v>6832850.3562152255</c:v>
                </c:pt>
                <c:pt idx="97">
                  <c:v>6330027.5066187251</c:v>
                </c:pt>
                <c:pt idx="98">
                  <c:v>6420348.9722911054</c:v>
                </c:pt>
                <c:pt idx="99">
                  <c:v>6055737.6590551622</c:v>
                </c:pt>
                <c:pt idx="100">
                  <c:v>6435775.0754424427</c:v>
                </c:pt>
                <c:pt idx="101">
                  <c:v>7119111.8899012189</c:v>
                </c:pt>
                <c:pt idx="102">
                  <c:v>7760312.6511118785</c:v>
                </c:pt>
                <c:pt idx="103">
                  <c:v>7557610.7288780594</c:v>
                </c:pt>
                <c:pt idx="104">
                  <c:v>6707439.7583749248</c:v>
                </c:pt>
                <c:pt idx="105">
                  <c:v>6235400.1476991884</c:v>
                </c:pt>
                <c:pt idx="106">
                  <c:v>6203732.9135521539</c:v>
                </c:pt>
                <c:pt idx="107">
                  <c:v>6647526.2495858343</c:v>
                </c:pt>
                <c:pt idx="108">
                  <c:v>6923379.097329543</c:v>
                </c:pt>
                <c:pt idx="109">
                  <c:v>6420556.2477330416</c:v>
                </c:pt>
                <c:pt idx="110">
                  <c:v>6510877.7134054229</c:v>
                </c:pt>
                <c:pt idx="111">
                  <c:v>6129761.0281087961</c:v>
                </c:pt>
                <c:pt idx="112">
                  <c:v>6509798.4444960756</c:v>
                </c:pt>
                <c:pt idx="113">
                  <c:v>7193135.2589548528</c:v>
                </c:pt>
                <c:pt idx="114">
                  <c:v>7823187.1310058534</c:v>
                </c:pt>
                <c:pt idx="115">
                  <c:v>7620485.2087720344</c:v>
                </c:pt>
                <c:pt idx="116">
                  <c:v>6770314.2382688997</c:v>
                </c:pt>
                <c:pt idx="117">
                  <c:v>6295735.7860722393</c:v>
                </c:pt>
                <c:pt idx="118">
                  <c:v>6264068.5519252047</c:v>
                </c:pt>
                <c:pt idx="119">
                  <c:v>6707861.8879588852</c:v>
                </c:pt>
                <c:pt idx="120">
                  <c:v>6953793.6371933697</c:v>
                </c:pt>
                <c:pt idx="121">
                  <c:v>6575538.3975374065</c:v>
                </c:pt>
                <c:pt idx="122">
                  <c:v>6541292.2532692496</c:v>
                </c:pt>
                <c:pt idx="123">
                  <c:v>6160308.6022268794</c:v>
                </c:pt>
                <c:pt idx="124">
                  <c:v>6540346.0186141599</c:v>
                </c:pt>
                <c:pt idx="125">
                  <c:v>7223682.8330729362</c:v>
                </c:pt>
                <c:pt idx="126">
                  <c:v>7853736.2457845714</c:v>
                </c:pt>
                <c:pt idx="127">
                  <c:v>7651034.3235507514</c:v>
                </c:pt>
                <c:pt idx="128">
                  <c:v>6800863.3530476168</c:v>
                </c:pt>
                <c:pt idx="129">
                  <c:v>6326265.6190890037</c:v>
                </c:pt>
                <c:pt idx="130">
                  <c:v>6294598.3849419681</c:v>
                </c:pt>
                <c:pt idx="131">
                  <c:v>6738391.7209756486</c:v>
                </c:pt>
                <c:pt idx="132">
                  <c:v>7058333.4797953172</c:v>
                </c:pt>
                <c:pt idx="133">
                  <c:v>6555510.6301988158</c:v>
                </c:pt>
                <c:pt idx="134">
                  <c:v>6645832.0958711971</c:v>
                </c:pt>
                <c:pt idx="135">
                  <c:v>6265305.7057330869</c:v>
                </c:pt>
                <c:pt idx="136">
                  <c:v>6645343.1221203664</c:v>
                </c:pt>
                <c:pt idx="137">
                  <c:v>7328679.9365791436</c:v>
                </c:pt>
                <c:pt idx="138">
                  <c:v>7958738.6447981521</c:v>
                </c:pt>
                <c:pt idx="139">
                  <c:v>7756036.7225643331</c:v>
                </c:pt>
                <c:pt idx="140">
                  <c:v>6905865.7520611985</c:v>
                </c:pt>
                <c:pt idx="141">
                  <c:v>6431201.7434731219</c:v>
                </c:pt>
                <c:pt idx="142">
                  <c:v>6399534.5093260873</c:v>
                </c:pt>
                <c:pt idx="143">
                  <c:v>6843327.8453597678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Monthly'!$D$1</c:f>
              <c:strCache>
                <c:ptCount val="1"/>
                <c:pt idx="0">
                  <c:v> GSgt50kWh_NoCDM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Monthly'!$A$2:$A$157</c:f>
              <c:numCache>
                <c:formatCode>mmm\-yyyy</c:formatCode>
                <c:ptCount val="15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>
                  <c:v>45658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'GS&gt;50 Normalized Monthly'!$D$2:$D$145</c:f>
              <c:numCache>
                <c:formatCode>_(* #,##0_);_(* \(#,##0\);_(* "-"??_);_(@_)</c:formatCode>
                <c:ptCount val="144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Monthly'!$A$2:$A$157</c:f>
              <c:numCache>
                <c:formatCode>mmm\-yyyy</c:formatCode>
                <c:ptCount val="15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>
                  <c:v>45658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'GS&gt;50 Normalized Monthly'!$S$2:$S$145</c:f>
              <c:numCache>
                <c:formatCode>_(* #,##0_);_(* \(#,##0\);_(* "-"??_);_(@_)</c:formatCode>
                <c:ptCount val="144"/>
                <c:pt idx="0">
                  <c:v>14125158.691725228</c:v>
                </c:pt>
                <c:pt idx="1">
                  <c:v>13164354.445371941</c:v>
                </c:pt>
                <c:pt idx="2">
                  <c:v>13226616.763640368</c:v>
                </c:pt>
                <c:pt idx="3">
                  <c:v>12597927.035785504</c:v>
                </c:pt>
                <c:pt idx="4">
                  <c:v>14045080.858629245</c:v>
                </c:pt>
                <c:pt idx="5">
                  <c:v>15617970.268301331</c:v>
                </c:pt>
                <c:pt idx="6">
                  <c:v>17065817.656940214</c:v>
                </c:pt>
                <c:pt idx="7">
                  <c:v>16185298.819173981</c:v>
                </c:pt>
                <c:pt idx="8">
                  <c:v>16321711.398904538</c:v>
                </c:pt>
                <c:pt idx="9">
                  <c:v>14678525.308961879</c:v>
                </c:pt>
                <c:pt idx="10">
                  <c:v>14148613.716917884</c:v>
                </c:pt>
                <c:pt idx="11">
                  <c:v>13647501.248095194</c:v>
                </c:pt>
                <c:pt idx="12">
                  <c:v>14214185.951773485</c:v>
                </c:pt>
                <c:pt idx="13">
                  <c:v>13482204.424122985</c:v>
                </c:pt>
                <c:pt idx="14">
                  <c:v>13773289.461094201</c:v>
                </c:pt>
                <c:pt idx="15">
                  <c:v>12886970.334434688</c:v>
                </c:pt>
                <c:pt idx="16">
                  <c:v>13876478.719872855</c:v>
                </c:pt>
                <c:pt idx="17">
                  <c:v>16135836.285653302</c:v>
                </c:pt>
                <c:pt idx="18">
                  <c:v>17345567.953138459</c:v>
                </c:pt>
                <c:pt idx="19">
                  <c:v>16465049.115372222</c:v>
                </c:pt>
                <c:pt idx="20">
                  <c:v>16601461.695102781</c:v>
                </c:pt>
                <c:pt idx="21">
                  <c:v>14788351.968541309</c:v>
                </c:pt>
                <c:pt idx="22">
                  <c:v>14716085.813902888</c:v>
                </c:pt>
                <c:pt idx="23">
                  <c:v>13986150.626377413</c:v>
                </c:pt>
                <c:pt idx="24">
                  <c:v>14387354.757655993</c:v>
                </c:pt>
                <c:pt idx="25">
                  <c:v>14113018.66741107</c:v>
                </c:pt>
                <c:pt idx="26">
                  <c:v>13946458.266976709</c:v>
                </c:pt>
                <c:pt idx="27">
                  <c:v>13390937.535511523</c:v>
                </c:pt>
                <c:pt idx="28">
                  <c:v>14380445.920949688</c:v>
                </c:pt>
                <c:pt idx="29">
                  <c:v>16410980.76802735</c:v>
                </c:pt>
                <c:pt idx="30">
                  <c:v>17152634.748420328</c:v>
                </c:pt>
                <c:pt idx="31">
                  <c:v>17187406.78546524</c:v>
                </c:pt>
                <c:pt idx="32">
                  <c:v>16866173.927790225</c:v>
                </c:pt>
                <c:pt idx="33">
                  <c:v>14683153.849868882</c:v>
                </c:pt>
                <c:pt idx="34">
                  <c:v>15068533.132636037</c:v>
                </c:pt>
                <c:pt idx="35">
                  <c:v>13880952.507704984</c:v>
                </c:pt>
                <c:pt idx="36">
                  <c:v>15063328.79029686</c:v>
                </c:pt>
                <c:pt idx="37">
                  <c:v>14102524.543943573</c:v>
                </c:pt>
                <c:pt idx="38">
                  <c:v>14622432.299617574</c:v>
                </c:pt>
                <c:pt idx="39">
                  <c:v>13324086.449860692</c:v>
                </c:pt>
                <c:pt idx="40">
                  <c:v>15000062.991407219</c:v>
                </c:pt>
                <c:pt idx="41">
                  <c:v>16801775.11978209</c:v>
                </c:pt>
                <c:pt idx="42">
                  <c:v>17452972.869663123</c:v>
                </c:pt>
                <c:pt idx="43">
                  <c:v>17487744.906708032</c:v>
                </c:pt>
                <c:pt idx="44">
                  <c:v>16937689.330330234</c:v>
                </c:pt>
                <c:pt idx="45">
                  <c:v>15336313.613936543</c:v>
                </c:pt>
                <c:pt idx="46">
                  <c:v>15492870.178000912</c:v>
                </c:pt>
                <c:pt idx="47">
                  <c:v>14076466.834367074</c:v>
                </c:pt>
                <c:pt idx="48">
                  <c:v>15433698.066612147</c:v>
                </c:pt>
                <c:pt idx="49">
                  <c:v>14472893.82025886</c:v>
                </c:pt>
                <c:pt idx="50">
                  <c:v>14535156.138527287</c:v>
                </c:pt>
                <c:pt idx="51">
                  <c:v>14111332.387505187</c:v>
                </c:pt>
                <c:pt idx="52">
                  <c:v>15329663.491646141</c:v>
                </c:pt>
                <c:pt idx="53">
                  <c:v>16902552.901318226</c:v>
                </c:pt>
                <c:pt idx="54">
                  <c:v>18155071.439982928</c:v>
                </c:pt>
                <c:pt idx="55">
                  <c:v>17961020.758325055</c:v>
                </c:pt>
                <c:pt idx="56">
                  <c:v>17182142.463244464</c:v>
                </c:pt>
                <c:pt idx="57">
                  <c:v>16023748.444837268</c:v>
                </c:pt>
                <c:pt idx="58">
                  <c:v>15951482.290198848</c:v>
                </c:pt>
                <c:pt idx="59">
                  <c:v>14535078.94656501</c:v>
                </c:pt>
                <c:pt idx="60">
                  <c:v>15779785.101847218</c:v>
                </c:pt>
                <c:pt idx="61">
                  <c:v>14818980.855493933</c:v>
                </c:pt>
                <c:pt idx="62">
                  <c:v>15110065.892465146</c:v>
                </c:pt>
                <c:pt idx="63">
                  <c:v>14465052.379219227</c:v>
                </c:pt>
                <c:pt idx="64">
                  <c:v>15225738.045954604</c:v>
                </c:pt>
                <c:pt idx="65">
                  <c:v>17485095.611735053</c:v>
                </c:pt>
                <c:pt idx="66">
                  <c:v>18647662.443663605</c:v>
                </c:pt>
                <c:pt idx="67">
                  <c:v>17767143.605897367</c:v>
                </c:pt>
                <c:pt idx="68">
                  <c:v>17903556.185627926</c:v>
                </c:pt>
                <c:pt idx="69">
                  <c:v>15986400.636529054</c:v>
                </c:pt>
                <c:pt idx="70">
                  <c:v>15914134.481890634</c:v>
                </c:pt>
                <c:pt idx="71">
                  <c:v>15184199.294365158</c:v>
                </c:pt>
                <c:pt idx="72">
                  <c:v>15770052.675462522</c:v>
                </c:pt>
                <c:pt idx="73">
                  <c:v>14809248.429109234</c:v>
                </c:pt>
                <c:pt idx="74">
                  <c:v>15100333.46608045</c:v>
                </c:pt>
                <c:pt idx="75">
                  <c:v>12836075.306860249</c:v>
                </c:pt>
                <c:pt idx="76">
                  <c:v>13596760.973595627</c:v>
                </c:pt>
                <c:pt idx="77">
                  <c:v>15856118.539376076</c:v>
                </c:pt>
                <c:pt idx="78">
                  <c:v>18108603.201667082</c:v>
                </c:pt>
                <c:pt idx="79">
                  <c:v>17228084.363900844</c:v>
                </c:pt>
                <c:pt idx="80">
                  <c:v>17364496.943631403</c:v>
                </c:pt>
                <c:pt idx="81">
                  <c:v>15733845.79934223</c:v>
                </c:pt>
                <c:pt idx="82">
                  <c:v>15661579.644703809</c:v>
                </c:pt>
                <c:pt idx="83">
                  <c:v>14931644.45717833</c:v>
                </c:pt>
                <c:pt idx="84">
                  <c:v>15399136.502612211</c:v>
                </c:pt>
                <c:pt idx="85">
                  <c:v>14895977.693664499</c:v>
                </c:pt>
                <c:pt idx="86">
                  <c:v>15415885.449338499</c:v>
                </c:pt>
                <c:pt idx="87">
                  <c:v>14289185.155953288</c:v>
                </c:pt>
                <c:pt idx="88">
                  <c:v>15049870.822688665</c:v>
                </c:pt>
                <c:pt idx="89">
                  <c:v>17309228.388469115</c:v>
                </c:pt>
                <c:pt idx="90">
                  <c:v>18429174.324884366</c:v>
                </c:pt>
                <c:pt idx="91">
                  <c:v>17777478.205820918</c:v>
                </c:pt>
                <c:pt idx="92">
                  <c:v>17685068.066848692</c:v>
                </c:pt>
                <c:pt idx="93">
                  <c:v>16001328.001377441</c:v>
                </c:pt>
                <c:pt idx="94">
                  <c:v>16386707.284144595</c:v>
                </c:pt>
                <c:pt idx="95">
                  <c:v>15427949.37791633</c:v>
                </c:pt>
                <c:pt idx="96">
                  <c:v>15859034.3366904</c:v>
                </c:pt>
                <c:pt idx="97">
                  <c:v>15355875.527742688</c:v>
                </c:pt>
                <c:pt idx="98">
                  <c:v>15875783.283416688</c:v>
                </c:pt>
                <c:pt idx="99">
                  <c:v>14782417.335216135</c:v>
                </c:pt>
                <c:pt idx="100">
                  <c:v>16000748.439357089</c:v>
                </c:pt>
                <c:pt idx="101">
                  <c:v>18031283.286434747</c:v>
                </c:pt>
                <c:pt idx="102">
                  <c:v>18706795.827317014</c:v>
                </c:pt>
                <c:pt idx="103">
                  <c:v>18741567.864361927</c:v>
                </c:pt>
                <c:pt idx="104">
                  <c:v>18191512.287984125</c:v>
                </c:pt>
                <c:pt idx="105">
                  <c:v>16255428.959812671</c:v>
                </c:pt>
                <c:pt idx="106">
                  <c:v>16640808.242579825</c:v>
                </c:pt>
                <c:pt idx="107">
                  <c:v>15453227.617648773</c:v>
                </c:pt>
                <c:pt idx="108">
                  <c:v>16334585.456717603</c:v>
                </c:pt>
                <c:pt idx="109">
                  <c:v>15602603.929067105</c:v>
                </c:pt>
                <c:pt idx="110">
                  <c:v>16122511.684741106</c:v>
                </c:pt>
                <c:pt idx="111">
                  <c:v>14755339.026989434</c:v>
                </c:pt>
                <c:pt idx="112">
                  <c:v>16431315.568535961</c:v>
                </c:pt>
                <c:pt idx="113">
                  <c:v>18233027.696910836</c:v>
                </c:pt>
                <c:pt idx="114">
                  <c:v>18878154.886521813</c:v>
                </c:pt>
                <c:pt idx="115">
                  <c:v>18912926.923566725</c:v>
                </c:pt>
                <c:pt idx="116">
                  <c:v>18362871.347188924</c:v>
                </c:pt>
                <c:pt idx="117">
                  <c:v>16648691.340609871</c:v>
                </c:pt>
                <c:pt idx="118">
                  <c:v>16805247.904674239</c:v>
                </c:pt>
                <c:pt idx="119">
                  <c:v>15388844.561040401</c:v>
                </c:pt>
                <c:pt idx="120">
                  <c:v>16417477.70403322</c:v>
                </c:pt>
                <c:pt idx="121">
                  <c:v>15914318.89508551</c:v>
                </c:pt>
                <c:pt idx="122">
                  <c:v>15518935.775948361</c:v>
                </c:pt>
                <c:pt idx="123">
                  <c:v>15525062.003983647</c:v>
                </c:pt>
                <c:pt idx="124">
                  <c:v>16514570.389421813</c:v>
                </c:pt>
                <c:pt idx="125">
                  <c:v>17858637.080391113</c:v>
                </c:pt>
                <c:pt idx="126">
                  <c:v>19419059.343753047</c:v>
                </c:pt>
                <c:pt idx="127">
                  <c:v>18767363.224689595</c:v>
                </c:pt>
                <c:pt idx="128">
                  <c:v>18446130.367014583</c:v>
                </c:pt>
                <c:pt idx="129">
                  <c:v>16960720.528332431</c:v>
                </c:pt>
                <c:pt idx="130">
                  <c:v>16659631.654991224</c:v>
                </c:pt>
                <c:pt idx="131">
                  <c:v>15700873.748762958</c:v>
                </c:pt>
                <c:pt idx="132">
                  <c:v>16931214.892134339</c:v>
                </c:pt>
                <c:pt idx="133">
                  <c:v>15970410.645781051</c:v>
                </c:pt>
                <c:pt idx="134">
                  <c:v>16032672.964049479</c:v>
                </c:pt>
                <c:pt idx="135">
                  <c:v>15582399.980469001</c:v>
                </c:pt>
                <c:pt idx="136">
                  <c:v>16571908.365907168</c:v>
                </c:pt>
                <c:pt idx="137">
                  <c:v>18373620.494282041</c:v>
                </c:pt>
                <c:pt idx="138">
                  <c:v>19705234.471397147</c:v>
                </c:pt>
                <c:pt idx="139">
                  <c:v>18824715.633630909</c:v>
                </c:pt>
                <c:pt idx="140">
                  <c:v>18961128.213361472</c:v>
                </c:pt>
                <c:pt idx="141">
                  <c:v>17246715.030098226</c:v>
                </c:pt>
                <c:pt idx="142">
                  <c:v>16716803.43805423</c:v>
                </c:pt>
                <c:pt idx="143">
                  <c:v>16215690.96923154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Monthly'!$D$1</c:f>
              <c:strCache>
                <c:ptCount val="1"/>
                <c:pt idx="0">
                  <c:v> EDkWh2016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Monthly'!$D$2:$D$145</c:f>
              <c:numCache>
                <c:formatCode>_(* #,##0_);_(* \(#,##0\);_(* "-"??_);_(@_)</c:formatCode>
                <c:ptCount val="144"/>
                <c:pt idx="0">
                  <c:v>3490024</c:v>
                </c:pt>
                <c:pt idx="1">
                  <c:v>3101238</c:v>
                </c:pt>
                <c:pt idx="2">
                  <c:v>3182338</c:v>
                </c:pt>
                <c:pt idx="3">
                  <c:v>2976481</c:v>
                </c:pt>
                <c:pt idx="4">
                  <c:v>3042348</c:v>
                </c:pt>
                <c:pt idx="5">
                  <c:v>3409531</c:v>
                </c:pt>
                <c:pt idx="6">
                  <c:v>3573547</c:v>
                </c:pt>
                <c:pt idx="7">
                  <c:v>2693259</c:v>
                </c:pt>
                <c:pt idx="8">
                  <c:v>3111799</c:v>
                </c:pt>
                <c:pt idx="9">
                  <c:v>2963385</c:v>
                </c:pt>
                <c:pt idx="10">
                  <c:v>3181573</c:v>
                </c:pt>
                <c:pt idx="11">
                  <c:v>3333306</c:v>
                </c:pt>
                <c:pt idx="12">
                  <c:v>3747992</c:v>
                </c:pt>
                <c:pt idx="13">
                  <c:v>3564671</c:v>
                </c:pt>
                <c:pt idx="14">
                  <c:v>3449912</c:v>
                </c:pt>
                <c:pt idx="15">
                  <c:v>3013821</c:v>
                </c:pt>
                <c:pt idx="16">
                  <c:v>2960403</c:v>
                </c:pt>
                <c:pt idx="17">
                  <c:v>3221522</c:v>
                </c:pt>
                <c:pt idx="18">
                  <c:v>4072605</c:v>
                </c:pt>
                <c:pt idx="19">
                  <c:v>3555685</c:v>
                </c:pt>
                <c:pt idx="20">
                  <c:v>3226818</c:v>
                </c:pt>
                <c:pt idx="21">
                  <c:v>2870641</c:v>
                </c:pt>
                <c:pt idx="22">
                  <c:v>2607047</c:v>
                </c:pt>
                <c:pt idx="23">
                  <c:v>2364501</c:v>
                </c:pt>
                <c:pt idx="24">
                  <c:v>2580598</c:v>
                </c:pt>
                <c:pt idx="25">
                  <c:v>2518509</c:v>
                </c:pt>
                <c:pt idx="26">
                  <c:v>2565586</c:v>
                </c:pt>
                <c:pt idx="27">
                  <c:v>2289773</c:v>
                </c:pt>
                <c:pt idx="28">
                  <c:v>2326556</c:v>
                </c:pt>
                <c:pt idx="29">
                  <c:v>2706683</c:v>
                </c:pt>
                <c:pt idx="30">
                  <c:v>3094570</c:v>
                </c:pt>
                <c:pt idx="31">
                  <c:v>3564597</c:v>
                </c:pt>
                <c:pt idx="32">
                  <c:v>2934361</c:v>
                </c:pt>
                <c:pt idx="33">
                  <c:v>2701535</c:v>
                </c:pt>
                <c:pt idx="34">
                  <c:v>2668913</c:v>
                </c:pt>
                <c:pt idx="35">
                  <c:v>2635161</c:v>
                </c:pt>
                <c:pt idx="36">
                  <c:v>3109978</c:v>
                </c:pt>
                <c:pt idx="37">
                  <c:v>2736036</c:v>
                </c:pt>
                <c:pt idx="38">
                  <c:v>2956591</c:v>
                </c:pt>
                <c:pt idx="39">
                  <c:v>2405329</c:v>
                </c:pt>
                <c:pt idx="40">
                  <c:v>2604156</c:v>
                </c:pt>
                <c:pt idx="41">
                  <c:v>2874524</c:v>
                </c:pt>
                <c:pt idx="42">
                  <c:v>2922427</c:v>
                </c:pt>
                <c:pt idx="43">
                  <c:v>3048623</c:v>
                </c:pt>
                <c:pt idx="44">
                  <c:v>2734668</c:v>
                </c:pt>
                <c:pt idx="45">
                  <c:v>2665747</c:v>
                </c:pt>
                <c:pt idx="46">
                  <c:v>2738878</c:v>
                </c:pt>
                <c:pt idx="47">
                  <c:v>2623050</c:v>
                </c:pt>
                <c:pt idx="48">
                  <c:v>2945901</c:v>
                </c:pt>
                <c:pt idx="49">
                  <c:v>2641888</c:v>
                </c:pt>
                <c:pt idx="50">
                  <c:v>2707092</c:v>
                </c:pt>
                <c:pt idx="51">
                  <c:v>2546244</c:v>
                </c:pt>
                <c:pt idx="52">
                  <c:v>2646635</c:v>
                </c:pt>
                <c:pt idx="53">
                  <c:v>2755014</c:v>
                </c:pt>
                <c:pt idx="54">
                  <c:v>2895706</c:v>
                </c:pt>
                <c:pt idx="55">
                  <c:v>2972667</c:v>
                </c:pt>
                <c:pt idx="56">
                  <c:v>2476319</c:v>
                </c:pt>
                <c:pt idx="57">
                  <c:v>2237779</c:v>
                </c:pt>
                <c:pt idx="58">
                  <c:v>2748670</c:v>
                </c:pt>
                <c:pt idx="59">
                  <c:v>2349326</c:v>
                </c:pt>
                <c:pt idx="60">
                  <c:v>2994820</c:v>
                </c:pt>
                <c:pt idx="61">
                  <c:v>2804290</c:v>
                </c:pt>
                <c:pt idx="62">
                  <c:v>2876384</c:v>
                </c:pt>
                <c:pt idx="63">
                  <c:v>2696906</c:v>
                </c:pt>
                <c:pt idx="64">
                  <c:v>2767778</c:v>
                </c:pt>
                <c:pt idx="65">
                  <c:v>2804829</c:v>
                </c:pt>
                <c:pt idx="66">
                  <c:v>3303632</c:v>
                </c:pt>
                <c:pt idx="67">
                  <c:v>3098231</c:v>
                </c:pt>
                <c:pt idx="68">
                  <c:v>2896036</c:v>
                </c:pt>
                <c:pt idx="69">
                  <c:v>2797177</c:v>
                </c:pt>
                <c:pt idx="70">
                  <c:v>2901691</c:v>
                </c:pt>
                <c:pt idx="71">
                  <c:v>2584611</c:v>
                </c:pt>
                <c:pt idx="72">
                  <c:v>2683483</c:v>
                </c:pt>
                <c:pt idx="73">
                  <c:v>2439682</c:v>
                </c:pt>
                <c:pt idx="74">
                  <c:v>2394362</c:v>
                </c:pt>
                <c:pt idx="75">
                  <c:v>1877577</c:v>
                </c:pt>
                <c:pt idx="76">
                  <c:v>2179756</c:v>
                </c:pt>
                <c:pt idx="77">
                  <c:v>2539378</c:v>
                </c:pt>
                <c:pt idx="78">
                  <c:v>2920232</c:v>
                </c:pt>
                <c:pt idx="79">
                  <c:v>2655205</c:v>
                </c:pt>
                <c:pt idx="80">
                  <c:v>2348776</c:v>
                </c:pt>
                <c:pt idx="81">
                  <c:v>2222132</c:v>
                </c:pt>
                <c:pt idx="82">
                  <c:v>2529849</c:v>
                </c:pt>
                <c:pt idx="83">
                  <c:v>2398255</c:v>
                </c:pt>
                <c:pt idx="84">
                  <c:v>2476889</c:v>
                </c:pt>
                <c:pt idx="85">
                  <c:v>2421447</c:v>
                </c:pt>
                <c:pt idx="86">
                  <c:v>1798087</c:v>
                </c:pt>
                <c:pt idx="87">
                  <c:v>1779970</c:v>
                </c:pt>
                <c:pt idx="88">
                  <c:v>2156240</c:v>
                </c:pt>
                <c:pt idx="89">
                  <c:v>2661577</c:v>
                </c:pt>
                <c:pt idx="90">
                  <c:v>2641727</c:v>
                </c:pt>
                <c:pt idx="91">
                  <c:v>2810916</c:v>
                </c:pt>
                <c:pt idx="92">
                  <c:v>2370134</c:v>
                </c:pt>
                <c:pt idx="93">
                  <c:v>2288392</c:v>
                </c:pt>
                <c:pt idx="94">
                  <c:v>2388052</c:v>
                </c:pt>
                <c:pt idx="95">
                  <c:v>2282252</c:v>
                </c:pt>
                <c:pt idx="96">
                  <c:v>2458213</c:v>
                </c:pt>
                <c:pt idx="97">
                  <c:v>2115178</c:v>
                </c:pt>
                <c:pt idx="98">
                  <c:v>2122133</c:v>
                </c:pt>
                <c:pt idx="99">
                  <c:v>2129088</c:v>
                </c:pt>
                <c:pt idx="100">
                  <c:v>2149513</c:v>
                </c:pt>
                <c:pt idx="101">
                  <c:v>2446520</c:v>
                </c:pt>
                <c:pt idx="102">
                  <c:v>2691240</c:v>
                </c:pt>
                <c:pt idx="103">
                  <c:v>2769504</c:v>
                </c:pt>
                <c:pt idx="104">
                  <c:v>2440616</c:v>
                </c:pt>
                <c:pt idx="105">
                  <c:v>2187893</c:v>
                </c:pt>
                <c:pt idx="106">
                  <c:v>2451162</c:v>
                </c:pt>
                <c:pt idx="107">
                  <c:v>2831510</c:v>
                </c:pt>
                <c:pt idx="108">
                  <c:v>3051532.49</c:v>
                </c:pt>
                <c:pt idx="109">
                  <c:v>2758376.97</c:v>
                </c:pt>
                <c:pt idx="110">
                  <c:v>2464136.4899999998</c:v>
                </c:pt>
                <c:pt idx="111">
                  <c:v>2549361.0900000003</c:v>
                </c:pt>
                <c:pt idx="112">
                  <c:v>2835930.8300000005</c:v>
                </c:pt>
                <c:pt idx="113">
                  <c:v>3027700.49</c:v>
                </c:pt>
                <c:pt idx="114">
                  <c:v>3284416.84</c:v>
                </c:pt>
                <c:pt idx="115">
                  <c:v>3286746.61</c:v>
                </c:pt>
                <c:pt idx="116">
                  <c:v>2966546.81</c:v>
                </c:pt>
                <c:pt idx="117">
                  <c:v>2745572.4499999997</c:v>
                </c:pt>
                <c:pt idx="118">
                  <c:v>2746667.53</c:v>
                </c:pt>
                <c:pt idx="119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'ED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Monthly'!$O$2:$O$145</c:f>
              <c:numCache>
                <c:formatCode>_(* #,##0_);_(* \(#,##0\);_(* "-"??_);_(@_)</c:formatCode>
                <c:ptCount val="144"/>
                <c:pt idx="22">
                  <c:v>2481609.2567187622</c:v>
                </c:pt>
                <c:pt idx="23">
                  <c:v>2459000.520137642</c:v>
                </c:pt>
                <c:pt idx="24">
                  <c:v>2600095.8276295597</c:v>
                </c:pt>
                <c:pt idx="25">
                  <c:v>2562627.1793483859</c:v>
                </c:pt>
                <c:pt idx="26">
                  <c:v>2483157.9695436186</c:v>
                </c:pt>
                <c:pt idx="27">
                  <c:v>2341431.166432214</c:v>
                </c:pt>
                <c:pt idx="28">
                  <c:v>2420724.9853789592</c:v>
                </c:pt>
                <c:pt idx="29">
                  <c:v>2735888.4313787497</c:v>
                </c:pt>
                <c:pt idx="30">
                  <c:v>2994032.1943079275</c:v>
                </c:pt>
                <c:pt idx="31">
                  <c:v>2891540.9302002313</c:v>
                </c:pt>
                <c:pt idx="32">
                  <c:v>2548960.2354647052</c:v>
                </c:pt>
                <c:pt idx="33">
                  <c:v>2501555.0769926598</c:v>
                </c:pt>
                <c:pt idx="34">
                  <c:v>2569599.1370343128</c:v>
                </c:pt>
                <c:pt idx="35">
                  <c:v>2520762.6476668264</c:v>
                </c:pt>
                <c:pt idx="36">
                  <c:v>2638168.3719968656</c:v>
                </c:pt>
                <c:pt idx="37">
                  <c:v>2581240.4232612909</c:v>
                </c:pt>
                <c:pt idx="38">
                  <c:v>2483157.9695436186</c:v>
                </c:pt>
                <c:pt idx="39">
                  <c:v>2313511.3005628567</c:v>
                </c:pt>
                <c:pt idx="40">
                  <c:v>2369961.5928892186</c:v>
                </c:pt>
                <c:pt idx="41">
                  <c:v>2681740.8127230261</c:v>
                </c:pt>
                <c:pt idx="42">
                  <c:v>2936500.3494862211</c:v>
                </c:pt>
                <c:pt idx="43">
                  <c:v>2867851.3470383519</c:v>
                </c:pt>
                <c:pt idx="44">
                  <c:v>2535423.3308007745</c:v>
                </c:pt>
                <c:pt idx="45">
                  <c:v>2477019.437289285</c:v>
                </c:pt>
                <c:pt idx="46">
                  <c:v>2582289.9851567475</c:v>
                </c:pt>
                <c:pt idx="47">
                  <c:v>2559681.2485756278</c:v>
                </c:pt>
                <c:pt idx="48">
                  <c:v>2704160.7822335288</c:v>
                </c:pt>
                <c:pt idx="49">
                  <c:v>2621851.1372530838</c:v>
                </c:pt>
                <c:pt idx="50">
                  <c:v>2524614.740076907</c:v>
                </c:pt>
                <c:pt idx="51">
                  <c:v>2370197.0888430672</c:v>
                </c:pt>
                <c:pt idx="52">
                  <c:v>2434261.8900428899</c:v>
                </c:pt>
                <c:pt idx="53">
                  <c:v>2718121.2440073406</c:v>
                </c:pt>
                <c:pt idx="54">
                  <c:v>2961882.0457310919</c:v>
                </c:pt>
                <c:pt idx="55">
                  <c:v>2858544.7250818992</c:v>
                </c:pt>
                <c:pt idx="56">
                  <c:v>2521886.4261368439</c:v>
                </c:pt>
                <c:pt idx="57">
                  <c:v>2484633.9461627463</c:v>
                </c:pt>
                <c:pt idx="58">
                  <c:v>2606825.6248601223</c:v>
                </c:pt>
                <c:pt idx="59">
                  <c:v>2596907.7364014378</c:v>
                </c:pt>
                <c:pt idx="60">
                  <c:v>2741387.2700593383</c:v>
                </c:pt>
                <c:pt idx="61">
                  <c:v>2690381.7171142334</c:v>
                </c:pt>
                <c:pt idx="62">
                  <c:v>2605836.1680604918</c:v>
                </c:pt>
                <c:pt idx="63">
                  <c:v>2450572.4602851565</c:v>
                </c:pt>
                <c:pt idx="64">
                  <c:v>2523097.8268999364</c:v>
                </c:pt>
                <c:pt idx="65">
                  <c:v>2805265.0677813953</c:v>
                </c:pt>
                <c:pt idx="66">
                  <c:v>3024490.2298017722</c:v>
                </c:pt>
                <c:pt idx="67">
                  <c:v>2904231.778322666</c:v>
                </c:pt>
                <c:pt idx="68">
                  <c:v>2561651.0835871403</c:v>
                </c:pt>
                <c:pt idx="69">
                  <c:v>2530320.999403513</c:v>
                </c:pt>
                <c:pt idx="70">
                  <c:v>2609363.7944846093</c:v>
                </c:pt>
                <c:pt idx="71">
                  <c:v>2575756.3228640454</c:v>
                </c:pt>
                <c:pt idx="72">
                  <c:v>2686393.5948621193</c:v>
                </c:pt>
                <c:pt idx="73">
                  <c:v>2642156.4942489797</c:v>
                </c:pt>
                <c:pt idx="74">
                  <c:v>2494156.7045830628</c:v>
                </c:pt>
                <c:pt idx="75">
                  <c:v>2227213.5333302971</c:v>
                </c:pt>
                <c:pt idx="76">
                  <c:v>2193981.8322581174</c:v>
                </c:pt>
                <c:pt idx="77">
                  <c:v>2512529.5044238903</c:v>
                </c:pt>
                <c:pt idx="78">
                  <c:v>2847664.412629175</c:v>
                </c:pt>
                <c:pt idx="79">
                  <c:v>2798474.7106357063</c:v>
                </c:pt>
                <c:pt idx="80">
                  <c:v>2462662.468232146</c:v>
                </c:pt>
                <c:pt idx="81">
                  <c:v>2398336.1789301867</c:v>
                </c:pt>
                <c:pt idx="82">
                  <c:v>2488377.7090507271</c:v>
                </c:pt>
                <c:pt idx="83">
                  <c:v>2423466.1453948235</c:v>
                </c:pt>
                <c:pt idx="84">
                  <c:v>2556100.8874717848</c:v>
                </c:pt>
                <c:pt idx="85">
                  <c:v>2505095.3345266799</c:v>
                </c:pt>
                <c:pt idx="86">
                  <c:v>2473005.2910456704</c:v>
                </c:pt>
                <c:pt idx="87">
                  <c:v>2338892.996807727</c:v>
                </c:pt>
                <c:pt idx="88">
                  <c:v>2407188.0807150286</c:v>
                </c:pt>
                <c:pt idx="89">
                  <c:v>2713890.9612998618</c:v>
                </c:pt>
                <c:pt idx="90">
                  <c:v>2967804.4415215617</c:v>
                </c:pt>
                <c:pt idx="91">
                  <c:v>2890694.8736587353</c:v>
                </c:pt>
                <c:pt idx="92">
                  <c:v>2533731.2177177831</c:v>
                </c:pt>
                <c:pt idx="93">
                  <c:v>2522706.4905300518</c:v>
                </c:pt>
                <c:pt idx="94">
                  <c:v>2677048.3178042639</c:v>
                </c:pt>
                <c:pt idx="95">
                  <c:v>2710279.3129618587</c:v>
                </c:pt>
                <c:pt idx="96">
                  <c:v>2838683.7723313412</c:v>
                </c:pt>
                <c:pt idx="97">
                  <c:v>2760604.410058375</c:v>
                </c:pt>
                <c:pt idx="98">
                  <c:v>2632909.977388354</c:v>
                </c:pt>
                <c:pt idx="99">
                  <c:v>2466647.5345735746</c:v>
                </c:pt>
                <c:pt idx="100">
                  <c:v>2519713.6007339535</c:v>
                </c:pt>
                <c:pt idx="101">
                  <c:v>2809495.3504888737</c:v>
                </c:pt>
                <c:pt idx="102">
                  <c:v>3016875.7209283104</c:v>
                </c:pt>
                <c:pt idx="103">
                  <c:v>2870389.5166628389</c:v>
                </c:pt>
                <c:pt idx="104">
                  <c:v>2504119.2387654344</c:v>
                </c:pt>
                <c:pt idx="105">
                  <c:v>2514245.925115095</c:v>
                </c:pt>
                <c:pt idx="106">
                  <c:v>2675356.2047212725</c:v>
                </c:pt>
                <c:pt idx="107">
                  <c:v>2706049.0302543798</c:v>
                </c:pt>
                <c:pt idx="108">
                  <c:v>2880986.599406125</c:v>
                </c:pt>
                <c:pt idx="109">
                  <c:v>2829981.0464610206</c:v>
                </c:pt>
                <c:pt idx="110">
                  <c:v>2747973.6670317659</c:v>
                </c:pt>
                <c:pt idx="111">
                  <c:v>2580865.1676754914</c:v>
                </c:pt>
                <c:pt idx="112">
                  <c:v>2650852.3646657839</c:v>
                </c:pt>
                <c:pt idx="113">
                  <c:v>2952478.9060016433</c:v>
                </c:pt>
                <c:pt idx="114">
                  <c:v>3178472.520353985</c:v>
                </c:pt>
                <c:pt idx="115">
                  <c:v>3081903.6520367591</c:v>
                </c:pt>
                <c:pt idx="116">
                  <c:v>2722401.8264713194</c:v>
                </c:pt>
                <c:pt idx="117">
                  <c:v>2656383.4240863686</c:v>
                </c:pt>
                <c:pt idx="118">
                  <c:v>2742194.6714994311</c:v>
                </c:pt>
                <c:pt idx="119">
                  <c:v>2713663.5391278416</c:v>
                </c:pt>
                <c:pt idx="120">
                  <c:v>2896193.6196829686</c:v>
                </c:pt>
                <c:pt idx="121">
                  <c:v>2845252.3670350178</c:v>
                </c:pt>
                <c:pt idx="122">
                  <c:v>2763405.7383486475</c:v>
                </c:pt>
                <c:pt idx="123">
                  <c:v>2596208.8260837863</c:v>
                </c:pt>
                <c:pt idx="124">
                  <c:v>2666260.3233712325</c:v>
                </c:pt>
                <c:pt idx="125">
                  <c:v>2967910.9773185244</c:v>
                </c:pt>
                <c:pt idx="126">
                  <c:v>3193719.7283165501</c:v>
                </c:pt>
                <c:pt idx="127">
                  <c:v>3097199.0852221884</c:v>
                </c:pt>
                <c:pt idx="128">
                  <c:v>2737520.4338395763</c:v>
                </c:pt>
                <c:pt idx="129">
                  <c:v>2671268.942877444</c:v>
                </c:pt>
                <c:pt idx="130">
                  <c:v>2756999.8149190638</c:v>
                </c:pt>
                <c:pt idx="131">
                  <c:v>2728452.6074731862</c:v>
                </c:pt>
                <c:pt idx="132">
                  <c:v>2923260.7151291454</c:v>
                </c:pt>
                <c:pt idx="133">
                  <c:v>2872433.9110877323</c:v>
                </c:pt>
                <c:pt idx="134">
                  <c:v>2790873.4039177066</c:v>
                </c:pt>
                <c:pt idx="135">
                  <c:v>2623519.1248188559</c:v>
                </c:pt>
                <c:pt idx="136">
                  <c:v>2693685.0707128397</c:v>
                </c:pt>
                <c:pt idx="137">
                  <c:v>2995378.6428875835</c:v>
                </c:pt>
                <c:pt idx="138">
                  <c:v>3220858.3541418128</c:v>
                </c:pt>
                <c:pt idx="139">
                  <c:v>3124423.5475023547</c:v>
                </c:pt>
                <c:pt idx="140">
                  <c:v>2764430.1624517636</c:v>
                </c:pt>
                <c:pt idx="141">
                  <c:v>2697763.7952909321</c:v>
                </c:pt>
                <c:pt idx="142">
                  <c:v>2783351.6065743798</c:v>
                </c:pt>
                <c:pt idx="143">
                  <c:v>2754775.7869768674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 (2)'!$D$1</c:f>
              <c:strCache>
                <c:ptCount val="1"/>
                <c:pt idx="0">
                  <c:v> AvgEDMDAlt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(2)'!$A$2:$A$145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(2)'!$D$2:$D$145</c:f>
              <c:numCache>
                <c:formatCode>_(* #,##0_);_(* \(#,##0\);_(* "-"??_);_(@_)</c:formatCode>
                <c:ptCount val="144"/>
                <c:pt idx="0">
                  <c:v>18763.569892473119</c:v>
                </c:pt>
                <c:pt idx="1">
                  <c:v>18459.75</c:v>
                </c:pt>
                <c:pt idx="2">
                  <c:v>17109.344086021505</c:v>
                </c:pt>
                <c:pt idx="3">
                  <c:v>16536.005555555555</c:v>
                </c:pt>
                <c:pt idx="4">
                  <c:v>16356.709677419356</c:v>
                </c:pt>
                <c:pt idx="5">
                  <c:v>18941.838888888891</c:v>
                </c:pt>
                <c:pt idx="6">
                  <c:v>19212.618279569891</c:v>
                </c:pt>
                <c:pt idx="7">
                  <c:v>14479.887096774195</c:v>
                </c:pt>
                <c:pt idx="8">
                  <c:v>17287.772222222222</c:v>
                </c:pt>
                <c:pt idx="9">
                  <c:v>15932.177419354839</c:v>
                </c:pt>
                <c:pt idx="10">
                  <c:v>17675.405555555557</c:v>
                </c:pt>
                <c:pt idx="11">
                  <c:v>17921</c:v>
                </c:pt>
                <c:pt idx="12">
                  <c:v>20150.494623655915</c:v>
                </c:pt>
                <c:pt idx="13">
                  <c:v>21218.27976190476</c:v>
                </c:pt>
                <c:pt idx="14">
                  <c:v>18547.913978494624</c:v>
                </c:pt>
                <c:pt idx="15">
                  <c:v>16743.45</c:v>
                </c:pt>
                <c:pt idx="16">
                  <c:v>15916.145161290324</c:v>
                </c:pt>
                <c:pt idx="17">
                  <c:v>17897.344444444443</c:v>
                </c:pt>
                <c:pt idx="18">
                  <c:v>21895.72580645161</c:v>
                </c:pt>
                <c:pt idx="19">
                  <c:v>19116.586021505376</c:v>
                </c:pt>
                <c:pt idx="20">
                  <c:v>17926.766666666666</c:v>
                </c:pt>
                <c:pt idx="21">
                  <c:v>15433.553763440861</c:v>
                </c:pt>
                <c:pt idx="22">
                  <c:v>21725.391666666666</c:v>
                </c:pt>
                <c:pt idx="23">
                  <c:v>19068.556451612902</c:v>
                </c:pt>
                <c:pt idx="24">
                  <c:v>20811.274193548386</c:v>
                </c:pt>
                <c:pt idx="25">
                  <c:v>21711.28448275862</c:v>
                </c:pt>
                <c:pt idx="26">
                  <c:v>20690.209677419356</c:v>
                </c:pt>
                <c:pt idx="27">
                  <c:v>19081.441666666666</c:v>
                </c:pt>
                <c:pt idx="28">
                  <c:v>18762.548387096773</c:v>
                </c:pt>
                <c:pt idx="29">
                  <c:v>22555.691666666666</c:v>
                </c:pt>
                <c:pt idx="30">
                  <c:v>24956.209677419356</c:v>
                </c:pt>
                <c:pt idx="31">
                  <c:v>28746.75</c:v>
                </c:pt>
                <c:pt idx="32">
                  <c:v>24453.008333333335</c:v>
                </c:pt>
                <c:pt idx="33">
                  <c:v>21786.572580645163</c:v>
                </c:pt>
                <c:pt idx="34">
                  <c:v>22240.941666666666</c:v>
                </c:pt>
                <c:pt idx="35">
                  <c:v>21251.298387096773</c:v>
                </c:pt>
                <c:pt idx="36">
                  <c:v>25080.467741935485</c:v>
                </c:pt>
                <c:pt idx="37">
                  <c:v>24428.892857142859</c:v>
                </c:pt>
                <c:pt idx="38">
                  <c:v>23843.475806451614</c:v>
                </c:pt>
                <c:pt idx="39">
                  <c:v>20044.408333333333</c:v>
                </c:pt>
                <c:pt idx="40">
                  <c:v>21001.258064516129</c:v>
                </c:pt>
                <c:pt idx="41">
                  <c:v>23954.366666666665</c:v>
                </c:pt>
                <c:pt idx="42">
                  <c:v>23567.959677419356</c:v>
                </c:pt>
                <c:pt idx="43">
                  <c:v>24585.669354838708</c:v>
                </c:pt>
                <c:pt idx="44">
                  <c:v>22788.9</c:v>
                </c:pt>
                <c:pt idx="45">
                  <c:v>21497.959677419356</c:v>
                </c:pt>
                <c:pt idx="46">
                  <c:v>22823.983333333334</c:v>
                </c:pt>
                <c:pt idx="47">
                  <c:v>21153.629032258064</c:v>
                </c:pt>
                <c:pt idx="48">
                  <c:v>23757.266129032258</c:v>
                </c:pt>
                <c:pt idx="49">
                  <c:v>23588.285714285714</c:v>
                </c:pt>
                <c:pt idx="50">
                  <c:v>21831.387096774193</c:v>
                </c:pt>
                <c:pt idx="51">
                  <c:v>21218.7</c:v>
                </c:pt>
                <c:pt idx="52">
                  <c:v>21343.830645161292</c:v>
                </c:pt>
                <c:pt idx="53">
                  <c:v>22958.45</c:v>
                </c:pt>
                <c:pt idx="54">
                  <c:v>23352.467741935485</c:v>
                </c:pt>
                <c:pt idx="55">
                  <c:v>23973.120967741936</c:v>
                </c:pt>
                <c:pt idx="56">
                  <c:v>20635.991666666665</c:v>
                </c:pt>
                <c:pt idx="57">
                  <c:v>18046.604838709678</c:v>
                </c:pt>
                <c:pt idx="58">
                  <c:v>22905.583333333332</c:v>
                </c:pt>
                <c:pt idx="59">
                  <c:v>18946.177419354837</c:v>
                </c:pt>
                <c:pt idx="60">
                  <c:v>24151.774193548386</c:v>
                </c:pt>
                <c:pt idx="61">
                  <c:v>25038.303571428572</c:v>
                </c:pt>
                <c:pt idx="62">
                  <c:v>23196.645161290322</c:v>
                </c:pt>
                <c:pt idx="63">
                  <c:v>22474.216666666667</c:v>
                </c:pt>
                <c:pt idx="64">
                  <c:v>22320.790322580644</c:v>
                </c:pt>
                <c:pt idx="65">
                  <c:v>23373.575000000001</c:v>
                </c:pt>
                <c:pt idx="66">
                  <c:v>26642.193548387098</c:v>
                </c:pt>
                <c:pt idx="67">
                  <c:v>24985.733870967742</c:v>
                </c:pt>
                <c:pt idx="68">
                  <c:v>24133.633333333335</c:v>
                </c:pt>
                <c:pt idx="69">
                  <c:v>22557.879032258064</c:v>
                </c:pt>
                <c:pt idx="70">
                  <c:v>24180.758333333335</c:v>
                </c:pt>
                <c:pt idx="71">
                  <c:v>20843.637096774193</c:v>
                </c:pt>
                <c:pt idx="72">
                  <c:v>21640.991935483871</c:v>
                </c:pt>
                <c:pt idx="73">
                  <c:v>21031.741379310344</c:v>
                </c:pt>
                <c:pt idx="74">
                  <c:v>19309.370967741936</c:v>
                </c:pt>
                <c:pt idx="75">
                  <c:v>15646.475</c:v>
                </c:pt>
                <c:pt idx="76">
                  <c:v>17578.677419354837</c:v>
                </c:pt>
                <c:pt idx="77">
                  <c:v>21161.483333333334</c:v>
                </c:pt>
                <c:pt idx="78">
                  <c:v>23550.258064516129</c:v>
                </c:pt>
                <c:pt idx="79">
                  <c:v>21412.943548387098</c:v>
                </c:pt>
                <c:pt idx="80">
                  <c:v>19573.133333333335</c:v>
                </c:pt>
                <c:pt idx="81">
                  <c:v>17920.419354838708</c:v>
                </c:pt>
                <c:pt idx="82">
                  <c:v>21082.075000000001</c:v>
                </c:pt>
                <c:pt idx="83">
                  <c:v>19340.766129032258</c:v>
                </c:pt>
                <c:pt idx="84">
                  <c:v>19974.91129032258</c:v>
                </c:pt>
                <c:pt idx="85">
                  <c:v>21620.0625</c:v>
                </c:pt>
                <c:pt idx="86">
                  <c:v>14500.701612903225</c:v>
                </c:pt>
                <c:pt idx="87">
                  <c:v>14833.083333333334</c:v>
                </c:pt>
                <c:pt idx="88">
                  <c:v>17389.032258064515</c:v>
                </c:pt>
                <c:pt idx="89">
                  <c:v>22179.808333333334</c:v>
                </c:pt>
                <c:pt idx="90">
                  <c:v>21304.25</c:v>
                </c:pt>
                <c:pt idx="91">
                  <c:v>22668.677419354837</c:v>
                </c:pt>
                <c:pt idx="92">
                  <c:v>19751.116666666665</c:v>
                </c:pt>
                <c:pt idx="93">
                  <c:v>18454.774193548386</c:v>
                </c:pt>
                <c:pt idx="94">
                  <c:v>19900.433333333334</c:v>
                </c:pt>
                <c:pt idx="95">
                  <c:v>18405.258064516129</c:v>
                </c:pt>
                <c:pt idx="96">
                  <c:v>19824.298387096773</c:v>
                </c:pt>
                <c:pt idx="97">
                  <c:v>18885.517857142859</c:v>
                </c:pt>
                <c:pt idx="98">
                  <c:v>17113.975806451614</c:v>
                </c:pt>
                <c:pt idx="99">
                  <c:v>17742.400000000001</c:v>
                </c:pt>
                <c:pt idx="100">
                  <c:v>17334.782258064515</c:v>
                </c:pt>
                <c:pt idx="101">
                  <c:v>20387.666666666668</c:v>
                </c:pt>
                <c:pt idx="102">
                  <c:v>21703.548387096773</c:v>
                </c:pt>
                <c:pt idx="103">
                  <c:v>22334.709677419356</c:v>
                </c:pt>
                <c:pt idx="104">
                  <c:v>20338.466666666667</c:v>
                </c:pt>
                <c:pt idx="105">
                  <c:v>17644.298387096773</c:v>
                </c:pt>
                <c:pt idx="106">
                  <c:v>20426.349999999999</c:v>
                </c:pt>
                <c:pt idx="107">
                  <c:v>22834.758064516129</c:v>
                </c:pt>
                <c:pt idx="108">
                  <c:v>24609.132983870968</c:v>
                </c:pt>
                <c:pt idx="109">
                  <c:v>24628.365803571429</c:v>
                </c:pt>
                <c:pt idx="110">
                  <c:v>19872.068467741934</c:v>
                </c:pt>
                <c:pt idx="111">
                  <c:v>21244.675750000002</c:v>
                </c:pt>
                <c:pt idx="112">
                  <c:v>22870.409919354843</c:v>
                </c:pt>
                <c:pt idx="113">
                  <c:v>25230.837416666669</c:v>
                </c:pt>
                <c:pt idx="114">
                  <c:v>26487.232580645159</c:v>
                </c:pt>
                <c:pt idx="115">
                  <c:v>26506.021048387094</c:v>
                </c:pt>
                <c:pt idx="116">
                  <c:v>24721.223416666668</c:v>
                </c:pt>
                <c:pt idx="117">
                  <c:v>22141.713306451609</c:v>
                </c:pt>
                <c:pt idx="118">
                  <c:v>22888.896083333333</c:v>
                </c:pt>
                <c:pt idx="119">
                  <c:v>20703.543548387097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6-4610-89C7-D566490B37F9}"/>
            </c:ext>
          </c:extLst>
        </c:ser>
        <c:ser>
          <c:idx val="1"/>
          <c:order val="1"/>
          <c:tx>
            <c:strRef>
              <c:f>'ED Normalized Monthly (2)'!$O$1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(2)'!$A$2:$A$145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(2)'!$O$2:$O$145</c:f>
              <c:numCache>
                <c:formatCode>_(* #,##0_);_(* \(#,##0\);_(* "-"??_);_(@_)</c:formatCode>
                <c:ptCount val="144"/>
                <c:pt idx="0">
                  <c:v>20991.145719790598</c:v>
                </c:pt>
                <c:pt idx="1">
                  <c:v>20466.304912556523</c:v>
                </c:pt>
                <c:pt idx="2">
                  <c:v>18283.931553456372</c:v>
                </c:pt>
                <c:pt idx="3">
                  <c:v>17235.213195892091</c:v>
                </c:pt>
                <c:pt idx="4">
                  <c:v>17547.326271329643</c:v>
                </c:pt>
                <c:pt idx="5">
                  <c:v>20541.470803337263</c:v>
                </c:pt>
                <c:pt idx="6">
                  <c:v>22041.307626130969</c:v>
                </c:pt>
                <c:pt idx="7">
                  <c:v>21623.300279789088</c:v>
                </c:pt>
                <c:pt idx="8">
                  <c:v>20036.135370652788</c:v>
                </c:pt>
                <c:pt idx="9">
                  <c:v>19195.622749445007</c:v>
                </c:pt>
                <c:pt idx="10">
                  <c:v>19816.84680273612</c:v>
                </c:pt>
                <c:pt idx="11">
                  <c:v>20569.331049655295</c:v>
                </c:pt>
                <c:pt idx="12">
                  <c:v>21316.661843729551</c:v>
                </c:pt>
                <c:pt idx="13">
                  <c:v>21059.893138562849</c:v>
                </c:pt>
                <c:pt idx="14">
                  <c:v>18906.24179039849</c:v>
                </c:pt>
                <c:pt idx="15">
                  <c:v>17991.559483867892</c:v>
                </c:pt>
                <c:pt idx="16">
                  <c:v>18399.412595758076</c:v>
                </c:pt>
                <c:pt idx="17">
                  <c:v>21652.055226187807</c:v>
                </c:pt>
                <c:pt idx="18">
                  <c:v>22922.115961495198</c:v>
                </c:pt>
                <c:pt idx="19">
                  <c:v>22054.130443825939</c:v>
                </c:pt>
                <c:pt idx="20">
                  <c:v>19815.933286811731</c:v>
                </c:pt>
                <c:pt idx="21">
                  <c:v>18678.626552600788</c:v>
                </c:pt>
                <c:pt idx="22">
                  <c:v>19213.684573084531</c:v>
                </c:pt>
                <c:pt idx="23">
                  <c:v>19851.280776260544</c:v>
                </c:pt>
                <c:pt idx="24">
                  <c:v>20723.073617723225</c:v>
                </c:pt>
                <c:pt idx="25">
                  <c:v>20638.636978171264</c:v>
                </c:pt>
                <c:pt idx="26">
                  <c:v>18848.797768526907</c:v>
                </c:pt>
                <c:pt idx="27">
                  <c:v>18173.465553127895</c:v>
                </c:pt>
                <c:pt idx="28">
                  <c:v>18715.35471605177</c:v>
                </c:pt>
                <c:pt idx="29">
                  <c:v>22025.44136835308</c:v>
                </c:pt>
                <c:pt idx="30">
                  <c:v>23525.278191146786</c:v>
                </c:pt>
                <c:pt idx="31">
                  <c:v>22954.086786480693</c:v>
                </c:pt>
                <c:pt idx="32">
                  <c:v>21050.9797570507</c:v>
                </c:pt>
                <c:pt idx="33">
                  <c:v>19999.839055647128</c:v>
                </c:pt>
                <c:pt idx="34">
                  <c:v>20209.380952191917</c:v>
                </c:pt>
                <c:pt idx="35">
                  <c:v>20550.18304236477</c:v>
                </c:pt>
                <c:pt idx="36">
                  <c:v>21153.903781760077</c:v>
                </c:pt>
                <c:pt idx="37">
                  <c:v>20849.265058367055</c:v>
                </c:pt>
                <c:pt idx="38">
                  <c:v>18848.797768526907</c:v>
                </c:pt>
                <c:pt idx="39">
                  <c:v>17857.523432834205</c:v>
                </c:pt>
                <c:pt idx="40">
                  <c:v>18140.914497335965</c:v>
                </c:pt>
                <c:pt idx="41">
                  <c:v>21412.705135056225</c:v>
                </c:pt>
                <c:pt idx="42">
                  <c:v>22874.245943268877</c:v>
                </c:pt>
                <c:pt idx="43">
                  <c:v>22686.01468441332</c:v>
                </c:pt>
                <c:pt idx="44">
                  <c:v>20897.795698726488</c:v>
                </c:pt>
                <c:pt idx="45">
                  <c:v>19722.192949934491</c:v>
                </c:pt>
                <c:pt idx="46">
                  <c:v>20352.99100687087</c:v>
                </c:pt>
                <c:pt idx="47">
                  <c:v>20990.587210046884</c:v>
                </c:pt>
                <c:pt idx="48">
                  <c:v>21900.676066090615</c:v>
                </c:pt>
                <c:pt idx="49">
                  <c:v>21308.817233339694</c:v>
                </c:pt>
                <c:pt idx="50">
                  <c:v>19317.923947144809</c:v>
                </c:pt>
                <c:pt idx="51">
                  <c:v>18498.981677066848</c:v>
                </c:pt>
                <c:pt idx="52">
                  <c:v>18868.538774375978</c:v>
                </c:pt>
                <c:pt idx="53">
                  <c:v>21824.387291802548</c:v>
                </c:pt>
                <c:pt idx="54">
                  <c:v>23161.46605262678</c:v>
                </c:pt>
                <c:pt idx="55">
                  <c:v>22580.700644315424</c:v>
                </c:pt>
                <c:pt idx="56">
                  <c:v>20744.611640402276</c:v>
                </c:pt>
                <c:pt idx="57">
                  <c:v>19808.358982741862</c:v>
                </c:pt>
                <c:pt idx="58">
                  <c:v>20630.637112583503</c:v>
                </c:pt>
                <c:pt idx="59">
                  <c:v>21411.843370438466</c:v>
                </c:pt>
                <c:pt idx="60">
                  <c:v>22321.9322264822</c:v>
                </c:pt>
                <c:pt idx="61">
                  <c:v>22084.311528606024</c:v>
                </c:pt>
                <c:pt idx="62">
                  <c:v>20237.028297090092</c:v>
                </c:pt>
                <c:pt idx="63">
                  <c:v>19408.512023366868</c:v>
                </c:pt>
                <c:pt idx="64">
                  <c:v>19873.809157128631</c:v>
                </c:pt>
                <c:pt idx="65">
                  <c:v>22810.509667264669</c:v>
                </c:pt>
                <c:pt idx="66">
                  <c:v>23869.942322376264</c:v>
                </c:pt>
                <c:pt idx="67">
                  <c:v>23097.696841159646</c:v>
                </c:pt>
                <c:pt idx="68">
                  <c:v>21194.589811729653</c:v>
                </c:pt>
                <c:pt idx="69">
                  <c:v>20325.355179586084</c:v>
                </c:pt>
                <c:pt idx="70">
                  <c:v>20659.359123519294</c:v>
                </c:pt>
                <c:pt idx="71">
                  <c:v>21172.493279306887</c:v>
                </c:pt>
                <c:pt idx="72">
                  <c:v>21699.621989540083</c:v>
                </c:pt>
                <c:pt idx="73">
                  <c:v>21538.593320826018</c:v>
                </c:pt>
                <c:pt idx="74">
                  <c:v>18973.259815915331</c:v>
                </c:pt>
                <c:pt idx="75">
                  <c:v>16880.975061017347</c:v>
                </c:pt>
                <c:pt idx="76">
                  <c:v>16149.521739121194</c:v>
                </c:pt>
                <c:pt idx="77">
                  <c:v>19497.904406003559</c:v>
                </c:pt>
                <c:pt idx="78">
                  <c:v>21868.975560516228</c:v>
                </c:pt>
                <c:pt idx="79">
                  <c:v>21900.946385501727</c:v>
                </c:pt>
                <c:pt idx="80">
                  <c:v>20074.431385233842</c:v>
                </c:pt>
                <c:pt idx="81">
                  <c:v>18831.810610925</c:v>
                </c:pt>
                <c:pt idx="82">
                  <c:v>19290.276602246639</c:v>
                </c:pt>
                <c:pt idx="83">
                  <c:v>19449.172623159488</c:v>
                </c:pt>
                <c:pt idx="84">
                  <c:v>20225.225428169535</c:v>
                </c:pt>
                <c:pt idx="85">
                  <c:v>19987.604730293355</c:v>
                </c:pt>
                <c:pt idx="86">
                  <c:v>18733.909724783749</c:v>
                </c:pt>
                <c:pt idx="87">
                  <c:v>18144.743542192107</c:v>
                </c:pt>
                <c:pt idx="88">
                  <c:v>18562.170657727554</c:v>
                </c:pt>
                <c:pt idx="89">
                  <c:v>21776.517273576232</c:v>
                </c:pt>
                <c:pt idx="90">
                  <c:v>23228.484078143625</c:v>
                </c:pt>
                <c:pt idx="91">
                  <c:v>22944.512782835431</c:v>
                </c:pt>
                <c:pt idx="92">
                  <c:v>20878.647691435963</c:v>
                </c:pt>
                <c:pt idx="93">
                  <c:v>20239.189146778714</c:v>
                </c:pt>
                <c:pt idx="94">
                  <c:v>21425.279415140361</c:v>
                </c:pt>
                <c:pt idx="95">
                  <c:v>22694.759858903752</c:v>
                </c:pt>
                <c:pt idx="96">
                  <c:v>23422.942645687486</c:v>
                </c:pt>
                <c:pt idx="97">
                  <c:v>22878.953831162882</c:v>
                </c:pt>
                <c:pt idx="98">
                  <c:v>20543.396413738519</c:v>
                </c:pt>
                <c:pt idx="99">
                  <c:v>19590.418092626871</c:v>
                </c:pt>
                <c:pt idx="100">
                  <c:v>19835.513142547577</c:v>
                </c:pt>
                <c:pt idx="101">
                  <c:v>22858.379685490989</c:v>
                </c:pt>
                <c:pt idx="102">
                  <c:v>23783.776289568894</c:v>
                </c:pt>
                <c:pt idx="103">
                  <c:v>22714.736695349111</c:v>
                </c:pt>
                <c:pt idx="104">
                  <c:v>20543.557563851748</c:v>
                </c:pt>
                <c:pt idx="105">
                  <c:v>20143.449110326077</c:v>
                </c:pt>
                <c:pt idx="106">
                  <c:v>21406.131407849833</c:v>
                </c:pt>
                <c:pt idx="107">
                  <c:v>22646.889840677439</c:v>
                </c:pt>
                <c:pt idx="108">
                  <c:v>23901.642827950651</c:v>
                </c:pt>
                <c:pt idx="109">
                  <c:v>23664.022130074474</c:v>
                </c:pt>
                <c:pt idx="110">
                  <c:v>21845.46090949433</c:v>
                </c:pt>
                <c:pt idx="111">
                  <c:v>20882.908584737419</c:v>
                </c:pt>
                <c:pt idx="112">
                  <c:v>21319.483707563391</c:v>
                </c:pt>
                <c:pt idx="113">
                  <c:v>24476.38630154049</c:v>
                </c:pt>
                <c:pt idx="114">
                  <c:v>25612.410985814189</c:v>
                </c:pt>
                <c:pt idx="115">
                  <c:v>25108.237606664945</c:v>
                </c:pt>
                <c:pt idx="116">
                  <c:v>23013.650504329686</c:v>
                </c:pt>
                <c:pt idx="117">
                  <c:v>21751.881722730319</c:v>
                </c:pt>
                <c:pt idx="118">
                  <c:v>22162.477695825637</c:v>
                </c:pt>
                <c:pt idx="119">
                  <c:v>22733.055873484809</c:v>
                </c:pt>
                <c:pt idx="120">
                  <c:v>24073.725969470615</c:v>
                </c:pt>
                <c:pt idx="121">
                  <c:v>23836.832895871477</c:v>
                </c:pt>
                <c:pt idx="122">
                  <c:v>22020.090735983937</c:v>
                </c:pt>
                <c:pt idx="123">
                  <c:v>21056.537927846093</c:v>
                </c:pt>
                <c:pt idx="124">
                  <c:v>21493.840674949108</c:v>
                </c:pt>
                <c:pt idx="125">
                  <c:v>24651.016128030096</c:v>
                </c:pt>
                <c:pt idx="126">
                  <c:v>25784.948892507309</c:v>
                </c:pt>
                <c:pt idx="127">
                  <c:v>25281.321231565838</c:v>
                </c:pt>
                <c:pt idx="128">
                  <c:v>23184.733162468721</c:v>
                </c:pt>
                <c:pt idx="129">
                  <c:v>21920.32674286508</c:v>
                </c:pt>
                <c:pt idx="130">
                  <c:v>22330.013185614102</c:v>
                </c:pt>
                <c:pt idx="131">
                  <c:v>22900.409457204012</c:v>
                </c:pt>
                <c:pt idx="132">
                  <c:v>24380.018111613117</c:v>
                </c:pt>
                <c:pt idx="133">
                  <c:v>24144.420142209085</c:v>
                </c:pt>
                <c:pt idx="134">
                  <c:v>22330.915742809306</c:v>
                </c:pt>
                <c:pt idx="135">
                  <c:v>21365.582166403194</c:v>
                </c:pt>
                <c:pt idx="136">
                  <c:v>21804.180017701314</c:v>
                </c:pt>
                <c:pt idx="137">
                  <c:v>24961.841134855465</c:v>
                </c:pt>
                <c:pt idx="138">
                  <c:v>26092.05047477175</c:v>
                </c:pt>
                <c:pt idx="139">
                  <c:v>25589.394141976605</c:v>
                </c:pt>
                <c:pt idx="140">
                  <c:v>23489.244536342951</c:v>
                </c:pt>
                <c:pt idx="141">
                  <c:v>22220.14336403205</c:v>
                </c:pt>
                <c:pt idx="142">
                  <c:v>22628.210926537191</c:v>
                </c:pt>
                <c:pt idx="143">
                  <c:v>23198.283422078326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6-4610-89C7-D566490B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Summary'!$C$5:$C$14</c:f>
              <c:numCache>
                <c:formatCode>#,##0</c:formatCode>
                <c:ptCount val="10"/>
                <c:pt idx="0">
                  <c:v>245551953</c:v>
                </c:pt>
                <c:pt idx="1">
                  <c:v>244757238</c:v>
                </c:pt>
                <c:pt idx="2">
                  <c:v>255390423</c:v>
                </c:pt>
                <c:pt idx="3">
                  <c:v>240232071</c:v>
                </c:pt>
                <c:pt idx="4">
                  <c:v>259974120</c:v>
                </c:pt>
                <c:pt idx="5">
                  <c:v>252809094</c:v>
                </c:pt>
                <c:pt idx="6">
                  <c:v>271898869</c:v>
                </c:pt>
                <c:pt idx="7">
                  <c:v>277378582</c:v>
                </c:pt>
                <c:pt idx="8">
                  <c:v>272607146</c:v>
                </c:pt>
                <c:pt idx="9">
                  <c:v>259000633.64553002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Summary'!$K$3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Summary'!$K$5:$K$16</c:f>
              <c:numCache>
                <c:formatCode>#,##0</c:formatCode>
                <c:ptCount val="12"/>
                <c:pt idx="0">
                  <c:v>247424854.79284871</c:v>
                </c:pt>
                <c:pt idx="1">
                  <c:v>249312785.23518148</c:v>
                </c:pt>
                <c:pt idx="2">
                  <c:v>250855969.92010495</c:v>
                </c:pt>
                <c:pt idx="3">
                  <c:v>248382943.52782425</c:v>
                </c:pt>
                <c:pt idx="4">
                  <c:v>249000926.2148017</c:v>
                </c:pt>
                <c:pt idx="5">
                  <c:v>251363160.42845005</c:v>
                </c:pt>
                <c:pt idx="6">
                  <c:v>270798534.98766303</c:v>
                </c:pt>
                <c:pt idx="7">
                  <c:v>272300992.89378631</c:v>
                </c:pt>
                <c:pt idx="8">
                  <c:v>270617456.92149049</c:v>
                </c:pt>
                <c:pt idx="9">
                  <c:v>268851806.87832141</c:v>
                </c:pt>
                <c:pt idx="10">
                  <c:v>276867818.87151098</c:v>
                </c:pt>
                <c:pt idx="11">
                  <c:v>285532767.83244443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250216784.83302873</c:v>
                </c:pt>
                <c:pt idx="1">
                  <c:v>253333321.91602558</c:v>
                </c:pt>
                <c:pt idx="2">
                  <c:v>257195576.28398353</c:v>
                </c:pt>
                <c:pt idx="3">
                  <c:v>259566396.08201909</c:v>
                </c:pt>
                <c:pt idx="4">
                  <c:v>262682933.16501585</c:v>
                </c:pt>
                <c:pt idx="5">
                  <c:v>265799470.2480126</c:v>
                </c:pt>
                <c:pt idx="6">
                  <c:v>285005283.75518382</c:v>
                </c:pt>
                <c:pt idx="7">
                  <c:v>286276124.66212428</c:v>
                </c:pt>
                <c:pt idx="8">
                  <c:v>284644801.66241497</c:v>
                </c:pt>
                <c:pt idx="9">
                  <c:v>283013478.66270572</c:v>
                </c:pt>
                <c:pt idx="10">
                  <c:v>286875733.03066367</c:v>
                </c:pt>
                <c:pt idx="11">
                  <c:v>289246552.82869923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65242009</c:v>
                </c:pt>
                <c:pt idx="1">
                  <c:v>65329578</c:v>
                </c:pt>
                <c:pt idx="2">
                  <c:v>66808994</c:v>
                </c:pt>
                <c:pt idx="3">
                  <c:v>65115315</c:v>
                </c:pt>
                <c:pt idx="4">
                  <c:v>66321666</c:v>
                </c:pt>
                <c:pt idx="5">
                  <c:v>65058987</c:v>
                </c:pt>
                <c:pt idx="6">
                  <c:v>60802781</c:v>
                </c:pt>
                <c:pt idx="7">
                  <c:v>62043606</c:v>
                </c:pt>
                <c:pt idx="8">
                  <c:v>67628825</c:v>
                </c:pt>
                <c:pt idx="9">
                  <c:v>63293408.089218006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Summary'!$P$5:$P$14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Summary'!$V$3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Summary'!$V$5:$V$16</c:f>
              <c:numCache>
                <c:formatCode>#,##0</c:formatCode>
                <c:ptCount val="12"/>
                <c:pt idx="0">
                  <c:v>68319802.802292988</c:v>
                </c:pt>
                <c:pt idx="1">
                  <c:v>65637753.328011587</c:v>
                </c:pt>
                <c:pt idx="2">
                  <c:v>62695443.788005747</c:v>
                </c:pt>
                <c:pt idx="3">
                  <c:v>62828121.058198206</c:v>
                </c:pt>
                <c:pt idx="4">
                  <c:v>63418151.723864205</c:v>
                </c:pt>
                <c:pt idx="5">
                  <c:v>64343085.561638482</c:v>
                </c:pt>
                <c:pt idx="6">
                  <c:v>61844516.775497824</c:v>
                </c:pt>
                <c:pt idx="7">
                  <c:v>64535406.633576296</c:v>
                </c:pt>
                <c:pt idx="8">
                  <c:v>66292965.680540584</c:v>
                </c:pt>
                <c:pt idx="9">
                  <c:v>66803652.245221414</c:v>
                </c:pt>
                <c:pt idx="10">
                  <c:v>69453177.561750546</c:v>
                </c:pt>
                <c:pt idx="11">
                  <c:v>73192444.375297099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70939391.75658831</c:v>
                </c:pt>
                <c:pt idx="1">
                  <c:v>72288132.653476238</c:v>
                </c:pt>
                <c:pt idx="2">
                  <c:v>73585519.213521868</c:v>
                </c:pt>
                <c:pt idx="3">
                  <c:v>74929129.52890113</c:v>
                </c:pt>
                <c:pt idx="4">
                  <c:v>76725396.510573372</c:v>
                </c:pt>
                <c:pt idx="5">
                  <c:v>77996817.741237804</c:v>
                </c:pt>
                <c:pt idx="6">
                  <c:v>75446207.307274655</c:v>
                </c:pt>
                <c:pt idx="7">
                  <c:v>78167669.839656129</c:v>
                </c:pt>
                <c:pt idx="8">
                  <c:v>80305873.908725917</c:v>
                </c:pt>
                <c:pt idx="9">
                  <c:v>81169160.594030857</c:v>
                </c:pt>
                <c:pt idx="10">
                  <c:v>81659851.389303565</c:v>
                </c:pt>
                <c:pt idx="11">
                  <c:v>82793710.187880591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Summary'!$Y$5:$Y$14</c:f>
              <c:numCache>
                <c:formatCode>#,##0</c:formatCode>
                <c:ptCount val="10"/>
                <c:pt idx="0">
                  <c:v>167236927</c:v>
                </c:pt>
                <c:pt idx="1">
                  <c:v>171977957</c:v>
                </c:pt>
                <c:pt idx="2">
                  <c:v>187031606</c:v>
                </c:pt>
                <c:pt idx="3">
                  <c:v>166511229</c:v>
                </c:pt>
                <c:pt idx="4">
                  <c:v>171089785</c:v>
                </c:pt>
                <c:pt idx="5">
                  <c:v>180918659</c:v>
                </c:pt>
                <c:pt idx="6">
                  <c:v>171481742</c:v>
                </c:pt>
                <c:pt idx="7">
                  <c:v>178461520</c:v>
                </c:pt>
                <c:pt idx="8">
                  <c:v>183800048</c:v>
                </c:pt>
                <c:pt idx="9">
                  <c:v>183420702.72663307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Summary'!$AA$5:$AA$14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Summary'!$AG$3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Summary'!$AG$5:$AG$16</c:f>
              <c:numCache>
                <c:formatCode>#,##0</c:formatCode>
                <c:ptCount val="12"/>
                <c:pt idx="0">
                  <c:v>171947504.25992486</c:v>
                </c:pt>
                <c:pt idx="1">
                  <c:v>171003333.30842364</c:v>
                </c:pt>
                <c:pt idx="2">
                  <c:v>169796694.98560569</c:v>
                </c:pt>
                <c:pt idx="3">
                  <c:v>172706030.38526967</c:v>
                </c:pt>
                <c:pt idx="4">
                  <c:v>176378495.05313617</c:v>
                </c:pt>
                <c:pt idx="5">
                  <c:v>179806102.04101732</c:v>
                </c:pt>
                <c:pt idx="6">
                  <c:v>172570223.28947499</c:v>
                </c:pt>
                <c:pt idx="7">
                  <c:v>179285525.3858341</c:v>
                </c:pt>
                <c:pt idx="8">
                  <c:v>184414136.41670817</c:v>
                </c:pt>
                <c:pt idx="9">
                  <c:v>184484594.95910427</c:v>
                </c:pt>
                <c:pt idx="10">
                  <c:v>190282185.96355724</c:v>
                </c:pt>
                <c:pt idx="11">
                  <c:v>209107276.31271169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Summary'!$AC$3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Summary'!$AC$5:$AC$16</c:f>
              <c:numCache>
                <c:formatCode>#,##0</c:formatCode>
                <c:ptCount val="12"/>
                <c:pt idx="0">
                  <c:v>174824576.21244729</c:v>
                </c:pt>
                <c:pt idx="1">
                  <c:v>178271632.3493866</c:v>
                </c:pt>
                <c:pt idx="2">
                  <c:v>181468050.86841804</c:v>
                </c:pt>
                <c:pt idx="3">
                  <c:v>185698267.92791393</c:v>
                </c:pt>
                <c:pt idx="4">
                  <c:v>190593841.14902142</c:v>
                </c:pt>
                <c:pt idx="5">
                  <c:v>194287814.53468895</c:v>
                </c:pt>
                <c:pt idx="6">
                  <c:v>186996843.80090782</c:v>
                </c:pt>
                <c:pt idx="7">
                  <c:v>194066989.2737186</c:v>
                </c:pt>
                <c:pt idx="8">
                  <c:v>199894483.00856209</c:v>
                </c:pt>
                <c:pt idx="9">
                  <c:v>202476120.32656401</c:v>
                </c:pt>
                <c:pt idx="10">
                  <c:v>203702780.71640754</c:v>
                </c:pt>
                <c:pt idx="11">
                  <c:v>207132515.0983966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Summary'!$AJ$5:$AJ$14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Summary'!$AK$3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Summary'!$AK$5:$AK$14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Summary'!$AM$3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Summary'!$AM$5:$AM$16</c:f>
              <c:numCache>
                <c:formatCode>General</c:formatCode>
                <c:ptCount val="12"/>
                <c:pt idx="2" formatCode="#,##0">
                  <c:v>31170375.78137815</c:v>
                </c:pt>
                <c:pt idx="3" formatCode="#,##0">
                  <c:v>31026546.169323888</c:v>
                </c:pt>
                <c:pt idx="4" formatCode="#,##0">
                  <c:v>31403887.386830956</c:v>
                </c:pt>
                <c:pt idx="5" formatCode="#,##0">
                  <c:v>32022354.7186643</c:v>
                </c:pt>
                <c:pt idx="6" formatCode="#,##0">
                  <c:v>30175413.288579233</c:v>
                </c:pt>
                <c:pt idx="7" formatCode="#,##0">
                  <c:v>31296438.206061002</c:v>
                </c:pt>
                <c:pt idx="8" formatCode="#,##0">
                  <c:v>32315090.282021798</c:v>
                </c:pt>
                <c:pt idx="9" formatCode="#,##0">
                  <c:v>33738157.384817533</c:v>
                </c:pt>
                <c:pt idx="10" formatCode="#,##0">
                  <c:v>33920392.464488193</c:v>
                </c:pt>
                <c:pt idx="11" formatCode="#,##0">
                  <c:v>34244754.121491976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Summary'!$AP$3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6286758</c:v>
                </c:pt>
                <c:pt idx="1">
                  <c:v>6227064</c:v>
                </c:pt>
                <c:pt idx="2">
                  <c:v>4268689</c:v>
                </c:pt>
                <c:pt idx="3">
                  <c:v>2875901</c:v>
                </c:pt>
                <c:pt idx="4">
                  <c:v>2887551</c:v>
                </c:pt>
                <c:pt idx="5">
                  <c:v>2576355</c:v>
                </c:pt>
                <c:pt idx="6">
                  <c:v>2455697</c:v>
                </c:pt>
                <c:pt idx="7">
                  <c:v>2444025</c:v>
                </c:pt>
                <c:pt idx="8">
                  <c:v>2406027</c:v>
                </c:pt>
                <c:pt idx="9">
                  <c:v>2415232.6883003376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Summary'!$AS$3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Summary'!$AT$5:$AT$14,'Normalized Annual Summary'!$AS$15:$AS$16)</c:f>
              <c:numCache>
                <c:formatCode>General</c:formatCode>
                <c:ptCount val="12"/>
                <c:pt idx="10" formatCode="#,##0">
                  <c:v>2424399.2117340649</c:v>
                </c:pt>
                <c:pt idx="11" formatCode="#,##0">
                  <c:v>2433600.5248393081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Summary'!$AR$5:$AR$14</c:f>
              <c:numCache>
                <c:formatCode>#,##0</c:formatCode>
                <c:ptCount val="10"/>
                <c:pt idx="0">
                  <c:v>2317.414019782515</c:v>
                </c:pt>
                <c:pt idx="1">
                  <c:v>2305.8218286172737</c:v>
                </c:pt>
                <c:pt idx="2">
                  <c:v>1569.4671242110423</c:v>
                </c:pt>
                <c:pt idx="3">
                  <c:v>1044.5161016949153</c:v>
                </c:pt>
                <c:pt idx="4">
                  <c:v>1045.8983398732266</c:v>
                </c:pt>
                <c:pt idx="5">
                  <c:v>930.0920577617328</c:v>
                </c:pt>
                <c:pt idx="6">
                  <c:v>884.19239078252519</c:v>
                </c:pt>
                <c:pt idx="7">
                  <c:v>877.67237251615995</c:v>
                </c:pt>
                <c:pt idx="8">
                  <c:v>861.34618138424821</c:v>
                </c:pt>
                <c:pt idx="9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Summary'!$AT$5:$AT$14,'Normalized Annual Summary'!$AR$15:$AR$16)</c:f>
              <c:numCache>
                <c:formatCode>General</c:formatCode>
                <c:ptCount val="12"/>
                <c:pt idx="10" formatCode="#,##0">
                  <c:v>860.45756790084181</c:v>
                </c:pt>
                <c:pt idx="11" formatCode="#,##0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Residential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Data'!$DU$146:$DU$231</c:f>
              <c:numCache>
                <c:formatCode>_(* #,##0_);_(* \(#,##0\);_(* "-"??_);_(@_)</c:formatCode>
                <c:ptCount val="86"/>
                <c:pt idx="12">
                  <c:v>856.04006786076718</c:v>
                </c:pt>
                <c:pt idx="13">
                  <c:v>742.10928012872444</c:v>
                </c:pt>
                <c:pt idx="14">
                  <c:v>737.94230733470522</c:v>
                </c:pt>
                <c:pt idx="15">
                  <c:v>621.35644928413285</c:v>
                </c:pt>
                <c:pt idx="16">
                  <c:v>663.85919433950096</c:v>
                </c:pt>
                <c:pt idx="17">
                  <c:v>882.43316040335844</c:v>
                </c:pt>
                <c:pt idx="18">
                  <c:v>993.59827387267808</c:v>
                </c:pt>
                <c:pt idx="19">
                  <c:v>968.15326219986071</c:v>
                </c:pt>
                <c:pt idx="20">
                  <c:v>775.756766854847</c:v>
                </c:pt>
                <c:pt idx="21">
                  <c:v>626.67627389346683</c:v>
                </c:pt>
                <c:pt idx="22">
                  <c:v>689.73184666998054</c:v>
                </c:pt>
                <c:pt idx="23">
                  <c:v>780.82426542060944</c:v>
                </c:pt>
                <c:pt idx="24">
                  <c:v>804.61296536573548</c:v>
                </c:pt>
                <c:pt idx="25">
                  <c:v>723.76787153522696</c:v>
                </c:pt>
                <c:pt idx="26">
                  <c:v>704.44752269897253</c:v>
                </c:pt>
                <c:pt idx="27">
                  <c:v>606.44241615441581</c:v>
                </c:pt>
                <c:pt idx="28">
                  <c:v>690.02821547952783</c:v>
                </c:pt>
                <c:pt idx="29">
                  <c:v>819.94597993830496</c:v>
                </c:pt>
                <c:pt idx="30">
                  <c:v>1035.4675371568171</c:v>
                </c:pt>
                <c:pt idx="31">
                  <c:v>1062.1092768808364</c:v>
                </c:pt>
                <c:pt idx="32">
                  <c:v>841.77431876454068</c:v>
                </c:pt>
                <c:pt idx="33">
                  <c:v>634.53898084324635</c:v>
                </c:pt>
                <c:pt idx="34">
                  <c:v>626.20981761898952</c:v>
                </c:pt>
                <c:pt idx="35">
                  <c:v>727.17083420634413</c:v>
                </c:pt>
                <c:pt idx="36">
                  <c:v>762.79275913451295</c:v>
                </c:pt>
                <c:pt idx="37">
                  <c:v>677.7559255653631</c:v>
                </c:pt>
                <c:pt idx="38">
                  <c:v>662.77179409135044</c:v>
                </c:pt>
                <c:pt idx="39">
                  <c:v>604.00727419357202</c:v>
                </c:pt>
                <c:pt idx="40">
                  <c:v>696.86903724447143</c:v>
                </c:pt>
                <c:pt idx="41">
                  <c:v>946.86693014745845</c:v>
                </c:pt>
                <c:pt idx="42">
                  <c:v>1217.8743171532928</c:v>
                </c:pt>
                <c:pt idx="43">
                  <c:v>1213.842592343138</c:v>
                </c:pt>
                <c:pt idx="44">
                  <c:v>884.92720539794561</c:v>
                </c:pt>
                <c:pt idx="45">
                  <c:v>670.65967836263144</c:v>
                </c:pt>
                <c:pt idx="46">
                  <c:v>629.70773862185331</c:v>
                </c:pt>
                <c:pt idx="47">
                  <c:v>756.24188309768215</c:v>
                </c:pt>
                <c:pt idx="48">
                  <c:v>762.12464087836668</c:v>
                </c:pt>
                <c:pt idx="49">
                  <c:v>652.5317658581198</c:v>
                </c:pt>
                <c:pt idx="50">
                  <c:v>638.76827211806653</c:v>
                </c:pt>
                <c:pt idx="51">
                  <c:v>597.50910016947159</c:v>
                </c:pt>
                <c:pt idx="52">
                  <c:v>620.62188822747805</c:v>
                </c:pt>
                <c:pt idx="53">
                  <c:v>898.29790416512481</c:v>
                </c:pt>
                <c:pt idx="54">
                  <c:v>1089.824764083168</c:v>
                </c:pt>
                <c:pt idx="55">
                  <c:v>997.48147640414345</c:v>
                </c:pt>
                <c:pt idx="56">
                  <c:v>817.30795591245248</c:v>
                </c:pt>
                <c:pt idx="57">
                  <c:v>697.30559167029662</c:v>
                </c:pt>
                <c:pt idx="58">
                  <c:v>660.07941990306188</c:v>
                </c:pt>
                <c:pt idx="59">
                  <c:v>768.82350686757388</c:v>
                </c:pt>
                <c:pt idx="60">
                  <c:v>810.80885167167048</c:v>
                </c:pt>
                <c:pt idx="61">
                  <c:v>696.9505021707231</c:v>
                </c:pt>
                <c:pt idx="62">
                  <c:v>664.31804075025116</c:v>
                </c:pt>
                <c:pt idx="63">
                  <c:v>632.0052249737812</c:v>
                </c:pt>
                <c:pt idx="64">
                  <c:v>740.66918619101887</c:v>
                </c:pt>
                <c:pt idx="65">
                  <c:v>939.5895519534788</c:v>
                </c:pt>
                <c:pt idx="66">
                  <c:v>1196.5186896622683</c:v>
                </c:pt>
                <c:pt idx="67">
                  <c:v>1188.2323357747669</c:v>
                </c:pt>
                <c:pt idx="68">
                  <c:v>899.3461849736583</c:v>
                </c:pt>
                <c:pt idx="69">
                  <c:v>677.44064402205618</c:v>
                </c:pt>
                <c:pt idx="70">
                  <c:v>684.44448135325513</c:v>
                </c:pt>
                <c:pt idx="71">
                  <c:v>770.37639594506334</c:v>
                </c:pt>
                <c:pt idx="72">
                  <c:v>781.68898953590144</c:v>
                </c:pt>
                <c:pt idx="73">
                  <c:v>690.34937547775507</c:v>
                </c:pt>
                <c:pt idx="74">
                  <c:v>704.67591275125244</c:v>
                </c:pt>
                <c:pt idx="75">
                  <c:v>607.57848748463425</c:v>
                </c:pt>
                <c:pt idx="76">
                  <c:v>639.86377334781082</c:v>
                </c:pt>
                <c:pt idx="77">
                  <c:v>842.70934373712078</c:v>
                </c:pt>
                <c:pt idx="78">
                  <c:v>1249.5466367520555</c:v>
                </c:pt>
                <c:pt idx="79">
                  <c:v>1100.1103415351031</c:v>
                </c:pt>
                <c:pt idx="80">
                  <c:v>852.09810913923127</c:v>
                </c:pt>
                <c:pt idx="81">
                  <c:v>645.06115319524997</c:v>
                </c:pt>
                <c:pt idx="82">
                  <c:v>686.61687086689972</c:v>
                </c:pt>
                <c:pt idx="83">
                  <c:v>767.25381454101375</c:v>
                </c:pt>
                <c:pt idx="84">
                  <c:v>739.42798332599409</c:v>
                </c:pt>
                <c:pt idx="85">
                  <c:v>685.53977889638429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01-4CCE-AB34-DFE6903FF0EB}"/>
            </c:ext>
          </c:extLst>
        </c:ser>
        <c:ser>
          <c:idx val="1"/>
          <c:order val="1"/>
          <c:tx>
            <c:v>Residential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Data'!$DU$232:$DU$253</c:f>
              <c:numCache>
                <c:formatCode>_(* #,##0_);_(* \(#,##0\);_(* "-"??_);_(@_)</c:formatCode>
                <c:ptCount val="22"/>
                <c:pt idx="0">
                  <c:v>694.60987023038876</c:v>
                </c:pt>
                <c:pt idx="1">
                  <c:v>668.31647934465195</c:v>
                </c:pt>
                <c:pt idx="2">
                  <c:v>754.5422517129964</c:v>
                </c:pt>
                <c:pt idx="3">
                  <c:v>1052.3070322231681</c:v>
                </c:pt>
                <c:pt idx="4">
                  <c:v>1385.1673172074516</c:v>
                </c:pt>
                <c:pt idx="5">
                  <c:v>1196.0534628247651</c:v>
                </c:pt>
                <c:pt idx="6">
                  <c:v>794.25282627042407</c:v>
                </c:pt>
                <c:pt idx="7">
                  <c:v>660.36672304040133</c:v>
                </c:pt>
                <c:pt idx="8">
                  <c:v>674.23291358841664</c:v>
                </c:pt>
                <c:pt idx="9">
                  <c:v>816.22119857015548</c:v>
                </c:pt>
                <c:pt idx="10">
                  <c:v>802.58451264628968</c:v>
                </c:pt>
                <c:pt idx="11">
                  <c:v>740.23465068230564</c:v>
                </c:pt>
                <c:pt idx="12">
                  <c:v>686.51801005512766</c:v>
                </c:pt>
                <c:pt idx="13">
                  <c:v>639.53643789616979</c:v>
                </c:pt>
                <c:pt idx="14">
                  <c:v>768.15333569946824</c:v>
                </c:pt>
                <c:pt idx="15">
                  <c:v>1073.7221572515575</c:v>
                </c:pt>
                <c:pt idx="16">
                  <c:v>1165.6543601314083</c:v>
                </c:pt>
                <c:pt idx="17">
                  <c:v>1267.8926929071977</c:v>
                </c:pt>
                <c:pt idx="18">
                  <c:v>877.29641367572117</c:v>
                </c:pt>
                <c:pt idx="19">
                  <c:v>727.76648998245139</c:v>
                </c:pt>
                <c:pt idx="20">
                  <c:v>686.58667577677397</c:v>
                </c:pt>
                <c:pt idx="21">
                  <c:v>782.04645437818772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01-4CCE-AB34-DFE6903FF0EB}"/>
            </c:ext>
          </c:extLst>
        </c:ser>
        <c:ser>
          <c:idx val="2"/>
          <c:order val="2"/>
          <c:tx>
            <c:v>Residential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Data'!$DU$254:$DU$277</c:f>
              <c:numCache>
                <c:formatCode>_(* #,##0_);_(* \(#,##0\);_(* "-"??_);_(@_)</c:formatCode>
                <c:ptCount val="24"/>
                <c:pt idx="0">
                  <c:v>838.62130998768157</c:v>
                </c:pt>
                <c:pt idx="1">
                  <c:v>724.7650767566912</c:v>
                </c:pt>
                <c:pt idx="2">
                  <c:v>708.23902608751962</c:v>
                </c:pt>
                <c:pt idx="3">
                  <c:v>646.63019652139383</c:v>
                </c:pt>
                <c:pt idx="4">
                  <c:v>752.30415880962789</c:v>
                </c:pt>
                <c:pt idx="5">
                  <c:v>1001.4282570669905</c:v>
                </c:pt>
                <c:pt idx="6">
                  <c:v>1191.331874002263</c:v>
                </c:pt>
                <c:pt idx="7">
                  <c:v>1143.8884232254788</c:v>
                </c:pt>
                <c:pt idx="8">
                  <c:v>871.45383822313954</c:v>
                </c:pt>
                <c:pt idx="9">
                  <c:v>634.95776703846423</c:v>
                </c:pt>
                <c:pt idx="10">
                  <c:v>658.96395267257412</c:v>
                </c:pt>
                <c:pt idx="11">
                  <c:v>799.66122630003258</c:v>
                </c:pt>
                <c:pt idx="12">
                  <c:v>753.41025890113133</c:v>
                </c:pt>
                <c:pt idx="13">
                  <c:v>669.44368729566861</c:v>
                </c:pt>
                <c:pt idx="14">
                  <c:v>706.70196473774149</c:v>
                </c:pt>
                <c:pt idx="15">
                  <c:v>632.75415119337856</c:v>
                </c:pt>
                <c:pt idx="16">
                  <c:v>682.152872867322</c:v>
                </c:pt>
                <c:pt idx="17">
                  <c:v>884.43911802504647</c:v>
                </c:pt>
                <c:pt idx="18">
                  <c:v>1142.6401625625081</c:v>
                </c:pt>
                <c:pt idx="19">
                  <c:v>1031.0633554415544</c:v>
                </c:pt>
                <c:pt idx="20">
                  <c:v>839.92170926416486</c:v>
                </c:pt>
                <c:pt idx="21">
                  <c:v>678.47728659438167</c:v>
                </c:pt>
                <c:pt idx="22">
                  <c:v>671.77846779735739</c:v>
                </c:pt>
                <c:pt idx="23">
                  <c:v>756.10517379832424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01-4CCE-AB34-DFE6903F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Summary'!$AV$3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Summary'!$AV$5:$AV$14</c:f>
              <c:numCache>
                <c:formatCode>#,##0</c:formatCode>
                <c:ptCount val="10"/>
                <c:pt idx="0">
                  <c:v>350518</c:v>
                </c:pt>
                <c:pt idx="1">
                  <c:v>341134</c:v>
                </c:pt>
                <c:pt idx="2">
                  <c:v>335758</c:v>
                </c:pt>
                <c:pt idx="3">
                  <c:v>304470</c:v>
                </c:pt>
                <c:pt idx="4">
                  <c:v>293755</c:v>
                </c:pt>
                <c:pt idx="5">
                  <c:v>285985</c:v>
                </c:pt>
                <c:pt idx="6">
                  <c:v>281018</c:v>
                </c:pt>
                <c:pt idx="7">
                  <c:v>278297</c:v>
                </c:pt>
                <c:pt idx="8">
                  <c:v>271670</c:v>
                </c:pt>
                <c:pt idx="9">
                  <c:v>269986.47996137134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Summary'!$AY$3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Summary'!$AZ$5:$AZ$14,'Normalized Annual Summary'!$AY$15:$AY$16)</c:f>
              <c:numCache>
                <c:formatCode>General</c:formatCode>
                <c:ptCount val="12"/>
                <c:pt idx="10" formatCode="#,##0">
                  <c:v>266129.58549679042</c:v>
                </c:pt>
                <c:pt idx="11" formatCode="#,##0">
                  <c:v>262327.78873529832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Summary'!$AX$5:$AX$14</c:f>
              <c:numCache>
                <c:formatCode>#,##0</c:formatCode>
                <c:ptCount val="10"/>
                <c:pt idx="0">
                  <c:v>2033.953578336557</c:v>
                </c:pt>
                <c:pt idx="1">
                  <c:v>1960.5402298850574</c:v>
                </c:pt>
                <c:pt idx="2">
                  <c:v>1855.0165745856355</c:v>
                </c:pt>
                <c:pt idx="3">
                  <c:v>1201.4600460374877</c:v>
                </c:pt>
                <c:pt idx="4">
                  <c:v>1210.944692545517</c:v>
                </c:pt>
                <c:pt idx="5">
                  <c:v>1214.8035398230088</c:v>
                </c:pt>
                <c:pt idx="6">
                  <c:v>1232.0847643405189</c:v>
                </c:pt>
                <c:pt idx="7">
                  <c:v>1220.6008771929824</c:v>
                </c:pt>
                <c:pt idx="8">
                  <c:v>1198.5441176470588</c:v>
                </c:pt>
                <c:pt idx="9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Summary'!$AZ$5:$AZ$14,'Normalized Annual Summary'!$AX$15:$AX$16)</c:f>
              <c:numCache>
                <c:formatCode>General</c:formatCode>
                <c:ptCount val="12"/>
                <c:pt idx="10" formatCode="#,##0">
                  <c:v>1214.7873114122444</c:v>
                </c:pt>
                <c:pt idx="11" formatCode="#,##0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Summary'!$BB$5:$BB$14</c:f>
              <c:numCache>
                <c:formatCode>#,##0</c:formatCode>
                <c:ptCount val="10"/>
                <c:pt idx="0">
                  <c:v>1555546</c:v>
                </c:pt>
                <c:pt idx="1">
                  <c:v>1558152</c:v>
                </c:pt>
                <c:pt idx="2">
                  <c:v>1554368</c:v>
                </c:pt>
                <c:pt idx="3">
                  <c:v>1549260</c:v>
                </c:pt>
                <c:pt idx="4">
                  <c:v>1547236</c:v>
                </c:pt>
                <c:pt idx="5">
                  <c:v>1541978</c:v>
                </c:pt>
                <c:pt idx="6">
                  <c:v>1442699</c:v>
                </c:pt>
                <c:pt idx="7">
                  <c:v>1408704</c:v>
                </c:pt>
                <c:pt idx="8">
                  <c:v>1408704</c:v>
                </c:pt>
                <c:pt idx="9">
                  <c:v>1408699.1791405117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Summary'!$BF$5:$BF$14,'Normalized Annual Summary'!$BE$15:$BE$16)</c:f>
              <c:numCache>
                <c:formatCode>General</c:formatCode>
                <c:ptCount val="12"/>
                <c:pt idx="10" formatCode="#,##0">
                  <c:v>1396074.1251787506</c:v>
                </c:pt>
                <c:pt idx="11" formatCode="#,##0">
                  <c:v>1383562.2195668274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Summary'!$BD$5:$BD$14</c:f>
              <c:numCache>
                <c:formatCode>#,##0</c:formatCode>
                <c:ptCount val="10"/>
                <c:pt idx="0">
                  <c:v>11124.286054827175</c:v>
                </c:pt>
                <c:pt idx="1">
                  <c:v>11050.723404255319</c:v>
                </c:pt>
                <c:pt idx="2">
                  <c:v>11175.803475134811</c:v>
                </c:pt>
                <c:pt idx="3">
                  <c:v>11736.818181818182</c:v>
                </c:pt>
                <c:pt idx="4">
                  <c:v>11803.453273998728</c:v>
                </c:pt>
                <c:pt idx="5">
                  <c:v>11899.508681672025</c:v>
                </c:pt>
                <c:pt idx="6">
                  <c:v>11465.157615894041</c:v>
                </c:pt>
                <c:pt idx="7">
                  <c:v>11269.632</c:v>
                </c:pt>
                <c:pt idx="8">
                  <c:v>11269.632</c:v>
                </c:pt>
                <c:pt idx="9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Summary'!$BF$5:$BF$14,'Normalized Annual Summary'!$BD$15:$BD$16)</c:f>
              <c:numCache>
                <c:formatCode>General</c:formatCode>
                <c:ptCount val="12"/>
                <c:pt idx="10" formatCode="#,##0">
                  <c:v>11269.593433124093</c:v>
                </c:pt>
                <c:pt idx="11" formatCode="#,##0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Count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Count'!$C$4:$C$16</c:f>
              <c:numCache>
                <c:formatCode>#,##0</c:formatCode>
                <c:ptCount val="13"/>
                <c:pt idx="0">
                  <c:v>26590.166666666668</c:v>
                </c:pt>
                <c:pt idx="1">
                  <c:v>26815.083333333332</c:v>
                </c:pt>
                <c:pt idx="2">
                  <c:v>26920.416666666668</c:v>
                </c:pt>
                <c:pt idx="3">
                  <c:v>27320.666666666668</c:v>
                </c:pt>
                <c:pt idx="4">
                  <c:v>27640.416666666668</c:v>
                </c:pt>
                <c:pt idx="5">
                  <c:v>27931.833333333332</c:v>
                </c:pt>
                <c:pt idx="6">
                  <c:v>28265.333333333332</c:v>
                </c:pt>
                <c:pt idx="7">
                  <c:v>28511.916666666668</c:v>
                </c:pt>
                <c:pt idx="8">
                  <c:v>28745.333333333332</c:v>
                </c:pt>
                <c:pt idx="9">
                  <c:v>28911.5</c:v>
                </c:pt>
                <c:pt idx="10" formatCode="#,##0.0">
                  <c:v>29181.624519563167</c:v>
                </c:pt>
                <c:pt idx="11" formatCode="#,##0.0">
                  <c:v>29454.272853389488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'Connection Count'!$N$2:$O$2</c:f>
              <c:strCache>
                <c:ptCount val="2"/>
                <c:pt idx="0">
                  <c:v>St. Lights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Count'!$N$4:$N$15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Count'!$O$4:$O$15</c:f>
              <c:numCache>
                <c:formatCode>#,##0</c:formatCode>
                <c:ptCount val="12"/>
                <c:pt idx="0">
                  <c:v>2712.8333333333335</c:v>
                </c:pt>
                <c:pt idx="1">
                  <c:v>2700.5833333333335</c:v>
                </c:pt>
                <c:pt idx="2">
                  <c:v>2719.8333333333335</c:v>
                </c:pt>
                <c:pt idx="3">
                  <c:v>2753.3333333333335</c:v>
                </c:pt>
                <c:pt idx="4">
                  <c:v>2760.8333333333335</c:v>
                </c:pt>
                <c:pt idx="5">
                  <c:v>2770</c:v>
                </c:pt>
                <c:pt idx="6">
                  <c:v>2777.3333333333335</c:v>
                </c:pt>
                <c:pt idx="7">
                  <c:v>2784.6666666666665</c:v>
                </c:pt>
                <c:pt idx="8">
                  <c:v>2793.3333333333335</c:v>
                </c:pt>
                <c:pt idx="9">
                  <c:v>2806.9166666666665</c:v>
                </c:pt>
                <c:pt idx="10" formatCode="#,##0.0">
                  <c:v>2817.5697468134185</c:v>
                </c:pt>
                <c:pt idx="11" formatCode="#,##0.0">
                  <c:v>2828.2632585547244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'Connection Count'!$Z$2:$AA$2</c:f>
              <c:strCache>
                <c:ptCount val="2"/>
                <c:pt idx="0">
                  <c:v>ED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Count'!$AA$4:$AA$16</c:f>
              <c:numCache>
                <c:formatCode>#,##0.0</c:formatCode>
                <c:ptCount val="13"/>
                <c:pt idx="0">
                  <c:v>6</c:v>
                </c:pt>
                <c:pt idx="1">
                  <c:v>5.666666666666667</c:v>
                </c:pt>
                <c:pt idx="2">
                  <c:v>3</c:v>
                </c:pt>
                <c:pt idx="3">
                  <c:v>4.083333333333333</c:v>
                </c:pt>
                <c:pt idx="4">
                  <c:v>4.75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Count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Count'!$G$4:$G$15</c:f>
              <c:numCache>
                <c:formatCode>#,##0</c:formatCode>
                <c:ptCount val="12"/>
                <c:pt idx="0">
                  <c:v>1909.75</c:v>
                </c:pt>
                <c:pt idx="1">
                  <c:v>1935.6666666666667</c:v>
                </c:pt>
                <c:pt idx="2">
                  <c:v>1933.5</c:v>
                </c:pt>
                <c:pt idx="3">
                  <c:v>1965.6666666666667</c:v>
                </c:pt>
                <c:pt idx="4">
                  <c:v>1978.8333333333333</c:v>
                </c:pt>
                <c:pt idx="5">
                  <c:v>1996.25</c:v>
                </c:pt>
                <c:pt idx="6">
                  <c:v>2017.75</c:v>
                </c:pt>
                <c:pt idx="7">
                  <c:v>2039.5833333333333</c:v>
                </c:pt>
                <c:pt idx="8">
                  <c:v>2065.0833333333335</c:v>
                </c:pt>
                <c:pt idx="9">
                  <c:v>2062.25</c:v>
                </c:pt>
                <c:pt idx="10" formatCode="#,##0.0">
                  <c:v>2079.9290063577705</c:v>
                </c:pt>
                <c:pt idx="11" formatCode="#,##0.0">
                  <c:v>2097.7595691542842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v>Sentinal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Count'!$V$4:$V$15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Count'!$S$4:$S$16</c:f>
              <c:numCache>
                <c:formatCode>#,##0</c:formatCode>
                <c:ptCount val="13"/>
                <c:pt idx="0">
                  <c:v>172.33333333333334</c:v>
                </c:pt>
                <c:pt idx="1">
                  <c:v>174</c:v>
                </c:pt>
                <c:pt idx="2">
                  <c:v>181</c:v>
                </c:pt>
                <c:pt idx="3">
                  <c:v>253.41666666666666</c:v>
                </c:pt>
                <c:pt idx="4">
                  <c:v>242.58333333333334</c:v>
                </c:pt>
                <c:pt idx="5">
                  <c:v>235.41666666666666</c:v>
                </c:pt>
                <c:pt idx="6">
                  <c:v>228.08333333333334</c:v>
                </c:pt>
                <c:pt idx="7">
                  <c:v>228</c:v>
                </c:pt>
                <c:pt idx="8">
                  <c:v>226.66666666666666</c:v>
                </c:pt>
                <c:pt idx="9">
                  <c:v>222.25</c:v>
                </c:pt>
                <c:pt idx="10" formatCode="#,##0.0">
                  <c:v>219.07504548051534</c:v>
                </c:pt>
                <c:pt idx="11" formatCode="#,##0.0">
                  <c:v>215.94544680445384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v>USL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Count'!$V$4:$V$15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Count'!$W$4:$W$16</c:f>
              <c:numCache>
                <c:formatCode>#,##0</c:formatCode>
                <c:ptCount val="13"/>
                <c:pt idx="0">
                  <c:v>139.83333333333334</c:v>
                </c:pt>
                <c:pt idx="1">
                  <c:v>141</c:v>
                </c:pt>
                <c:pt idx="2">
                  <c:v>139.08333333333334</c:v>
                </c:pt>
                <c:pt idx="3">
                  <c:v>132</c:v>
                </c:pt>
                <c:pt idx="4">
                  <c:v>131.08333333333334</c:v>
                </c:pt>
                <c:pt idx="5">
                  <c:v>129.58333333333334</c:v>
                </c:pt>
                <c:pt idx="6">
                  <c:v>125.83333333333333</c:v>
                </c:pt>
                <c:pt idx="7">
                  <c:v>125</c:v>
                </c:pt>
                <c:pt idx="8">
                  <c:v>125</c:v>
                </c:pt>
                <c:pt idx="9">
                  <c:v>125</c:v>
                </c:pt>
                <c:pt idx="10" formatCode="#,##0.0">
                  <c:v>123.87972409682031</c:v>
                </c:pt>
                <c:pt idx="11" formatCode="#,##0.0">
                  <c:v>122.76948833843458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Count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Count'!$K$4:$K$15</c:f>
              <c:numCache>
                <c:formatCode>#,##0</c:formatCode>
                <c:ptCount val="12"/>
                <c:pt idx="0">
                  <c:v>212.41666666666666</c:v>
                </c:pt>
                <c:pt idx="1">
                  <c:v>212.08333333333334</c:v>
                </c:pt>
                <c:pt idx="2">
                  <c:v>254.5</c:v>
                </c:pt>
                <c:pt idx="3">
                  <c:v>250</c:v>
                </c:pt>
                <c:pt idx="4">
                  <c:v>249.25</c:v>
                </c:pt>
                <c:pt idx="5">
                  <c:v>261.5</c:v>
                </c:pt>
                <c:pt idx="6">
                  <c:v>256.33333333333331</c:v>
                </c:pt>
                <c:pt idx="7">
                  <c:v>234.25</c:v>
                </c:pt>
                <c:pt idx="8">
                  <c:v>210.08333333333334</c:v>
                </c:pt>
                <c:pt idx="9">
                  <c:v>230.33333333333334</c:v>
                </c:pt>
                <c:pt idx="10" formatCode="#,##0.0">
                  <c:v>232.41511608731571</c:v>
                </c:pt>
                <c:pt idx="11" formatCode="#,##0.0">
                  <c:v>234.51571426576166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</a:t>
            </a:r>
            <a:r>
              <a:rPr lang="en-US" baseline="0"/>
              <a:t> &lt; 50</a:t>
            </a:r>
            <a:r>
              <a:rPr lang="en-US"/>
              <a:t>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Data'!$DR$146:$DR$231</c:f>
              <c:numCache>
                <c:formatCode>_(* #,##0_);_(* \(#,##0\);_(* "-"??_);_(@_)</c:formatCode>
                <c:ptCount val="86"/>
                <c:pt idx="12">
                  <c:v>6183064.0795246102</c:v>
                </c:pt>
                <c:pt idx="13">
                  <c:v>5606514.0795246102</c:v>
                </c:pt>
                <c:pt idx="14">
                  <c:v>5787989.0795246102</c:v>
                </c:pt>
                <c:pt idx="15">
                  <c:v>5070172.0795246102</c:v>
                </c:pt>
                <c:pt idx="16">
                  <c:v>5364456.0795246102</c:v>
                </c:pt>
                <c:pt idx="17">
                  <c:v>5896764.0795246102</c:v>
                </c:pt>
                <c:pt idx="18">
                  <c:v>6190188.0795246102</c:v>
                </c:pt>
                <c:pt idx="19">
                  <c:v>6212359.0795246102</c:v>
                </c:pt>
                <c:pt idx="20">
                  <c:v>5457268.0795246102</c:v>
                </c:pt>
                <c:pt idx="21">
                  <c:v>5117528.0795246102</c:v>
                </c:pt>
                <c:pt idx="22">
                  <c:v>5344942.0795246102</c:v>
                </c:pt>
                <c:pt idx="23">
                  <c:v>5630353.0795246102</c:v>
                </c:pt>
                <c:pt idx="24">
                  <c:v>6341995.2771220542</c:v>
                </c:pt>
                <c:pt idx="25">
                  <c:v>5968288.2771220542</c:v>
                </c:pt>
                <c:pt idx="26">
                  <c:v>6080630.2771220542</c:v>
                </c:pt>
                <c:pt idx="27">
                  <c:v>5459994.2771220542</c:v>
                </c:pt>
                <c:pt idx="28">
                  <c:v>5727225.2771220542</c:v>
                </c:pt>
                <c:pt idx="29">
                  <c:v>6014804.2771220542</c:v>
                </c:pt>
                <c:pt idx="30">
                  <c:v>6767750.2771220542</c:v>
                </c:pt>
                <c:pt idx="31">
                  <c:v>6819987.2771220542</c:v>
                </c:pt>
                <c:pt idx="32">
                  <c:v>6180848.2771220542</c:v>
                </c:pt>
                <c:pt idx="33">
                  <c:v>5577053.2771220542</c:v>
                </c:pt>
                <c:pt idx="34">
                  <c:v>5401075.2771220542</c:v>
                </c:pt>
                <c:pt idx="35">
                  <c:v>5640305.2771220542</c:v>
                </c:pt>
                <c:pt idx="36">
                  <c:v>6408605.2854596768</c:v>
                </c:pt>
                <c:pt idx="37">
                  <c:v>6083562.2854596768</c:v>
                </c:pt>
                <c:pt idx="38">
                  <c:v>6103345.2854596768</c:v>
                </c:pt>
                <c:pt idx="39">
                  <c:v>5803136.2854596768</c:v>
                </c:pt>
                <c:pt idx="40">
                  <c:v>6228245.2854596768</c:v>
                </c:pt>
                <c:pt idx="41">
                  <c:v>6777772.2854596768</c:v>
                </c:pt>
                <c:pt idx="42">
                  <c:v>7694152.2854596768</c:v>
                </c:pt>
                <c:pt idx="43">
                  <c:v>7705048.2854596768</c:v>
                </c:pt>
                <c:pt idx="44">
                  <c:v>6690629.2854596768</c:v>
                </c:pt>
                <c:pt idx="45">
                  <c:v>6031579.2854596768</c:v>
                </c:pt>
                <c:pt idx="46">
                  <c:v>5805354.2854596768</c:v>
                </c:pt>
                <c:pt idx="47">
                  <c:v>6367639.2854596768</c:v>
                </c:pt>
                <c:pt idx="48">
                  <c:v>6836192.372558577</c:v>
                </c:pt>
                <c:pt idx="49">
                  <c:v>5952762.372558577</c:v>
                </c:pt>
                <c:pt idx="50">
                  <c:v>6081790.372558577</c:v>
                </c:pt>
                <c:pt idx="51">
                  <c:v>5859659.372558577</c:v>
                </c:pt>
                <c:pt idx="52">
                  <c:v>6077082.372558577</c:v>
                </c:pt>
                <c:pt idx="53">
                  <c:v>6771723.372558577</c:v>
                </c:pt>
                <c:pt idx="54">
                  <c:v>7412106.372558577</c:v>
                </c:pt>
                <c:pt idx="55">
                  <c:v>7040296.372558577</c:v>
                </c:pt>
                <c:pt idx="56">
                  <c:v>6606889.372558577</c:v>
                </c:pt>
                <c:pt idx="57">
                  <c:v>6052502.372558577</c:v>
                </c:pt>
                <c:pt idx="58">
                  <c:v>5976394.372558577</c:v>
                </c:pt>
                <c:pt idx="59">
                  <c:v>6548924.372558577</c:v>
                </c:pt>
                <c:pt idx="60">
                  <c:v>6961673.0655590976</c:v>
                </c:pt>
                <c:pt idx="61">
                  <c:v>6369392.0655590976</c:v>
                </c:pt>
                <c:pt idx="62">
                  <c:v>6287610.0655590976</c:v>
                </c:pt>
                <c:pt idx="63">
                  <c:v>5925059.0655590976</c:v>
                </c:pt>
                <c:pt idx="64">
                  <c:v>6527889.0655590976</c:v>
                </c:pt>
                <c:pt idx="65">
                  <c:v>6961182.0655590976</c:v>
                </c:pt>
                <c:pt idx="66">
                  <c:v>7850728.0655590976</c:v>
                </c:pt>
                <c:pt idx="67">
                  <c:v>7800585.0655590976</c:v>
                </c:pt>
                <c:pt idx="68">
                  <c:v>6842448.0655590976</c:v>
                </c:pt>
                <c:pt idx="69">
                  <c:v>5904622.0655590976</c:v>
                </c:pt>
                <c:pt idx="70">
                  <c:v>6010558.0655590976</c:v>
                </c:pt>
                <c:pt idx="71">
                  <c:v>6187164.0655590976</c:v>
                </c:pt>
                <c:pt idx="72">
                  <c:v>6704950.0149666099</c:v>
                </c:pt>
                <c:pt idx="73">
                  <c:v>6155541.0149666099</c:v>
                </c:pt>
                <c:pt idx="74">
                  <c:v>6397986.0149666099</c:v>
                </c:pt>
                <c:pt idx="75">
                  <c:v>5860082.0149666099</c:v>
                </c:pt>
                <c:pt idx="76">
                  <c:v>6045338.0149666099</c:v>
                </c:pt>
                <c:pt idx="77">
                  <c:v>6608458.0149666099</c:v>
                </c:pt>
                <c:pt idx="78">
                  <c:v>7890313.0149666099</c:v>
                </c:pt>
                <c:pt idx="79">
                  <c:v>7517234.0149666099</c:v>
                </c:pt>
                <c:pt idx="80">
                  <c:v>6658916.0149666099</c:v>
                </c:pt>
                <c:pt idx="81">
                  <c:v>6052514.0149666099</c:v>
                </c:pt>
                <c:pt idx="82">
                  <c:v>6307866.0149666099</c:v>
                </c:pt>
                <c:pt idx="83">
                  <c:v>6513521.0149666099</c:v>
                </c:pt>
                <c:pt idx="84">
                  <c:v>6672503.2109814025</c:v>
                </c:pt>
                <c:pt idx="85">
                  <c:v>6362184.2109814025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EB-4B1B-A66F-795353FCF033}"/>
            </c:ext>
          </c:extLst>
        </c:ser>
        <c:ser>
          <c:idx val="1"/>
          <c:order val="1"/>
          <c:tx>
            <c:v>GS &lt;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Data'!$DR$232:$DR$253</c:f>
              <c:numCache>
                <c:formatCode>_(* #,##0_);_(* \(#,##0\);_(* "-"??_);_(@_)</c:formatCode>
                <c:ptCount val="22"/>
                <c:pt idx="0">
                  <c:v>6097155.2109814025</c:v>
                </c:pt>
                <c:pt idx="1">
                  <c:v>5171692.2109814025</c:v>
                </c:pt>
                <c:pt idx="2">
                  <c:v>5319220.2109814025</c:v>
                </c:pt>
                <c:pt idx="3">
                  <c:v>6239078.2109814025</c:v>
                </c:pt>
                <c:pt idx="4">
                  <c:v>7576613.2109814025</c:v>
                </c:pt>
                <c:pt idx="5">
                  <c:v>7200130.2109814025</c:v>
                </c:pt>
                <c:pt idx="6">
                  <c:v>6081058.2109814025</c:v>
                </c:pt>
                <c:pt idx="7">
                  <c:v>5728973.2109814025</c:v>
                </c:pt>
                <c:pt idx="8">
                  <c:v>5802395.2109814025</c:v>
                </c:pt>
                <c:pt idx="9">
                  <c:v>6153468.2109814025</c:v>
                </c:pt>
                <c:pt idx="10">
                  <c:v>6115554.9338399861</c:v>
                </c:pt>
                <c:pt idx="11">
                  <c:v>5910651.9338399861</c:v>
                </c:pt>
                <c:pt idx="12">
                  <c:v>6044444.9338399861</c:v>
                </c:pt>
                <c:pt idx="13">
                  <c:v>5428045.9338399861</c:v>
                </c:pt>
                <c:pt idx="14">
                  <c:v>5680903.9338399861</c:v>
                </c:pt>
                <c:pt idx="15">
                  <c:v>6714011.9338399861</c:v>
                </c:pt>
                <c:pt idx="16">
                  <c:v>7218985.9338399861</c:v>
                </c:pt>
                <c:pt idx="17">
                  <c:v>7769864.9338399861</c:v>
                </c:pt>
                <c:pt idx="18">
                  <c:v>6525829.9338399861</c:v>
                </c:pt>
                <c:pt idx="19">
                  <c:v>5883672.9338399861</c:v>
                </c:pt>
                <c:pt idx="20">
                  <c:v>5929416.9338399861</c:v>
                </c:pt>
                <c:pt idx="21">
                  <c:v>6454484.9338399861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EB-4B1B-A66F-795353FCF033}"/>
            </c:ext>
          </c:extLst>
        </c:ser>
        <c:ser>
          <c:idx val="2"/>
          <c:order val="2"/>
          <c:tx>
            <c:v>GS &lt;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Data'!$DR$254:$DR$277</c:f>
              <c:numCache>
                <c:formatCode>_(* #,##0_);_(* \(#,##0\);_(* "-"??_);_(@_)</c:formatCode>
                <c:ptCount val="24"/>
                <c:pt idx="0">
                  <c:v>6893379.3523487775</c:v>
                </c:pt>
                <c:pt idx="1">
                  <c:v>6371811.3523487775</c:v>
                </c:pt>
                <c:pt idx="2">
                  <c:v>6579535.3523487775</c:v>
                </c:pt>
                <c:pt idx="3">
                  <c:v>6070000.3523487775</c:v>
                </c:pt>
                <c:pt idx="4">
                  <c:v>6515619.3523487775</c:v>
                </c:pt>
                <c:pt idx="5">
                  <c:v>7534710.3523487775</c:v>
                </c:pt>
                <c:pt idx="6">
                  <c:v>7972148.3523487775</c:v>
                </c:pt>
                <c:pt idx="7">
                  <c:v>7910079.3523487775</c:v>
                </c:pt>
                <c:pt idx="8">
                  <c:v>6898117.3523487775</c:v>
                </c:pt>
                <c:pt idx="9">
                  <c:v>6096244.3523487775</c:v>
                </c:pt>
                <c:pt idx="10">
                  <c:v>6165537.3523487775</c:v>
                </c:pt>
                <c:pt idx="11">
                  <c:v>6634550.3523487775</c:v>
                </c:pt>
                <c:pt idx="12">
                  <c:v>6632556.9823921332</c:v>
                </c:pt>
                <c:pt idx="13">
                  <c:v>6092001.2530621132</c:v>
                </c:pt>
                <c:pt idx="14">
                  <c:v>6511113.9685091265</c:v>
                </c:pt>
                <c:pt idx="15">
                  <c:v>5983004.3456301186</c:v>
                </c:pt>
                <c:pt idx="16">
                  <c:v>6178583.7201271262</c:v>
                </c:pt>
                <c:pt idx="17">
                  <c:v>6628058.2686011204</c:v>
                </c:pt>
                <c:pt idx="18">
                  <c:v>7467103.0032031108</c:v>
                </c:pt>
                <c:pt idx="19">
                  <c:v>7241241.0790991215</c:v>
                </c:pt>
                <c:pt idx="20">
                  <c:v>6559154.6408421202</c:v>
                </c:pt>
                <c:pt idx="21">
                  <c:v>6056406.6039701235</c:v>
                </c:pt>
                <c:pt idx="22">
                  <c:v>6059588.0768571198</c:v>
                </c:pt>
                <c:pt idx="23">
                  <c:v>6250104.4957341198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EB-4B1B-A66F-795353FCF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 kWh and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'kW Forecast'!$X$3</c:f>
              <c:strCache>
                <c:ptCount val="1"/>
                <c:pt idx="0">
                  <c:v>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'kW Forecast'!$W$5:$W$14</c15:sqref>
                  </c15:fullRef>
                </c:ext>
              </c:extLst>
              <c:f>'kW Forecast'!$W$7:$W$14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'kW Forecast'!$X$5:$X$14</c15:sqref>
                  </c15:fullRef>
                </c:ext>
              </c:extLst>
              <c:f>'kW Forecast'!$X$7:$X$14</c:f>
              <c:numCache>
                <c:formatCode>#,##0</c:formatCode>
                <c:ptCount val="8"/>
                <c:pt idx="0">
                  <c:v>32586842</c:v>
                </c:pt>
                <c:pt idx="1">
                  <c:v>33420007</c:v>
                </c:pt>
                <c:pt idx="2">
                  <c:v>31923241</c:v>
                </c:pt>
                <c:pt idx="3">
                  <c:v>34526385</c:v>
                </c:pt>
                <c:pt idx="4">
                  <c:v>29188687</c:v>
                </c:pt>
                <c:pt idx="5">
                  <c:v>28075683</c:v>
                </c:pt>
                <c:pt idx="6">
                  <c:v>28792570</c:v>
                </c:pt>
                <c:pt idx="7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0-4334-9982-64BB0FD2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222431"/>
        <c:axId val="1408038624"/>
      </c:lineChart>
      <c:lineChart>
        <c:grouping val="standard"/>
        <c:varyColors val="0"/>
        <c:ser>
          <c:idx val="2"/>
          <c:order val="1"/>
          <c:tx>
            <c:strRef>
              <c:f>'kW Forecast'!$Y$3</c:f>
              <c:strCache>
                <c:ptCount val="1"/>
                <c:pt idx="0">
                  <c:v>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'kW Forecast'!$W$5:$W$14</c15:sqref>
                  </c15:fullRef>
                </c:ext>
              </c:extLst>
              <c:f>'kW Forecast'!$W$7:$W$14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'kW Forecast'!$Y$5:$Y$14</c15:sqref>
                  </c15:fullRef>
                </c:ext>
              </c:extLst>
              <c:f>'kW Forecast'!$Y$7:$Y$14</c:f>
              <c:numCache>
                <c:formatCode>#,##0</c:formatCode>
                <c:ptCount val="8"/>
                <c:pt idx="0">
                  <c:v>87829</c:v>
                </c:pt>
                <c:pt idx="1">
                  <c:v>87518</c:v>
                </c:pt>
                <c:pt idx="2">
                  <c:v>96861</c:v>
                </c:pt>
                <c:pt idx="3">
                  <c:v>94142</c:v>
                </c:pt>
                <c:pt idx="4">
                  <c:v>92507</c:v>
                </c:pt>
                <c:pt idx="5">
                  <c:v>89242</c:v>
                </c:pt>
                <c:pt idx="6">
                  <c:v>83614</c:v>
                </c:pt>
                <c:pt idx="7">
                  <c:v>90976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0-4334-9982-64BB0FD2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506575"/>
        <c:axId val="1687775279"/>
      </c:lineChart>
      <c:catAx>
        <c:axId val="1693222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038624"/>
        <c:crosses val="autoZero"/>
        <c:auto val="1"/>
        <c:lblAlgn val="ctr"/>
        <c:lblOffset val="100"/>
        <c:noMultiLvlLbl val="0"/>
      </c:catAx>
      <c:valAx>
        <c:axId val="140803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3222431"/>
        <c:crosses val="autoZero"/>
        <c:crossBetween val="between"/>
      </c:valAx>
      <c:valAx>
        <c:axId val="1687775279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4506575"/>
        <c:crosses val="max"/>
        <c:crossBetween val="between"/>
      </c:valAx>
      <c:catAx>
        <c:axId val="18945065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77752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Actual Ratio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2.3926773062506704E-3</c:v>
                </c:pt>
                <c:pt idx="1">
                  <c:v>2.6952814656357386E-3</c:v>
                </c:pt>
                <c:pt idx="2">
                  <c:v>2.5456659982912191E-3</c:v>
                </c:pt>
                <c:pt idx="3">
                  <c:v>2.9997976893197994E-3</c:v>
                </c:pt>
                <c:pt idx="4">
                  <c:v>3.1376683301109999E-3</c:v>
                </c:pt>
                <c:pt idx="5">
                  <c:v>3.2765940410822967E-3</c:v>
                </c:pt>
                <c:pt idx="6">
                  <c:v>3.3850484210733059E-3</c:v>
                </c:pt>
                <c:pt idx="7">
                  <c:v>3.2202067986420828E-3</c:v>
                </c:pt>
                <c:pt idx="8">
                  <c:v>3.2234594410987315E-3</c:v>
                </c:pt>
                <c:pt idx="9">
                  <c:v>3.0875170664023959E-3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5-4F8C-A9F9-F32319651BF8}"/>
            </c:ext>
          </c:extLst>
        </c:ser>
        <c:ser>
          <c:idx val="1"/>
          <c:order val="1"/>
          <c:tx>
            <c:v>5-Year Average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('kW Forecast'!$G$5:$G$14,'kW Forecast'!$F$37:$F$38)</c:f>
              <c:numCache>
                <c:formatCode>0.000000</c:formatCode>
                <c:ptCount val="12"/>
                <c:pt idx="10">
                  <c:v>3.238565153659763E-3</c:v>
                </c:pt>
                <c:pt idx="11">
                  <c:v>3.238565153659763E-3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5-4F8C-A9F9-F32319651BF8}"/>
            </c:ext>
          </c:extLst>
        </c:ser>
        <c:ser>
          <c:idx val="2"/>
          <c:order val="2"/>
          <c:tx>
            <c:v>10-Year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('kW Forecast'!$G$5:$G$14,'kW Forecast'!$E$37:$E$38)</c:f>
              <c:numCache>
                <c:formatCode>0.000000</c:formatCode>
                <c:ptCount val="12"/>
                <c:pt idx="10">
                  <c:v>2.996391655790724E-3</c:v>
                </c:pt>
                <c:pt idx="11">
                  <c:v>2.996391655790724E-3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5-4F8C-A9F9-F3231965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7445024"/>
        <c:axId val="857440704"/>
      </c:lineChart>
      <c:catAx>
        <c:axId val="8574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440704"/>
        <c:crosses val="autoZero"/>
        <c:auto val="1"/>
        <c:lblAlgn val="ctr"/>
        <c:lblOffset val="100"/>
        <c:noMultiLvlLbl val="0"/>
      </c:catAx>
      <c:valAx>
        <c:axId val="8574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44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Normalized Monthly WN'!$D$1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'Res Normalized Monthly WN'!$D$2:$D$145</c:f>
              <c:numCache>
                <c:formatCode>_(* #,##0_);_(* \(#,##0\);_(* "-"??_);_(@_)</c:formatCode>
                <c:ptCount val="144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0-46AC-BD02-89276BE767F5}"/>
            </c:ext>
          </c:extLst>
        </c:ser>
        <c:ser>
          <c:idx val="1"/>
          <c:order val="1"/>
          <c:tx>
            <c:strRef>
              <c:f>'Res Normalized Monthly WN'!$Y$1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'Res Normalized Monthly WN'!$Y$2:$Y$145</c:f>
              <c:numCache>
                <c:formatCode>_(* #,##0_);_(* \(#,##0\);_(* "-"??_);_(@_)</c:formatCode>
                <c:ptCount val="144"/>
                <c:pt idx="0">
                  <c:v>21679878.43014098</c:v>
                </c:pt>
                <c:pt idx="1">
                  <c:v>18833020.029597111</c:v>
                </c:pt>
                <c:pt idx="2">
                  <c:v>18548230.488695245</c:v>
                </c:pt>
                <c:pt idx="3">
                  <c:v>16740353.623263298</c:v>
                </c:pt>
                <c:pt idx="4">
                  <c:v>17760962.544376813</c:v>
                </c:pt>
                <c:pt idx="5">
                  <c:v>22470840.903991092</c:v>
                </c:pt>
                <c:pt idx="6">
                  <c:v>31036942.440916304</c:v>
                </c:pt>
                <c:pt idx="7">
                  <c:v>27887964.408007134</c:v>
                </c:pt>
                <c:pt idx="8">
                  <c:v>22805776.874903388</c:v>
                </c:pt>
                <c:pt idx="9">
                  <c:v>17743575.526463009</c:v>
                </c:pt>
                <c:pt idx="10">
                  <c:v>17896402.276405297</c:v>
                </c:pt>
                <c:pt idx="11">
                  <c:v>20713769.681045335</c:v>
                </c:pt>
                <c:pt idx="12">
                  <c:v>20799148.70979695</c:v>
                </c:pt>
                <c:pt idx="13">
                  <c:v>17786181.485220965</c:v>
                </c:pt>
                <c:pt idx="14">
                  <c:v>18315144.254217695</c:v>
                </c:pt>
                <c:pt idx="15">
                  <c:v>16492720.95611904</c:v>
                </c:pt>
                <c:pt idx="16">
                  <c:v>17340046.702600949</c:v>
                </c:pt>
                <c:pt idx="17">
                  <c:v>24100193.539161179</c:v>
                </c:pt>
                <c:pt idx="18">
                  <c:v>29901666.328104813</c:v>
                </c:pt>
                <c:pt idx="19">
                  <c:v>30190179.760916028</c:v>
                </c:pt>
                <c:pt idx="20">
                  <c:v>21168225.181059297</c:v>
                </c:pt>
                <c:pt idx="21">
                  <c:v>18038792.985733088</c:v>
                </c:pt>
                <c:pt idx="22">
                  <c:v>17391153.051055182</c:v>
                </c:pt>
                <c:pt idx="23">
                  <c:v>20320822.220950857</c:v>
                </c:pt>
                <c:pt idx="24">
                  <c:v>20629656.767603043</c:v>
                </c:pt>
                <c:pt idx="25">
                  <c:v>18511296.759815101</c:v>
                </c:pt>
                <c:pt idx="26">
                  <c:v>18452300.405134331</c:v>
                </c:pt>
                <c:pt idx="27">
                  <c:v>16186248.157560285</c:v>
                </c:pt>
                <c:pt idx="28">
                  <c:v>18557831.798120502</c:v>
                </c:pt>
                <c:pt idx="29">
                  <c:v>24726401.115474932</c:v>
                </c:pt>
                <c:pt idx="30">
                  <c:v>30787199.479857329</c:v>
                </c:pt>
                <c:pt idx="31">
                  <c:v>29157002.446411569</c:v>
                </c:pt>
                <c:pt idx="32">
                  <c:v>23052001.371214587</c:v>
                </c:pt>
                <c:pt idx="33">
                  <c:v>17645774.256630916</c:v>
                </c:pt>
                <c:pt idx="34">
                  <c:v>17709583.827582479</c:v>
                </c:pt>
                <c:pt idx="35">
                  <c:v>19882730.378218427</c:v>
                </c:pt>
                <c:pt idx="36">
                  <c:v>21297974.026868306</c:v>
                </c:pt>
                <c:pt idx="37">
                  <c:v>18813961.719434984</c:v>
                </c:pt>
                <c:pt idx="38">
                  <c:v>17302039.882063206</c:v>
                </c:pt>
                <c:pt idx="39">
                  <c:v>16634056.071171505</c:v>
                </c:pt>
                <c:pt idx="40">
                  <c:v>17806476.336829994</c:v>
                </c:pt>
                <c:pt idx="41">
                  <c:v>23990029.692904368</c:v>
                </c:pt>
                <c:pt idx="42">
                  <c:v>30595326.536075585</c:v>
                </c:pt>
                <c:pt idx="43">
                  <c:v>30442982.67425612</c:v>
                </c:pt>
                <c:pt idx="44">
                  <c:v>22324948.676723257</c:v>
                </c:pt>
                <c:pt idx="45">
                  <c:v>18966870.699629333</c:v>
                </c:pt>
                <c:pt idx="46">
                  <c:v>18105469.539352074</c:v>
                </c:pt>
                <c:pt idx="47">
                  <c:v>20179027.527056828</c:v>
                </c:pt>
                <c:pt idx="48">
                  <c:v>22090535.073058762</c:v>
                </c:pt>
                <c:pt idx="49">
                  <c:v>19578467.067392681</c:v>
                </c:pt>
                <c:pt idx="50">
                  <c:v>18051914.459881544</c:v>
                </c:pt>
                <c:pt idx="51">
                  <c:v>16947511.119553033</c:v>
                </c:pt>
                <c:pt idx="52">
                  <c:v>18918266.392952126</c:v>
                </c:pt>
                <c:pt idx="53">
                  <c:v>25725412.579513878</c:v>
                </c:pt>
                <c:pt idx="54">
                  <c:v>32130380.270047951</c:v>
                </c:pt>
                <c:pt idx="55">
                  <c:v>30354101.501554087</c:v>
                </c:pt>
                <c:pt idx="56">
                  <c:v>22576547.809850454</c:v>
                </c:pt>
                <c:pt idx="57">
                  <c:v>17681328.171083976</c:v>
                </c:pt>
                <c:pt idx="58">
                  <c:v>18446917.578123346</c:v>
                </c:pt>
                <c:pt idx="59">
                  <c:v>21382354.274314076</c:v>
                </c:pt>
                <c:pt idx="60">
                  <c:v>21426460.527836461</c:v>
                </c:pt>
                <c:pt idx="61">
                  <c:v>19317546.174819771</c:v>
                </c:pt>
                <c:pt idx="62">
                  <c:v>19248016.263775621</c:v>
                </c:pt>
                <c:pt idx="63">
                  <c:v>17233457.315766923</c:v>
                </c:pt>
                <c:pt idx="64">
                  <c:v>19739325.727346316</c:v>
                </c:pt>
                <c:pt idx="65">
                  <c:v>26218558.816825651</c:v>
                </c:pt>
                <c:pt idx="66">
                  <c:v>32138508.621947862</c:v>
                </c:pt>
                <c:pt idx="67">
                  <c:v>30633681.049443051</c:v>
                </c:pt>
                <c:pt idx="68">
                  <c:v>23498904.189501494</c:v>
                </c:pt>
                <c:pt idx="69">
                  <c:v>18490856.380434696</c:v>
                </c:pt>
                <c:pt idx="70">
                  <c:v>18680980.343355786</c:v>
                </c:pt>
                <c:pt idx="71">
                  <c:v>21627590.249056749</c:v>
                </c:pt>
                <c:pt idx="72">
                  <c:v>21594373.556424625</c:v>
                </c:pt>
                <c:pt idx="73">
                  <c:v>19500489.081496216</c:v>
                </c:pt>
                <c:pt idx="74">
                  <c:v>20203926.989260126</c:v>
                </c:pt>
                <c:pt idx="75">
                  <c:v>18728902.248770725</c:v>
                </c:pt>
                <c:pt idx="76">
                  <c:v>21721561.352419384</c:v>
                </c:pt>
                <c:pt idx="77">
                  <c:v>28114401.008687153</c:v>
                </c:pt>
                <c:pt idx="78">
                  <c:v>34549755.152371638</c:v>
                </c:pt>
                <c:pt idx="79">
                  <c:v>34018001.251171209</c:v>
                </c:pt>
                <c:pt idx="80">
                  <c:v>25134858.297835611</c:v>
                </c:pt>
                <c:pt idx="81">
                  <c:v>19562394.648449667</c:v>
                </c:pt>
                <c:pt idx="82">
                  <c:v>19593076.221624028</c:v>
                </c:pt>
                <c:pt idx="83">
                  <c:v>23031508.252972528</c:v>
                </c:pt>
                <c:pt idx="84">
                  <c:v>23321469.559432693</c:v>
                </c:pt>
                <c:pt idx="85">
                  <c:v>20495444.468025591</c:v>
                </c:pt>
                <c:pt idx="86">
                  <c:v>20401079.928820644</c:v>
                </c:pt>
                <c:pt idx="87">
                  <c:v>18291478.776485894</c:v>
                </c:pt>
                <c:pt idx="88">
                  <c:v>21237514.920493077</c:v>
                </c:pt>
                <c:pt idx="89">
                  <c:v>27142691.482536368</c:v>
                </c:pt>
                <c:pt idx="90">
                  <c:v>34726402.836569682</c:v>
                </c:pt>
                <c:pt idx="91">
                  <c:v>33041861.724774946</c:v>
                </c:pt>
                <c:pt idx="92">
                  <c:v>25090506.825829215</c:v>
                </c:pt>
                <c:pt idx="93">
                  <c:v>19036597.967112307</c:v>
                </c:pt>
                <c:pt idx="94">
                  <c:v>19531598.86479187</c:v>
                </c:pt>
                <c:pt idx="95">
                  <c:v>22844021.083314311</c:v>
                </c:pt>
                <c:pt idx="96">
                  <c:v>23238554.150752403</c:v>
                </c:pt>
                <c:pt idx="97">
                  <c:v>20676076.459129181</c:v>
                </c:pt>
                <c:pt idx="98">
                  <c:v>20589854.959797602</c:v>
                </c:pt>
                <c:pt idx="99">
                  <c:v>18246155.187185433</c:v>
                </c:pt>
                <c:pt idx="100">
                  <c:v>20389273.623409484</c:v>
                </c:pt>
                <c:pt idx="101">
                  <c:v>28618887.177394114</c:v>
                </c:pt>
                <c:pt idx="102">
                  <c:v>33695315.78430146</c:v>
                </c:pt>
                <c:pt idx="103">
                  <c:v>31778940.528542459</c:v>
                </c:pt>
                <c:pt idx="104">
                  <c:v>24443619.21096481</c:v>
                </c:pt>
                <c:pt idx="105">
                  <c:v>19118465.163238045</c:v>
                </c:pt>
                <c:pt idx="106">
                  <c:v>19177508.416605048</c:v>
                </c:pt>
                <c:pt idx="107">
                  <c:v>22882417.501003832</c:v>
                </c:pt>
                <c:pt idx="108">
                  <c:v>22681499.144902147</c:v>
                </c:pt>
                <c:pt idx="109">
                  <c:v>20128557.255727664</c:v>
                </c:pt>
                <c:pt idx="110">
                  <c:v>20529209.989870481</c:v>
                </c:pt>
                <c:pt idx="111">
                  <c:v>17875261.109807719</c:v>
                </c:pt>
                <c:pt idx="112">
                  <c:v>21017984.844836894</c:v>
                </c:pt>
                <c:pt idx="113">
                  <c:v>27691009.227730241</c:v>
                </c:pt>
                <c:pt idx="114">
                  <c:v>34171108.88925653</c:v>
                </c:pt>
                <c:pt idx="115">
                  <c:v>32837464.427043617</c:v>
                </c:pt>
                <c:pt idx="116">
                  <c:v>25552753.934434474</c:v>
                </c:pt>
                <c:pt idx="117">
                  <c:v>19120204.63252693</c:v>
                </c:pt>
                <c:pt idx="118">
                  <c:v>19558058.981630567</c:v>
                </c:pt>
                <c:pt idx="119">
                  <c:v>22738096.136866704</c:v>
                </c:pt>
                <c:pt idx="120">
                  <c:v>23724247.662276819</c:v>
                </c:pt>
                <c:pt idx="121">
                  <c:v>21673126.04455141</c:v>
                </c:pt>
                <c:pt idx="122">
                  <c:v>20709477.15562151</c:v>
                </c:pt>
                <c:pt idx="123">
                  <c:v>18660397.572269429</c:v>
                </c:pt>
                <c:pt idx="124">
                  <c:v>21584282.432736713</c:v>
                </c:pt>
                <c:pt idx="125">
                  <c:v>28225799.029249005</c:v>
                </c:pt>
                <c:pt idx="126">
                  <c:v>33575868.075684644</c:v>
                </c:pt>
                <c:pt idx="127">
                  <c:v>31685717.374044519</c:v>
                </c:pt>
                <c:pt idx="128">
                  <c:v>24677478.842269745</c:v>
                </c:pt>
                <c:pt idx="129">
                  <c:v>19981650.391971327</c:v>
                </c:pt>
                <c:pt idx="130">
                  <c:v>19472195.724698991</c:v>
                </c:pt>
                <c:pt idx="131">
                  <c:v>22905492.725289598</c:v>
                </c:pt>
                <c:pt idx="132">
                  <c:v>23983959.085859884</c:v>
                </c:pt>
                <c:pt idx="133">
                  <c:v>21187120.183173239</c:v>
                </c:pt>
                <c:pt idx="134">
                  <c:v>20969188.579204574</c:v>
                </c:pt>
                <c:pt idx="135">
                  <c:v>18920108.995852493</c:v>
                </c:pt>
                <c:pt idx="136">
                  <c:v>21843993.856319778</c:v>
                </c:pt>
                <c:pt idx="137">
                  <c:v>28485510.452832069</c:v>
                </c:pt>
                <c:pt idx="138">
                  <c:v>33835579.499267712</c:v>
                </c:pt>
                <c:pt idx="139">
                  <c:v>31945428.797627583</c:v>
                </c:pt>
                <c:pt idx="140">
                  <c:v>24937190.265852809</c:v>
                </c:pt>
                <c:pt idx="141">
                  <c:v>20241361.815554392</c:v>
                </c:pt>
                <c:pt idx="142">
                  <c:v>19731907.148282055</c:v>
                </c:pt>
                <c:pt idx="143">
                  <c:v>23165204.148872662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0-46AC-BD02-89276BE76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 WN'!$D$1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'GS&lt;50 Normalized Monthly WN'!$D$2:$D$133</c:f>
              <c:numCache>
                <c:formatCode>_(* #,##0_);_(* \(#,##0\);_(* "-"??_);_(@_)</c:formatCode>
                <c:ptCount val="132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40E1-992D-115E0882E063}"/>
            </c:ext>
          </c:extLst>
        </c:ser>
        <c:ser>
          <c:idx val="2"/>
          <c:order val="1"/>
          <c:tx>
            <c:strRef>
              <c:f>'GS&lt;50 Normalized Monthly WN'!$S$1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'GS&lt;50 Normalized Monthly WN'!$S$2:$S$133</c:f>
              <c:numCache>
                <c:formatCode>_(* #,##0_);_(* \(#,##0\);_(* "-"??_);_(@_)</c:formatCode>
                <c:ptCount val="132"/>
                <c:pt idx="0">
                  <c:v>5945816.9008820597</c:v>
                </c:pt>
                <c:pt idx="1">
                  <c:v>5419065.8060243344</c:v>
                </c:pt>
                <c:pt idx="2">
                  <c:v>5548688.8835798725</c:v>
                </c:pt>
                <c:pt idx="3">
                  <c:v>5123081.5422770297</c:v>
                </c:pt>
                <c:pt idx="4">
                  <c:v>5357008.4559861114</c:v>
                </c:pt>
                <c:pt idx="5">
                  <c:v>5774741.765811245</c:v>
                </c:pt>
                <c:pt idx="6">
                  <c:v>6695903.814558059</c:v>
                </c:pt>
                <c:pt idx="7">
                  <c:v>6428249.0317682438</c:v>
                </c:pt>
                <c:pt idx="8">
                  <c:v>5737523.4721674733</c:v>
                </c:pt>
                <c:pt idx="9">
                  <c:v>5266096.167206849</c:v>
                </c:pt>
                <c:pt idx="10">
                  <c:v>5234102.6493032603</c:v>
                </c:pt>
                <c:pt idx="11">
                  <c:v>5610801.9962377725</c:v>
                </c:pt>
                <c:pt idx="12">
                  <c:v>6177957.7541817473</c:v>
                </c:pt>
                <c:pt idx="13">
                  <c:v>5599526.3703405224</c:v>
                </c:pt>
                <c:pt idx="14">
                  <c:v>5964144.4101357535</c:v>
                </c:pt>
                <c:pt idx="15">
                  <c:v>5540653.8752979366</c:v>
                </c:pt>
                <c:pt idx="16">
                  <c:v>5581224.336764493</c:v>
                </c:pt>
                <c:pt idx="17">
                  <c:v>6260125.9863840286</c:v>
                </c:pt>
                <c:pt idx="18">
                  <c:v>6998247.6404218413</c:v>
                </c:pt>
                <c:pt idx="19">
                  <c:v>7010800.4246035973</c:v>
                </c:pt>
                <c:pt idx="20">
                  <c:v>5997389.5791972168</c:v>
                </c:pt>
                <c:pt idx="21">
                  <c:v>5690091.3057761211</c:v>
                </c:pt>
                <c:pt idx="22">
                  <c:v>5514564.6604100149</c:v>
                </c:pt>
                <c:pt idx="23">
                  <c:v>5839527.9079547711</c:v>
                </c:pt>
                <c:pt idx="24">
                  <c:v>6453249.4913902506</c:v>
                </c:pt>
                <c:pt idx="25">
                  <c:v>6161071.3873864459</c:v>
                </c:pt>
                <c:pt idx="26">
                  <c:v>6257635.283655406</c:v>
                </c:pt>
                <c:pt idx="27">
                  <c:v>5788300.0185801098</c:v>
                </c:pt>
                <c:pt idx="28">
                  <c:v>6239633.7801826764</c:v>
                </c:pt>
                <c:pt idx="29">
                  <c:v>6697116.5219037104</c:v>
                </c:pt>
                <c:pt idx="30">
                  <c:v>7479970.2031998076</c:v>
                </c:pt>
                <c:pt idx="31">
                  <c:v>7313350.0421490185</c:v>
                </c:pt>
                <c:pt idx="32">
                  <c:v>6557944.9205511697</c:v>
                </c:pt>
                <c:pt idx="33">
                  <c:v>5952897.7253564503</c:v>
                </c:pt>
                <c:pt idx="34">
                  <c:v>5937999.9509392781</c:v>
                </c:pt>
                <c:pt idx="35">
                  <c:v>6214668.7361734239</c:v>
                </c:pt>
                <c:pt idx="36">
                  <c:v>6984664.2911322853</c:v>
                </c:pt>
                <c:pt idx="37">
                  <c:v>6217571.8786768336</c:v>
                </c:pt>
                <c:pt idx="38">
                  <c:v>6064513.8520846618</c:v>
                </c:pt>
                <c:pt idx="39">
                  <c:v>5930663.2477151444</c:v>
                </c:pt>
                <c:pt idx="40">
                  <c:v>6193250.1085701697</c:v>
                </c:pt>
                <c:pt idx="41">
                  <c:v>6695851.4868464116</c:v>
                </c:pt>
                <c:pt idx="42">
                  <c:v>7503857.2129043406</c:v>
                </c:pt>
                <c:pt idx="43">
                  <c:v>7385302.9978921358</c:v>
                </c:pt>
                <c:pt idx="44">
                  <c:v>6632070.4253261583</c:v>
                </c:pt>
                <c:pt idx="45">
                  <c:v>5998915.6185916821</c:v>
                </c:pt>
                <c:pt idx="46">
                  <c:v>5975650.7647964293</c:v>
                </c:pt>
                <c:pt idx="47">
                  <c:v>6312481.131723972</c:v>
                </c:pt>
                <c:pt idx="48">
                  <c:v>6902489.5588465361</c:v>
                </c:pt>
                <c:pt idx="49">
                  <c:v>6456651.0515396707</c:v>
                </c:pt>
                <c:pt idx="50">
                  <c:v>6223978.8331802571</c:v>
                </c:pt>
                <c:pt idx="51">
                  <c:v>5819383.8536727037</c:v>
                </c:pt>
                <c:pt idx="52">
                  <c:v>6301562.1957406932</c:v>
                </c:pt>
                <c:pt idx="53">
                  <c:v>6939900.0271356627</c:v>
                </c:pt>
                <c:pt idx="54">
                  <c:v>7748799.0497461399</c:v>
                </c:pt>
                <c:pt idx="55">
                  <c:v>7520741.2322083684</c:v>
                </c:pt>
                <c:pt idx="56">
                  <c:v>6599538.3163931826</c:v>
                </c:pt>
                <c:pt idx="57">
                  <c:v>5755893.7919486826</c:v>
                </c:pt>
                <c:pt idx="58">
                  <c:v>5888710.6348128645</c:v>
                </c:pt>
                <c:pt idx="59">
                  <c:v>6187112.7503798669</c:v>
                </c:pt>
                <c:pt idx="60">
                  <c:v>6635161.3712130692</c:v>
                </c:pt>
                <c:pt idx="61">
                  <c:v>6180537.5834807884</c:v>
                </c:pt>
                <c:pt idx="62">
                  <c:v>6308697.192972498</c:v>
                </c:pt>
                <c:pt idx="63">
                  <c:v>5926729.3113637632</c:v>
                </c:pt>
                <c:pt idx="64">
                  <c:v>6282074.0483596558</c:v>
                </c:pt>
                <c:pt idx="65">
                  <c:v>6921525.2355877711</c:v>
                </c:pt>
                <c:pt idx="66">
                  <c:v>7586021.6348082656</c:v>
                </c:pt>
                <c:pt idx="67">
                  <c:v>7502160.3686175048</c:v>
                </c:pt>
                <c:pt idx="68">
                  <c:v>6573531.185275807</c:v>
                </c:pt>
                <c:pt idx="69">
                  <c:v>6143205.1248120731</c:v>
                </c:pt>
                <c:pt idx="70">
                  <c:v>6169829.539753071</c:v>
                </c:pt>
                <c:pt idx="71">
                  <c:v>6523561.6850360529</c:v>
                </c:pt>
                <c:pt idx="72">
                  <c:v>6860316.7669651946</c:v>
                </c:pt>
                <c:pt idx="73">
                  <c:v>6407022.6487980587</c:v>
                </c:pt>
                <c:pt idx="74">
                  <c:v>6225442.7489247983</c:v>
                </c:pt>
                <c:pt idx="75">
                  <c:v>5147848.2024509814</c:v>
                </c:pt>
                <c:pt idx="76">
                  <c:v>5354846.6558596622</c:v>
                </c:pt>
                <c:pt idx="77">
                  <c:v>6107134.9626167994</c:v>
                </c:pt>
                <c:pt idx="78">
                  <c:v>7159463.5238935826</c:v>
                </c:pt>
                <c:pt idx="79">
                  <c:v>7214678.9767955607</c:v>
                </c:pt>
                <c:pt idx="80">
                  <c:v>6358034.0081412829</c:v>
                </c:pt>
                <c:pt idx="81">
                  <c:v>5827660.7725523589</c:v>
                </c:pt>
                <c:pt idx="82">
                  <c:v>5898438.7652184386</c:v>
                </c:pt>
                <c:pt idx="83">
                  <c:v>6130154.0145509923</c:v>
                </c:pt>
                <c:pt idx="84">
                  <c:v>6218527.3934959453</c:v>
                </c:pt>
                <c:pt idx="85">
                  <c:v>5809242.11084959</c:v>
                </c:pt>
                <c:pt idx="86">
                  <c:v>6205123.1288751205</c:v>
                </c:pt>
                <c:pt idx="87">
                  <c:v>5423035.7106744712</c:v>
                </c:pt>
                <c:pt idx="88">
                  <c:v>5623355.964443258</c:v>
                </c:pt>
                <c:pt idx="89">
                  <c:v>6384290.5385836959</c:v>
                </c:pt>
                <c:pt idx="90">
                  <c:v>7359626.7811881024</c:v>
                </c:pt>
                <c:pt idx="91">
                  <c:v>7471550.8186241342</c:v>
                </c:pt>
                <c:pt idx="92">
                  <c:v>6518090.7793431785</c:v>
                </c:pt>
                <c:pt idx="93">
                  <c:v>5689485.7947691875</c:v>
                </c:pt>
                <c:pt idx="94">
                  <c:v>5915050.0405720593</c:v>
                </c:pt>
                <c:pt idx="95">
                  <c:v>6540643.1197680701</c:v>
                </c:pt>
                <c:pt idx="96">
                  <c:v>6730539.1835905164</c:v>
                </c:pt>
                <c:pt idx="97">
                  <c:v>6351650.5631400766</c:v>
                </c:pt>
                <c:pt idx="98">
                  <c:v>6633013.0169239808</c:v>
                </c:pt>
                <c:pt idx="99">
                  <c:v>6010773.7951289983</c:v>
                </c:pt>
                <c:pt idx="100">
                  <c:v>6394619.2753658574</c:v>
                </c:pt>
                <c:pt idx="101">
                  <c:v>7507363.9129953971</c:v>
                </c:pt>
                <c:pt idx="102">
                  <c:v>7918710.6870511891</c:v>
                </c:pt>
                <c:pt idx="103">
                  <c:v>7799654.5490361061</c:v>
                </c:pt>
                <c:pt idx="104">
                  <c:v>6868653.3872566102</c:v>
                </c:pt>
                <c:pt idx="105">
                  <c:v>6176978.0623824475</c:v>
                </c:pt>
                <c:pt idx="106">
                  <c:v>6188494.1073490987</c:v>
                </c:pt>
                <c:pt idx="107">
                  <c:v>6596354.7539415089</c:v>
                </c:pt>
                <c:pt idx="108">
                  <c:v>6841751.8630553195</c:v>
                </c:pt>
                <c:pt idx="109">
                  <c:v>6270369.4451865861</c:v>
                </c:pt>
                <c:pt idx="110">
                  <c:v>6540363.2105375715</c:v>
                </c:pt>
                <c:pt idx="111">
                  <c:v>5920376.380829772</c:v>
                </c:pt>
                <c:pt idx="112">
                  <c:v>6336988.4912153417</c:v>
                </c:pt>
                <c:pt idx="113">
                  <c:v>6858512.4230971904</c:v>
                </c:pt>
                <c:pt idx="114">
                  <c:v>7589488.0477925735</c:v>
                </c:pt>
                <c:pt idx="115">
                  <c:v>7570337.2297652429</c:v>
                </c:pt>
                <c:pt idx="116">
                  <c:v>6658383.1595508326</c:v>
                </c:pt>
                <c:pt idx="117">
                  <c:v>5999871.8329350632</c:v>
                </c:pt>
                <c:pt idx="118">
                  <c:v>6080286.5560633987</c:v>
                </c:pt>
                <c:pt idx="119">
                  <c:v>6425208.9923284808</c:v>
                </c:pt>
                <c:pt idx="120">
                  <c:v>6953793.6371933697</c:v>
                </c:pt>
                <c:pt idx="121">
                  <c:v>6575538.3975374065</c:v>
                </c:pt>
                <c:pt idx="122">
                  <c:v>6541292.2532692496</c:v>
                </c:pt>
                <c:pt idx="123">
                  <c:v>6160308.6022268794</c:v>
                </c:pt>
                <c:pt idx="124">
                  <c:v>6540346.0186141599</c:v>
                </c:pt>
                <c:pt idx="125">
                  <c:v>7223682.8330729362</c:v>
                </c:pt>
                <c:pt idx="126">
                  <c:v>7853736.2457845714</c:v>
                </c:pt>
                <c:pt idx="127">
                  <c:v>7651034.3235507514</c:v>
                </c:pt>
                <c:pt idx="128">
                  <c:v>6800863.3530476168</c:v>
                </c:pt>
                <c:pt idx="129">
                  <c:v>6326265.6190890037</c:v>
                </c:pt>
                <c:pt idx="130">
                  <c:v>6294598.3849419681</c:v>
                </c:pt>
                <c:pt idx="131">
                  <c:v>6738391.7209756486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5-40E1-992D-115E0882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 WN'!$D$1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'GS&gt;50 Normalized Monthly WN'!$D$2:$D$145</c:f>
              <c:numCache>
                <c:formatCode>_(* #,##0_);_(* \(#,##0\);_(* "-"??_);_(@_)</c:formatCode>
                <c:ptCount val="144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4-4A10-A097-52E5144F3FE0}"/>
            </c:ext>
          </c:extLst>
        </c:ser>
        <c:ser>
          <c:idx val="2"/>
          <c:order val="1"/>
          <c:tx>
            <c:strRef>
              <c:f>'GS&gt;50 Normalized Monthly WN'!$U$1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'GS&gt;50 Normalized Monthly WN'!$U$2:$U$145</c:f>
              <c:numCache>
                <c:formatCode>_(* #,##0_);_(* \(#,##0\);_(* "-"??_);_(@_)</c:formatCode>
                <c:ptCount val="144"/>
                <c:pt idx="0">
                  <c:v>14129561.002126658</c:v>
                </c:pt>
                <c:pt idx="1">
                  <c:v>13046146.614118243</c:v>
                </c:pt>
                <c:pt idx="2">
                  <c:v>13585557.886111947</c:v>
                </c:pt>
                <c:pt idx="3">
                  <c:v>12256548.266575437</c:v>
                </c:pt>
                <c:pt idx="4">
                  <c:v>12803119.159085546</c:v>
                </c:pt>
                <c:pt idx="5">
                  <c:v>14304456.621817628</c:v>
                </c:pt>
                <c:pt idx="6">
                  <c:v>15820181.029283458</c:v>
                </c:pt>
                <c:pt idx="7">
                  <c:v>16225516.046656188</c:v>
                </c:pt>
                <c:pt idx="8">
                  <c:v>16181686.070388805</c:v>
                </c:pt>
                <c:pt idx="9">
                  <c:v>14427408.878515435</c:v>
                </c:pt>
                <c:pt idx="10">
                  <c:v>13914029.456012707</c:v>
                </c:pt>
                <c:pt idx="11">
                  <c:v>14149438.218668533</c:v>
                </c:pt>
                <c:pt idx="12">
                  <c:v>14660092.564997608</c:v>
                </c:pt>
                <c:pt idx="13">
                  <c:v>12516331.563472023</c:v>
                </c:pt>
                <c:pt idx="14">
                  <c:v>13641728.831993634</c:v>
                </c:pt>
                <c:pt idx="15">
                  <c:v>13430015.328845376</c:v>
                </c:pt>
                <c:pt idx="16">
                  <c:v>13345686.468651894</c:v>
                </c:pt>
                <c:pt idx="17">
                  <c:v>15007266.022393418</c:v>
                </c:pt>
                <c:pt idx="18">
                  <c:v>17290930.839904252</c:v>
                </c:pt>
                <c:pt idx="19">
                  <c:v>17269679.150548145</c:v>
                </c:pt>
                <c:pt idx="20">
                  <c:v>17002904.6028044</c:v>
                </c:pt>
                <c:pt idx="21">
                  <c:v>15777973.172957078</c:v>
                </c:pt>
                <c:pt idx="22">
                  <c:v>15046624.76151208</c:v>
                </c:pt>
                <c:pt idx="23">
                  <c:v>14458878.714464894</c:v>
                </c:pt>
                <c:pt idx="24">
                  <c:v>15063129.234944027</c:v>
                </c:pt>
                <c:pt idx="25">
                  <c:v>14746251.263287859</c:v>
                </c:pt>
                <c:pt idx="26">
                  <c:v>14940583.874314839</c:v>
                </c:pt>
                <c:pt idx="27">
                  <c:v>14336707.196217107</c:v>
                </c:pt>
                <c:pt idx="28">
                  <c:v>14914275.394271294</c:v>
                </c:pt>
                <c:pt idx="29">
                  <c:v>16363515.30740905</c:v>
                </c:pt>
                <c:pt idx="30">
                  <c:v>18066330.739559945</c:v>
                </c:pt>
                <c:pt idx="31">
                  <c:v>19872966.648418311</c:v>
                </c:pt>
                <c:pt idx="32">
                  <c:v>19453748.227411389</c:v>
                </c:pt>
                <c:pt idx="33">
                  <c:v>17156303.728239492</c:v>
                </c:pt>
                <c:pt idx="34">
                  <c:v>16705125.308979217</c:v>
                </c:pt>
                <c:pt idx="35">
                  <c:v>15655580.665451167</c:v>
                </c:pt>
                <c:pt idx="36">
                  <c:v>14789157.153105371</c:v>
                </c:pt>
                <c:pt idx="37">
                  <c:v>13100365.309894118</c:v>
                </c:pt>
                <c:pt idx="38">
                  <c:v>14831810.264561389</c:v>
                </c:pt>
                <c:pt idx="39">
                  <c:v>12984161.069266522</c:v>
                </c:pt>
                <c:pt idx="40">
                  <c:v>14494042.520379309</c:v>
                </c:pt>
                <c:pt idx="41">
                  <c:v>15386609.389536709</c:v>
                </c:pt>
                <c:pt idx="42">
                  <c:v>17551672.526137885</c:v>
                </c:pt>
                <c:pt idx="43">
                  <c:v>17666240.543513376</c:v>
                </c:pt>
                <c:pt idx="44">
                  <c:v>17101311.684565209</c:v>
                </c:pt>
                <c:pt idx="45">
                  <c:v>15331687.636603646</c:v>
                </c:pt>
                <c:pt idx="46">
                  <c:v>15007052.434968187</c:v>
                </c:pt>
                <c:pt idx="47">
                  <c:v>12536945.43052024</c:v>
                </c:pt>
                <c:pt idx="48">
                  <c:v>15443503.972858083</c:v>
                </c:pt>
                <c:pt idx="49">
                  <c:v>11766014.20867331</c:v>
                </c:pt>
                <c:pt idx="50">
                  <c:v>14511152.6521463</c:v>
                </c:pt>
                <c:pt idx="51">
                  <c:v>13525560.905753233</c:v>
                </c:pt>
                <c:pt idx="52">
                  <c:v>13746863.529494416</c:v>
                </c:pt>
                <c:pt idx="53">
                  <c:v>15565258.339790277</c:v>
                </c:pt>
                <c:pt idx="54">
                  <c:v>16877680.894608937</c:v>
                </c:pt>
                <c:pt idx="55">
                  <c:v>17385370.882607918</c:v>
                </c:pt>
                <c:pt idx="56">
                  <c:v>17634525.419291705</c:v>
                </c:pt>
                <c:pt idx="57">
                  <c:v>15977831.211825138</c:v>
                </c:pt>
                <c:pt idx="58">
                  <c:v>15484888.765066823</c:v>
                </c:pt>
                <c:pt idx="59">
                  <c:v>14658044.492672531</c:v>
                </c:pt>
                <c:pt idx="60">
                  <c:v>15918951.980443733</c:v>
                </c:pt>
                <c:pt idx="61">
                  <c:v>14895631.29495885</c:v>
                </c:pt>
                <c:pt idx="62">
                  <c:v>15504482.515921796</c:v>
                </c:pt>
                <c:pt idx="63">
                  <c:v>14607609.670663312</c:v>
                </c:pt>
                <c:pt idx="64">
                  <c:v>15394306.242917599</c:v>
                </c:pt>
                <c:pt idx="65">
                  <c:v>16104808.202156633</c:v>
                </c:pt>
                <c:pt idx="66">
                  <c:v>17952273.831689257</c:v>
                </c:pt>
                <c:pt idx="67">
                  <c:v>18634061.802818447</c:v>
                </c:pt>
                <c:pt idx="68">
                  <c:v>18331955.509082206</c:v>
                </c:pt>
                <c:pt idx="69">
                  <c:v>17228958.155308142</c:v>
                </c:pt>
                <c:pt idx="70">
                  <c:v>15952127.938239368</c:v>
                </c:pt>
                <c:pt idx="71">
                  <c:v>15122909.697997143</c:v>
                </c:pt>
                <c:pt idx="72">
                  <c:v>15705220.715765806</c:v>
                </c:pt>
                <c:pt idx="73">
                  <c:v>14922348.427781919</c:v>
                </c:pt>
                <c:pt idx="74">
                  <c:v>14371100.24100573</c:v>
                </c:pt>
                <c:pt idx="75">
                  <c:v>12008071.510030402</c:v>
                </c:pt>
                <c:pt idx="76">
                  <c:v>12947956.647657122</c:v>
                </c:pt>
                <c:pt idx="77">
                  <c:v>15241834.92982175</c:v>
                </c:pt>
                <c:pt idx="78">
                  <c:v>17608607.809807312</c:v>
                </c:pt>
                <c:pt idx="79">
                  <c:v>18240472.95516251</c:v>
                </c:pt>
                <c:pt idx="80">
                  <c:v>18420485.439276807</c:v>
                </c:pt>
                <c:pt idx="81">
                  <c:v>16679611.67811878</c:v>
                </c:pt>
                <c:pt idx="82">
                  <c:v>15390346.326470021</c:v>
                </c:pt>
                <c:pt idx="83">
                  <c:v>15297953.562625196</c:v>
                </c:pt>
                <c:pt idx="84">
                  <c:v>15067166.459297724</c:v>
                </c:pt>
                <c:pt idx="85">
                  <c:v>14229278.915586008</c:v>
                </c:pt>
                <c:pt idx="86">
                  <c:v>15320287.518085249</c:v>
                </c:pt>
                <c:pt idx="87">
                  <c:v>13485942.731211001</c:v>
                </c:pt>
                <c:pt idx="88">
                  <c:v>14522433.471471002</c:v>
                </c:pt>
                <c:pt idx="89">
                  <c:v>16186727.276676292</c:v>
                </c:pt>
                <c:pt idx="90">
                  <c:v>18111105.498293865</c:v>
                </c:pt>
                <c:pt idx="91">
                  <c:v>19394469.581137959</c:v>
                </c:pt>
                <c:pt idx="92">
                  <c:v>18474306.829905089</c:v>
                </c:pt>
                <c:pt idx="93">
                  <c:v>15851596.742636837</c:v>
                </c:pt>
                <c:pt idx="94">
                  <c:v>16101437.091350205</c:v>
                </c:pt>
                <c:pt idx="95">
                  <c:v>15263088.344433662</c:v>
                </c:pt>
                <c:pt idx="96">
                  <c:v>15547396.963253723</c:v>
                </c:pt>
                <c:pt idx="97">
                  <c:v>14579927.371710245</c:v>
                </c:pt>
                <c:pt idx="98">
                  <c:v>15531642.441877494</c:v>
                </c:pt>
                <c:pt idx="99">
                  <c:v>14384967.500642633</c:v>
                </c:pt>
                <c:pt idx="100">
                  <c:v>15569311.089257656</c:v>
                </c:pt>
                <c:pt idx="101">
                  <c:v>17605469.787507091</c:v>
                </c:pt>
                <c:pt idx="102">
                  <c:v>18348765.458466239</c:v>
                </c:pt>
                <c:pt idx="103">
                  <c:v>19634834.65201629</c:v>
                </c:pt>
                <c:pt idx="104">
                  <c:v>18370142.51427985</c:v>
                </c:pt>
                <c:pt idx="105">
                  <c:v>16770448.009441743</c:v>
                </c:pt>
                <c:pt idx="106">
                  <c:v>16189982.427972799</c:v>
                </c:pt>
                <c:pt idx="107">
                  <c:v>15721236.654423732</c:v>
                </c:pt>
                <c:pt idx="108">
                  <c:v>16313004.780804409</c:v>
                </c:pt>
                <c:pt idx="109">
                  <c:v>14965782.191111591</c:v>
                </c:pt>
                <c:pt idx="110">
                  <c:v>16036919.734575773</c:v>
                </c:pt>
                <c:pt idx="111">
                  <c:v>14412140.451389132</c:v>
                </c:pt>
                <c:pt idx="112">
                  <c:v>16100531.247038323</c:v>
                </c:pt>
                <c:pt idx="113">
                  <c:v>17794717.163485304</c:v>
                </c:pt>
                <c:pt idx="114">
                  <c:v>20748922.432843015</c:v>
                </c:pt>
                <c:pt idx="115">
                  <c:v>19985263.837714978</c:v>
                </c:pt>
                <c:pt idx="116">
                  <c:v>18558892.323588699</c:v>
                </c:pt>
                <c:pt idx="117">
                  <c:v>17156220.456947859</c:v>
                </c:pt>
                <c:pt idx="118">
                  <c:v>16576622.850022748</c:v>
                </c:pt>
                <c:pt idx="119">
                  <c:v>15799055.109337058</c:v>
                </c:pt>
                <c:pt idx="120">
                  <c:v>16417477.70403322</c:v>
                </c:pt>
                <c:pt idx="121">
                  <c:v>15914318.89508551</c:v>
                </c:pt>
                <c:pt idx="122">
                  <c:v>15518935.775948361</c:v>
                </c:pt>
                <c:pt idx="123">
                  <c:v>15525062.003983647</c:v>
                </c:pt>
                <c:pt idx="124">
                  <c:v>16514570.389421813</c:v>
                </c:pt>
                <c:pt idx="125">
                  <c:v>17858637.080391113</c:v>
                </c:pt>
                <c:pt idx="126">
                  <c:v>19419059.343753047</c:v>
                </c:pt>
                <c:pt idx="127">
                  <c:v>18767363.224689595</c:v>
                </c:pt>
                <c:pt idx="128">
                  <c:v>18446130.367014583</c:v>
                </c:pt>
                <c:pt idx="129">
                  <c:v>16960720.528332431</c:v>
                </c:pt>
                <c:pt idx="130">
                  <c:v>16659631.654991224</c:v>
                </c:pt>
                <c:pt idx="131">
                  <c:v>15700873.748762958</c:v>
                </c:pt>
                <c:pt idx="132">
                  <c:v>16931214.892134339</c:v>
                </c:pt>
                <c:pt idx="133">
                  <c:v>15970410.645781051</c:v>
                </c:pt>
                <c:pt idx="134">
                  <c:v>16032672.964049479</c:v>
                </c:pt>
                <c:pt idx="135">
                  <c:v>15582399.980469001</c:v>
                </c:pt>
                <c:pt idx="136">
                  <c:v>16571908.365907168</c:v>
                </c:pt>
                <c:pt idx="137">
                  <c:v>18373620.494282041</c:v>
                </c:pt>
                <c:pt idx="138">
                  <c:v>19705234.471397147</c:v>
                </c:pt>
                <c:pt idx="139">
                  <c:v>18824715.633630909</c:v>
                </c:pt>
                <c:pt idx="140">
                  <c:v>18961128.213361472</c:v>
                </c:pt>
                <c:pt idx="141">
                  <c:v>17246715.030098226</c:v>
                </c:pt>
                <c:pt idx="142">
                  <c:v>16716803.43805423</c:v>
                </c:pt>
                <c:pt idx="143">
                  <c:v>16215690.96923154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4-4A10-A097-52E5144F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 WN'!$D$1</c:f>
              <c:strCache>
                <c:ptCount val="1"/>
                <c:pt idx="0">
                  <c:v> EDkWh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WN'!$D$2:$D$145</c:f>
              <c:numCache>
                <c:formatCode>_(* #,##0_);_(* \(#,##0\);_(* "-"??_);_(@_)</c:formatCode>
                <c:ptCount val="144"/>
                <c:pt idx="0">
                  <c:v>3490024</c:v>
                </c:pt>
                <c:pt idx="1">
                  <c:v>3101238</c:v>
                </c:pt>
                <c:pt idx="2">
                  <c:v>3182338</c:v>
                </c:pt>
                <c:pt idx="3">
                  <c:v>2976481</c:v>
                </c:pt>
                <c:pt idx="4">
                  <c:v>3042348</c:v>
                </c:pt>
                <c:pt idx="5">
                  <c:v>3409531</c:v>
                </c:pt>
                <c:pt idx="6">
                  <c:v>3573547</c:v>
                </c:pt>
                <c:pt idx="7">
                  <c:v>2693259</c:v>
                </c:pt>
                <c:pt idx="8">
                  <c:v>3111799</c:v>
                </c:pt>
                <c:pt idx="9">
                  <c:v>2963385</c:v>
                </c:pt>
                <c:pt idx="10">
                  <c:v>3181573</c:v>
                </c:pt>
                <c:pt idx="11">
                  <c:v>3333306</c:v>
                </c:pt>
                <c:pt idx="12">
                  <c:v>3747992</c:v>
                </c:pt>
                <c:pt idx="13">
                  <c:v>3564671</c:v>
                </c:pt>
                <c:pt idx="14">
                  <c:v>3449912</c:v>
                </c:pt>
                <c:pt idx="15">
                  <c:v>3013821</c:v>
                </c:pt>
                <c:pt idx="16">
                  <c:v>2960403</c:v>
                </c:pt>
                <c:pt idx="17">
                  <c:v>3221522</c:v>
                </c:pt>
                <c:pt idx="18">
                  <c:v>4072605</c:v>
                </c:pt>
                <c:pt idx="19">
                  <c:v>3555685</c:v>
                </c:pt>
                <c:pt idx="20">
                  <c:v>3226818</c:v>
                </c:pt>
                <c:pt idx="21">
                  <c:v>2870641</c:v>
                </c:pt>
                <c:pt idx="22">
                  <c:v>2607047</c:v>
                </c:pt>
                <c:pt idx="23">
                  <c:v>2364501</c:v>
                </c:pt>
                <c:pt idx="24">
                  <c:v>2580598</c:v>
                </c:pt>
                <c:pt idx="25">
                  <c:v>2518509</c:v>
                </c:pt>
                <c:pt idx="26">
                  <c:v>2565586</c:v>
                </c:pt>
                <c:pt idx="27">
                  <c:v>2289773</c:v>
                </c:pt>
                <c:pt idx="28">
                  <c:v>2326556</c:v>
                </c:pt>
                <c:pt idx="29">
                  <c:v>2706683</c:v>
                </c:pt>
                <c:pt idx="30">
                  <c:v>3094570</c:v>
                </c:pt>
                <c:pt idx="31">
                  <c:v>3564597</c:v>
                </c:pt>
                <c:pt idx="32">
                  <c:v>2934361</c:v>
                </c:pt>
                <c:pt idx="33">
                  <c:v>2701535</c:v>
                </c:pt>
                <c:pt idx="34">
                  <c:v>2668913</c:v>
                </c:pt>
                <c:pt idx="35">
                  <c:v>2635161</c:v>
                </c:pt>
                <c:pt idx="36">
                  <c:v>3109978</c:v>
                </c:pt>
                <c:pt idx="37">
                  <c:v>2736036</c:v>
                </c:pt>
                <c:pt idx="38">
                  <c:v>2956591</c:v>
                </c:pt>
                <c:pt idx="39">
                  <c:v>2405329</c:v>
                </c:pt>
                <c:pt idx="40">
                  <c:v>2604156</c:v>
                </c:pt>
                <c:pt idx="41">
                  <c:v>2874524</c:v>
                </c:pt>
                <c:pt idx="42">
                  <c:v>2922427</c:v>
                </c:pt>
                <c:pt idx="43">
                  <c:v>3048623</c:v>
                </c:pt>
                <c:pt idx="44">
                  <c:v>2734668</c:v>
                </c:pt>
                <c:pt idx="45">
                  <c:v>2665747</c:v>
                </c:pt>
                <c:pt idx="46">
                  <c:v>2738878</c:v>
                </c:pt>
                <c:pt idx="47">
                  <c:v>2623050</c:v>
                </c:pt>
                <c:pt idx="48">
                  <c:v>2945901</c:v>
                </c:pt>
                <c:pt idx="49">
                  <c:v>2641888</c:v>
                </c:pt>
                <c:pt idx="50">
                  <c:v>2707092</c:v>
                </c:pt>
                <c:pt idx="51">
                  <c:v>2546244</c:v>
                </c:pt>
                <c:pt idx="52">
                  <c:v>2646635</c:v>
                </c:pt>
                <c:pt idx="53">
                  <c:v>2755014</c:v>
                </c:pt>
                <c:pt idx="54">
                  <c:v>2895706</c:v>
                </c:pt>
                <c:pt idx="55">
                  <c:v>2972667</c:v>
                </c:pt>
                <c:pt idx="56">
                  <c:v>2476319</c:v>
                </c:pt>
                <c:pt idx="57">
                  <c:v>2237779</c:v>
                </c:pt>
                <c:pt idx="58">
                  <c:v>2748670</c:v>
                </c:pt>
                <c:pt idx="59">
                  <c:v>2349326</c:v>
                </c:pt>
                <c:pt idx="60">
                  <c:v>2994820</c:v>
                </c:pt>
                <c:pt idx="61">
                  <c:v>2804290</c:v>
                </c:pt>
                <c:pt idx="62">
                  <c:v>2876384</c:v>
                </c:pt>
                <c:pt idx="63">
                  <c:v>2696906</c:v>
                </c:pt>
                <c:pt idx="64">
                  <c:v>2767778</c:v>
                </c:pt>
                <c:pt idx="65">
                  <c:v>2804829</c:v>
                </c:pt>
                <c:pt idx="66">
                  <c:v>3303632</c:v>
                </c:pt>
                <c:pt idx="67">
                  <c:v>3098231</c:v>
                </c:pt>
                <c:pt idx="68">
                  <c:v>2896036</c:v>
                </c:pt>
                <c:pt idx="69">
                  <c:v>2797177</c:v>
                </c:pt>
                <c:pt idx="70">
                  <c:v>2901691</c:v>
                </c:pt>
                <c:pt idx="71">
                  <c:v>2584611</c:v>
                </c:pt>
                <c:pt idx="72">
                  <c:v>2683483</c:v>
                </c:pt>
                <c:pt idx="73">
                  <c:v>2439682</c:v>
                </c:pt>
                <c:pt idx="74">
                  <c:v>2394362</c:v>
                </c:pt>
                <c:pt idx="75">
                  <c:v>1877577</c:v>
                </c:pt>
                <c:pt idx="76">
                  <c:v>2179756</c:v>
                </c:pt>
                <c:pt idx="77">
                  <c:v>2539378</c:v>
                </c:pt>
                <c:pt idx="78">
                  <c:v>2920232</c:v>
                </c:pt>
                <c:pt idx="79">
                  <c:v>2655205</c:v>
                </c:pt>
                <c:pt idx="80">
                  <c:v>2348776</c:v>
                </c:pt>
                <c:pt idx="81">
                  <c:v>2222132</c:v>
                </c:pt>
                <c:pt idx="82">
                  <c:v>2529849</c:v>
                </c:pt>
                <c:pt idx="83">
                  <c:v>2398255</c:v>
                </c:pt>
                <c:pt idx="84">
                  <c:v>2476889</c:v>
                </c:pt>
                <c:pt idx="85">
                  <c:v>2421447</c:v>
                </c:pt>
                <c:pt idx="86">
                  <c:v>1798087</c:v>
                </c:pt>
                <c:pt idx="87">
                  <c:v>1779970</c:v>
                </c:pt>
                <c:pt idx="88">
                  <c:v>2156240</c:v>
                </c:pt>
                <c:pt idx="89">
                  <c:v>2661577</c:v>
                </c:pt>
                <c:pt idx="90">
                  <c:v>2641727</c:v>
                </c:pt>
                <c:pt idx="91">
                  <c:v>2810916</c:v>
                </c:pt>
                <c:pt idx="92">
                  <c:v>2370134</c:v>
                </c:pt>
                <c:pt idx="93">
                  <c:v>2288392</c:v>
                </c:pt>
                <c:pt idx="94">
                  <c:v>2388052</c:v>
                </c:pt>
                <c:pt idx="95">
                  <c:v>2282252</c:v>
                </c:pt>
                <c:pt idx="96">
                  <c:v>2458213</c:v>
                </c:pt>
                <c:pt idx="97">
                  <c:v>2115178</c:v>
                </c:pt>
                <c:pt idx="98">
                  <c:v>2122133</c:v>
                </c:pt>
                <c:pt idx="99">
                  <c:v>2129088</c:v>
                </c:pt>
                <c:pt idx="100">
                  <c:v>2149513</c:v>
                </c:pt>
                <c:pt idx="101">
                  <c:v>2446520</c:v>
                </c:pt>
                <c:pt idx="102">
                  <c:v>2691240</c:v>
                </c:pt>
                <c:pt idx="103">
                  <c:v>2769504</c:v>
                </c:pt>
                <c:pt idx="104">
                  <c:v>2440616</c:v>
                </c:pt>
                <c:pt idx="105">
                  <c:v>2187893</c:v>
                </c:pt>
                <c:pt idx="106">
                  <c:v>2451162</c:v>
                </c:pt>
                <c:pt idx="107">
                  <c:v>2831510</c:v>
                </c:pt>
                <c:pt idx="108">
                  <c:v>3051532.49</c:v>
                </c:pt>
                <c:pt idx="109">
                  <c:v>2758376.97</c:v>
                </c:pt>
                <c:pt idx="110">
                  <c:v>2464136.4899999998</c:v>
                </c:pt>
                <c:pt idx="111">
                  <c:v>2549361.0900000003</c:v>
                </c:pt>
                <c:pt idx="112">
                  <c:v>2835930.8300000005</c:v>
                </c:pt>
                <c:pt idx="113">
                  <c:v>3027700.49</c:v>
                </c:pt>
                <c:pt idx="114">
                  <c:v>3284416.84</c:v>
                </c:pt>
                <c:pt idx="115">
                  <c:v>3286746.61</c:v>
                </c:pt>
                <c:pt idx="116">
                  <c:v>2966546.81</c:v>
                </c:pt>
                <c:pt idx="117">
                  <c:v>2745572.4499999997</c:v>
                </c:pt>
                <c:pt idx="118">
                  <c:v>2746667.53</c:v>
                </c:pt>
                <c:pt idx="119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9-4729-AC8F-15F4863DE5A6}"/>
            </c:ext>
          </c:extLst>
        </c:ser>
        <c:ser>
          <c:idx val="1"/>
          <c:order val="1"/>
          <c:tx>
            <c:strRef>
              <c:f>'ED Normalized Monthly WN'!$Q$1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WN'!$Q$2:$Q$145</c:f>
              <c:numCache>
                <c:formatCode>_(* #,##0_);_(* \(#,##0\);_(* "-"??_);_(@_)</c:formatCode>
                <c:ptCount val="144"/>
                <c:pt idx="0">
                  <c:v>3365374.7960306448</c:v>
                </c:pt>
                <c:pt idx="1">
                  <c:v>3002034.0862659197</c:v>
                </c:pt>
                <c:pt idx="2">
                  <c:v>3056101.2956718449</c:v>
                </c:pt>
                <c:pt idx="3">
                  <c:v>3001467.91932174</c:v>
                </c:pt>
                <c:pt idx="4">
                  <c:v>3048058.6713188393</c:v>
                </c:pt>
                <c:pt idx="5">
                  <c:v>3352577.7909097006</c:v>
                </c:pt>
                <c:pt idx="6">
                  <c:v>3830412.4979252024</c:v>
                </c:pt>
                <c:pt idx="7">
                  <c:v>2804264.4573544241</c:v>
                </c:pt>
                <c:pt idx="8">
                  <c:v>3233343.6400297061</c:v>
                </c:pt>
                <c:pt idx="9">
                  <c:v>3022078.4413396385</c:v>
                </c:pt>
                <c:pt idx="10">
                  <c:v>3118458.1527211382</c:v>
                </c:pt>
                <c:pt idx="11">
                  <c:v>3323033.89905285</c:v>
                </c:pt>
                <c:pt idx="12">
                  <c:v>3661807.0060514696</c:v>
                </c:pt>
                <c:pt idx="13">
                  <c:v>3370205.2577096713</c:v>
                </c:pt>
                <c:pt idx="14">
                  <c:v>3388201.7040712661</c:v>
                </c:pt>
                <c:pt idx="15">
                  <c:v>3043427.4953109906</c:v>
                </c:pt>
                <c:pt idx="16">
                  <c:v>2899554.5867142216</c:v>
                </c:pt>
                <c:pt idx="17">
                  <c:v>3339001.6423893156</c:v>
                </c:pt>
                <c:pt idx="18">
                  <c:v>4189394.9345409516</c:v>
                </c:pt>
                <c:pt idx="19">
                  <c:v>3650342.1157392859</c:v>
                </c:pt>
                <c:pt idx="20">
                  <c:v>3143147.1045019175</c:v>
                </c:pt>
                <c:pt idx="21">
                  <c:v>2926646.2864608681</c:v>
                </c:pt>
                <c:pt idx="22">
                  <c:v>2674314.2123314785</c:v>
                </c:pt>
                <c:pt idx="23">
                  <c:v>2469172.1808674172</c:v>
                </c:pt>
                <c:pt idx="24">
                  <c:v>2604053.9785407367</c:v>
                </c:pt>
                <c:pt idx="25">
                  <c:v>2562107.959450711</c:v>
                </c:pt>
                <c:pt idx="26">
                  <c:v>2647936.7523501962</c:v>
                </c:pt>
                <c:pt idx="27">
                  <c:v>2273995.3222724008</c:v>
                </c:pt>
                <c:pt idx="28">
                  <c:v>2320330.0498490534</c:v>
                </c:pt>
                <c:pt idx="29">
                  <c:v>2668679.00505452</c:v>
                </c:pt>
                <c:pt idx="30">
                  <c:v>2986570.2373328041</c:v>
                </c:pt>
                <c:pt idx="31">
                  <c:v>3367584.8391964827</c:v>
                </c:pt>
                <c:pt idx="32">
                  <c:v>2886730.7666989262</c:v>
                </c:pt>
                <c:pt idx="33">
                  <c:v>2676061.4600219005</c:v>
                </c:pt>
                <c:pt idx="34">
                  <c:v>2748319.3423369848</c:v>
                </c:pt>
                <c:pt idx="35">
                  <c:v>2554790.5723793842</c:v>
                </c:pt>
                <c:pt idx="36">
                  <c:v>3187984.8558366261</c:v>
                </c:pt>
                <c:pt idx="37">
                  <c:v>2874447.4397590524</c:v>
                </c:pt>
                <c:pt idx="38">
                  <c:v>2947005.1008284581</c:v>
                </c:pt>
                <c:pt idx="39">
                  <c:v>2462470.2792324526</c:v>
                </c:pt>
                <c:pt idx="40">
                  <c:v>2650501.5529680494</c:v>
                </c:pt>
                <c:pt idx="41">
                  <c:v>2844322.622643563</c:v>
                </c:pt>
                <c:pt idx="42">
                  <c:v>2967878.7165839858</c:v>
                </c:pt>
                <c:pt idx="43">
                  <c:v>3225021.823814976</c:v>
                </c:pt>
                <c:pt idx="44">
                  <c:v>2734549.6601932785</c:v>
                </c:pt>
                <c:pt idx="45">
                  <c:v>2665277.4045415856</c:v>
                </c:pt>
                <c:pt idx="46">
                  <c:v>2733607.2826636373</c:v>
                </c:pt>
                <c:pt idx="47">
                  <c:v>2498823.1833836772</c:v>
                </c:pt>
                <c:pt idx="48">
                  <c:v>2914806.1012448473</c:v>
                </c:pt>
                <c:pt idx="49">
                  <c:v>2687014.7434935942</c:v>
                </c:pt>
                <c:pt idx="50">
                  <c:v>2673151.4257919081</c:v>
                </c:pt>
                <c:pt idx="51">
                  <c:v>2475555.9663781859</c:v>
                </c:pt>
                <c:pt idx="52">
                  <c:v>2566882.911042518</c:v>
                </c:pt>
                <c:pt idx="53">
                  <c:v>2741532.5174772269</c:v>
                </c:pt>
                <c:pt idx="54">
                  <c:v>2844182.3265487351</c:v>
                </c:pt>
                <c:pt idx="55">
                  <c:v>2831759.3751938883</c:v>
                </c:pt>
                <c:pt idx="56">
                  <c:v>2347164.4017868433</c:v>
                </c:pt>
                <c:pt idx="57">
                  <c:v>2153930.3789589494</c:v>
                </c:pt>
                <c:pt idx="58">
                  <c:v>2679771.5707600298</c:v>
                </c:pt>
                <c:pt idx="59">
                  <c:v>2349299.0391051257</c:v>
                </c:pt>
                <c:pt idx="60">
                  <c:v>2958153.1829708023</c:v>
                </c:pt>
                <c:pt idx="61">
                  <c:v>2816704.1910459767</c:v>
                </c:pt>
                <c:pt idx="62">
                  <c:v>2828962.9783547032</c:v>
                </c:pt>
                <c:pt idx="63">
                  <c:v>2726643.9361293521</c:v>
                </c:pt>
                <c:pt idx="64">
                  <c:v>2877951.5315212738</c:v>
                </c:pt>
                <c:pt idx="65">
                  <c:v>2959889.1632494079</c:v>
                </c:pt>
                <c:pt idx="66">
                  <c:v>3150434.7314905482</c:v>
                </c:pt>
                <c:pt idx="67">
                  <c:v>3090471.4142440474</c:v>
                </c:pt>
                <c:pt idx="68">
                  <c:v>2873108.0184207959</c:v>
                </c:pt>
                <c:pt idx="69">
                  <c:v>2826820.8098777542</c:v>
                </c:pt>
                <c:pt idx="70">
                  <c:v>2824286.8784377011</c:v>
                </c:pt>
                <c:pt idx="71">
                  <c:v>2589886.3484304263</c:v>
                </c:pt>
                <c:pt idx="72">
                  <c:v>2782159.8752403399</c:v>
                </c:pt>
                <c:pt idx="73">
                  <c:v>2466115.8563806699</c:v>
                </c:pt>
                <c:pt idx="74">
                  <c:v>2461255.172622201</c:v>
                </c:pt>
                <c:pt idx="75">
                  <c:v>1857665.3183916581</c:v>
                </c:pt>
                <c:pt idx="76">
                  <c:v>2187830.3641632367</c:v>
                </c:pt>
                <c:pt idx="77">
                  <c:v>2466076.4492945625</c:v>
                </c:pt>
                <c:pt idx="78">
                  <c:v>2710426.6554567171</c:v>
                </c:pt>
                <c:pt idx="79">
                  <c:v>2661960.3970017298</c:v>
                </c:pt>
                <c:pt idx="80">
                  <c:v>2473519.435549268</c:v>
                </c:pt>
                <c:pt idx="81">
                  <c:v>2253149.5565729132</c:v>
                </c:pt>
                <c:pt idx="82">
                  <c:v>2583212.105351781</c:v>
                </c:pt>
                <c:pt idx="83">
                  <c:v>2386005.7667620596</c:v>
                </c:pt>
                <c:pt idx="84">
                  <c:v>2530990.5290479823</c:v>
                </c:pt>
                <c:pt idx="85">
                  <c:v>2367447.5200053467</c:v>
                </c:pt>
                <c:pt idx="86">
                  <c:v>1885290.7134275897</c:v>
                </c:pt>
                <c:pt idx="87">
                  <c:v>1794208.6125253828</c:v>
                </c:pt>
                <c:pt idx="88">
                  <c:v>2118848.7888372513</c:v>
                </c:pt>
                <c:pt idx="89">
                  <c:v>2495015.591444571</c:v>
                </c:pt>
                <c:pt idx="90">
                  <c:v>2711701.2290066928</c:v>
                </c:pt>
                <c:pt idx="91">
                  <c:v>2660743.951965915</c:v>
                </c:pt>
                <c:pt idx="92">
                  <c:v>2371567.5934765623</c:v>
                </c:pt>
                <c:pt idx="93">
                  <c:v>2215130.057559588</c:v>
                </c:pt>
                <c:pt idx="94">
                  <c:v>2375623.6350850286</c:v>
                </c:pt>
                <c:pt idx="95">
                  <c:v>2327519.3424941343</c:v>
                </c:pt>
                <c:pt idx="96">
                  <c:v>2372657.093598539</c:v>
                </c:pt>
                <c:pt idx="97">
                  <c:v>2103866.6035564961</c:v>
                </c:pt>
                <c:pt idx="98">
                  <c:v>2149721.211367243</c:v>
                </c:pt>
                <c:pt idx="99">
                  <c:v>2095656.8870861651</c:v>
                </c:pt>
                <c:pt idx="100">
                  <c:v>2090781.2671392378</c:v>
                </c:pt>
                <c:pt idx="101">
                  <c:v>2437125.6028810111</c:v>
                </c:pt>
                <c:pt idx="102">
                  <c:v>2663867.2857529162</c:v>
                </c:pt>
                <c:pt idx="103">
                  <c:v>2713574.4826535848</c:v>
                </c:pt>
                <c:pt idx="104">
                  <c:v>2409276.4952207482</c:v>
                </c:pt>
                <c:pt idx="105">
                  <c:v>2226475.092856341</c:v>
                </c:pt>
                <c:pt idx="106">
                  <c:v>2472246.9070630129</c:v>
                </c:pt>
                <c:pt idx="107">
                  <c:v>2811442.1072484809</c:v>
                </c:pt>
                <c:pt idx="108">
                  <c:v>3161443.0714380108</c:v>
                </c:pt>
                <c:pt idx="109">
                  <c:v>2851372.3123325617</c:v>
                </c:pt>
                <c:pt idx="110">
                  <c:v>2478995.13551459</c:v>
                </c:pt>
                <c:pt idx="111">
                  <c:v>2533458.3533516731</c:v>
                </c:pt>
                <c:pt idx="112">
                  <c:v>2908576.1064463193</c:v>
                </c:pt>
                <c:pt idx="113">
                  <c:v>3143058.1046561208</c:v>
                </c:pt>
                <c:pt idx="114">
                  <c:v>3345234.2253614459</c:v>
                </c:pt>
                <c:pt idx="115">
                  <c:v>3449710.7528356658</c:v>
                </c:pt>
                <c:pt idx="116">
                  <c:v>3033666.694121955</c:v>
                </c:pt>
                <c:pt idx="117">
                  <c:v>2714683.9618104608</c:v>
                </c:pt>
                <c:pt idx="118">
                  <c:v>2752662.4432492089</c:v>
                </c:pt>
                <c:pt idx="119">
                  <c:v>2659238.9602764444</c:v>
                </c:pt>
                <c:pt idx="120">
                  <c:v>2896193.6196829686</c:v>
                </c:pt>
                <c:pt idx="121">
                  <c:v>2845252.3670350178</c:v>
                </c:pt>
                <c:pt idx="122">
                  <c:v>2763405.7383486475</c:v>
                </c:pt>
                <c:pt idx="123">
                  <c:v>2596208.8260837863</c:v>
                </c:pt>
                <c:pt idx="124">
                  <c:v>2666260.3233712325</c:v>
                </c:pt>
                <c:pt idx="125">
                  <c:v>2967910.9773185244</c:v>
                </c:pt>
                <c:pt idx="126">
                  <c:v>3193719.7283165501</c:v>
                </c:pt>
                <c:pt idx="127">
                  <c:v>3097199.0852221884</c:v>
                </c:pt>
                <c:pt idx="128">
                  <c:v>2737520.4338395763</c:v>
                </c:pt>
                <c:pt idx="129">
                  <c:v>2671268.942877444</c:v>
                </c:pt>
                <c:pt idx="130">
                  <c:v>2756999.8149190638</c:v>
                </c:pt>
                <c:pt idx="131">
                  <c:v>2728452.6074731862</c:v>
                </c:pt>
                <c:pt idx="132">
                  <c:v>2923260.7151291454</c:v>
                </c:pt>
                <c:pt idx="133">
                  <c:v>2872433.9110877323</c:v>
                </c:pt>
                <c:pt idx="134">
                  <c:v>2790873.4039177066</c:v>
                </c:pt>
                <c:pt idx="135">
                  <c:v>2623519.1248188559</c:v>
                </c:pt>
                <c:pt idx="136">
                  <c:v>2693685.0707128397</c:v>
                </c:pt>
                <c:pt idx="137">
                  <c:v>2995378.6428875835</c:v>
                </c:pt>
                <c:pt idx="138">
                  <c:v>3220858.3541418128</c:v>
                </c:pt>
                <c:pt idx="139">
                  <c:v>3124423.5475023547</c:v>
                </c:pt>
                <c:pt idx="140">
                  <c:v>2764430.1624517636</c:v>
                </c:pt>
                <c:pt idx="141">
                  <c:v>2697763.7952909321</c:v>
                </c:pt>
                <c:pt idx="142">
                  <c:v>2783351.6065743798</c:v>
                </c:pt>
                <c:pt idx="143">
                  <c:v>2754775.7869768674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9-4729-AC8F-15F4863D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WN'!$C$5:$C$14</c:f>
              <c:numCache>
                <c:formatCode>#,##0</c:formatCode>
                <c:ptCount val="10"/>
                <c:pt idx="0">
                  <c:v>245551953</c:v>
                </c:pt>
                <c:pt idx="1">
                  <c:v>244757238</c:v>
                </c:pt>
                <c:pt idx="2">
                  <c:v>255390423</c:v>
                </c:pt>
                <c:pt idx="3">
                  <c:v>240232071</c:v>
                </c:pt>
                <c:pt idx="4">
                  <c:v>259974120</c:v>
                </c:pt>
                <c:pt idx="5">
                  <c:v>252809094</c:v>
                </c:pt>
                <c:pt idx="6">
                  <c:v>271898869</c:v>
                </c:pt>
                <c:pt idx="7">
                  <c:v>277378582</c:v>
                </c:pt>
                <c:pt idx="8">
                  <c:v>272607146</c:v>
                </c:pt>
                <c:pt idx="9">
                  <c:v>259000633.64553002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F-4393-9C23-3EB6C984ED6A}"/>
            </c:ext>
          </c:extLst>
        </c:ser>
        <c:ser>
          <c:idx val="2"/>
          <c:order val="1"/>
          <c:tx>
            <c:strRef>
              <c:f>'Normalized Annual Summary WN'!$E$3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WN'!$E$5:$E$14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F-4393-9C23-3EB6C984ED6A}"/>
            </c:ext>
          </c:extLst>
        </c:ser>
        <c:ser>
          <c:idx val="0"/>
          <c:order val="2"/>
          <c:tx>
            <c:strRef>
              <c:f>'Normalized Annual Summary WN'!$K$3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WN'!$K$5:$K$16</c:f>
              <c:numCache>
                <c:formatCode>#,##0</c:formatCode>
                <c:ptCount val="12"/>
                <c:pt idx="0">
                  <c:v>251325787.18762499</c:v>
                </c:pt>
                <c:pt idx="1">
                  <c:v>247823738.49409196</c:v>
                </c:pt>
                <c:pt idx="2">
                  <c:v>248958420.39974496</c:v>
                </c:pt>
                <c:pt idx="3">
                  <c:v>245275710.82817075</c:v>
                </c:pt>
                <c:pt idx="4">
                  <c:v>250201729.34711179</c:v>
                </c:pt>
                <c:pt idx="5">
                  <c:v>253817575.84054783</c:v>
                </c:pt>
                <c:pt idx="6">
                  <c:v>271546499.29396212</c:v>
                </c:pt>
                <c:pt idx="7">
                  <c:v>271185536.66984862</c:v>
                </c:pt>
                <c:pt idx="8">
                  <c:v>268827723.42139935</c:v>
                </c:pt>
                <c:pt idx="9">
                  <c:v>269739536.79024965</c:v>
                </c:pt>
                <c:pt idx="10">
                  <c:v>276867818.87151098</c:v>
                </c:pt>
                <c:pt idx="11">
                  <c:v>285532767.83244443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F-4393-9C23-3EB6C984ED6A}"/>
            </c:ext>
          </c:extLst>
        </c:ser>
        <c:ser>
          <c:idx val="3"/>
          <c:order val="3"/>
          <c:tx>
            <c:strRef>
              <c:f>'Normalized Annual Summary WN'!$G$3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WN'!$G$5:$G$16</c:f>
              <c:numCache>
                <c:formatCode>#,##0</c:formatCode>
                <c:ptCount val="12"/>
                <c:pt idx="0">
                  <c:v>254117717.22780502</c:v>
                </c:pt>
                <c:pt idx="1">
                  <c:v>251844275.17493606</c:v>
                </c:pt>
                <c:pt idx="2">
                  <c:v>255298026.76362354</c:v>
                </c:pt>
                <c:pt idx="3">
                  <c:v>256459163.38236558</c:v>
                </c:pt>
                <c:pt idx="4">
                  <c:v>263883736.29732594</c:v>
                </c:pt>
                <c:pt idx="5">
                  <c:v>268253885.66011038</c:v>
                </c:pt>
                <c:pt idx="6">
                  <c:v>285753248.06148291</c:v>
                </c:pt>
                <c:pt idx="7">
                  <c:v>285160668.43818659</c:v>
                </c:pt>
                <c:pt idx="8">
                  <c:v>282855068.16232383</c:v>
                </c:pt>
                <c:pt idx="9">
                  <c:v>283901208.57463396</c:v>
                </c:pt>
                <c:pt idx="10">
                  <c:v>286875733.03066367</c:v>
                </c:pt>
                <c:pt idx="11">
                  <c:v>289246552.82869923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3F-4393-9C23-3EB6C984E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71887097498988917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WN'!$N$5:$N$14</c:f>
              <c:numCache>
                <c:formatCode>#,##0</c:formatCode>
                <c:ptCount val="10"/>
                <c:pt idx="0">
                  <c:v>65242009</c:v>
                </c:pt>
                <c:pt idx="1">
                  <c:v>65329578</c:v>
                </c:pt>
                <c:pt idx="2">
                  <c:v>66808994</c:v>
                </c:pt>
                <c:pt idx="3">
                  <c:v>65115315</c:v>
                </c:pt>
                <c:pt idx="4">
                  <c:v>66321666</c:v>
                </c:pt>
                <c:pt idx="5">
                  <c:v>65058987</c:v>
                </c:pt>
                <c:pt idx="6">
                  <c:v>60802781</c:v>
                </c:pt>
                <c:pt idx="7">
                  <c:v>62043606</c:v>
                </c:pt>
                <c:pt idx="8">
                  <c:v>67628825</c:v>
                </c:pt>
                <c:pt idx="9">
                  <c:v>63293408.089218006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2-4C22-B312-0577E9ABB9CB}"/>
            </c:ext>
          </c:extLst>
        </c:ser>
        <c:ser>
          <c:idx val="2"/>
          <c:order val="1"/>
          <c:tx>
            <c:strRef>
              <c:f>'Normalized Annual Summary WN'!$P$3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WN'!$P$5:$P$14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2-4C22-B312-0577E9ABB9CB}"/>
            </c:ext>
          </c:extLst>
        </c:ser>
        <c:ser>
          <c:idx val="0"/>
          <c:order val="2"/>
          <c:tx>
            <c:strRef>
              <c:f>'Normalized Annual Summary WN'!$V$3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WN'!$V$5:$V$16</c:f>
              <c:numCache>
                <c:formatCode>#,##0</c:formatCode>
                <c:ptCount val="12"/>
                <c:pt idx="0">
                  <c:v>65521491.531507008</c:v>
                </c:pt>
                <c:pt idx="1">
                  <c:v>65523874.926003382</c:v>
                </c:pt>
                <c:pt idx="2">
                  <c:v>66163762.635951616</c:v>
                </c:pt>
                <c:pt idx="3">
                  <c:v>65793784.545557298</c:v>
                </c:pt>
                <c:pt idx="4">
                  <c:v>65037516.508895464</c:v>
                </c:pt>
                <c:pt idx="5">
                  <c:v>65099302.101680987</c:v>
                </c:pt>
                <c:pt idx="6">
                  <c:v>61089351.514990881</c:v>
                </c:pt>
                <c:pt idx="7">
                  <c:v>61525758.975106977</c:v>
                </c:pt>
                <c:pt idx="8">
                  <c:v>67163897.065976441</c:v>
                </c:pt>
                <c:pt idx="9">
                  <c:v>64726429.28354793</c:v>
                </c:pt>
                <c:pt idx="10">
                  <c:v>69453177.561750546</c:v>
                </c:pt>
                <c:pt idx="11">
                  <c:v>73192444.375297099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2-4C22-B312-0577E9ABB9CB}"/>
            </c:ext>
          </c:extLst>
        </c:ser>
        <c:ser>
          <c:idx val="3"/>
          <c:order val="3"/>
          <c:tx>
            <c:strRef>
              <c:f>'Normalized Annual Summary WN'!$R$3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WN'!$R$5:$R$16</c:f>
              <c:numCache>
                <c:formatCode>#,##0</c:formatCode>
                <c:ptCount val="12"/>
                <c:pt idx="0">
                  <c:v>68141080.485802323</c:v>
                </c:pt>
                <c:pt idx="1">
                  <c:v>72174254.251468033</c:v>
                </c:pt>
                <c:pt idx="2">
                  <c:v>77053838.061467737</c:v>
                </c:pt>
                <c:pt idx="3">
                  <c:v>77894793.016260222</c:v>
                </c:pt>
                <c:pt idx="4">
                  <c:v>78344761.295604631</c:v>
                </c:pt>
                <c:pt idx="5">
                  <c:v>78753034.281280309</c:v>
                </c:pt>
                <c:pt idx="6">
                  <c:v>74691042.046767712</c:v>
                </c:pt>
                <c:pt idx="7">
                  <c:v>75158022.18118681</c:v>
                </c:pt>
                <c:pt idx="8">
                  <c:v>81176805.294161782</c:v>
                </c:pt>
                <c:pt idx="9">
                  <c:v>79091937.632357374</c:v>
                </c:pt>
                <c:pt idx="10">
                  <c:v>81659851.389303565</c:v>
                </c:pt>
                <c:pt idx="11">
                  <c:v>82793710.187880591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62-4C22-B312-0577E9AB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WN'!$Y$5:$Y$14</c:f>
              <c:numCache>
                <c:formatCode>#,##0</c:formatCode>
                <c:ptCount val="10"/>
                <c:pt idx="0">
                  <c:v>167236927</c:v>
                </c:pt>
                <c:pt idx="1">
                  <c:v>171977957</c:v>
                </c:pt>
                <c:pt idx="2">
                  <c:v>187031606</c:v>
                </c:pt>
                <c:pt idx="3">
                  <c:v>166511229</c:v>
                </c:pt>
                <c:pt idx="4">
                  <c:v>171089785</c:v>
                </c:pt>
                <c:pt idx="5">
                  <c:v>180918659</c:v>
                </c:pt>
                <c:pt idx="6">
                  <c:v>171481742</c:v>
                </c:pt>
                <c:pt idx="7">
                  <c:v>178461520</c:v>
                </c:pt>
                <c:pt idx="8">
                  <c:v>183800048</c:v>
                </c:pt>
                <c:pt idx="9">
                  <c:v>183420702.72663307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D-4CF6-8D97-892AE10AA3DC}"/>
            </c:ext>
          </c:extLst>
        </c:ser>
        <c:ser>
          <c:idx val="2"/>
          <c:order val="1"/>
          <c:tx>
            <c:strRef>
              <c:f>'Normalized Annual Summary WN'!$AA$3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WN'!$AA$5:$AA$14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D-4CF6-8D97-892AE10AA3DC}"/>
            </c:ext>
          </c:extLst>
        </c:ser>
        <c:ser>
          <c:idx val="0"/>
          <c:order val="2"/>
          <c:tx>
            <c:strRef>
              <c:f>'Normalized Annual Summary WN'!$AG$3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WN'!$AG$5:$AG$16</c:f>
              <c:numCache>
                <c:formatCode>#,##0</c:formatCode>
                <c:ptCount val="12"/>
                <c:pt idx="0">
                  <c:v>167966577.29683813</c:v>
                </c:pt>
                <c:pt idx="1">
                  <c:v>172179812.98158181</c:v>
                </c:pt>
                <c:pt idx="2">
                  <c:v>185603161.70569131</c:v>
                </c:pt>
                <c:pt idx="3">
                  <c:v>167788818.42040768</c:v>
                </c:pt>
                <c:pt idx="4">
                  <c:v>168361349.17890343</c:v>
                </c:pt>
                <c:pt idx="5">
                  <c:v>181166364.34852487</c:v>
                </c:pt>
                <c:pt idx="6">
                  <c:v>172407389.7320905</c:v>
                </c:pt>
                <c:pt idx="7">
                  <c:v>177226376.57220039</c:v>
                </c:pt>
                <c:pt idx="8">
                  <c:v>182773778.27899554</c:v>
                </c:pt>
                <c:pt idx="9">
                  <c:v>186456547.21139914</c:v>
                </c:pt>
                <c:pt idx="10">
                  <c:v>190282185.96355724</c:v>
                </c:pt>
                <c:pt idx="11">
                  <c:v>209107276.31271169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D-4CF6-8D97-892AE10AA3DC}"/>
            </c:ext>
          </c:extLst>
        </c:ser>
        <c:ser>
          <c:idx val="3"/>
          <c:order val="3"/>
          <c:tx>
            <c:strRef>
              <c:f>'Normalized Annual Summary WN'!$AC$3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WN'!$AC$5:$AC$16</c:f>
              <c:numCache>
                <c:formatCode>#,##0</c:formatCode>
                <c:ptCount val="12"/>
                <c:pt idx="0">
                  <c:v>170843649.24936056</c:v>
                </c:pt>
                <c:pt idx="1">
                  <c:v>179448112.02254477</c:v>
                </c:pt>
                <c:pt idx="2">
                  <c:v>197274517.58850366</c:v>
                </c:pt>
                <c:pt idx="3">
                  <c:v>180781055.96305194</c:v>
                </c:pt>
                <c:pt idx="4">
                  <c:v>182576695.27478868</c:v>
                </c:pt>
                <c:pt idx="5">
                  <c:v>195648076.84219649</c:v>
                </c:pt>
                <c:pt idx="6">
                  <c:v>186834010.24352333</c:v>
                </c:pt>
                <c:pt idx="7">
                  <c:v>192007840.46008489</c:v>
                </c:pt>
                <c:pt idx="8">
                  <c:v>198254124.87084946</c:v>
                </c:pt>
                <c:pt idx="9">
                  <c:v>204448072.57885888</c:v>
                </c:pt>
                <c:pt idx="10">
                  <c:v>203702780.71640754</c:v>
                </c:pt>
                <c:pt idx="11">
                  <c:v>207132515.0983966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0D-4CF6-8D97-892AE10A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WN'!$AJ$5:$AJ$14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5-424A-A1C8-159478B7A028}"/>
            </c:ext>
          </c:extLst>
        </c:ser>
        <c:ser>
          <c:idx val="0"/>
          <c:order val="1"/>
          <c:tx>
            <c:strRef>
              <c:f>'Normalized Annual Summary WN'!$AK$3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WN'!$AK$5:$AK$16</c:f>
              <c:numCache>
                <c:formatCode>#,##0</c:formatCode>
                <c:ptCount val="12"/>
                <c:pt idx="0">
                  <c:v>38157205.647941649</c:v>
                </c:pt>
                <c:pt idx="1">
                  <c:v>38755214.526688859</c:v>
                </c:pt>
                <c:pt idx="2">
                  <c:v>32297160.285484102</c:v>
                </c:pt>
                <c:pt idx="3">
                  <c:v>33791889.922449343</c:v>
                </c:pt>
                <c:pt idx="4">
                  <c:v>31265050.757781852</c:v>
                </c:pt>
                <c:pt idx="5">
                  <c:v>34523313.184172794</c:v>
                </c:pt>
                <c:pt idx="6">
                  <c:v>29289376.952787135</c:v>
                </c:pt>
                <c:pt idx="7">
                  <c:v>27854087.564876042</c:v>
                </c:pt>
                <c:pt idx="8">
                  <c:v>28546691.036423776</c:v>
                </c:pt>
                <c:pt idx="9">
                  <c:v>35032100.121394455</c:v>
                </c:pt>
                <c:pt idx="10">
                  <c:v>33920392.464488193</c:v>
                </c:pt>
                <c:pt idx="11">
                  <c:v>34244754.121491976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5-424A-A1C8-159478B7A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 &lt; 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Data'!$DV$146:$DV$231</c:f>
              <c:numCache>
                <c:formatCode>_(* #,##0_);_(* \(#,##0\);_(* "-"??_);_(@_)</c:formatCode>
                <c:ptCount val="86"/>
                <c:pt idx="12">
                  <c:v>3255.9579144416061</c:v>
                </c:pt>
                <c:pt idx="13">
                  <c:v>2949.2446499340399</c:v>
                </c:pt>
                <c:pt idx="14">
                  <c:v>3038.3144774407401</c:v>
                </c:pt>
                <c:pt idx="15">
                  <c:v>2667.1078798130511</c:v>
                </c:pt>
                <c:pt idx="16">
                  <c:v>2814.5100102437618</c:v>
                </c:pt>
                <c:pt idx="17">
                  <c:v>3088.9282763355736</c:v>
                </c:pt>
                <c:pt idx="18">
                  <c:v>3251.1492014309929</c:v>
                </c:pt>
                <c:pt idx="19">
                  <c:v>3244.0517386551487</c:v>
                </c:pt>
                <c:pt idx="20">
                  <c:v>2852.7276944718296</c:v>
                </c:pt>
                <c:pt idx="21">
                  <c:v>2650.1957946787211</c:v>
                </c:pt>
                <c:pt idx="22">
                  <c:v>2789.6357408792328</c:v>
                </c:pt>
                <c:pt idx="23">
                  <c:v>2937.0647258865988</c:v>
                </c:pt>
                <c:pt idx="24">
                  <c:v>3280.9080585214974</c:v>
                </c:pt>
                <c:pt idx="25">
                  <c:v>3082.7935315713089</c:v>
                </c:pt>
                <c:pt idx="26">
                  <c:v>3163.6994157763029</c:v>
                </c:pt>
                <c:pt idx="27">
                  <c:v>2824.6219747139444</c:v>
                </c:pt>
                <c:pt idx="28">
                  <c:v>2955.2246011981706</c:v>
                </c:pt>
                <c:pt idx="29">
                  <c:v>3108.4259830088135</c:v>
                </c:pt>
                <c:pt idx="30">
                  <c:v>3467.085182951872</c:v>
                </c:pt>
                <c:pt idx="31">
                  <c:v>3539.1734702242106</c:v>
                </c:pt>
                <c:pt idx="32">
                  <c:v>3187.6473837658868</c:v>
                </c:pt>
                <c:pt idx="33">
                  <c:v>2864.4341433600689</c:v>
                </c:pt>
                <c:pt idx="34">
                  <c:v>2788.371335633482</c:v>
                </c:pt>
                <c:pt idx="35">
                  <c:v>2923.952968959074</c:v>
                </c:pt>
                <c:pt idx="36">
                  <c:v>3310.2300028200812</c:v>
                </c:pt>
                <c:pt idx="37">
                  <c:v>3140.7136218170763</c:v>
                </c:pt>
                <c:pt idx="38">
                  <c:v>3149.3009728894099</c:v>
                </c:pt>
                <c:pt idx="39">
                  <c:v>2992.8500698605862</c:v>
                </c:pt>
                <c:pt idx="40">
                  <c:v>3208.7817029673761</c:v>
                </c:pt>
                <c:pt idx="41">
                  <c:v>3520.9206677712605</c:v>
                </c:pt>
                <c:pt idx="42">
                  <c:v>3994.8869602594377</c:v>
                </c:pt>
                <c:pt idx="43">
                  <c:v>4000.5442811317116</c:v>
                </c:pt>
                <c:pt idx="44">
                  <c:v>3468.4444196265822</c:v>
                </c:pt>
                <c:pt idx="45">
                  <c:v>3128.4124924583384</c:v>
                </c:pt>
                <c:pt idx="46">
                  <c:v>3003.28726614572</c:v>
                </c:pt>
                <c:pt idx="47">
                  <c:v>3275.5346118619736</c:v>
                </c:pt>
                <c:pt idx="48">
                  <c:v>3509.3390002867436</c:v>
                </c:pt>
                <c:pt idx="49">
                  <c:v>3054.2649423081461</c:v>
                </c:pt>
                <c:pt idx="50">
                  <c:v>3107.7109721811839</c:v>
                </c:pt>
                <c:pt idx="51">
                  <c:v>2994.2050958398449</c:v>
                </c:pt>
                <c:pt idx="52">
                  <c:v>3092.6627850170876</c:v>
                </c:pt>
                <c:pt idx="53">
                  <c:v>3444.4167713929692</c:v>
                </c:pt>
                <c:pt idx="54">
                  <c:v>3766.3142136984638</c:v>
                </c:pt>
                <c:pt idx="55">
                  <c:v>3568.3205132075909</c:v>
                </c:pt>
                <c:pt idx="56">
                  <c:v>3346.9551026132608</c:v>
                </c:pt>
                <c:pt idx="57">
                  <c:v>3063.0072735620329</c:v>
                </c:pt>
                <c:pt idx="58">
                  <c:v>3022.9612405455623</c:v>
                </c:pt>
                <c:pt idx="59">
                  <c:v>3310.8818870366922</c:v>
                </c:pt>
                <c:pt idx="60">
                  <c:v>3519.5516003837702</c:v>
                </c:pt>
                <c:pt idx="61">
                  <c:v>3226.6423837685397</c:v>
                </c:pt>
                <c:pt idx="62">
                  <c:v>3185.2127991687425</c:v>
                </c:pt>
                <c:pt idx="63">
                  <c:v>3003.0709911602116</c:v>
                </c:pt>
                <c:pt idx="64">
                  <c:v>3308.6107782864156</c:v>
                </c:pt>
                <c:pt idx="65">
                  <c:v>3506.8927282413588</c:v>
                </c:pt>
                <c:pt idx="66">
                  <c:v>3947.0729339160871</c:v>
                </c:pt>
                <c:pt idx="67">
                  <c:v>3921.8627780588727</c:v>
                </c:pt>
                <c:pt idx="68">
                  <c:v>3459.2760695445386</c:v>
                </c:pt>
                <c:pt idx="69">
                  <c:v>2997.2700840401512</c:v>
                </c:pt>
                <c:pt idx="70">
                  <c:v>3052.5942435546458</c:v>
                </c:pt>
                <c:pt idx="71">
                  <c:v>3102.8907048942315</c:v>
                </c:pt>
                <c:pt idx="72">
                  <c:v>3360.8772004845164</c:v>
                </c:pt>
                <c:pt idx="73">
                  <c:v>3085.4842180283758</c:v>
                </c:pt>
                <c:pt idx="74">
                  <c:v>3207.0105338178496</c:v>
                </c:pt>
                <c:pt idx="75">
                  <c:v>2935.912833149604</c:v>
                </c:pt>
                <c:pt idx="76">
                  <c:v>3028.7264604041134</c:v>
                </c:pt>
                <c:pt idx="77">
                  <c:v>3310.8507089011073</c:v>
                </c:pt>
                <c:pt idx="78">
                  <c:v>3951.0831321815772</c:v>
                </c:pt>
                <c:pt idx="79">
                  <c:v>3764.2634025871857</c:v>
                </c:pt>
                <c:pt idx="80">
                  <c:v>3334.459697028848</c:v>
                </c:pt>
                <c:pt idx="81">
                  <c:v>3030.8032123017574</c:v>
                </c:pt>
                <c:pt idx="82">
                  <c:v>3158.6710140043115</c:v>
                </c:pt>
                <c:pt idx="83">
                  <c:v>3261.6529869637507</c:v>
                </c:pt>
                <c:pt idx="84">
                  <c:v>3341.2635007418139</c:v>
                </c:pt>
                <c:pt idx="85">
                  <c:v>3184.2763818725739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C7-47A4-920B-8C10573FDDD1}"/>
            </c:ext>
          </c:extLst>
        </c:ser>
        <c:ser>
          <c:idx val="1"/>
          <c:order val="1"/>
          <c:tx>
            <c:v>GS &lt;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Data'!$DV$232:$DV$253</c:f>
              <c:numCache>
                <c:formatCode>_(* #,##0_);_(* \(#,##0\);_(* "-"??_);_(@_)</c:formatCode>
                <c:ptCount val="22"/>
                <c:pt idx="0">
                  <c:v>3034.9204634053772</c:v>
                </c:pt>
                <c:pt idx="1">
                  <c:v>2567.8710084316795</c:v>
                </c:pt>
                <c:pt idx="2">
                  <c:v>2638.5020887804576</c:v>
                </c:pt>
                <c:pt idx="3">
                  <c:v>3087.124300337161</c:v>
                </c:pt>
                <c:pt idx="4">
                  <c:v>3741.5373881389642</c:v>
                </c:pt>
                <c:pt idx="5">
                  <c:v>3555.6198572747667</c:v>
                </c:pt>
                <c:pt idx="6">
                  <c:v>3002.9917091266184</c:v>
                </c:pt>
                <c:pt idx="7">
                  <c:v>2826.3311351659609</c:v>
                </c:pt>
                <c:pt idx="8">
                  <c:v>2862.5531381260002</c:v>
                </c:pt>
                <c:pt idx="9">
                  <c:v>3032.7590985615589</c:v>
                </c:pt>
                <c:pt idx="10">
                  <c:v>3014.0734025825464</c:v>
                </c:pt>
                <c:pt idx="11">
                  <c:v>2913.0862167767305</c:v>
                </c:pt>
                <c:pt idx="12">
                  <c:v>2973.1652404525262</c:v>
                </c:pt>
                <c:pt idx="13">
                  <c:v>2666.034348644394</c:v>
                </c:pt>
                <c:pt idx="14">
                  <c:v>2790.2278653438048</c:v>
                </c:pt>
                <c:pt idx="15">
                  <c:v>3296.0294226018586</c:v>
                </c:pt>
                <c:pt idx="16">
                  <c:v>3540.4541117410427</c:v>
                </c:pt>
                <c:pt idx="17">
                  <c:v>3810.6252740755203</c:v>
                </c:pt>
                <c:pt idx="18">
                  <c:v>3198.9362420784246</c:v>
                </c:pt>
                <c:pt idx="19">
                  <c:v>2882.7402909554071</c:v>
                </c:pt>
                <c:pt idx="20">
                  <c:v>2890.9882661335864</c:v>
                </c:pt>
                <c:pt idx="21">
                  <c:v>3125.658563602899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C7-47A4-920B-8C10573FDDD1}"/>
            </c:ext>
          </c:extLst>
        </c:ser>
        <c:ser>
          <c:idx val="2"/>
          <c:order val="2"/>
          <c:tx>
            <c:v>GS &lt;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Data'!$DV$254:$DV$277</c:f>
              <c:numCache>
                <c:formatCode>_(* #,##0_);_(* \(#,##0\);_(* "-"??_);_(@_)</c:formatCode>
                <c:ptCount val="24"/>
                <c:pt idx="0">
                  <c:v>3338.198233582943</c:v>
                </c:pt>
                <c:pt idx="1">
                  <c:v>3085.6229309195051</c:v>
                </c:pt>
                <c:pt idx="2">
                  <c:v>3190.8512862991161</c:v>
                </c:pt>
                <c:pt idx="3">
                  <c:v>2945.1724174423957</c:v>
                </c:pt>
                <c:pt idx="4">
                  <c:v>3155.2636088856066</c:v>
                </c:pt>
                <c:pt idx="5">
                  <c:v>3647.004042763203</c:v>
                </c:pt>
                <c:pt idx="6">
                  <c:v>3856.869062578025</c:v>
                </c:pt>
                <c:pt idx="7">
                  <c:v>3821.2943731153514</c:v>
                </c:pt>
                <c:pt idx="8">
                  <c:v>3335.6466887566621</c:v>
                </c:pt>
                <c:pt idx="9">
                  <c:v>2953.6067598589038</c:v>
                </c:pt>
                <c:pt idx="10">
                  <c:v>2987.1789497813843</c:v>
                </c:pt>
                <c:pt idx="11">
                  <c:v>3214.4139304015393</c:v>
                </c:pt>
                <c:pt idx="12">
                  <c:v>3215.0058082366131</c:v>
                </c:pt>
                <c:pt idx="13">
                  <c:v>2952.9817028900211</c:v>
                </c:pt>
                <c:pt idx="14">
                  <c:v>3159.2013432843892</c:v>
                </c:pt>
                <c:pt idx="15">
                  <c:v>2905.7816151676147</c:v>
                </c:pt>
                <c:pt idx="16">
                  <c:v>3013.9432781107935</c:v>
                </c:pt>
                <c:pt idx="17">
                  <c:v>3230.0478891818325</c:v>
                </c:pt>
                <c:pt idx="18">
                  <c:v>3631.8594373555984</c:v>
                </c:pt>
                <c:pt idx="19">
                  <c:v>3518.5816710880085</c:v>
                </c:pt>
                <c:pt idx="20">
                  <c:v>3185.6020596610588</c:v>
                </c:pt>
                <c:pt idx="21">
                  <c:v>2937.1516023133481</c:v>
                </c:pt>
                <c:pt idx="22">
                  <c:v>2913.2634984890001</c:v>
                </c:pt>
                <c:pt idx="23">
                  <c:v>2999.0904490086946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C7-47A4-920B-8C10573FD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WN'!$AN$5:$AN$14</c:f>
              <c:numCache>
                <c:formatCode>#,##0</c:formatCode>
                <c:ptCount val="10"/>
                <c:pt idx="0">
                  <c:v>6286758</c:v>
                </c:pt>
                <c:pt idx="1">
                  <c:v>6227064</c:v>
                </c:pt>
                <c:pt idx="2">
                  <c:v>4268689</c:v>
                </c:pt>
                <c:pt idx="3">
                  <c:v>2875901</c:v>
                </c:pt>
                <c:pt idx="4">
                  <c:v>2887551</c:v>
                </c:pt>
                <c:pt idx="5">
                  <c:v>2576355</c:v>
                </c:pt>
                <c:pt idx="6">
                  <c:v>2455697</c:v>
                </c:pt>
                <c:pt idx="7">
                  <c:v>2444025</c:v>
                </c:pt>
                <c:pt idx="8">
                  <c:v>2406027</c:v>
                </c:pt>
                <c:pt idx="9">
                  <c:v>2415232.6883003376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6-4B51-83A6-2405EC73573A}"/>
            </c:ext>
          </c:extLst>
        </c:ser>
        <c:ser>
          <c:idx val="2"/>
          <c:order val="1"/>
          <c:tx>
            <c:strRef>
              <c:f>'Normalized Annual Summary WN'!$AQ$3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WN'!$AR$5:$AR$14,'Normalized Annual Summary WN'!$AQ$15:$AQ$16)</c:f>
              <c:numCache>
                <c:formatCode>General</c:formatCode>
                <c:ptCount val="12"/>
                <c:pt idx="10" formatCode="#,##0">
                  <c:v>2424399.2117340649</c:v>
                </c:pt>
                <c:pt idx="11" formatCode="#,##0">
                  <c:v>2433600.5248393081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6-4B51-83A6-2405EC73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WN'!$AP$3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WN'!$AP$5:$AP$14</c:f>
              <c:numCache>
                <c:formatCode>#,##0</c:formatCode>
                <c:ptCount val="10"/>
                <c:pt idx="0">
                  <c:v>2317.414019782515</c:v>
                </c:pt>
                <c:pt idx="1">
                  <c:v>2305.8218286172737</c:v>
                </c:pt>
                <c:pt idx="2">
                  <c:v>1569.4671242110423</c:v>
                </c:pt>
                <c:pt idx="3">
                  <c:v>1044.5161016949153</c:v>
                </c:pt>
                <c:pt idx="4">
                  <c:v>1045.8983398732266</c:v>
                </c:pt>
                <c:pt idx="5">
                  <c:v>930.0920577617328</c:v>
                </c:pt>
                <c:pt idx="6">
                  <c:v>884.19239078252519</c:v>
                </c:pt>
                <c:pt idx="7">
                  <c:v>877.67237251615995</c:v>
                </c:pt>
                <c:pt idx="8">
                  <c:v>861.34618138424821</c:v>
                </c:pt>
                <c:pt idx="9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E-4359-93AD-D95CFD672C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WN'!$AR$5:$AR$14,'Normalized Annual Summary WN'!$AP$15:$AP$16)</c:f>
              <c:numCache>
                <c:formatCode>General</c:formatCode>
                <c:ptCount val="12"/>
                <c:pt idx="10" formatCode="#,##0">
                  <c:v>860.45756790084181</c:v>
                </c:pt>
                <c:pt idx="11" formatCode="#,##0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E-4359-93AD-D95CFD672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WN'!$AT$3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WN'!$AT$5:$AT$14</c:f>
              <c:numCache>
                <c:formatCode>#,##0</c:formatCode>
                <c:ptCount val="10"/>
                <c:pt idx="0">
                  <c:v>350518</c:v>
                </c:pt>
                <c:pt idx="1">
                  <c:v>341134</c:v>
                </c:pt>
                <c:pt idx="2">
                  <c:v>335758</c:v>
                </c:pt>
                <c:pt idx="3">
                  <c:v>304470</c:v>
                </c:pt>
                <c:pt idx="4">
                  <c:v>293755</c:v>
                </c:pt>
                <c:pt idx="5">
                  <c:v>285985</c:v>
                </c:pt>
                <c:pt idx="6">
                  <c:v>281018</c:v>
                </c:pt>
                <c:pt idx="7">
                  <c:v>278297</c:v>
                </c:pt>
                <c:pt idx="8">
                  <c:v>271670</c:v>
                </c:pt>
                <c:pt idx="9">
                  <c:v>269986.47996137134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E-48F6-9EFB-1960C21E9BCE}"/>
            </c:ext>
          </c:extLst>
        </c:ser>
        <c:ser>
          <c:idx val="2"/>
          <c:order val="1"/>
          <c:tx>
            <c:strRef>
              <c:f>'Normalized Annual Summary WN'!$AW$3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WN'!$AX$5:$AX$14,'Normalized Annual Summary WN'!$AW$15:$AW$16)</c:f>
              <c:numCache>
                <c:formatCode>General</c:formatCode>
                <c:ptCount val="12"/>
                <c:pt idx="10" formatCode="#,##0">
                  <c:v>266129.58549679042</c:v>
                </c:pt>
                <c:pt idx="11" formatCode="#,##0">
                  <c:v>262327.78873529832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E-48F6-9EFB-1960C21E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WN'!$AV$3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WN'!$AV$5:$AV$14</c:f>
              <c:numCache>
                <c:formatCode>#,##0</c:formatCode>
                <c:ptCount val="10"/>
                <c:pt idx="0">
                  <c:v>2033.953578336557</c:v>
                </c:pt>
                <c:pt idx="1">
                  <c:v>1960.5402298850574</c:v>
                </c:pt>
                <c:pt idx="2">
                  <c:v>1855.0165745856355</c:v>
                </c:pt>
                <c:pt idx="3">
                  <c:v>1201.4600460374877</c:v>
                </c:pt>
                <c:pt idx="4">
                  <c:v>1210.944692545517</c:v>
                </c:pt>
                <c:pt idx="5">
                  <c:v>1214.8035398230088</c:v>
                </c:pt>
                <c:pt idx="6">
                  <c:v>1232.0847643405189</c:v>
                </c:pt>
                <c:pt idx="7">
                  <c:v>1220.6008771929824</c:v>
                </c:pt>
                <c:pt idx="8">
                  <c:v>1198.5441176470588</c:v>
                </c:pt>
                <c:pt idx="9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8-434D-9F7F-F44112C5503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WN'!$AX$5:$AX$14,'Normalized Annual Summary WN'!$AV$15:$AV$16)</c:f>
              <c:numCache>
                <c:formatCode>General</c:formatCode>
                <c:ptCount val="12"/>
                <c:pt idx="10" formatCode="#,##0">
                  <c:v>1214.7873114122444</c:v>
                </c:pt>
                <c:pt idx="11" formatCode="#,##0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8-434D-9F7F-F44112C5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WN'!$AZ$3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WN'!$AZ$5:$AZ$14</c:f>
              <c:numCache>
                <c:formatCode>#,##0</c:formatCode>
                <c:ptCount val="10"/>
                <c:pt idx="0">
                  <c:v>1555546</c:v>
                </c:pt>
                <c:pt idx="1">
                  <c:v>1558152</c:v>
                </c:pt>
                <c:pt idx="2">
                  <c:v>1554368</c:v>
                </c:pt>
                <c:pt idx="3">
                  <c:v>1549260</c:v>
                </c:pt>
                <c:pt idx="4">
                  <c:v>1547236</c:v>
                </c:pt>
                <c:pt idx="5">
                  <c:v>1541978</c:v>
                </c:pt>
                <c:pt idx="6">
                  <c:v>1442699</c:v>
                </c:pt>
                <c:pt idx="7">
                  <c:v>1408704</c:v>
                </c:pt>
                <c:pt idx="8">
                  <c:v>1408704</c:v>
                </c:pt>
                <c:pt idx="9">
                  <c:v>1408699.1791405117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2-4200-B6DF-E4F1F26DDFE6}"/>
            </c:ext>
          </c:extLst>
        </c:ser>
        <c:ser>
          <c:idx val="2"/>
          <c:order val="1"/>
          <c:tx>
            <c:strRef>
              <c:f>'Normalized Annual Summary WN'!$BC$3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WN'!$BD$5:$BD$14,'Normalized Annual Summary WN'!$BC$15:$BC$16)</c:f>
              <c:numCache>
                <c:formatCode>General</c:formatCode>
                <c:ptCount val="12"/>
                <c:pt idx="10" formatCode="#,##0">
                  <c:v>1396074.1251787506</c:v>
                </c:pt>
                <c:pt idx="11" formatCode="#,##0">
                  <c:v>1383562.2195668274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2-4200-B6DF-E4F1F26DDFE6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2-4200-B6DF-E4F1F26D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WN'!$AP$3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WN'!$BB$5:$BB$14</c:f>
              <c:numCache>
                <c:formatCode>#,##0</c:formatCode>
                <c:ptCount val="10"/>
                <c:pt idx="0">
                  <c:v>11124.286054827175</c:v>
                </c:pt>
                <c:pt idx="1">
                  <c:v>11050.723404255319</c:v>
                </c:pt>
                <c:pt idx="2">
                  <c:v>11175.803475134811</c:v>
                </c:pt>
                <c:pt idx="3">
                  <c:v>11736.818181818182</c:v>
                </c:pt>
                <c:pt idx="4">
                  <c:v>11803.453273998728</c:v>
                </c:pt>
                <c:pt idx="5">
                  <c:v>11899.508681672025</c:v>
                </c:pt>
                <c:pt idx="6">
                  <c:v>11465.157615894041</c:v>
                </c:pt>
                <c:pt idx="7">
                  <c:v>11269.632</c:v>
                </c:pt>
                <c:pt idx="8">
                  <c:v>11269.632</c:v>
                </c:pt>
                <c:pt idx="9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997-A8A3-167E5D075BC5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WN'!$BD$5:$BD$14,'Normalized Annual Summary WN'!$BB$15:$BB$16)</c:f>
              <c:numCache>
                <c:formatCode>General</c:formatCode>
                <c:ptCount val="12"/>
                <c:pt idx="10" formatCode="#,##0">
                  <c:v>11269.593433124093</c:v>
                </c:pt>
                <c:pt idx="11" formatCode="#,##0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997-A8A3-167E5D075BC5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C-4997-A8A3-167E5D07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Data'!$DS$146:$DS$231</c:f>
              <c:numCache>
                <c:formatCode>_(* #,##0_);_(* \(#,##0\);_(* "-"??_);_(@_)</c:formatCode>
                <c:ptCount val="86"/>
                <c:pt idx="12">
                  <c:v>14677049.996043535</c:v>
                </c:pt>
                <c:pt idx="13">
                  <c:v>13478768.996043535</c:v>
                </c:pt>
                <c:pt idx="14">
                  <c:v>14121463.996043535</c:v>
                </c:pt>
                <c:pt idx="15">
                  <c:v>12143523.996043535</c:v>
                </c:pt>
                <c:pt idx="16">
                  <c:v>12823227.996043535</c:v>
                </c:pt>
                <c:pt idx="17">
                  <c:v>14571574.996043535</c:v>
                </c:pt>
                <c:pt idx="18">
                  <c:v>14765493.996043535</c:v>
                </c:pt>
                <c:pt idx="19">
                  <c:v>15775286.996043535</c:v>
                </c:pt>
                <c:pt idx="20">
                  <c:v>15425559.996043535</c:v>
                </c:pt>
                <c:pt idx="21">
                  <c:v>14023622.996043535</c:v>
                </c:pt>
                <c:pt idx="22">
                  <c:v>14115089.996043535</c:v>
                </c:pt>
                <c:pt idx="23">
                  <c:v>14193334.996043535</c:v>
                </c:pt>
                <c:pt idx="24">
                  <c:v>15038637.586746912</c:v>
                </c:pt>
                <c:pt idx="25">
                  <c:v>13367366.586746912</c:v>
                </c:pt>
                <c:pt idx="26">
                  <c:v>13894219.586746912</c:v>
                </c:pt>
                <c:pt idx="27">
                  <c:v>13195995.586746912</c:v>
                </c:pt>
                <c:pt idx="28">
                  <c:v>13772121.586746912</c:v>
                </c:pt>
                <c:pt idx="29">
                  <c:v>14464785.586746912</c:v>
                </c:pt>
                <c:pt idx="30">
                  <c:v>16809253.586746912</c:v>
                </c:pt>
                <c:pt idx="31">
                  <c:v>16862835.586746912</c:v>
                </c:pt>
                <c:pt idx="32">
                  <c:v>17464483.586746912</c:v>
                </c:pt>
                <c:pt idx="33">
                  <c:v>15491531.586746912</c:v>
                </c:pt>
                <c:pt idx="34">
                  <c:v>14874900.586746912</c:v>
                </c:pt>
                <c:pt idx="35">
                  <c:v>14010124.586746912</c:v>
                </c:pt>
                <c:pt idx="36">
                  <c:v>14960104.990234362</c:v>
                </c:pt>
                <c:pt idx="37">
                  <c:v>14559543.990234362</c:v>
                </c:pt>
                <c:pt idx="38">
                  <c:v>14651036.990234362</c:v>
                </c:pt>
                <c:pt idx="39">
                  <c:v>14332331.990234362</c:v>
                </c:pt>
                <c:pt idx="40">
                  <c:v>14811955.990234362</c:v>
                </c:pt>
                <c:pt idx="41">
                  <c:v>16542630.990234362</c:v>
                </c:pt>
                <c:pt idx="42">
                  <c:v>18510097.990234364</c:v>
                </c:pt>
                <c:pt idx="43">
                  <c:v>20687725.990234364</c:v>
                </c:pt>
                <c:pt idx="44">
                  <c:v>19809166.990234364</c:v>
                </c:pt>
                <c:pt idx="45">
                  <c:v>17394767.990234364</c:v>
                </c:pt>
                <c:pt idx="46">
                  <c:v>16436231.990234362</c:v>
                </c:pt>
                <c:pt idx="47">
                  <c:v>16007365.990234362</c:v>
                </c:pt>
                <c:pt idx="48">
                  <c:v>14446532.461887022</c:v>
                </c:pt>
                <c:pt idx="49">
                  <c:v>12489324.461887022</c:v>
                </c:pt>
                <c:pt idx="50">
                  <c:v>14870617.461887022</c:v>
                </c:pt>
                <c:pt idx="51">
                  <c:v>12959068.461887022</c:v>
                </c:pt>
                <c:pt idx="52">
                  <c:v>14186076.461887022</c:v>
                </c:pt>
                <c:pt idx="53">
                  <c:v>15543861.461887022</c:v>
                </c:pt>
                <c:pt idx="54">
                  <c:v>17365234.461887024</c:v>
                </c:pt>
                <c:pt idx="55">
                  <c:v>16941793.461887024</c:v>
                </c:pt>
                <c:pt idx="56">
                  <c:v>17044512.461887024</c:v>
                </c:pt>
                <c:pt idx="57">
                  <c:v>15614935.461887022</c:v>
                </c:pt>
                <c:pt idx="58">
                  <c:v>14960151.461887022</c:v>
                </c:pt>
                <c:pt idx="59">
                  <c:v>13081358.461887022</c:v>
                </c:pt>
                <c:pt idx="60">
                  <c:v>15580080.174657103</c:v>
                </c:pt>
                <c:pt idx="61">
                  <c:v>11579961.174657103</c:v>
                </c:pt>
                <c:pt idx="62">
                  <c:v>14641672.174657103</c:v>
                </c:pt>
                <c:pt idx="63">
                  <c:v>13663498.174657103</c:v>
                </c:pt>
                <c:pt idx="64">
                  <c:v>14444843.174657103</c:v>
                </c:pt>
                <c:pt idx="65">
                  <c:v>15625564.174657103</c:v>
                </c:pt>
                <c:pt idx="66">
                  <c:v>17089508.174657103</c:v>
                </c:pt>
                <c:pt idx="67">
                  <c:v>17969716.174657103</c:v>
                </c:pt>
                <c:pt idx="68">
                  <c:v>18103668.174657103</c:v>
                </c:pt>
                <c:pt idx="69">
                  <c:v>16238325.174657103</c:v>
                </c:pt>
                <c:pt idx="70">
                  <c:v>15711352.174657103</c:v>
                </c:pt>
                <c:pt idx="71">
                  <c:v>14656942.174657103</c:v>
                </c:pt>
                <c:pt idx="72">
                  <c:v>16080001.374472635</c:v>
                </c:pt>
                <c:pt idx="73">
                  <c:v>14838000.374472635</c:v>
                </c:pt>
                <c:pt idx="74">
                  <c:v>15694211.374472635</c:v>
                </c:pt>
                <c:pt idx="75">
                  <c:v>14423362.374472635</c:v>
                </c:pt>
                <c:pt idx="76">
                  <c:v>14808434.374472635</c:v>
                </c:pt>
                <c:pt idx="77">
                  <c:v>15415733.374472635</c:v>
                </c:pt>
                <c:pt idx="78">
                  <c:v>18581661.374472633</c:v>
                </c:pt>
                <c:pt idx="79">
                  <c:v>18671585.374472633</c:v>
                </c:pt>
                <c:pt idx="80">
                  <c:v>18603631.374472633</c:v>
                </c:pt>
                <c:pt idx="81">
                  <c:v>16969281.374472633</c:v>
                </c:pt>
                <c:pt idx="82">
                  <c:v>16215950.374472635</c:v>
                </c:pt>
                <c:pt idx="83">
                  <c:v>15098518.374472635</c:v>
                </c:pt>
                <c:pt idx="84">
                  <c:v>15271808.375952736</c:v>
                </c:pt>
                <c:pt idx="85">
                  <c:v>14811034.375952736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E8-49CC-B46C-4F66E3C4DFF2}"/>
            </c:ext>
          </c:extLst>
        </c:ser>
        <c:ser>
          <c:idx val="1"/>
          <c:order val="1"/>
          <c:tx>
            <c:v>GS &gt;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Data'!$DS$232:$DS$253</c:f>
              <c:numCache>
                <c:formatCode>_(* #,##0_);_(* \(#,##0\);_(* "-"??_);_(@_)</c:formatCode>
                <c:ptCount val="22"/>
                <c:pt idx="0">
                  <c:v>14069415.375952736</c:v>
                </c:pt>
                <c:pt idx="1">
                  <c:v>12021064.375952736</c:v>
                </c:pt>
                <c:pt idx="2">
                  <c:v>12781316.375952736</c:v>
                </c:pt>
                <c:pt idx="3">
                  <c:v>15526321.375952736</c:v>
                </c:pt>
                <c:pt idx="4">
                  <c:v>18470477.375952736</c:v>
                </c:pt>
                <c:pt idx="5">
                  <c:v>18218385.375952736</c:v>
                </c:pt>
                <c:pt idx="6">
                  <c:v>17753847.375952736</c:v>
                </c:pt>
                <c:pt idx="7">
                  <c:v>16343960.375952736</c:v>
                </c:pt>
                <c:pt idx="8">
                  <c:v>15290197.375952736</c:v>
                </c:pt>
                <c:pt idx="9">
                  <c:v>15350534.375952736</c:v>
                </c:pt>
                <c:pt idx="10">
                  <c:v>14829539.657323709</c:v>
                </c:pt>
                <c:pt idx="11">
                  <c:v>14463352.657323709</c:v>
                </c:pt>
                <c:pt idx="12">
                  <c:v>14987614.657323709</c:v>
                </c:pt>
                <c:pt idx="13">
                  <c:v>13569451.657323709</c:v>
                </c:pt>
                <c:pt idx="14">
                  <c:v>14542473.657323709</c:v>
                </c:pt>
                <c:pt idx="15">
                  <c:v>16882499.657323711</c:v>
                </c:pt>
                <c:pt idx="16">
                  <c:v>17823956.657323711</c:v>
                </c:pt>
                <c:pt idx="17">
                  <c:v>20016862.657323711</c:v>
                </c:pt>
                <c:pt idx="18">
                  <c:v>18514000.657323711</c:v>
                </c:pt>
                <c:pt idx="19">
                  <c:v>16453533.657323709</c:v>
                </c:pt>
                <c:pt idx="20">
                  <c:v>16096655.657323709</c:v>
                </c:pt>
                <c:pt idx="21">
                  <c:v>15063042.657323709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E8-49CC-B46C-4F66E3C4DFF2}"/>
            </c:ext>
          </c:extLst>
        </c:ser>
        <c:ser>
          <c:idx val="2"/>
          <c:order val="2"/>
          <c:tx>
            <c:v>GS &gt;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Data'!$DS$254:$DS$277</c:f>
              <c:numCache>
                <c:formatCode>_(* #,##0_);_(* \(#,##0\);_(* "-"??_);_(@_)</c:formatCode>
                <c:ptCount val="24"/>
                <c:pt idx="0">
                  <c:v>15923178.882654494</c:v>
                </c:pt>
                <c:pt idx="1">
                  <c:v>14626504.882654494</c:v>
                </c:pt>
                <c:pt idx="2">
                  <c:v>15391912.882654494</c:v>
                </c:pt>
                <c:pt idx="3">
                  <c:v>14498959.882654494</c:v>
                </c:pt>
                <c:pt idx="4">
                  <c:v>15865841.882654494</c:v>
                </c:pt>
                <c:pt idx="5">
                  <c:v>17673474.882654496</c:v>
                </c:pt>
                <c:pt idx="6">
                  <c:v>18461407.882654496</c:v>
                </c:pt>
                <c:pt idx="7">
                  <c:v>19870185.882654496</c:v>
                </c:pt>
                <c:pt idx="8">
                  <c:v>18388065.882654496</c:v>
                </c:pt>
                <c:pt idx="9">
                  <c:v>16579131.882654494</c:v>
                </c:pt>
                <c:pt idx="10">
                  <c:v>16193570.882654494</c:v>
                </c:pt>
                <c:pt idx="11">
                  <c:v>15808158.882654494</c:v>
                </c:pt>
                <c:pt idx="12">
                  <c:v>15830251.327624639</c:v>
                </c:pt>
                <c:pt idx="13">
                  <c:v>14554219.660621656</c:v>
                </c:pt>
                <c:pt idx="14">
                  <c:v>15953101.46062164</c:v>
                </c:pt>
                <c:pt idx="15">
                  <c:v>14624468.130621644</c:v>
                </c:pt>
                <c:pt idx="16">
                  <c:v>15802234.27025165</c:v>
                </c:pt>
                <c:pt idx="17">
                  <c:v>17314216.540621646</c:v>
                </c:pt>
                <c:pt idx="18">
                  <c:v>20499379.560621645</c:v>
                </c:pt>
                <c:pt idx="19">
                  <c:v>19294498.600621633</c:v>
                </c:pt>
                <c:pt idx="20">
                  <c:v>18423022.120621648</c:v>
                </c:pt>
                <c:pt idx="21">
                  <c:v>17248949.170621652</c:v>
                </c:pt>
                <c:pt idx="22">
                  <c:v>16474136.860621652</c:v>
                </c:pt>
                <c:pt idx="23">
                  <c:v>15393750.390621644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E8-49CC-B46C-4F66E3C4D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GS&gt;50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Data'!$DW$146:$DW$231</c:f>
              <c:numCache>
                <c:formatCode>_(* #,##0_);_(* \(#,##0\);_(* "-"??_);_(@_)</c:formatCode>
                <c:ptCount val="86"/>
                <c:pt idx="12">
                  <c:v>69231.367905865729</c:v>
                </c:pt>
                <c:pt idx="13">
                  <c:v>63880.421782196849</c:v>
                </c:pt>
                <c:pt idx="14">
                  <c:v>65988.149514222125</c:v>
                </c:pt>
                <c:pt idx="15">
                  <c:v>57280.773566243086</c:v>
                </c:pt>
                <c:pt idx="16">
                  <c:v>59921.626149736141</c:v>
                </c:pt>
                <c:pt idx="17">
                  <c:v>67774.767423458296</c:v>
                </c:pt>
                <c:pt idx="18">
                  <c:v>68676.716260667599</c:v>
                </c:pt>
                <c:pt idx="19">
                  <c:v>73716.294374035206</c:v>
                </c:pt>
                <c:pt idx="20">
                  <c:v>71746.79067927225</c:v>
                </c:pt>
                <c:pt idx="21">
                  <c:v>65226.153469969933</c:v>
                </c:pt>
                <c:pt idx="22">
                  <c:v>69191.617627664382</c:v>
                </c:pt>
                <c:pt idx="23">
                  <c:v>68237.187480978537</c:v>
                </c:pt>
                <c:pt idx="24">
                  <c:v>71273.163918231818</c:v>
                </c:pt>
                <c:pt idx="25">
                  <c:v>63654.126603556724</c:v>
                </c:pt>
                <c:pt idx="26">
                  <c:v>66479.519553812977</c:v>
                </c:pt>
                <c:pt idx="27">
                  <c:v>63138.734864817765</c:v>
                </c:pt>
                <c:pt idx="28">
                  <c:v>65895.318596875179</c:v>
                </c:pt>
                <c:pt idx="29">
                  <c:v>68879.931365461482</c:v>
                </c:pt>
                <c:pt idx="30">
                  <c:v>79664.708941928489</c:v>
                </c:pt>
                <c:pt idx="31">
                  <c:v>79168.242191300058</c:v>
                </c:pt>
                <c:pt idx="32">
                  <c:v>79024.812609714543</c:v>
                </c:pt>
                <c:pt idx="33">
                  <c:v>73073.262201636375</c:v>
                </c:pt>
                <c:pt idx="34">
                  <c:v>69508.881246480902</c:v>
                </c:pt>
                <c:pt idx="35">
                  <c:v>64861.687901606078</c:v>
                </c:pt>
                <c:pt idx="36">
                  <c:v>57761.023128317996</c:v>
                </c:pt>
                <c:pt idx="37">
                  <c:v>56214.45556075043</c:v>
                </c:pt>
                <c:pt idx="38">
                  <c:v>56567.71038700526</c:v>
                </c:pt>
                <c:pt idx="39">
                  <c:v>55124.353808593703</c:v>
                </c:pt>
                <c:pt idx="40">
                  <c:v>56750.789234614414</c:v>
                </c:pt>
                <c:pt idx="41">
                  <c:v>65906.89637543571</c:v>
                </c:pt>
                <c:pt idx="42">
                  <c:v>73452.769802517316</c:v>
                </c:pt>
                <c:pt idx="43">
                  <c:v>82421.219084599055</c:v>
                </c:pt>
                <c:pt idx="44">
                  <c:v>78920.984024838108</c:v>
                </c:pt>
                <c:pt idx="45">
                  <c:v>69301.864502925746</c:v>
                </c:pt>
                <c:pt idx="46">
                  <c:v>65482.995977029328</c:v>
                </c:pt>
                <c:pt idx="47">
                  <c:v>64286.610402547638</c:v>
                </c:pt>
                <c:pt idx="48">
                  <c:v>57786.129847548087</c:v>
                </c:pt>
                <c:pt idx="49">
                  <c:v>49957.297847548092</c:v>
                </c:pt>
                <c:pt idx="50">
                  <c:v>59482.469847548091</c:v>
                </c:pt>
                <c:pt idx="51">
                  <c:v>51836.273847548087</c:v>
                </c:pt>
                <c:pt idx="52">
                  <c:v>56744.305847548087</c:v>
                </c:pt>
                <c:pt idx="53">
                  <c:v>62175.445847548093</c:v>
                </c:pt>
                <c:pt idx="54">
                  <c:v>69460.937847548092</c:v>
                </c:pt>
                <c:pt idx="55">
                  <c:v>67767.173847548096</c:v>
                </c:pt>
                <c:pt idx="56">
                  <c:v>68178.0498475481</c:v>
                </c:pt>
                <c:pt idx="57">
                  <c:v>62459.741847548088</c:v>
                </c:pt>
                <c:pt idx="58">
                  <c:v>59840.60584754809</c:v>
                </c:pt>
                <c:pt idx="59">
                  <c:v>52325.433847548091</c:v>
                </c:pt>
                <c:pt idx="60">
                  <c:v>62320.320698628413</c:v>
                </c:pt>
                <c:pt idx="61">
                  <c:v>46505.868171313668</c:v>
                </c:pt>
                <c:pt idx="62">
                  <c:v>58801.896283763468</c:v>
                </c:pt>
                <c:pt idx="63">
                  <c:v>54873.486645209246</c:v>
                </c:pt>
                <c:pt idx="64">
                  <c:v>58011.418372116881</c:v>
                </c:pt>
                <c:pt idx="65">
                  <c:v>64039.19743711927</c:v>
                </c:pt>
                <c:pt idx="66">
                  <c:v>71206.284061071259</c:v>
                </c:pt>
                <c:pt idx="67">
                  <c:v>75187.096965092482</c:v>
                </c:pt>
                <c:pt idx="68">
                  <c:v>75431.950727737931</c:v>
                </c:pt>
                <c:pt idx="69">
                  <c:v>62696.236195587269</c:v>
                </c:pt>
                <c:pt idx="70">
                  <c:v>60196.751627038706</c:v>
                </c:pt>
                <c:pt idx="71">
                  <c:v>55942.527384187415</c:v>
                </c:pt>
                <c:pt idx="72">
                  <c:v>61374.051047605477</c:v>
                </c:pt>
                <c:pt idx="73">
                  <c:v>56633.589215544409</c:v>
                </c:pt>
                <c:pt idx="74">
                  <c:v>59901.570131574939</c:v>
                </c:pt>
                <c:pt idx="75">
                  <c:v>55051.001429284865</c:v>
                </c:pt>
                <c:pt idx="76">
                  <c:v>56520.74188730013</c:v>
                </c:pt>
                <c:pt idx="77">
                  <c:v>58838.677001803953</c:v>
                </c:pt>
                <c:pt idx="78">
                  <c:v>71194.104883036911</c:v>
                </c:pt>
                <c:pt idx="79">
                  <c:v>71538.641281504344</c:v>
                </c:pt>
                <c:pt idx="80">
                  <c:v>71278.281128247632</c:v>
                </c:pt>
                <c:pt idx="81">
                  <c:v>65016.403733611623</c:v>
                </c:pt>
                <c:pt idx="82">
                  <c:v>62130.078063113542</c:v>
                </c:pt>
                <c:pt idx="83">
                  <c:v>57848.729404109712</c:v>
                </c:pt>
                <c:pt idx="84">
                  <c:v>58512.675769933856</c:v>
                </c:pt>
                <c:pt idx="85">
                  <c:v>56747.258145412779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34-43C6-9AFB-B7F1D823833B}"/>
            </c:ext>
          </c:extLst>
        </c:ser>
        <c:ser>
          <c:idx val="1"/>
          <c:order val="1"/>
          <c:tx>
            <c:v>GS &gt;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Data'!$DW$232:$DW$253</c:f>
              <c:numCache>
                <c:formatCode>_(* #,##0_);_(* \(#,##0\);_(* "-"??_);_(@_)</c:formatCode>
                <c:ptCount val="22"/>
                <c:pt idx="0">
                  <c:v>55391.399117924157</c:v>
                </c:pt>
                <c:pt idx="1">
                  <c:v>47141.428925304848</c:v>
                </c:pt>
                <c:pt idx="2">
                  <c:v>49927.017093565373</c:v>
                </c:pt>
                <c:pt idx="3">
                  <c:v>60887.534807657787</c:v>
                </c:pt>
                <c:pt idx="4">
                  <c:v>72433.244611579357</c:v>
                </c:pt>
                <c:pt idx="5">
                  <c:v>71444.648533147978</c:v>
                </c:pt>
                <c:pt idx="6">
                  <c:v>69350.966312315373</c:v>
                </c:pt>
                <c:pt idx="7">
                  <c:v>63843.595218565373</c:v>
                </c:pt>
                <c:pt idx="8">
                  <c:v>59727.333499815373</c:v>
                </c:pt>
                <c:pt idx="9">
                  <c:v>59963.024906065373</c:v>
                </c:pt>
                <c:pt idx="10">
                  <c:v>57927.889286420737</c:v>
                </c:pt>
                <c:pt idx="11">
                  <c:v>56497.471317670737</c:v>
                </c:pt>
                <c:pt idx="12">
                  <c:v>58545.369755170737</c:v>
                </c:pt>
                <c:pt idx="13">
                  <c:v>53005.670536420737</c:v>
                </c:pt>
                <c:pt idx="14">
                  <c:v>56148.546939473781</c:v>
                </c:pt>
                <c:pt idx="15">
                  <c:v>76391.401164360679</c:v>
                </c:pt>
                <c:pt idx="16">
                  <c:v>80651.387589700054</c:v>
                </c:pt>
                <c:pt idx="17">
                  <c:v>90574.039173410449</c:v>
                </c:pt>
                <c:pt idx="18">
                  <c:v>83773.758630424025</c:v>
                </c:pt>
                <c:pt idx="19">
                  <c:v>74450.378539926285</c:v>
                </c:pt>
                <c:pt idx="20">
                  <c:v>72835.545960740768</c:v>
                </c:pt>
                <c:pt idx="21">
                  <c:v>74569.518105562922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34-43C6-9AFB-B7F1D823833B}"/>
            </c:ext>
          </c:extLst>
        </c:ser>
        <c:ser>
          <c:idx val="2"/>
          <c:order val="2"/>
          <c:tx>
            <c:v>GS &gt;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Data'!$DW$254:$DW$277</c:f>
              <c:numCache>
                <c:formatCode>_(* #,##0_);_(* \(#,##0\);_(* "-"??_);_(@_)</c:formatCode>
                <c:ptCount val="24"/>
                <c:pt idx="0">
                  <c:v>78439.304840662531</c:v>
                </c:pt>
                <c:pt idx="1">
                  <c:v>72051.748190416227</c:v>
                </c:pt>
                <c:pt idx="2">
                  <c:v>75450.55334634555</c:v>
                </c:pt>
                <c:pt idx="3">
                  <c:v>71073.332758110264</c:v>
                </c:pt>
                <c:pt idx="4">
                  <c:v>77018.649915798509</c:v>
                </c:pt>
                <c:pt idx="5">
                  <c:v>85793.567391526682</c:v>
                </c:pt>
                <c:pt idx="6">
                  <c:v>88756.768666608157</c:v>
                </c:pt>
                <c:pt idx="7">
                  <c:v>95529.739820454299</c:v>
                </c:pt>
                <c:pt idx="8">
                  <c:v>87147.231671348316</c:v>
                </c:pt>
                <c:pt idx="9">
                  <c:v>75018.696301604039</c:v>
                </c:pt>
                <c:pt idx="10">
                  <c:v>72616.909787688317</c:v>
                </c:pt>
                <c:pt idx="11">
                  <c:v>70572.137868993275</c:v>
                </c:pt>
                <c:pt idx="12">
                  <c:v>70356.672567220623</c:v>
                </c:pt>
                <c:pt idx="13">
                  <c:v>64685.420713874024</c:v>
                </c:pt>
                <c:pt idx="14">
                  <c:v>70902.673158318401</c:v>
                </c:pt>
                <c:pt idx="15">
                  <c:v>64997.636136096196</c:v>
                </c:pt>
                <c:pt idx="16">
                  <c:v>68113.0787510847</c:v>
                </c:pt>
                <c:pt idx="17">
                  <c:v>74630.243709576054</c:v>
                </c:pt>
                <c:pt idx="18">
                  <c:v>88359.394657851924</c:v>
                </c:pt>
                <c:pt idx="19">
                  <c:v>83165.942244058766</c:v>
                </c:pt>
                <c:pt idx="20">
                  <c:v>79068.764466187335</c:v>
                </c:pt>
                <c:pt idx="21">
                  <c:v>73713.457994109631</c:v>
                </c:pt>
                <c:pt idx="22">
                  <c:v>70402.294276160901</c:v>
                </c:pt>
                <c:pt idx="23">
                  <c:v>65505.320811155929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34-43C6-9AFB-B7F1D823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ED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ED (2014-2015)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'Weather Data'!$R$146:$R$181</c:f>
              <c:numCache>
                <c:formatCode>0.0</c:formatCode>
                <c:ptCount val="3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</c:numCache>
            </c:numRef>
          </c:xVal>
          <c:yVal>
            <c:numRef>
              <c:f>'Weather Data'!$DT$146:$DT$181</c:f>
              <c:numCache>
                <c:formatCode>_(* #,##0_);_(* \(#,##0\);_(* "-"??_);_(@_)</c:formatCode>
                <c:ptCount val="36"/>
                <c:pt idx="12">
                  <c:v>3490024</c:v>
                </c:pt>
                <c:pt idx="13">
                  <c:v>3101238</c:v>
                </c:pt>
                <c:pt idx="14">
                  <c:v>3182338</c:v>
                </c:pt>
                <c:pt idx="15">
                  <c:v>2976481</c:v>
                </c:pt>
                <c:pt idx="16">
                  <c:v>3042348</c:v>
                </c:pt>
                <c:pt idx="17">
                  <c:v>3409531</c:v>
                </c:pt>
                <c:pt idx="18">
                  <c:v>3573547</c:v>
                </c:pt>
                <c:pt idx="19">
                  <c:v>2693259</c:v>
                </c:pt>
                <c:pt idx="20">
                  <c:v>3111799</c:v>
                </c:pt>
                <c:pt idx="21">
                  <c:v>2963385</c:v>
                </c:pt>
                <c:pt idx="22">
                  <c:v>3181573</c:v>
                </c:pt>
                <c:pt idx="23">
                  <c:v>3333306</c:v>
                </c:pt>
                <c:pt idx="24">
                  <c:v>3747992</c:v>
                </c:pt>
                <c:pt idx="25">
                  <c:v>3564671</c:v>
                </c:pt>
                <c:pt idx="26">
                  <c:v>3449912</c:v>
                </c:pt>
                <c:pt idx="27">
                  <c:v>3013821</c:v>
                </c:pt>
                <c:pt idx="28">
                  <c:v>2960403</c:v>
                </c:pt>
                <c:pt idx="29">
                  <c:v>3221522</c:v>
                </c:pt>
                <c:pt idx="30">
                  <c:v>4072605</c:v>
                </c:pt>
                <c:pt idx="31">
                  <c:v>3555685</c:v>
                </c:pt>
                <c:pt idx="32">
                  <c:v>3226818</c:v>
                </c:pt>
                <c:pt idx="33">
                  <c:v>2870641</c:v>
                </c:pt>
                <c:pt idx="34">
                  <c:v>2607047</c:v>
                </c:pt>
                <c:pt idx="35">
                  <c:v>2364501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0A-4C4B-A574-D9AD2CA755AD}"/>
            </c:ext>
          </c:extLst>
        </c:ser>
        <c:ser>
          <c:idx val="0"/>
          <c:order val="1"/>
          <c:tx>
            <c:v>ED (2016-Feb 2020)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Data'!$R$182:$R$231</c:f>
              <c:numCache>
                <c:formatCode>0.0</c:formatCode>
                <c:ptCount val="50"/>
                <c:pt idx="0">
                  <c:v>-2.8032258064516129</c:v>
                </c:pt>
                <c:pt idx="1">
                  <c:v>-0.97241379310344833</c:v>
                </c:pt>
                <c:pt idx="2">
                  <c:v>4.9548387096774196</c:v>
                </c:pt>
                <c:pt idx="3">
                  <c:v>6.9300000000000015</c:v>
                </c:pt>
                <c:pt idx="4">
                  <c:v>15.122580645161293</c:v>
                </c:pt>
                <c:pt idx="5">
                  <c:v>21.150000000000002</c:v>
                </c:pt>
                <c:pt idx="6">
                  <c:v>23.751612903225805</c:v>
                </c:pt>
                <c:pt idx="7">
                  <c:v>23.641935483870963</c:v>
                </c:pt>
                <c:pt idx="8">
                  <c:v>19.376666666666665</c:v>
                </c:pt>
                <c:pt idx="9">
                  <c:v>12.867741935483869</c:v>
                </c:pt>
                <c:pt idx="10">
                  <c:v>7.49</c:v>
                </c:pt>
                <c:pt idx="11">
                  <c:v>-2.1032258064516132</c:v>
                </c:pt>
                <c:pt idx="12">
                  <c:v>-0.84516129032258069</c:v>
                </c:pt>
                <c:pt idx="13">
                  <c:v>2.2607142857142857</c:v>
                </c:pt>
                <c:pt idx="14">
                  <c:v>1.6354838709677419</c:v>
                </c:pt>
                <c:pt idx="15">
                  <c:v>11.35</c:v>
                </c:pt>
                <c:pt idx="16">
                  <c:v>14.206451612903226</c:v>
                </c:pt>
                <c:pt idx="17">
                  <c:v>21.110000000000003</c:v>
                </c:pt>
                <c:pt idx="18">
                  <c:v>22.41935483870968</c:v>
                </c:pt>
                <c:pt idx="19">
                  <c:v>20.383870967741935</c:v>
                </c:pt>
                <c:pt idx="20">
                  <c:v>18.296666666666667</c:v>
                </c:pt>
                <c:pt idx="21">
                  <c:v>13.496774193548386</c:v>
                </c:pt>
                <c:pt idx="22">
                  <c:v>4.1688159002863392</c:v>
                </c:pt>
                <c:pt idx="23">
                  <c:v>-3.6774193548387095</c:v>
                </c:pt>
                <c:pt idx="24">
                  <c:v>-4.7612903225806438</c:v>
                </c:pt>
                <c:pt idx="25">
                  <c:v>-1.4464285714285716</c:v>
                </c:pt>
                <c:pt idx="26">
                  <c:v>0.76129032258064511</c:v>
                </c:pt>
                <c:pt idx="27">
                  <c:v>4.8133333333333344</c:v>
                </c:pt>
                <c:pt idx="28">
                  <c:v>17.580645161290327</c:v>
                </c:pt>
                <c:pt idx="29">
                  <c:v>20.876666666666669</c:v>
                </c:pt>
                <c:pt idx="30">
                  <c:v>23.261290322580646</c:v>
                </c:pt>
                <c:pt idx="31">
                  <c:v>23.154838709677417</c:v>
                </c:pt>
                <c:pt idx="32">
                  <c:v>19.463333333333335</c:v>
                </c:pt>
                <c:pt idx="33">
                  <c:v>10.816129032258065</c:v>
                </c:pt>
                <c:pt idx="34">
                  <c:v>1.80881590028634</c:v>
                </c:pt>
                <c:pt idx="35">
                  <c:v>0.78064516129032258</c:v>
                </c:pt>
                <c:pt idx="36">
                  <c:v>-4.9612903225806457</c:v>
                </c:pt>
                <c:pt idx="37">
                  <c:v>-2.7464285714285714</c:v>
                </c:pt>
                <c:pt idx="38">
                  <c:v>0.27741935483871</c:v>
                </c:pt>
                <c:pt idx="39">
                  <c:v>8.7199999999999989</c:v>
                </c:pt>
                <c:pt idx="40">
                  <c:v>13.835483870967741</c:v>
                </c:pt>
                <c:pt idx="41">
                  <c:v>19.200000000000003</c:v>
                </c:pt>
                <c:pt idx="42">
                  <c:v>24.144015387373877</c:v>
                </c:pt>
                <c:pt idx="43">
                  <c:v>21.998854097051296</c:v>
                </c:pt>
                <c:pt idx="44">
                  <c:v>19.206666666666667</c:v>
                </c:pt>
                <c:pt idx="45">
                  <c:v>11.664516129032259</c:v>
                </c:pt>
                <c:pt idx="46">
                  <c:v>1.4933333333333334</c:v>
                </c:pt>
                <c:pt idx="47">
                  <c:v>0.97096774193548374</c:v>
                </c:pt>
                <c:pt idx="48">
                  <c:v>-0.1032258064516129</c:v>
                </c:pt>
                <c:pt idx="49">
                  <c:v>-1.6310344827586205</c:v>
                </c:pt>
              </c:numCache>
            </c:numRef>
          </c:xVal>
          <c:yVal>
            <c:numRef>
              <c:f>'Weather Data'!$DT$182:$DT$231</c:f>
              <c:numCache>
                <c:formatCode>_(* #,##0_);_(* \(#,##0\);_(* "-"??_);_(@_)</c:formatCode>
                <c:ptCount val="50"/>
                <c:pt idx="0">
                  <c:v>2580598</c:v>
                </c:pt>
                <c:pt idx="1">
                  <c:v>2518509</c:v>
                </c:pt>
                <c:pt idx="2">
                  <c:v>2565586</c:v>
                </c:pt>
                <c:pt idx="3">
                  <c:v>2289773</c:v>
                </c:pt>
                <c:pt idx="4">
                  <c:v>2326556</c:v>
                </c:pt>
                <c:pt idx="5">
                  <c:v>2706683</c:v>
                </c:pt>
                <c:pt idx="6">
                  <c:v>3094570</c:v>
                </c:pt>
                <c:pt idx="7">
                  <c:v>3564597</c:v>
                </c:pt>
                <c:pt idx="8">
                  <c:v>2934361</c:v>
                </c:pt>
                <c:pt idx="9">
                  <c:v>2701535</c:v>
                </c:pt>
                <c:pt idx="10">
                  <c:v>2668913</c:v>
                </c:pt>
                <c:pt idx="11">
                  <c:v>2635161</c:v>
                </c:pt>
                <c:pt idx="12">
                  <c:v>3109978</c:v>
                </c:pt>
                <c:pt idx="13">
                  <c:v>2736036</c:v>
                </c:pt>
                <c:pt idx="14">
                  <c:v>2956591</c:v>
                </c:pt>
                <c:pt idx="15">
                  <c:v>2405329</c:v>
                </c:pt>
                <c:pt idx="16">
                  <c:v>2604156</c:v>
                </c:pt>
                <c:pt idx="17">
                  <c:v>2874524</c:v>
                </c:pt>
                <c:pt idx="18">
                  <c:v>2922427</c:v>
                </c:pt>
                <c:pt idx="19">
                  <c:v>3048623</c:v>
                </c:pt>
                <c:pt idx="20">
                  <c:v>2734668</c:v>
                </c:pt>
                <c:pt idx="21">
                  <c:v>2665747</c:v>
                </c:pt>
                <c:pt idx="22">
                  <c:v>2738878</c:v>
                </c:pt>
                <c:pt idx="23">
                  <c:v>2623050</c:v>
                </c:pt>
                <c:pt idx="24">
                  <c:v>2945901</c:v>
                </c:pt>
                <c:pt idx="25">
                  <c:v>2641888</c:v>
                </c:pt>
                <c:pt idx="26">
                  <c:v>2707092</c:v>
                </c:pt>
                <c:pt idx="27">
                  <c:v>2546244</c:v>
                </c:pt>
                <c:pt idx="28">
                  <c:v>2646635</c:v>
                </c:pt>
                <c:pt idx="29">
                  <c:v>2755014</c:v>
                </c:pt>
                <c:pt idx="30">
                  <c:v>2895706</c:v>
                </c:pt>
                <c:pt idx="31">
                  <c:v>2972667</c:v>
                </c:pt>
                <c:pt idx="32">
                  <c:v>2476319</c:v>
                </c:pt>
                <c:pt idx="33">
                  <c:v>2237779</c:v>
                </c:pt>
                <c:pt idx="34">
                  <c:v>2748670</c:v>
                </c:pt>
                <c:pt idx="35">
                  <c:v>2349326</c:v>
                </c:pt>
                <c:pt idx="36">
                  <c:v>2994820</c:v>
                </c:pt>
                <c:pt idx="37">
                  <c:v>2804290</c:v>
                </c:pt>
                <c:pt idx="38">
                  <c:v>2876384</c:v>
                </c:pt>
                <c:pt idx="39">
                  <c:v>2696906</c:v>
                </c:pt>
                <c:pt idx="40">
                  <c:v>2767778</c:v>
                </c:pt>
                <c:pt idx="41">
                  <c:v>2804829</c:v>
                </c:pt>
                <c:pt idx="42">
                  <c:v>3303632</c:v>
                </c:pt>
                <c:pt idx="43">
                  <c:v>3098231</c:v>
                </c:pt>
                <c:pt idx="44">
                  <c:v>2896036</c:v>
                </c:pt>
                <c:pt idx="45">
                  <c:v>2797177</c:v>
                </c:pt>
                <c:pt idx="46">
                  <c:v>2901691</c:v>
                </c:pt>
                <c:pt idx="47">
                  <c:v>2584611</c:v>
                </c:pt>
                <c:pt idx="48">
                  <c:v>2683483</c:v>
                </c:pt>
                <c:pt idx="49">
                  <c:v>2439682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02-4AA0-8A5B-42DD56E27508}"/>
            </c:ext>
          </c:extLst>
        </c:ser>
        <c:ser>
          <c:idx val="1"/>
          <c:order val="2"/>
          <c:tx>
            <c:v>ED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Data'!$DT$232:$DT$253</c:f>
              <c:numCache>
                <c:formatCode>_(* #,##0_);_(* \(#,##0\);_(* "-"??_);_(@_)</c:formatCode>
                <c:ptCount val="22"/>
                <c:pt idx="0">
                  <c:v>2394362</c:v>
                </c:pt>
                <c:pt idx="1">
                  <c:v>1877577</c:v>
                </c:pt>
                <c:pt idx="2">
                  <c:v>2179756</c:v>
                </c:pt>
                <c:pt idx="3">
                  <c:v>2539378</c:v>
                </c:pt>
                <c:pt idx="4">
                  <c:v>2920232</c:v>
                </c:pt>
                <c:pt idx="5">
                  <c:v>2655205</c:v>
                </c:pt>
                <c:pt idx="6">
                  <c:v>2348776</c:v>
                </c:pt>
                <c:pt idx="7">
                  <c:v>2222132</c:v>
                </c:pt>
                <c:pt idx="8">
                  <c:v>2529849</c:v>
                </c:pt>
                <c:pt idx="9">
                  <c:v>2398255</c:v>
                </c:pt>
                <c:pt idx="10">
                  <c:v>2476889</c:v>
                </c:pt>
                <c:pt idx="11">
                  <c:v>2421447</c:v>
                </c:pt>
                <c:pt idx="12">
                  <c:v>1798087</c:v>
                </c:pt>
                <c:pt idx="13">
                  <c:v>1779970</c:v>
                </c:pt>
                <c:pt idx="14">
                  <c:v>2156240</c:v>
                </c:pt>
                <c:pt idx="15">
                  <c:v>2661577</c:v>
                </c:pt>
                <c:pt idx="16">
                  <c:v>2641727</c:v>
                </c:pt>
                <c:pt idx="17">
                  <c:v>2810916</c:v>
                </c:pt>
                <c:pt idx="18">
                  <c:v>2370134</c:v>
                </c:pt>
                <c:pt idx="19">
                  <c:v>2288392</c:v>
                </c:pt>
                <c:pt idx="20">
                  <c:v>2388052</c:v>
                </c:pt>
                <c:pt idx="21">
                  <c:v>2282252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2-4AA0-8A5B-42DD56E27508}"/>
            </c:ext>
          </c:extLst>
        </c:ser>
        <c:ser>
          <c:idx val="2"/>
          <c:order val="3"/>
          <c:tx>
            <c:v>ED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Data'!$DT$254:$DT$277</c:f>
              <c:numCache>
                <c:formatCode>_(* #,##0_);_(* \(#,##0\);_(* "-"??_);_(@_)</c:formatCode>
                <c:ptCount val="24"/>
                <c:pt idx="0">
                  <c:v>2458213</c:v>
                </c:pt>
                <c:pt idx="1">
                  <c:v>2115178</c:v>
                </c:pt>
                <c:pt idx="2">
                  <c:v>2122133</c:v>
                </c:pt>
                <c:pt idx="3">
                  <c:v>2129088</c:v>
                </c:pt>
                <c:pt idx="4">
                  <c:v>2149513</c:v>
                </c:pt>
                <c:pt idx="5">
                  <c:v>2446520</c:v>
                </c:pt>
                <c:pt idx="6">
                  <c:v>2691240</c:v>
                </c:pt>
                <c:pt idx="7">
                  <c:v>2769504</c:v>
                </c:pt>
                <c:pt idx="8">
                  <c:v>2440616</c:v>
                </c:pt>
                <c:pt idx="9">
                  <c:v>2187893</c:v>
                </c:pt>
                <c:pt idx="10">
                  <c:v>2451162</c:v>
                </c:pt>
                <c:pt idx="11">
                  <c:v>2831510</c:v>
                </c:pt>
                <c:pt idx="12">
                  <c:v>3051532.49</c:v>
                </c:pt>
                <c:pt idx="13">
                  <c:v>2758376.97</c:v>
                </c:pt>
                <c:pt idx="14">
                  <c:v>2464136.4899999998</c:v>
                </c:pt>
                <c:pt idx="15">
                  <c:v>2549361.0900000003</c:v>
                </c:pt>
                <c:pt idx="16">
                  <c:v>2835930.8300000005</c:v>
                </c:pt>
                <c:pt idx="17">
                  <c:v>3027700.49</c:v>
                </c:pt>
                <c:pt idx="18">
                  <c:v>3284416.84</c:v>
                </c:pt>
                <c:pt idx="19">
                  <c:v>3286746.61</c:v>
                </c:pt>
                <c:pt idx="20">
                  <c:v>2966546.81</c:v>
                </c:pt>
                <c:pt idx="21">
                  <c:v>2745572.4499999997</c:v>
                </c:pt>
                <c:pt idx="22">
                  <c:v>2746667.53</c:v>
                </c:pt>
                <c:pt idx="23">
                  <c:v>2567239.4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02-4AA0-8A5B-42DD56E2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ED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Data'!$DX$146:$DX$231</c:f>
              <c:numCache>
                <c:formatCode>_(* #,##0_);_(* \(#,##0\);_(* "-"??_);_(@_)</c:formatCode>
                <c:ptCount val="86"/>
                <c:pt idx="12">
                  <c:v>581670.66666666663</c:v>
                </c:pt>
                <c:pt idx="13">
                  <c:v>516873</c:v>
                </c:pt>
                <c:pt idx="14">
                  <c:v>530389.66666666663</c:v>
                </c:pt>
                <c:pt idx="15">
                  <c:v>496080.16666666669</c:v>
                </c:pt>
                <c:pt idx="16">
                  <c:v>507058</c:v>
                </c:pt>
                <c:pt idx="17">
                  <c:v>568255.16666666663</c:v>
                </c:pt>
                <c:pt idx="18">
                  <c:v>595591.16666666663</c:v>
                </c:pt>
                <c:pt idx="19">
                  <c:v>448876.5</c:v>
                </c:pt>
                <c:pt idx="20">
                  <c:v>518633.16666666669</c:v>
                </c:pt>
                <c:pt idx="21">
                  <c:v>493897.5</c:v>
                </c:pt>
                <c:pt idx="22">
                  <c:v>530262.16666666663</c:v>
                </c:pt>
                <c:pt idx="23">
                  <c:v>555551</c:v>
                </c:pt>
                <c:pt idx="24">
                  <c:v>624665.33333333337</c:v>
                </c:pt>
                <c:pt idx="25">
                  <c:v>594111.83333333337</c:v>
                </c:pt>
                <c:pt idx="26">
                  <c:v>574985.33333333337</c:v>
                </c:pt>
                <c:pt idx="27">
                  <c:v>502303.5</c:v>
                </c:pt>
                <c:pt idx="28">
                  <c:v>493400.5</c:v>
                </c:pt>
                <c:pt idx="29">
                  <c:v>536920.33333333337</c:v>
                </c:pt>
                <c:pt idx="30">
                  <c:v>678767.5</c:v>
                </c:pt>
                <c:pt idx="31">
                  <c:v>592614.16666666663</c:v>
                </c:pt>
                <c:pt idx="32">
                  <c:v>537803</c:v>
                </c:pt>
                <c:pt idx="33">
                  <c:v>478440.16666666669</c:v>
                </c:pt>
                <c:pt idx="34">
                  <c:v>651761.75</c:v>
                </c:pt>
                <c:pt idx="35">
                  <c:v>591125.25</c:v>
                </c:pt>
                <c:pt idx="36">
                  <c:v>860199.33333333337</c:v>
                </c:pt>
                <c:pt idx="37">
                  <c:v>839503</c:v>
                </c:pt>
                <c:pt idx="38">
                  <c:v>855195.33333333337</c:v>
                </c:pt>
                <c:pt idx="39">
                  <c:v>763257.66666666663</c:v>
                </c:pt>
                <c:pt idx="40">
                  <c:v>775518.66666666663</c:v>
                </c:pt>
                <c:pt idx="41">
                  <c:v>902227.66666666663</c:v>
                </c:pt>
                <c:pt idx="42">
                  <c:v>1031523.3333333334</c:v>
                </c:pt>
                <c:pt idx="43">
                  <c:v>1188199</c:v>
                </c:pt>
                <c:pt idx="44">
                  <c:v>978120.33333333337</c:v>
                </c:pt>
                <c:pt idx="45">
                  <c:v>900511.66666666663</c:v>
                </c:pt>
                <c:pt idx="46">
                  <c:v>889637.66666666663</c:v>
                </c:pt>
                <c:pt idx="47">
                  <c:v>878387</c:v>
                </c:pt>
                <c:pt idx="48">
                  <c:v>777494.5</c:v>
                </c:pt>
                <c:pt idx="49">
                  <c:v>684009</c:v>
                </c:pt>
                <c:pt idx="50">
                  <c:v>739147.75</c:v>
                </c:pt>
                <c:pt idx="51">
                  <c:v>601332.25</c:v>
                </c:pt>
                <c:pt idx="52">
                  <c:v>651039</c:v>
                </c:pt>
                <c:pt idx="53">
                  <c:v>718631</c:v>
                </c:pt>
                <c:pt idx="54">
                  <c:v>730606.75</c:v>
                </c:pt>
                <c:pt idx="55">
                  <c:v>762155.75</c:v>
                </c:pt>
                <c:pt idx="56">
                  <c:v>683667</c:v>
                </c:pt>
                <c:pt idx="57">
                  <c:v>666436.75</c:v>
                </c:pt>
                <c:pt idx="58">
                  <c:v>684719.5</c:v>
                </c:pt>
                <c:pt idx="59">
                  <c:v>524610</c:v>
                </c:pt>
                <c:pt idx="60">
                  <c:v>589180.19999999995</c:v>
                </c:pt>
                <c:pt idx="61">
                  <c:v>528377.59999999998</c:v>
                </c:pt>
                <c:pt idx="62">
                  <c:v>541418.4</c:v>
                </c:pt>
                <c:pt idx="63">
                  <c:v>509248.8</c:v>
                </c:pt>
                <c:pt idx="64">
                  <c:v>529327</c:v>
                </c:pt>
                <c:pt idx="65">
                  <c:v>551002.80000000005</c:v>
                </c:pt>
                <c:pt idx="66">
                  <c:v>579141.19999999995</c:v>
                </c:pt>
                <c:pt idx="67">
                  <c:v>594533.4</c:v>
                </c:pt>
                <c:pt idx="68">
                  <c:v>495263.8</c:v>
                </c:pt>
                <c:pt idx="69">
                  <c:v>559444.75</c:v>
                </c:pt>
                <c:pt idx="70">
                  <c:v>687167.5</c:v>
                </c:pt>
                <c:pt idx="71">
                  <c:v>587331.5</c:v>
                </c:pt>
                <c:pt idx="72">
                  <c:v>748705</c:v>
                </c:pt>
                <c:pt idx="73">
                  <c:v>701072.5</c:v>
                </c:pt>
                <c:pt idx="74">
                  <c:v>719096</c:v>
                </c:pt>
                <c:pt idx="75">
                  <c:v>674226.5</c:v>
                </c:pt>
                <c:pt idx="76">
                  <c:v>691944.5</c:v>
                </c:pt>
                <c:pt idx="77">
                  <c:v>701207.25</c:v>
                </c:pt>
                <c:pt idx="78">
                  <c:v>825908</c:v>
                </c:pt>
                <c:pt idx="79">
                  <c:v>774557.75</c:v>
                </c:pt>
                <c:pt idx="80">
                  <c:v>724009</c:v>
                </c:pt>
                <c:pt idx="81">
                  <c:v>699294.25</c:v>
                </c:pt>
                <c:pt idx="82">
                  <c:v>725422.75</c:v>
                </c:pt>
                <c:pt idx="83">
                  <c:v>646152.75</c:v>
                </c:pt>
                <c:pt idx="84">
                  <c:v>670870.75</c:v>
                </c:pt>
                <c:pt idx="85">
                  <c:v>609920.5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25-4F72-8535-5D78C67204B3}"/>
            </c:ext>
          </c:extLst>
        </c:ser>
        <c:ser>
          <c:idx val="1"/>
          <c:order val="1"/>
          <c:tx>
            <c:v>ED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Data'!$DX$232:$DX$253</c:f>
              <c:numCache>
                <c:formatCode>_(* #,##0_);_(* \(#,##0\);_(* "-"??_);_(@_)</c:formatCode>
                <c:ptCount val="22"/>
                <c:pt idx="0">
                  <c:v>598590.5</c:v>
                </c:pt>
                <c:pt idx="1">
                  <c:v>469394.25</c:v>
                </c:pt>
                <c:pt idx="2">
                  <c:v>544939</c:v>
                </c:pt>
                <c:pt idx="3">
                  <c:v>634844.5</c:v>
                </c:pt>
                <c:pt idx="4">
                  <c:v>730058</c:v>
                </c:pt>
                <c:pt idx="5">
                  <c:v>663801.25</c:v>
                </c:pt>
                <c:pt idx="6">
                  <c:v>587194</c:v>
                </c:pt>
                <c:pt idx="7">
                  <c:v>555533</c:v>
                </c:pt>
                <c:pt idx="8">
                  <c:v>632462.25</c:v>
                </c:pt>
                <c:pt idx="9">
                  <c:v>599563.75</c:v>
                </c:pt>
                <c:pt idx="10">
                  <c:v>619222.25</c:v>
                </c:pt>
                <c:pt idx="11">
                  <c:v>605361.75</c:v>
                </c:pt>
                <c:pt idx="12">
                  <c:v>449521.75</c:v>
                </c:pt>
                <c:pt idx="13">
                  <c:v>444992.5</c:v>
                </c:pt>
                <c:pt idx="14">
                  <c:v>539060</c:v>
                </c:pt>
                <c:pt idx="15">
                  <c:v>665394.25</c:v>
                </c:pt>
                <c:pt idx="16">
                  <c:v>660431.75</c:v>
                </c:pt>
                <c:pt idx="17">
                  <c:v>702729</c:v>
                </c:pt>
                <c:pt idx="18">
                  <c:v>592533.5</c:v>
                </c:pt>
                <c:pt idx="19">
                  <c:v>572098</c:v>
                </c:pt>
                <c:pt idx="20">
                  <c:v>597013</c:v>
                </c:pt>
                <c:pt idx="21">
                  <c:v>570563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25-4F72-8535-5D78C67204B3}"/>
            </c:ext>
          </c:extLst>
        </c:ser>
        <c:ser>
          <c:idx val="2"/>
          <c:order val="2"/>
          <c:tx>
            <c:v>ED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Data'!$DX$254:$DX$277</c:f>
              <c:numCache>
                <c:formatCode>_(* #,##0_);_(* \(#,##0\);_(* "-"??_);_(@_)</c:formatCode>
                <c:ptCount val="24"/>
                <c:pt idx="0">
                  <c:v>614553.25</c:v>
                </c:pt>
                <c:pt idx="1">
                  <c:v>528794.5</c:v>
                </c:pt>
                <c:pt idx="2">
                  <c:v>530533.25</c:v>
                </c:pt>
                <c:pt idx="3">
                  <c:v>532272</c:v>
                </c:pt>
                <c:pt idx="4">
                  <c:v>537378.25</c:v>
                </c:pt>
                <c:pt idx="5">
                  <c:v>611630</c:v>
                </c:pt>
                <c:pt idx="6">
                  <c:v>672810</c:v>
                </c:pt>
                <c:pt idx="7">
                  <c:v>692376</c:v>
                </c:pt>
                <c:pt idx="8">
                  <c:v>610154</c:v>
                </c:pt>
                <c:pt idx="9">
                  <c:v>546973.25</c:v>
                </c:pt>
                <c:pt idx="10">
                  <c:v>612790.5</c:v>
                </c:pt>
                <c:pt idx="11">
                  <c:v>707877.5</c:v>
                </c:pt>
                <c:pt idx="12">
                  <c:v>762883.12250000006</c:v>
                </c:pt>
                <c:pt idx="13">
                  <c:v>689594.24250000005</c:v>
                </c:pt>
                <c:pt idx="14">
                  <c:v>616034.12249999994</c:v>
                </c:pt>
                <c:pt idx="15">
                  <c:v>637340.27250000008</c:v>
                </c:pt>
                <c:pt idx="16">
                  <c:v>708982.70750000014</c:v>
                </c:pt>
                <c:pt idx="17">
                  <c:v>756925.12250000006</c:v>
                </c:pt>
                <c:pt idx="18">
                  <c:v>821104.21</c:v>
                </c:pt>
                <c:pt idx="19">
                  <c:v>821686.65249999997</c:v>
                </c:pt>
                <c:pt idx="20">
                  <c:v>741636.70250000001</c:v>
                </c:pt>
                <c:pt idx="21">
                  <c:v>686393.11249999993</c:v>
                </c:pt>
                <c:pt idx="22">
                  <c:v>686666.88249999995</c:v>
                </c:pt>
                <c:pt idx="23">
                  <c:v>641809.85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25-4F72-8535-5D78C672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FE0370-3851-4D02-8A63-EA16988E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143</xdr:col>
      <xdr:colOff>257175</xdr:colOff>
      <xdr:row>4</xdr:row>
      <xdr:rowOff>123825</xdr:rowOff>
    </xdr:from>
    <xdr:to>
      <xdr:col>154</xdr:col>
      <xdr:colOff>600075</xdr:colOff>
      <xdr:row>23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BFBF22-ACF8-45AD-BACB-66B0442F0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131</xdr:col>
      <xdr:colOff>28575</xdr:colOff>
      <xdr:row>24</xdr:row>
      <xdr:rowOff>85725</xdr:rowOff>
    </xdr:from>
    <xdr:to>
      <xdr:col>142</xdr:col>
      <xdr:colOff>371475</xdr:colOff>
      <xdr:row>42</xdr:row>
      <xdr:rowOff>171450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A76E3F-7A1C-4189-9CF0-82666B5C1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285750</xdr:colOff>
      <xdr:row>24</xdr:row>
      <xdr:rowOff>19050</xdr:rowOff>
    </xdr:from>
    <xdr:to>
      <xdr:col>155</xdr:col>
      <xdr:colOff>19050</xdr:colOff>
      <xdr:row>42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47F4A0-102C-4049-94BE-83FACD1C7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131</xdr:col>
      <xdr:colOff>0</xdr:colOff>
      <xdr:row>44</xdr:row>
      <xdr:rowOff>66675</xdr:rowOff>
    </xdr:from>
    <xdr:to>
      <xdr:col>142</xdr:col>
      <xdr:colOff>342900</xdr:colOff>
      <xdr:row>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996C0FC-AC13-4BF7-AA92-6FA3DF48A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143</xdr:col>
      <xdr:colOff>257175</xdr:colOff>
      <xdr:row>44</xdr:row>
      <xdr:rowOff>0</xdr:rowOff>
    </xdr:from>
    <xdr:to>
      <xdr:col>154</xdr:col>
      <xdr:colOff>600075</xdr:colOff>
      <xdr:row>62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3F340D6-AB1D-47EC-8098-3341D4500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131</xdr:col>
      <xdr:colOff>0</xdr:colOff>
      <xdr:row>64</xdr:row>
      <xdr:rowOff>66675</xdr:rowOff>
    </xdr:from>
    <xdr:to>
      <xdr:col>142</xdr:col>
      <xdr:colOff>342900</xdr:colOff>
      <xdr:row>82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55B056-7175-4A59-B3C0-80515AC8E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143</xdr:col>
      <xdr:colOff>257175</xdr:colOff>
      <xdr:row>64</xdr:row>
      <xdr:rowOff>0</xdr:rowOff>
    </xdr:from>
    <xdr:to>
      <xdr:col>154</xdr:col>
      <xdr:colOff>600075</xdr:colOff>
      <xdr:row>82</xdr:row>
      <xdr:rowOff>85725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35F2E7-4CC2-407A-BF52-47CE3CDD0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200024</xdr:colOff>
      <xdr:row>26</xdr:row>
      <xdr:rowOff>76200</xdr:rowOff>
    </xdr:from>
    <xdr:to>
      <xdr:col>32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133349</xdr:colOff>
      <xdr:row>22</xdr:row>
      <xdr:rowOff>171450</xdr:rowOff>
    </xdr:from>
    <xdr:to>
      <xdr:col>27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133349</xdr:colOff>
      <xdr:row>22</xdr:row>
      <xdr:rowOff>171450</xdr:rowOff>
    </xdr:from>
    <xdr:to>
      <xdr:col>29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C88B60-64F7-4E60-A5D5-8CBC50396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19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523875</xdr:colOff>
      <xdr:row>17</xdr:row>
      <xdr:rowOff>19050</xdr:rowOff>
    </xdr:from>
    <xdr:to>
      <xdr:col>30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76200</xdr:colOff>
      <xdr:row>17</xdr:row>
      <xdr:rowOff>0</xdr:rowOff>
    </xdr:from>
    <xdr:to>
      <xdr:col>39</xdr:col>
      <xdr:colOff>200025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390525</xdr:colOff>
      <xdr:row>16</xdr:row>
      <xdr:rowOff>180975</xdr:rowOff>
    </xdr:from>
    <xdr:to>
      <xdr:col>45</xdr:col>
      <xdr:colOff>266700</xdr:colOff>
      <xdr:row>36</xdr:row>
      <xdr:rowOff>9525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400050</xdr:colOff>
      <xdr:row>36</xdr:row>
      <xdr:rowOff>133350</xdr:rowOff>
    </xdr:from>
    <xdr:to>
      <xdr:col>45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38100</xdr:colOff>
      <xdr:row>16</xdr:row>
      <xdr:rowOff>133350</xdr:rowOff>
    </xdr:from>
    <xdr:to>
      <xdr:col>51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47625</xdr:colOff>
      <xdr:row>37</xdr:row>
      <xdr:rowOff>38099</xdr:rowOff>
    </xdr:from>
    <xdr:to>
      <xdr:col>51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52</xdr:col>
      <xdr:colOff>0</xdr:colOff>
      <xdr:row>17</xdr:row>
      <xdr:rowOff>0</xdr:rowOff>
    </xdr:from>
    <xdr:to>
      <xdr:col>57</xdr:col>
      <xdr:colOff>704850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52</xdr:col>
      <xdr:colOff>9525</xdr:colOff>
      <xdr:row>37</xdr:row>
      <xdr:rowOff>95249</xdr:rowOff>
    </xdr:from>
    <xdr:to>
      <xdr:col>58</xdr:col>
      <xdr:colOff>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62</xdr:row>
      <xdr:rowOff>38100</xdr:rowOff>
    </xdr:from>
    <xdr:to>
      <xdr:col>7</xdr:col>
      <xdr:colOff>304800</xdr:colOff>
      <xdr:row>76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171450</xdr:colOff>
      <xdr:row>76</xdr:row>
      <xdr:rowOff>114300</xdr:rowOff>
    </xdr:from>
    <xdr:to>
      <xdr:col>18</xdr:col>
      <xdr:colOff>495299</xdr:colOff>
      <xdr:row>91</xdr:row>
      <xdr:rowOff>14289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123826</xdr:colOff>
      <xdr:row>62</xdr:row>
      <xdr:rowOff>152399</xdr:rowOff>
    </xdr:from>
    <xdr:to>
      <xdr:col>29</xdr:col>
      <xdr:colOff>685801</xdr:colOff>
      <xdr:row>76</xdr:row>
      <xdr:rowOff>180974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342899</xdr:colOff>
      <xdr:row>62</xdr:row>
      <xdr:rowOff>123824</xdr:rowOff>
    </xdr:from>
    <xdr:to>
      <xdr:col>14</xdr:col>
      <xdr:colOff>438150</xdr:colOff>
      <xdr:row>76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609600</xdr:colOff>
      <xdr:row>62</xdr:row>
      <xdr:rowOff>57150</xdr:rowOff>
    </xdr:from>
    <xdr:to>
      <xdr:col>22</xdr:col>
      <xdr:colOff>428625</xdr:colOff>
      <xdr:row>76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114299</xdr:colOff>
      <xdr:row>76</xdr:row>
      <xdr:rowOff>104775</xdr:rowOff>
    </xdr:from>
    <xdr:to>
      <xdr:col>10</xdr:col>
      <xdr:colOff>380999</xdr:colOff>
      <xdr:row>90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95250</xdr:colOff>
      <xdr:row>40</xdr:row>
      <xdr:rowOff>23812</xdr:rowOff>
    </xdr:from>
    <xdr:to>
      <xdr:col>27</xdr:col>
      <xdr:colOff>428625</xdr:colOff>
      <xdr:row>57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11C416-9C91-EC8D-CD76-10B72AD4F5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238125</xdr:colOff>
      <xdr:row>35</xdr:row>
      <xdr:rowOff>111125</xdr:rowOff>
    </xdr:from>
    <xdr:to>
      <xdr:col>6</xdr:col>
      <xdr:colOff>523875</xdr:colOff>
      <xdr:row>52</xdr:row>
      <xdr:rowOff>111125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F195F4-8C32-030E-55EE-07423AA56F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24</xdr:row>
      <xdr:rowOff>95250</xdr:rowOff>
    </xdr:from>
    <xdr:to>
      <xdr:col>40</xdr:col>
      <xdr:colOff>266699</xdr:colOff>
      <xdr:row>44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5F40E7-B008-4533-87C9-0506D0A58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171449</xdr:colOff>
      <xdr:row>23</xdr:row>
      <xdr:rowOff>0</xdr:rowOff>
    </xdr:from>
    <xdr:to>
      <xdr:col>33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068FCB-EE56-47A3-AD48-238C3B6F7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200024</xdr:colOff>
      <xdr:row>26</xdr:row>
      <xdr:rowOff>76200</xdr:rowOff>
    </xdr:from>
    <xdr:to>
      <xdr:col>34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DF6721-FE14-4B7C-A172-AC22A6A4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133349</xdr:colOff>
      <xdr:row>22</xdr:row>
      <xdr:rowOff>171450</xdr:rowOff>
    </xdr:from>
    <xdr:to>
      <xdr:col>29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E15E17-73D4-4968-9BB5-5796347B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466724</xdr:colOff>
      <xdr:row>23</xdr:row>
      <xdr:rowOff>95250</xdr:rowOff>
    </xdr:from>
    <xdr:to>
      <xdr:col>38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8</xdr:col>
      <xdr:colOff>438150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88ECC7-94DD-4B08-AFF8-2C8694A68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23</xdr:col>
      <xdr:colOff>57150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F90F8F-5AA5-42B7-AAFE-4EC551F0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352425</xdr:colOff>
      <xdr:row>38</xdr:row>
      <xdr:rowOff>152400</xdr:rowOff>
    </xdr:from>
    <xdr:to>
      <xdr:col>29</xdr:col>
      <xdr:colOff>123825</xdr:colOff>
      <xdr:row>58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323B82-B87F-443A-8F7C-7AD02D61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457200</xdr:colOff>
      <xdr:row>16</xdr:row>
      <xdr:rowOff>180975</xdr:rowOff>
    </xdr:from>
    <xdr:to>
      <xdr:col>37</xdr:col>
      <xdr:colOff>295275</xdr:colOff>
      <xdr:row>36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6773C-DA6F-4C58-BD7F-79D59E260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381000</xdr:colOff>
      <xdr:row>16</xdr:row>
      <xdr:rowOff>161925</xdr:rowOff>
    </xdr:from>
    <xdr:to>
      <xdr:col>43</xdr:col>
      <xdr:colOff>257175</xdr:colOff>
      <xdr:row>35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EFAA1D-D5CC-4B07-AAB9-7F7009B80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400050</xdr:colOff>
      <xdr:row>36</xdr:row>
      <xdr:rowOff>133350</xdr:rowOff>
    </xdr:from>
    <xdr:to>
      <xdr:col>43</xdr:col>
      <xdr:colOff>228600</xdr:colOff>
      <xdr:row>50</xdr:row>
      <xdr:rowOff>161924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57C70C-59AF-4D86-B2A7-BED5C0188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38100</xdr:colOff>
      <xdr:row>16</xdr:row>
      <xdr:rowOff>133350</xdr:rowOff>
    </xdr:from>
    <xdr:to>
      <xdr:col>49</xdr:col>
      <xdr:colOff>323850</xdr:colOff>
      <xdr:row>36</xdr:row>
      <xdr:rowOff>104775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3FD957-E340-43A0-B5ED-70C190E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47625</xdr:colOff>
      <xdr:row>37</xdr:row>
      <xdr:rowOff>38099</xdr:rowOff>
    </xdr:from>
    <xdr:to>
      <xdr:col>49</xdr:col>
      <xdr:colOff>304800</xdr:colOff>
      <xdr:row>51</xdr:row>
      <xdr:rowOff>85724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117DE9-9D24-4990-8506-0E64FD9BA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0</xdr:colOff>
      <xdr:row>17</xdr:row>
      <xdr:rowOff>0</xdr:rowOff>
    </xdr:from>
    <xdr:to>
      <xdr:col>55</xdr:col>
      <xdr:colOff>704850</xdr:colOff>
      <xdr:row>36</xdr:row>
      <xdr:rowOff>161925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73E004A-67B3-4F74-AFD1-41187BE8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9525</xdr:colOff>
      <xdr:row>37</xdr:row>
      <xdr:rowOff>95249</xdr:rowOff>
    </xdr:from>
    <xdr:to>
      <xdr:col>56</xdr:col>
      <xdr:colOff>0</xdr:colOff>
      <xdr:row>51</xdr:row>
      <xdr:rowOff>142874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F3441B3-8B06-4AF8-8BBD-C93C8DC2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1028699</xdr:colOff>
      <xdr:row>24</xdr:row>
      <xdr:rowOff>142875</xdr:rowOff>
    </xdr:from>
    <xdr:to>
      <xdr:col>34</xdr:col>
      <xdr:colOff>581025</xdr:colOff>
      <xdr:row>44</xdr:row>
      <xdr:rowOff>166008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19049</xdr:colOff>
      <xdr:row>25</xdr:row>
      <xdr:rowOff>50800</xdr:rowOff>
    </xdr:from>
    <xdr:to>
      <xdr:col>37</xdr:col>
      <xdr:colOff>47625</xdr:colOff>
      <xdr:row>45</xdr:row>
      <xdr:rowOff>73933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552449</xdr:colOff>
      <xdr:row>22</xdr:row>
      <xdr:rowOff>66675</xdr:rowOff>
    </xdr:from>
    <xdr:to>
      <xdr:col>30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61150F-68F7-4397-89CA-F1A49F554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552449</xdr:colOff>
      <xdr:row>22</xdr:row>
      <xdr:rowOff>66675</xdr:rowOff>
    </xdr:from>
    <xdr:to>
      <xdr:col>34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9AF4CB-9628-4671-BF93-E72525A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17</xdr:row>
      <xdr:rowOff>114300</xdr:rowOff>
    </xdr:from>
    <xdr:to>
      <xdr:col>20</xdr:col>
      <xdr:colOff>1323974</xdr:colOff>
      <xdr:row>33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17</xdr:row>
      <xdr:rowOff>66676</xdr:rowOff>
    </xdr:from>
    <xdr:to>
      <xdr:col>5</xdr:col>
      <xdr:colOff>638175</xdr:colOff>
      <xdr:row>33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781050</xdr:colOff>
      <xdr:row>17</xdr:row>
      <xdr:rowOff>85726</xdr:rowOff>
    </xdr:from>
    <xdr:to>
      <xdr:col>10</xdr:col>
      <xdr:colOff>695325</xdr:colOff>
      <xdr:row>33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800101</xdr:colOff>
      <xdr:row>17</xdr:row>
      <xdr:rowOff>114300</xdr:rowOff>
    </xdr:from>
    <xdr:to>
      <xdr:col>15</xdr:col>
      <xdr:colOff>1019175</xdr:colOff>
      <xdr:row>33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466724</xdr:colOff>
      <xdr:row>24</xdr:row>
      <xdr:rowOff>95250</xdr:rowOff>
    </xdr:from>
    <xdr:to>
      <xdr:col>37</xdr:col>
      <xdr:colOff>266699</xdr:colOff>
      <xdr:row>44</xdr:row>
      <xdr:rowOff>118383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F49E5B-B0FC-4776-8DB9-9E6213964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171449</xdr:colOff>
      <xdr:row>23</xdr:row>
      <xdr:rowOff>0</xdr:rowOff>
    </xdr:from>
    <xdr:to>
      <xdr:col>31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ather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76DF3-5927-4839-9F5D-FE34448BE92D}">
  <sheetPr>
    <tabColor theme="2" tint="-9.9978637043366805E-2"/>
  </sheetPr>
  <dimension ref="A1:DW255"/>
  <sheetViews>
    <sheetView zoomScaleNormal="100" workbookViewId="0">
      <pane xSplit="1" ySplit="1" topLeftCell="S2" activePane="bottomRight" state="frozen"/>
      <selection pane="bottomRight" activeCell="Y20" sqref="Y20"/>
      <selection pane="bottomLeft" activeCell="AE3" sqref="AE3"/>
      <selection pane="topRight" activeCell="AE3" sqref="AE3"/>
    </sheetView>
  </sheetViews>
  <sheetFormatPr defaultRowHeight="14.45"/>
  <cols>
    <col min="1" max="1" width="8.7109375" customWidth="1"/>
    <col min="2" max="2" width="6.140625" customWidth="1"/>
    <col min="3" max="3" width="15.140625" style="6" bestFit="1" customWidth="1"/>
    <col min="4" max="5" width="15.140625" style="6" customWidth="1"/>
    <col min="6" max="6" width="10.85546875" style="6" bestFit="1" customWidth="1"/>
    <col min="7" max="7" width="15.140625" style="6" bestFit="1" customWidth="1"/>
    <col min="8" max="9" width="15.140625" style="6" customWidth="1"/>
    <col min="10" max="10" width="10.85546875" style="6" bestFit="1" customWidth="1"/>
    <col min="11" max="11" width="15" style="6" bestFit="1" customWidth="1"/>
    <col min="12" max="13" width="15" style="6" customWidth="1"/>
    <col min="14" max="14" width="11.5703125" style="6" bestFit="1" customWidth="1"/>
    <col min="15" max="15" width="10.85546875" style="6" bestFit="1" customWidth="1"/>
    <col min="16" max="16" width="12.85546875" style="6" bestFit="1" customWidth="1"/>
    <col min="17" max="17" width="13.42578125" style="6" bestFit="1" customWidth="1"/>
    <col min="18" max="18" width="10.85546875" style="6" bestFit="1" customWidth="1"/>
    <col min="19" max="19" width="11.28515625" style="6" bestFit="1" customWidth="1"/>
    <col min="20" max="20" width="9.42578125" style="6" bestFit="1" customWidth="1"/>
    <col min="21" max="21" width="10.85546875" style="6" bestFit="1" customWidth="1"/>
    <col min="22" max="22" width="12.85546875" style="6" bestFit="1" customWidth="1"/>
    <col min="23" max="23" width="10.85546875" bestFit="1" customWidth="1"/>
    <col min="24" max="24" width="15" style="6" customWidth="1"/>
    <col min="25" max="25" width="11.28515625" style="6" bestFit="1" customWidth="1"/>
    <col min="26" max="26" width="10.85546875" style="6" bestFit="1" customWidth="1"/>
    <col min="42" max="42" width="10.28515625" bestFit="1" customWidth="1"/>
    <col min="43" max="45" width="10.140625" customWidth="1"/>
    <col min="46" max="46" width="10.5703125" bestFit="1" customWidth="1"/>
    <col min="47" max="61" width="10.5703125" customWidth="1"/>
    <col min="63" max="63" width="9.140625" style="101"/>
    <col min="81" max="81" width="11.140625" customWidth="1"/>
    <col min="82" max="82" width="8.140625" bestFit="1" customWidth="1"/>
    <col min="83" max="83" width="12.140625" bestFit="1" customWidth="1"/>
    <col min="84" max="84" width="12.140625" customWidth="1"/>
    <col min="85" max="85" width="12.140625" bestFit="1" customWidth="1"/>
    <col min="86" max="99" width="9.85546875" customWidth="1"/>
    <col min="100" max="100" width="9.5703125" bestFit="1" customWidth="1"/>
    <col min="101" max="101" width="12.42578125" bestFit="1" customWidth="1"/>
    <col min="102" max="102" width="14.42578125" bestFit="1" customWidth="1"/>
    <col min="103" max="103" width="10.7109375" bestFit="1" customWidth="1"/>
    <col min="104" max="104" width="15" bestFit="1" customWidth="1"/>
    <col min="105" max="105" width="12.140625" bestFit="1" customWidth="1"/>
    <col min="106" max="106" width="13.28515625" bestFit="1" customWidth="1"/>
    <col min="107" max="107" width="13.140625" bestFit="1" customWidth="1"/>
    <col min="108" max="108" width="13.28515625" bestFit="1" customWidth="1"/>
    <col min="109" max="109" width="13.140625" bestFit="1" customWidth="1"/>
    <col min="110" max="110" width="13.28515625" bestFit="1" customWidth="1"/>
    <col min="111" max="111" width="13.140625" bestFit="1" customWidth="1"/>
    <col min="112" max="112" width="13.28515625" bestFit="1" customWidth="1"/>
    <col min="113" max="113" width="13.140625" bestFit="1" customWidth="1"/>
    <col min="114" max="114" width="13.28515625" bestFit="1" customWidth="1"/>
    <col min="115" max="115" width="13.140625" bestFit="1" customWidth="1"/>
    <col min="116" max="116" width="13.28515625" bestFit="1" customWidth="1"/>
    <col min="117" max="117" width="13.140625" bestFit="1" customWidth="1"/>
    <col min="118" max="118" width="12.140625" bestFit="1" customWidth="1"/>
    <col min="119" max="119" width="12" bestFit="1" customWidth="1"/>
    <col min="127" max="127" width="10.5703125" bestFit="1" customWidth="1"/>
  </cols>
  <sheetData>
    <row r="1" spans="1:127">
      <c r="A1" s="1" t="s">
        <v>0</v>
      </c>
      <c r="B1" s="1" t="s">
        <v>1</v>
      </c>
      <c r="C1" s="2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1" t="s">
        <v>22</v>
      </c>
      <c r="X1" s="181" t="s">
        <v>23</v>
      </c>
      <c r="Y1" s="181" t="s">
        <v>24</v>
      </c>
      <c r="Z1" s="5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s="68" t="s">
        <v>41</v>
      </c>
      <c r="AQ1" s="68" t="s">
        <v>42</v>
      </c>
      <c r="AR1" s="68" t="s">
        <v>43</v>
      </c>
      <c r="AS1" s="68" t="s">
        <v>44</v>
      </c>
      <c r="AT1" s="68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70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69" t="s">
        <v>85</v>
      </c>
      <c r="CI1" s="69" t="s">
        <v>86</v>
      </c>
      <c r="CJ1" s="69" t="s">
        <v>87</v>
      </c>
      <c r="CK1" s="69" t="s">
        <v>88</v>
      </c>
      <c r="CL1" s="69" t="s">
        <v>89</v>
      </c>
      <c r="CM1" s="69" t="s">
        <v>90</v>
      </c>
      <c r="CN1" s="69" t="s">
        <v>91</v>
      </c>
      <c r="CO1" s="69" t="s">
        <v>92</v>
      </c>
      <c r="CP1" s="69" t="s">
        <v>93</v>
      </c>
      <c r="CQ1" s="69" t="s">
        <v>94</v>
      </c>
      <c r="CR1" s="69" t="s">
        <v>95</v>
      </c>
      <c r="CS1" s="69" t="s">
        <v>96</v>
      </c>
      <c r="CT1" s="69" t="s">
        <v>97</v>
      </c>
      <c r="CU1" s="69" t="s">
        <v>98</v>
      </c>
      <c r="CV1" s="69" t="s">
        <v>99</v>
      </c>
      <c r="CW1" s="69" t="s">
        <v>100</v>
      </c>
      <c r="CX1" s="69" t="s">
        <v>101</v>
      </c>
      <c r="CY1" s="69" t="s">
        <v>102</v>
      </c>
      <c r="CZ1" s="69" t="s">
        <v>103</v>
      </c>
      <c r="DA1" s="69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s="321" t="s">
        <v>125</v>
      </c>
      <c r="DW1" t="s">
        <v>126</v>
      </c>
    </row>
    <row r="2" spans="1:127" s="2" customFormat="1">
      <c r="A2" s="3">
        <v>41640</v>
      </c>
      <c r="B2">
        <f>YEAR(A2)</f>
        <v>2014</v>
      </c>
      <c r="C2" s="2">
        <v>22431856</v>
      </c>
      <c r="D2" s="2">
        <f>VLOOKUP(B2,'Historic CDM'!$B$135:$H$146,2,FALSE)/12</f>
        <v>232660.83668167001</v>
      </c>
      <c r="E2" s="2">
        <f>C2+D2</f>
        <v>22664516.836681671</v>
      </c>
      <c r="F2" s="6">
        <v>26476</v>
      </c>
      <c r="G2" s="219">
        <v>5964765</v>
      </c>
      <c r="H2" s="2">
        <f>VLOOKUP(B2,'Historic CDM'!$B$135:$H$147,3,FALSE)/12</f>
        <v>218299.07952460984</v>
      </c>
      <c r="I2" s="2">
        <f>G2+H2</f>
        <v>6183064.0795246102</v>
      </c>
      <c r="J2" s="6">
        <v>1899</v>
      </c>
      <c r="K2" s="219">
        <v>14437294</v>
      </c>
      <c r="L2" s="2">
        <f>VLOOKUP(B2,'Historic CDM'!$B$135:$H$146,4,FALSE)/12</f>
        <v>239755.99604353451</v>
      </c>
      <c r="M2" s="2">
        <f t="shared" ref="M2:M21" si="0">K2+L2</f>
        <v>14677049.996043535</v>
      </c>
      <c r="N2" s="222">
        <v>34457</v>
      </c>
      <c r="O2" s="220">
        <v>212</v>
      </c>
      <c r="P2" s="220">
        <v>666319</v>
      </c>
      <c r="Q2" s="2">
        <v>1591</v>
      </c>
      <c r="R2" s="220">
        <v>2712</v>
      </c>
      <c r="S2" s="220">
        <v>32738</v>
      </c>
      <c r="T2" s="2">
        <v>74</v>
      </c>
      <c r="U2" s="220">
        <v>175</v>
      </c>
      <c r="V2" s="221">
        <v>129846</v>
      </c>
      <c r="W2" s="220">
        <v>141</v>
      </c>
      <c r="X2" s="2">
        <v>3490024</v>
      </c>
      <c r="Y2" s="2">
        <v>8019</v>
      </c>
      <c r="Z2" s="220">
        <v>6</v>
      </c>
      <c r="AA2" s="100">
        <f>'Weather Data'!D158</f>
        <v>871.69999999999993</v>
      </c>
      <c r="AB2" s="100">
        <f>'Weather Data'!E158</f>
        <v>0</v>
      </c>
      <c r="AC2" s="100">
        <f>'Weather Data'!F158</f>
        <v>809.69999999999993</v>
      </c>
      <c r="AD2" s="100">
        <f>'Weather Data'!G158</f>
        <v>0</v>
      </c>
      <c r="AE2" s="100">
        <f>'Weather Data'!H158</f>
        <v>747.69999999999982</v>
      </c>
      <c r="AF2" s="100">
        <f>'Weather Data'!I158</f>
        <v>0</v>
      </c>
      <c r="AG2" s="100">
        <f>'Weather Data'!J158</f>
        <v>685.69999999999982</v>
      </c>
      <c r="AH2" s="100">
        <f>'Weather Data'!K158</f>
        <v>0</v>
      </c>
      <c r="AI2" s="100">
        <f>'Weather Data'!L158</f>
        <v>623.69999999999993</v>
      </c>
      <c r="AJ2" s="100">
        <f>'Weather Data'!M158</f>
        <v>0</v>
      </c>
      <c r="AK2" s="100">
        <f>'Weather Data'!N158</f>
        <v>561.70000000000005</v>
      </c>
      <c r="AL2" s="100">
        <f>'Weather Data'!O158</f>
        <v>0</v>
      </c>
      <c r="AM2" s="100">
        <f>'Weather Data'!P158</f>
        <v>499.7</v>
      </c>
      <c r="AN2" s="100">
        <f>'Weather Data'!Q158</f>
        <v>0</v>
      </c>
      <c r="AO2" s="100">
        <f>'Weather Data'!R158</f>
        <v>-8.1193548387096772</v>
      </c>
      <c r="AP2" s="5">
        <f>'Economic Data'!D28</f>
        <v>6812.5</v>
      </c>
      <c r="AQ2" s="5">
        <f>'Economic Data'!E28</f>
        <v>6770.4</v>
      </c>
      <c r="AR2" s="5">
        <f>'Economic Data'!F28</f>
        <v>158.80000000000001</v>
      </c>
      <c r="AS2" s="5">
        <f>'Economic Data'!G28</f>
        <v>157.80000000000001</v>
      </c>
      <c r="AT2" s="5">
        <f>'Economic Data'!H28</f>
        <v>708787.6</v>
      </c>
      <c r="AU2" s="5">
        <f>'Economic Data'!I28</f>
        <v>6474.7</v>
      </c>
      <c r="AV2" s="5">
        <f>'Economic Data'!J28</f>
        <v>5461.8</v>
      </c>
      <c r="AW2" s="5">
        <f>'Economic Data'!K28</f>
        <v>4020.9</v>
      </c>
      <c r="AX2" s="5">
        <f>'Economic Data'!L28</f>
        <v>912.8</v>
      </c>
      <c r="AY2" s="5">
        <f>'Economic Data'!M28</f>
        <v>444.1</v>
      </c>
      <c r="AZ2" s="5">
        <f>'Economic Data'!N28</f>
        <v>8082.4</v>
      </c>
      <c r="BA2" s="5">
        <f>'Economic Data'!O28</f>
        <v>10.8</v>
      </c>
      <c r="BB2" s="5">
        <f>'Economic Data'!P28</f>
        <v>292</v>
      </c>
      <c r="BC2" s="5">
        <f>'Economic Data'!Q28</f>
        <v>699057</v>
      </c>
      <c r="BD2" s="5">
        <f>'Economic Data'!R28</f>
        <v>6558</v>
      </c>
      <c r="BE2" s="5">
        <f>'Economic Data'!S28</f>
        <v>3966</v>
      </c>
      <c r="BF2" s="5">
        <f>'Economic Data'!T28</f>
        <v>12346</v>
      </c>
      <c r="BG2" s="5">
        <v>0</v>
      </c>
      <c r="BH2" s="5">
        <v>0</v>
      </c>
      <c r="BI2" s="5">
        <v>0</v>
      </c>
      <c r="BJ2" s="5">
        <v>1</v>
      </c>
      <c r="BK2" s="70">
        <f t="shared" ref="BK2:BK54" si="1">LOG(BJ2)</f>
        <v>0</v>
      </c>
      <c r="BL2" s="5">
        <f t="shared" ref="BL2:BL54" si="2">BJ2^2</f>
        <v>1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f t="shared" ref="CA2:CA13" si="3">BY2+BZ2</f>
        <v>0</v>
      </c>
      <c r="CB2">
        <v>31</v>
      </c>
      <c r="CC2">
        <v>22</v>
      </c>
      <c r="CD2">
        <v>0</v>
      </c>
      <c r="CE2">
        <v>0</v>
      </c>
      <c r="CF2">
        <v>0</v>
      </c>
      <c r="CG2">
        <v>0</v>
      </c>
      <c r="CH2" s="64">
        <f t="shared" ref="CH2:CH21" si="4">AA2*$CD2</f>
        <v>0</v>
      </c>
      <c r="CI2" s="64">
        <f t="shared" ref="CI2:CI21" si="5">AB2*$CD2</f>
        <v>0</v>
      </c>
      <c r="CJ2" s="64">
        <f t="shared" ref="CJ2:CJ21" si="6">AC2*$CD2</f>
        <v>0</v>
      </c>
      <c r="CK2" s="64">
        <f t="shared" ref="CK2:CK21" si="7">AD2*$CD2</f>
        <v>0</v>
      </c>
      <c r="CL2" s="64">
        <f t="shared" ref="CL2:CL21" si="8">AE2*$CD2</f>
        <v>0</v>
      </c>
      <c r="CM2" s="64">
        <f t="shared" ref="CM2:CM21" si="9">AF2*$CD2</f>
        <v>0</v>
      </c>
      <c r="CN2" s="64">
        <f t="shared" ref="CN2:CN21" si="10">AG2*$CD2</f>
        <v>0</v>
      </c>
      <c r="CO2" s="64">
        <f t="shared" ref="CO2:CO21" si="11">AH2*$CD2</f>
        <v>0</v>
      </c>
      <c r="CP2" s="64">
        <f t="shared" ref="CP2:CP21" si="12">AI2*$CD2</f>
        <v>0</v>
      </c>
      <c r="CQ2" s="64">
        <f t="shared" ref="CQ2:CQ21" si="13">AJ2*$CD2</f>
        <v>0</v>
      </c>
      <c r="CR2" s="64">
        <f t="shared" ref="CR2:CR21" si="14">AK2*$CD2</f>
        <v>0</v>
      </c>
      <c r="CS2" s="64">
        <f t="shared" ref="CS2:CS21" si="15">AL2*$CD2</f>
        <v>0</v>
      </c>
      <c r="CT2" s="64">
        <f t="shared" ref="CT2:CT21" si="16">AM2*$CD2</f>
        <v>0</v>
      </c>
      <c r="CU2" s="64">
        <f t="shared" ref="CU2:CU21" si="17">AN2*$CD2</f>
        <v>0</v>
      </c>
      <c r="CV2" s="69">
        <f t="shared" ref="CV2:CV21" si="18">E2/$CB2/F2</f>
        <v>27.614195737444103</v>
      </c>
      <c r="CW2" s="69">
        <f t="shared" ref="CW2:CW21" si="19">I2/$CB2/O2</f>
        <v>940.81924521068322</v>
      </c>
      <c r="CX2" s="69">
        <f t="shared" ref="CX2:CX54" si="20">M2/$CC2/O2</f>
        <v>3146.8803593575331</v>
      </c>
      <c r="CY2" s="69">
        <f t="shared" ref="CY2:CY21" si="21">X2/$CC2/Z2</f>
        <v>26439.57575757576</v>
      </c>
      <c r="CZ2" s="64">
        <f t="shared" ref="CZ2:CZ54" si="22">M2/$CB2/O2</f>
        <v>2233.2699324472815</v>
      </c>
      <c r="DA2" s="64">
        <f t="shared" ref="DA2:DA21" si="23">X2/$CB2/Z2</f>
        <v>18763.569892473119</v>
      </c>
      <c r="DB2" s="64">
        <f t="shared" ref="DB2:DB54" si="24">$CF2*AA2</f>
        <v>0</v>
      </c>
      <c r="DC2" s="64">
        <f t="shared" ref="DC2:DC54" si="25">$CF2*AB2</f>
        <v>0</v>
      </c>
      <c r="DD2" s="64">
        <f t="shared" ref="DD2:DD54" si="26">$CF2*AC2</f>
        <v>0</v>
      </c>
      <c r="DE2" s="64">
        <f t="shared" ref="DE2:DE54" si="27">$CF2*AD2</f>
        <v>0</v>
      </c>
      <c r="DF2" s="64">
        <f t="shared" ref="DF2:DF54" si="28">$CF2*AE2</f>
        <v>0</v>
      </c>
      <c r="DG2" s="64">
        <f t="shared" ref="DG2:DG54" si="29">$CF2*AF2</f>
        <v>0</v>
      </c>
      <c r="DH2" s="64">
        <f t="shared" ref="DH2:DH54" si="30">$CF2*AG2</f>
        <v>0</v>
      </c>
      <c r="DI2" s="64">
        <f t="shared" ref="DI2:DI54" si="31">$CF2*AH2</f>
        <v>0</v>
      </c>
      <c r="DJ2" s="64">
        <f t="shared" ref="DJ2:DJ54" si="32">$CF2*AI2</f>
        <v>0</v>
      </c>
      <c r="DK2" s="64">
        <f t="shared" ref="DK2:DK54" si="33">$CF2*AJ2</f>
        <v>0</v>
      </c>
      <c r="DL2" s="64">
        <f t="shared" ref="DL2:DL54" si="34">$CF2*AK2</f>
        <v>0</v>
      </c>
      <c r="DM2" s="64">
        <f t="shared" ref="DM2:DM54" si="35">$CF2*AL2</f>
        <v>0</v>
      </c>
      <c r="DN2" s="64">
        <f t="shared" ref="DN2:DN54" si="36">$CF2*AM2</f>
        <v>0</v>
      </c>
      <c r="DO2" s="64">
        <f t="shared" ref="DO2:DO54" si="37">$CF2*AN2</f>
        <v>0</v>
      </c>
      <c r="DP2" s="2">
        <v>0</v>
      </c>
      <c r="DQ2" s="2">
        <v>0</v>
      </c>
      <c r="DR2" s="2">
        <v>0</v>
      </c>
      <c r="DS2" s="2">
        <v>0</v>
      </c>
      <c r="DT2" s="2">
        <v>0</v>
      </c>
      <c r="DU2" s="2">
        <f>Z2</f>
        <v>6</v>
      </c>
      <c r="DV2" s="2">
        <f>X2/CB2/DU2</f>
        <v>18763.569892473119</v>
      </c>
    </row>
    <row r="3" spans="1:127" s="2" customFormat="1">
      <c r="A3" s="3">
        <v>41671</v>
      </c>
      <c r="B3">
        <f>YEAR(A3)</f>
        <v>2014</v>
      </c>
      <c r="C3" s="2">
        <v>19378319</v>
      </c>
      <c r="D3" s="2">
        <f>VLOOKUP(B3,'Historic CDM'!$B$135:$H$146,2,FALSE)/12</f>
        <v>232660.83668167001</v>
      </c>
      <c r="E3" s="2">
        <f>C3+D3</f>
        <v>19610979.836681671</v>
      </c>
      <c r="F3" s="6">
        <v>26426</v>
      </c>
      <c r="G3" s="219">
        <v>5388215</v>
      </c>
      <c r="H3" s="2">
        <f>VLOOKUP(B3,'Historic CDM'!$B$135:$H$147,3,FALSE)/12</f>
        <v>218299.07952460984</v>
      </c>
      <c r="I3" s="2">
        <f>G3+H3</f>
        <v>5606514.0795246102</v>
      </c>
      <c r="J3" s="6">
        <v>1901</v>
      </c>
      <c r="K3" s="219">
        <v>13239013</v>
      </c>
      <c r="L3" s="2">
        <f>VLOOKUP(B3,'Historic CDM'!$B$135:$H$146,4,FALSE)/12</f>
        <v>239755.99604353451</v>
      </c>
      <c r="M3" s="2">
        <f t="shared" si="0"/>
        <v>13478768.996043535</v>
      </c>
      <c r="N3" s="222">
        <v>32265</v>
      </c>
      <c r="O3" s="220">
        <v>211</v>
      </c>
      <c r="P3" s="220">
        <v>599875</v>
      </c>
      <c r="Q3" s="2">
        <v>1591</v>
      </c>
      <c r="R3" s="220">
        <v>2713</v>
      </c>
      <c r="S3" s="220">
        <v>29376</v>
      </c>
      <c r="T3" s="2">
        <v>73</v>
      </c>
      <c r="U3" s="220">
        <v>173</v>
      </c>
      <c r="V3" s="221">
        <v>129706</v>
      </c>
      <c r="W3" s="220">
        <v>140</v>
      </c>
      <c r="X3" s="2">
        <v>3101238</v>
      </c>
      <c r="Y3" s="2">
        <v>7579</v>
      </c>
      <c r="Z3" s="220">
        <v>6</v>
      </c>
      <c r="AA3" s="100">
        <f>'Weather Data'!D159</f>
        <v>761.10000000000014</v>
      </c>
      <c r="AB3" s="100">
        <f>'Weather Data'!E159</f>
        <v>0</v>
      </c>
      <c r="AC3" s="100">
        <f>'Weather Data'!F159</f>
        <v>705.10000000000014</v>
      </c>
      <c r="AD3" s="100">
        <f>'Weather Data'!G159</f>
        <v>0</v>
      </c>
      <c r="AE3" s="100">
        <f>'Weather Data'!H159</f>
        <v>649.1</v>
      </c>
      <c r="AF3" s="100">
        <f>'Weather Data'!I159</f>
        <v>0</v>
      </c>
      <c r="AG3" s="100">
        <f>'Weather Data'!J159</f>
        <v>593.1</v>
      </c>
      <c r="AH3" s="100">
        <f>'Weather Data'!K159</f>
        <v>0</v>
      </c>
      <c r="AI3" s="100">
        <f>'Weather Data'!L159</f>
        <v>537.09999999999991</v>
      </c>
      <c r="AJ3" s="100">
        <f>'Weather Data'!M159</f>
        <v>0</v>
      </c>
      <c r="AK3" s="100">
        <f>'Weather Data'!N159</f>
        <v>481.09999999999985</v>
      </c>
      <c r="AL3" s="100">
        <f>'Weather Data'!O159</f>
        <v>0</v>
      </c>
      <c r="AM3" s="100">
        <f>'Weather Data'!P159</f>
        <v>425.09999999999985</v>
      </c>
      <c r="AN3" s="100">
        <f>'Weather Data'!Q159</f>
        <v>0</v>
      </c>
      <c r="AO3" s="100">
        <f>'Weather Data'!R159</f>
        <v>-7.1821428571428569</v>
      </c>
      <c r="AP3" s="5">
        <f>'Economic Data'!D29</f>
        <v>6810.3</v>
      </c>
      <c r="AQ3" s="5">
        <f>'Economic Data'!E29</f>
        <v>6732.3</v>
      </c>
      <c r="AR3" s="5">
        <f>'Economic Data'!F29</f>
        <v>156.6</v>
      </c>
      <c r="AS3" s="5">
        <f>'Economic Data'!G29</f>
        <v>155</v>
      </c>
      <c r="AT3" s="5">
        <f>'Economic Data'!H29</f>
        <v>708787.6</v>
      </c>
      <c r="AU3" s="5">
        <f>'Economic Data'!I29</f>
        <v>6474.7</v>
      </c>
      <c r="AV3" s="5">
        <f>'Economic Data'!J29</f>
        <v>5461.8</v>
      </c>
      <c r="AW3" s="5">
        <f>'Economic Data'!K29</f>
        <v>4020.9</v>
      </c>
      <c r="AX3" s="5">
        <f>'Economic Data'!L29</f>
        <v>912.8</v>
      </c>
      <c r="AY3" s="5">
        <f>'Economic Data'!M29</f>
        <v>444.1</v>
      </c>
      <c r="AZ3" s="5">
        <f>'Economic Data'!N29</f>
        <v>8082.4</v>
      </c>
      <c r="BA3" s="5">
        <f>'Economic Data'!O29</f>
        <v>10.8</v>
      </c>
      <c r="BB3" s="5">
        <f>'Economic Data'!P29</f>
        <v>292</v>
      </c>
      <c r="BC3" s="5">
        <f>'Economic Data'!Q29</f>
        <v>699057</v>
      </c>
      <c r="BD3" s="5">
        <f>'Economic Data'!R29</f>
        <v>6558</v>
      </c>
      <c r="BE3" s="5">
        <f>'Economic Data'!S29</f>
        <v>3966</v>
      </c>
      <c r="BF3" s="5">
        <f>'Economic Data'!T29</f>
        <v>12346</v>
      </c>
      <c r="BG3" s="5">
        <v>0</v>
      </c>
      <c r="BH3" s="5">
        <v>0</v>
      </c>
      <c r="BI3" s="5">
        <v>0</v>
      </c>
      <c r="BJ3" s="5">
        <f t="shared" ref="BJ3:BJ44" si="38">BJ2+1</f>
        <v>2</v>
      </c>
      <c r="BK3" s="70">
        <f t="shared" si="1"/>
        <v>0.3010299956639812</v>
      </c>
      <c r="BL3" s="5">
        <f t="shared" si="2"/>
        <v>4</v>
      </c>
      <c r="BM3">
        <v>0</v>
      </c>
      <c r="BN3">
        <v>1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f t="shared" si="3"/>
        <v>0</v>
      </c>
      <c r="CB3">
        <v>28</v>
      </c>
      <c r="CC3">
        <v>19</v>
      </c>
      <c r="CD3">
        <v>0</v>
      </c>
      <c r="CE3">
        <v>0</v>
      </c>
      <c r="CF3">
        <f t="shared" ref="CF3:CF55" si="39">CF2</f>
        <v>0</v>
      </c>
      <c r="CG3">
        <v>0</v>
      </c>
      <c r="CH3" s="64">
        <f t="shared" si="4"/>
        <v>0</v>
      </c>
      <c r="CI3" s="64">
        <f t="shared" si="5"/>
        <v>0</v>
      </c>
      <c r="CJ3" s="64">
        <f t="shared" si="6"/>
        <v>0</v>
      </c>
      <c r="CK3" s="64">
        <f t="shared" si="7"/>
        <v>0</v>
      </c>
      <c r="CL3" s="64">
        <f t="shared" si="8"/>
        <v>0</v>
      </c>
      <c r="CM3" s="64">
        <f t="shared" si="9"/>
        <v>0</v>
      </c>
      <c r="CN3" s="64">
        <f t="shared" si="10"/>
        <v>0</v>
      </c>
      <c r="CO3" s="64">
        <f t="shared" si="11"/>
        <v>0</v>
      </c>
      <c r="CP3" s="64">
        <f t="shared" si="12"/>
        <v>0</v>
      </c>
      <c r="CQ3" s="64">
        <f t="shared" si="13"/>
        <v>0</v>
      </c>
      <c r="CR3" s="64">
        <f t="shared" si="14"/>
        <v>0</v>
      </c>
      <c r="CS3" s="64">
        <f t="shared" si="15"/>
        <v>0</v>
      </c>
      <c r="CT3" s="64">
        <f t="shared" si="16"/>
        <v>0</v>
      </c>
      <c r="CU3" s="64">
        <f t="shared" si="17"/>
        <v>0</v>
      </c>
      <c r="CV3" s="69">
        <f t="shared" si="18"/>
        <v>26.503902861740158</v>
      </c>
      <c r="CW3" s="69">
        <f t="shared" si="19"/>
        <v>948.9698848213626</v>
      </c>
      <c r="CX3" s="69">
        <f t="shared" si="20"/>
        <v>3362.1274622208871</v>
      </c>
      <c r="CY3" s="69">
        <f t="shared" si="21"/>
        <v>27203.84210526316</v>
      </c>
      <c r="CZ3" s="64">
        <f t="shared" si="22"/>
        <v>2281.4436350784586</v>
      </c>
      <c r="DA3" s="64">
        <f t="shared" si="23"/>
        <v>18459.75</v>
      </c>
      <c r="DB3" s="64">
        <f t="shared" si="24"/>
        <v>0</v>
      </c>
      <c r="DC3" s="64">
        <f t="shared" si="25"/>
        <v>0</v>
      </c>
      <c r="DD3" s="64">
        <f t="shared" si="26"/>
        <v>0</v>
      </c>
      <c r="DE3" s="64">
        <f t="shared" si="27"/>
        <v>0</v>
      </c>
      <c r="DF3" s="64">
        <f t="shared" si="28"/>
        <v>0</v>
      </c>
      <c r="DG3" s="64">
        <f t="shared" si="29"/>
        <v>0</v>
      </c>
      <c r="DH3" s="64">
        <f t="shared" si="30"/>
        <v>0</v>
      </c>
      <c r="DI3" s="64">
        <f t="shared" si="31"/>
        <v>0</v>
      </c>
      <c r="DJ3" s="64">
        <f t="shared" si="32"/>
        <v>0</v>
      </c>
      <c r="DK3" s="64">
        <f t="shared" si="33"/>
        <v>0</v>
      </c>
      <c r="DL3" s="64">
        <f t="shared" si="34"/>
        <v>0</v>
      </c>
      <c r="DM3" s="64">
        <f t="shared" si="35"/>
        <v>0</v>
      </c>
      <c r="DN3" s="64">
        <f t="shared" si="36"/>
        <v>0</v>
      </c>
      <c r="DO3" s="64">
        <f t="shared" si="37"/>
        <v>0</v>
      </c>
      <c r="DP3" s="2">
        <v>0</v>
      </c>
      <c r="DQ3" s="2">
        <v>0</v>
      </c>
      <c r="DR3" s="2">
        <v>0</v>
      </c>
      <c r="DS3" s="2">
        <v>0</v>
      </c>
      <c r="DT3" s="2">
        <v>0</v>
      </c>
      <c r="DU3" s="2">
        <f t="shared" ref="DU3:DU66" si="40">Z3</f>
        <v>6</v>
      </c>
      <c r="DV3" s="2">
        <f t="shared" ref="DV3:DV66" si="41">X3/CB3/DU3</f>
        <v>18459.75</v>
      </c>
    </row>
    <row r="4" spans="1:127" s="2" customFormat="1">
      <c r="A4" s="3">
        <v>41699</v>
      </c>
      <c r="B4">
        <f>YEAR(A4)</f>
        <v>2014</v>
      </c>
      <c r="C4" s="2">
        <v>19313955</v>
      </c>
      <c r="D4" s="2">
        <f>VLOOKUP(B4,'Historic CDM'!$B$135:$H$146,2,FALSE)/12</f>
        <v>232660.83668167001</v>
      </c>
      <c r="E4" s="2">
        <f>C4+D4</f>
        <v>19546615.836681671</v>
      </c>
      <c r="F4" s="6">
        <v>26488</v>
      </c>
      <c r="G4" s="219">
        <v>5569690</v>
      </c>
      <c r="H4" s="2">
        <f>VLOOKUP(B4,'Historic CDM'!$B$135:$H$147,3,FALSE)/12</f>
        <v>218299.07952460984</v>
      </c>
      <c r="I4" s="2">
        <f>G4+H4</f>
        <v>5787989.0795246102</v>
      </c>
      <c r="J4" s="6">
        <v>1905</v>
      </c>
      <c r="K4" s="219">
        <v>13881708</v>
      </c>
      <c r="L4" s="2">
        <f>VLOOKUP(B4,'Historic CDM'!$B$135:$H$146,4,FALSE)/12</f>
        <v>239755.99604353451</v>
      </c>
      <c r="M4" s="2">
        <f t="shared" si="0"/>
        <v>14121463.996043535</v>
      </c>
      <c r="N4" s="222">
        <v>32022</v>
      </c>
      <c r="O4" s="220">
        <v>214</v>
      </c>
      <c r="P4" s="220">
        <v>558890</v>
      </c>
      <c r="Q4" s="2">
        <v>1587</v>
      </c>
      <c r="R4" s="220">
        <v>2713</v>
      </c>
      <c r="S4" s="220">
        <v>29041</v>
      </c>
      <c r="T4" s="2">
        <v>73</v>
      </c>
      <c r="U4" s="220">
        <v>172</v>
      </c>
      <c r="V4" s="221">
        <v>129706</v>
      </c>
      <c r="W4" s="220">
        <v>140</v>
      </c>
      <c r="X4" s="2">
        <v>3182338</v>
      </c>
      <c r="Y4" s="2">
        <v>7399</v>
      </c>
      <c r="Z4" s="220">
        <v>6</v>
      </c>
      <c r="AA4" s="100">
        <f>'Weather Data'!D160</f>
        <v>699.1</v>
      </c>
      <c r="AB4" s="100">
        <f>'Weather Data'!E160</f>
        <v>0</v>
      </c>
      <c r="AC4" s="100">
        <f>'Weather Data'!F160</f>
        <v>637.10000000000014</v>
      </c>
      <c r="AD4" s="100">
        <f>'Weather Data'!G160</f>
        <v>0</v>
      </c>
      <c r="AE4" s="100">
        <f>'Weather Data'!H160</f>
        <v>575.1</v>
      </c>
      <c r="AF4" s="100">
        <f>'Weather Data'!I160</f>
        <v>0</v>
      </c>
      <c r="AG4" s="100">
        <f>'Weather Data'!J160</f>
        <v>513.10000000000014</v>
      </c>
      <c r="AH4" s="100">
        <f>'Weather Data'!K160</f>
        <v>0</v>
      </c>
      <c r="AI4" s="100">
        <f>'Weather Data'!L160</f>
        <v>451.10000000000008</v>
      </c>
      <c r="AJ4" s="100">
        <f>'Weather Data'!M160</f>
        <v>0</v>
      </c>
      <c r="AK4" s="100">
        <f>'Weather Data'!N160</f>
        <v>389.10000000000008</v>
      </c>
      <c r="AL4" s="100">
        <f>'Weather Data'!O160</f>
        <v>0</v>
      </c>
      <c r="AM4" s="100">
        <f>'Weather Data'!P160</f>
        <v>327.10000000000008</v>
      </c>
      <c r="AN4" s="100">
        <f>'Weather Data'!Q160</f>
        <v>0</v>
      </c>
      <c r="AO4" s="100">
        <f>'Weather Data'!R160</f>
        <v>-2.5516129032258057</v>
      </c>
      <c r="AP4" s="5">
        <f>'Economic Data'!D30</f>
        <v>6810.9</v>
      </c>
      <c r="AQ4" s="5">
        <f>'Economic Data'!E30</f>
        <v>6704.5</v>
      </c>
      <c r="AR4" s="5">
        <f>'Economic Data'!F30</f>
        <v>154.80000000000001</v>
      </c>
      <c r="AS4" s="5">
        <f>'Economic Data'!G30</f>
        <v>152.1</v>
      </c>
      <c r="AT4" s="5">
        <f>'Economic Data'!H30</f>
        <v>708787.6</v>
      </c>
      <c r="AU4" s="5">
        <f>'Economic Data'!I30</f>
        <v>6474.7</v>
      </c>
      <c r="AV4" s="5">
        <f>'Economic Data'!J30</f>
        <v>5461.8</v>
      </c>
      <c r="AW4" s="5">
        <f>'Economic Data'!K30</f>
        <v>4020.9</v>
      </c>
      <c r="AX4" s="5">
        <f>'Economic Data'!L30</f>
        <v>912.8</v>
      </c>
      <c r="AY4" s="5">
        <f>'Economic Data'!M30</f>
        <v>444.1</v>
      </c>
      <c r="AZ4" s="5">
        <f>'Economic Data'!N30</f>
        <v>8082.4</v>
      </c>
      <c r="BA4" s="5">
        <f>'Economic Data'!O30</f>
        <v>10.8</v>
      </c>
      <c r="BB4" s="5">
        <f>'Economic Data'!P30</f>
        <v>292</v>
      </c>
      <c r="BC4" s="5">
        <f>'Economic Data'!Q30</f>
        <v>699057</v>
      </c>
      <c r="BD4" s="5">
        <f>'Economic Data'!R30</f>
        <v>6558</v>
      </c>
      <c r="BE4" s="5">
        <f>'Economic Data'!S30</f>
        <v>3966</v>
      </c>
      <c r="BF4" s="5">
        <f>'Economic Data'!T30</f>
        <v>12346</v>
      </c>
      <c r="BG4" s="5">
        <v>0</v>
      </c>
      <c r="BH4" s="5">
        <v>0</v>
      </c>
      <c r="BI4" s="5">
        <v>0</v>
      </c>
      <c r="BJ4" s="5">
        <f t="shared" si="38"/>
        <v>3</v>
      </c>
      <c r="BK4" s="70">
        <f t="shared" si="1"/>
        <v>0.47712125471966244</v>
      </c>
      <c r="BL4" s="5">
        <f t="shared" si="2"/>
        <v>9</v>
      </c>
      <c r="BM4">
        <v>0</v>
      </c>
      <c r="BN4">
        <v>0</v>
      </c>
      <c r="BO4">
        <v>1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1</v>
      </c>
      <c r="BZ4">
        <v>0</v>
      </c>
      <c r="CA4">
        <f t="shared" si="3"/>
        <v>1</v>
      </c>
      <c r="CB4">
        <v>31</v>
      </c>
      <c r="CC4">
        <v>21</v>
      </c>
      <c r="CD4">
        <v>0</v>
      </c>
      <c r="CE4">
        <v>0</v>
      </c>
      <c r="CF4">
        <f t="shared" si="39"/>
        <v>0</v>
      </c>
      <c r="CG4">
        <v>0</v>
      </c>
      <c r="CH4" s="64">
        <f t="shared" si="4"/>
        <v>0</v>
      </c>
      <c r="CI4" s="64">
        <f t="shared" si="5"/>
        <v>0</v>
      </c>
      <c r="CJ4" s="64">
        <f t="shared" si="6"/>
        <v>0</v>
      </c>
      <c r="CK4" s="64">
        <f t="shared" si="7"/>
        <v>0</v>
      </c>
      <c r="CL4" s="64">
        <f t="shared" si="8"/>
        <v>0</v>
      </c>
      <c r="CM4" s="64">
        <f t="shared" si="9"/>
        <v>0</v>
      </c>
      <c r="CN4" s="64">
        <f t="shared" si="10"/>
        <v>0</v>
      </c>
      <c r="CO4" s="64">
        <f t="shared" si="11"/>
        <v>0</v>
      </c>
      <c r="CP4" s="64">
        <f t="shared" si="12"/>
        <v>0</v>
      </c>
      <c r="CQ4" s="64">
        <f t="shared" si="13"/>
        <v>0</v>
      </c>
      <c r="CR4" s="64">
        <f t="shared" si="14"/>
        <v>0</v>
      </c>
      <c r="CS4" s="64">
        <f t="shared" si="15"/>
        <v>0</v>
      </c>
      <c r="CT4" s="64">
        <f t="shared" si="16"/>
        <v>0</v>
      </c>
      <c r="CU4" s="64">
        <f t="shared" si="17"/>
        <v>0</v>
      </c>
      <c r="CV4" s="69">
        <f t="shared" si="18"/>
        <v>23.804590559184042</v>
      </c>
      <c r="CW4" s="69">
        <f t="shared" si="19"/>
        <v>872.47348199044472</v>
      </c>
      <c r="CX4" s="69">
        <f t="shared" si="20"/>
        <v>3142.2928340105773</v>
      </c>
      <c r="CY4" s="69">
        <f t="shared" si="21"/>
        <v>25256.650793650795</v>
      </c>
      <c r="CZ4" s="64">
        <f t="shared" si="22"/>
        <v>2128.6499843297461</v>
      </c>
      <c r="DA4" s="64">
        <f t="shared" si="23"/>
        <v>17109.344086021505</v>
      </c>
      <c r="DB4" s="64">
        <f t="shared" si="24"/>
        <v>0</v>
      </c>
      <c r="DC4" s="64">
        <f t="shared" si="25"/>
        <v>0</v>
      </c>
      <c r="DD4" s="64">
        <f t="shared" si="26"/>
        <v>0</v>
      </c>
      <c r="DE4" s="64">
        <f t="shared" si="27"/>
        <v>0</v>
      </c>
      <c r="DF4" s="64">
        <f t="shared" si="28"/>
        <v>0</v>
      </c>
      <c r="DG4" s="64">
        <f t="shared" si="29"/>
        <v>0</v>
      </c>
      <c r="DH4" s="64">
        <f t="shared" si="30"/>
        <v>0</v>
      </c>
      <c r="DI4" s="64">
        <f t="shared" si="31"/>
        <v>0</v>
      </c>
      <c r="DJ4" s="64">
        <f t="shared" si="32"/>
        <v>0</v>
      </c>
      <c r="DK4" s="64">
        <f t="shared" si="33"/>
        <v>0</v>
      </c>
      <c r="DL4" s="64">
        <f t="shared" si="34"/>
        <v>0</v>
      </c>
      <c r="DM4" s="64">
        <f t="shared" si="35"/>
        <v>0</v>
      </c>
      <c r="DN4" s="64">
        <f t="shared" si="36"/>
        <v>0</v>
      </c>
      <c r="DO4" s="64">
        <f t="shared" si="37"/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f t="shared" si="40"/>
        <v>6</v>
      </c>
      <c r="DV4" s="2">
        <f t="shared" si="41"/>
        <v>17109.344086021505</v>
      </c>
    </row>
    <row r="5" spans="1:127" s="2" customFormat="1">
      <c r="A5" s="3">
        <v>41730</v>
      </c>
      <c r="B5">
        <f>YEAR(A5)</f>
        <v>2014</v>
      </c>
      <c r="C5" s="2">
        <v>16231421</v>
      </c>
      <c r="D5" s="2">
        <f>VLOOKUP(B5,'Historic CDM'!$B$135:$H$146,2,FALSE)/12</f>
        <v>232660.83668167001</v>
      </c>
      <c r="E5" s="2">
        <f>C5+D5</f>
        <v>16464081.83668167</v>
      </c>
      <c r="F5" s="6">
        <v>26497</v>
      </c>
      <c r="G5" s="219">
        <v>4851873</v>
      </c>
      <c r="H5" s="2">
        <f>VLOOKUP(B5,'Historic CDM'!$B$135:$H$147,3,FALSE)/12</f>
        <v>218299.07952460984</v>
      </c>
      <c r="I5" s="2">
        <f>G5+H5</f>
        <v>5070172.0795246102</v>
      </c>
      <c r="J5" s="6">
        <v>1901</v>
      </c>
      <c r="K5" s="219">
        <v>11903768</v>
      </c>
      <c r="L5" s="2">
        <f>VLOOKUP(B5,'Historic CDM'!$B$135:$H$146,4,FALSE)/12</f>
        <v>239755.99604353451</v>
      </c>
      <c r="M5" s="2">
        <f t="shared" si="0"/>
        <v>12143523.996043535</v>
      </c>
      <c r="N5" s="222">
        <v>30566</v>
      </c>
      <c r="O5" s="220">
        <v>212</v>
      </c>
      <c r="P5" s="220">
        <v>468887</v>
      </c>
      <c r="Q5" s="2">
        <v>1587</v>
      </c>
      <c r="R5" s="220">
        <v>2713</v>
      </c>
      <c r="S5" s="220">
        <v>29023</v>
      </c>
      <c r="T5" s="2">
        <v>73</v>
      </c>
      <c r="U5" s="220">
        <v>172</v>
      </c>
      <c r="V5" s="221">
        <v>129706</v>
      </c>
      <c r="W5" s="220">
        <v>140</v>
      </c>
      <c r="X5" s="2">
        <v>2976481</v>
      </c>
      <c r="Y5" s="2">
        <v>7173</v>
      </c>
      <c r="Z5" s="220">
        <v>6</v>
      </c>
      <c r="AA5" s="100">
        <f>'Weather Data'!D161</f>
        <v>343.40000000000003</v>
      </c>
      <c r="AB5" s="100">
        <f>'Weather Data'!E161</f>
        <v>0</v>
      </c>
      <c r="AC5" s="100">
        <f>'Weather Data'!F161</f>
        <v>283.40000000000003</v>
      </c>
      <c r="AD5" s="100">
        <f>'Weather Data'!G161</f>
        <v>0</v>
      </c>
      <c r="AE5" s="100">
        <f>'Weather Data'!H161</f>
        <v>223.7</v>
      </c>
      <c r="AF5" s="100">
        <f>'Weather Data'!I161</f>
        <v>0.30000000000000071</v>
      </c>
      <c r="AG5" s="100">
        <f>'Weather Data'!J161</f>
        <v>167.99999999999997</v>
      </c>
      <c r="AH5" s="100">
        <f>'Weather Data'!K161</f>
        <v>4.6000000000000014</v>
      </c>
      <c r="AI5" s="100">
        <f>'Weather Data'!L161</f>
        <v>118.2</v>
      </c>
      <c r="AJ5" s="100">
        <f>'Weather Data'!M161</f>
        <v>14.800000000000002</v>
      </c>
      <c r="AK5" s="100">
        <f>'Weather Data'!N161</f>
        <v>74.600000000000009</v>
      </c>
      <c r="AL5" s="100">
        <f>'Weather Data'!O161</f>
        <v>31.200000000000003</v>
      </c>
      <c r="AM5" s="100">
        <f>'Weather Data'!P161</f>
        <v>40.4</v>
      </c>
      <c r="AN5" s="100">
        <f>'Weather Data'!Q161</f>
        <v>57.000000000000007</v>
      </c>
      <c r="AO5" s="100">
        <f>'Weather Data'!R161</f>
        <v>8.5533333333333346</v>
      </c>
      <c r="AP5" s="5">
        <f>'Economic Data'!D31</f>
        <v>6819.5</v>
      </c>
      <c r="AQ5" s="5">
        <f>'Economic Data'!E31</f>
        <v>6732.1</v>
      </c>
      <c r="AR5" s="5">
        <f>'Economic Data'!F31</f>
        <v>152.80000000000001</v>
      </c>
      <c r="AS5" s="5">
        <f>'Economic Data'!G31</f>
        <v>150.9</v>
      </c>
      <c r="AT5" s="5">
        <f>'Economic Data'!H31</f>
        <v>708787.6</v>
      </c>
      <c r="AU5" s="5">
        <f>'Economic Data'!I31</f>
        <v>6474.7</v>
      </c>
      <c r="AV5" s="5">
        <f>'Economic Data'!J31</f>
        <v>5461.8</v>
      </c>
      <c r="AW5" s="5">
        <f>'Economic Data'!K31</f>
        <v>4020.9</v>
      </c>
      <c r="AX5" s="5">
        <f>'Economic Data'!L31</f>
        <v>912.8</v>
      </c>
      <c r="AY5" s="5">
        <f>'Economic Data'!M31</f>
        <v>444.1</v>
      </c>
      <c r="AZ5" s="5">
        <f>'Economic Data'!N31</f>
        <v>8082.4</v>
      </c>
      <c r="BA5" s="5">
        <f>'Economic Data'!O31</f>
        <v>10.8</v>
      </c>
      <c r="BB5" s="5">
        <f>'Economic Data'!P31</f>
        <v>292</v>
      </c>
      <c r="BC5" s="5">
        <f>'Economic Data'!Q31</f>
        <v>705966</v>
      </c>
      <c r="BD5" s="5">
        <f>'Economic Data'!R31</f>
        <v>6382</v>
      </c>
      <c r="BE5" s="5">
        <f>'Economic Data'!S31</f>
        <v>3945</v>
      </c>
      <c r="BF5" s="5">
        <f>'Economic Data'!T31</f>
        <v>12894</v>
      </c>
      <c r="BG5" s="5">
        <v>0</v>
      </c>
      <c r="BH5" s="5">
        <v>0</v>
      </c>
      <c r="BI5" s="5">
        <v>0</v>
      </c>
      <c r="BJ5" s="5">
        <f t="shared" si="38"/>
        <v>4</v>
      </c>
      <c r="BK5" s="70">
        <f t="shared" si="1"/>
        <v>0.6020599913279624</v>
      </c>
      <c r="BL5" s="5">
        <f t="shared" si="2"/>
        <v>16</v>
      </c>
      <c r="BM5">
        <v>0</v>
      </c>
      <c r="BN5">
        <v>0</v>
      </c>
      <c r="BO5">
        <v>0</v>
      </c>
      <c r="BP5">
        <v>1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1</v>
      </c>
      <c r="BZ5">
        <v>0</v>
      </c>
      <c r="CA5">
        <f t="shared" si="3"/>
        <v>1</v>
      </c>
      <c r="CB5">
        <v>30</v>
      </c>
      <c r="CC5">
        <v>20</v>
      </c>
      <c r="CD5">
        <v>0</v>
      </c>
      <c r="CE5">
        <v>0</v>
      </c>
      <c r="CF5">
        <f t="shared" si="39"/>
        <v>0</v>
      </c>
      <c r="CG5">
        <v>0</v>
      </c>
      <c r="CH5" s="64">
        <f t="shared" si="4"/>
        <v>0</v>
      </c>
      <c r="CI5" s="64">
        <f t="shared" si="5"/>
        <v>0</v>
      </c>
      <c r="CJ5" s="64">
        <f t="shared" si="6"/>
        <v>0</v>
      </c>
      <c r="CK5" s="64">
        <f t="shared" si="7"/>
        <v>0</v>
      </c>
      <c r="CL5" s="64">
        <f t="shared" si="8"/>
        <v>0</v>
      </c>
      <c r="CM5" s="64">
        <f t="shared" si="9"/>
        <v>0</v>
      </c>
      <c r="CN5" s="64">
        <f t="shared" si="10"/>
        <v>0</v>
      </c>
      <c r="CO5" s="64">
        <f t="shared" si="11"/>
        <v>0</v>
      </c>
      <c r="CP5" s="64">
        <f t="shared" si="12"/>
        <v>0</v>
      </c>
      <c r="CQ5" s="64">
        <f t="shared" si="13"/>
        <v>0</v>
      </c>
      <c r="CR5" s="64">
        <f t="shared" si="14"/>
        <v>0</v>
      </c>
      <c r="CS5" s="64">
        <f t="shared" si="15"/>
        <v>0</v>
      </c>
      <c r="CT5" s="64">
        <f t="shared" si="16"/>
        <v>0</v>
      </c>
      <c r="CU5" s="64">
        <f t="shared" si="17"/>
        <v>0</v>
      </c>
      <c r="CV5" s="69">
        <f t="shared" si="18"/>
        <v>20.711881642804432</v>
      </c>
      <c r="CW5" s="69">
        <f t="shared" si="19"/>
        <v>797.19686784978148</v>
      </c>
      <c r="CX5" s="69">
        <f t="shared" si="20"/>
        <v>2864.0386783121548</v>
      </c>
      <c r="CY5" s="69">
        <f t="shared" si="21"/>
        <v>24804.008333333331</v>
      </c>
      <c r="CZ5" s="64">
        <f t="shared" si="22"/>
        <v>1909.3591188747696</v>
      </c>
      <c r="DA5" s="64">
        <f t="shared" si="23"/>
        <v>16536.005555555555</v>
      </c>
      <c r="DB5" s="64">
        <f t="shared" si="24"/>
        <v>0</v>
      </c>
      <c r="DC5" s="64">
        <f t="shared" si="25"/>
        <v>0</v>
      </c>
      <c r="DD5" s="64">
        <f t="shared" si="26"/>
        <v>0</v>
      </c>
      <c r="DE5" s="64">
        <f t="shared" si="27"/>
        <v>0</v>
      </c>
      <c r="DF5" s="64">
        <f t="shared" si="28"/>
        <v>0</v>
      </c>
      <c r="DG5" s="64">
        <f t="shared" si="29"/>
        <v>0</v>
      </c>
      <c r="DH5" s="64">
        <f t="shared" si="30"/>
        <v>0</v>
      </c>
      <c r="DI5" s="64">
        <f t="shared" si="31"/>
        <v>0</v>
      </c>
      <c r="DJ5" s="64">
        <f t="shared" si="32"/>
        <v>0</v>
      </c>
      <c r="DK5" s="64">
        <f t="shared" si="33"/>
        <v>0</v>
      </c>
      <c r="DL5" s="64">
        <f t="shared" si="34"/>
        <v>0</v>
      </c>
      <c r="DM5" s="64">
        <f t="shared" si="35"/>
        <v>0</v>
      </c>
      <c r="DN5" s="64">
        <f t="shared" si="36"/>
        <v>0</v>
      </c>
      <c r="DO5" s="64">
        <f t="shared" si="37"/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f t="shared" si="40"/>
        <v>6</v>
      </c>
      <c r="DV5" s="2">
        <f t="shared" si="41"/>
        <v>16536.005555555555</v>
      </c>
    </row>
    <row r="6" spans="1:127" s="2" customFormat="1">
      <c r="A6" s="3">
        <v>41760</v>
      </c>
      <c r="B6">
        <f t="shared" ref="B6:B69" si="42">YEAR(A6)</f>
        <v>2014</v>
      </c>
      <c r="C6" s="2">
        <v>17420019</v>
      </c>
      <c r="D6" s="2">
        <f>VLOOKUP(B6,'Historic CDM'!$B$135:$H$146,2,FALSE)/12</f>
        <v>232660.83668167001</v>
      </c>
      <c r="E6" s="2">
        <f>C6+D6</f>
        <v>17652679.836681671</v>
      </c>
      <c r="F6" s="6">
        <v>26591</v>
      </c>
      <c r="G6" s="219">
        <v>5146157</v>
      </c>
      <c r="H6" s="2">
        <f>VLOOKUP(B6,'Historic CDM'!$B$135:$H$147,3,FALSE)/12</f>
        <v>218299.07952460984</v>
      </c>
      <c r="I6" s="2">
        <f>G6+H6</f>
        <v>5364456.0795246102</v>
      </c>
      <c r="J6" s="6">
        <v>1906</v>
      </c>
      <c r="K6" s="219">
        <v>12583472</v>
      </c>
      <c r="L6" s="2">
        <f>VLOOKUP(B6,'Historic CDM'!$B$135:$H$146,4,FALSE)/12</f>
        <v>239755.99604353451</v>
      </c>
      <c r="M6" s="2">
        <f t="shared" si="0"/>
        <v>12823227.996043535</v>
      </c>
      <c r="N6" s="222">
        <v>34232</v>
      </c>
      <c r="O6" s="220">
        <v>214</v>
      </c>
      <c r="P6" s="220">
        <v>421881</v>
      </c>
      <c r="Q6" s="2">
        <v>1587</v>
      </c>
      <c r="R6" s="220">
        <v>2713</v>
      </c>
      <c r="S6" s="220">
        <v>28820</v>
      </c>
      <c r="T6" s="2">
        <v>73</v>
      </c>
      <c r="U6" s="220">
        <v>172</v>
      </c>
      <c r="V6" s="221">
        <v>129706</v>
      </c>
      <c r="W6" s="220">
        <v>140</v>
      </c>
      <c r="X6" s="2">
        <v>3042348</v>
      </c>
      <c r="Y6" s="2">
        <v>7125</v>
      </c>
      <c r="Z6" s="220">
        <v>6</v>
      </c>
      <c r="AA6" s="100">
        <f>'Weather Data'!D162</f>
        <v>149</v>
      </c>
      <c r="AB6" s="100">
        <f>'Weather Data'!E162</f>
        <v>10.299999999999997</v>
      </c>
      <c r="AC6" s="100">
        <f>'Weather Data'!F162</f>
        <v>103.4</v>
      </c>
      <c r="AD6" s="100">
        <f>'Weather Data'!G162</f>
        <v>26.7</v>
      </c>
      <c r="AE6" s="100">
        <f>'Weather Data'!H162</f>
        <v>67.800000000000011</v>
      </c>
      <c r="AF6" s="100">
        <f>'Weather Data'!I162</f>
        <v>53.099999999999994</v>
      </c>
      <c r="AG6" s="100">
        <f>'Weather Data'!J162</f>
        <v>41.5</v>
      </c>
      <c r="AH6" s="100">
        <f>'Weather Data'!K162</f>
        <v>88.8</v>
      </c>
      <c r="AI6" s="100">
        <f>'Weather Data'!L162</f>
        <v>19.400000000000002</v>
      </c>
      <c r="AJ6" s="100">
        <f>'Weather Data'!M162</f>
        <v>128.69999999999999</v>
      </c>
      <c r="AK6" s="100">
        <f>'Weather Data'!N162</f>
        <v>5.2999999999999989</v>
      </c>
      <c r="AL6" s="100">
        <f>'Weather Data'!O162</f>
        <v>176.6</v>
      </c>
      <c r="AM6" s="100">
        <f>'Weather Data'!P162</f>
        <v>0.5</v>
      </c>
      <c r="AN6" s="100">
        <f>'Weather Data'!Q162</f>
        <v>233.79999999999998</v>
      </c>
      <c r="AO6" s="100">
        <f>'Weather Data'!R162</f>
        <v>15.525806451612905</v>
      </c>
      <c r="AP6" s="5">
        <f>'Economic Data'!D32</f>
        <v>6821.5</v>
      </c>
      <c r="AQ6" s="5">
        <f>'Economic Data'!E32</f>
        <v>6790.3</v>
      </c>
      <c r="AR6" s="5">
        <f>'Economic Data'!F32</f>
        <v>152.30000000000001</v>
      </c>
      <c r="AS6" s="5">
        <f>'Economic Data'!G32</f>
        <v>151.19999999999999</v>
      </c>
      <c r="AT6" s="5">
        <f>'Economic Data'!H32</f>
        <v>708787.6</v>
      </c>
      <c r="AU6" s="5">
        <f>'Economic Data'!I32</f>
        <v>6474.7</v>
      </c>
      <c r="AV6" s="5">
        <f>'Economic Data'!J32</f>
        <v>5461.8</v>
      </c>
      <c r="AW6" s="5">
        <f>'Economic Data'!K32</f>
        <v>4020.9</v>
      </c>
      <c r="AX6" s="5">
        <f>'Economic Data'!L32</f>
        <v>912.8</v>
      </c>
      <c r="AY6" s="5">
        <f>'Economic Data'!M32</f>
        <v>444.1</v>
      </c>
      <c r="AZ6" s="5">
        <f>'Economic Data'!N32</f>
        <v>8082.4</v>
      </c>
      <c r="BA6" s="5">
        <f>'Economic Data'!O32</f>
        <v>10.8</v>
      </c>
      <c r="BB6" s="5">
        <f>'Economic Data'!P32</f>
        <v>292</v>
      </c>
      <c r="BC6" s="5">
        <f>'Economic Data'!Q32</f>
        <v>705966</v>
      </c>
      <c r="BD6" s="5">
        <f>'Economic Data'!R32</f>
        <v>6382</v>
      </c>
      <c r="BE6" s="5">
        <f>'Economic Data'!S32</f>
        <v>3945</v>
      </c>
      <c r="BF6" s="5">
        <f>'Economic Data'!T32</f>
        <v>12894</v>
      </c>
      <c r="BG6" s="5">
        <v>0</v>
      </c>
      <c r="BH6" s="5">
        <v>0</v>
      </c>
      <c r="BI6" s="5">
        <v>0</v>
      </c>
      <c r="BJ6" s="5">
        <f t="shared" si="38"/>
        <v>5</v>
      </c>
      <c r="BK6" s="70">
        <f t="shared" si="1"/>
        <v>0.69897000433601886</v>
      </c>
      <c r="BL6" s="5">
        <f t="shared" si="2"/>
        <v>25</v>
      </c>
      <c r="BM6">
        <v>0</v>
      </c>
      <c r="BN6">
        <v>0</v>
      </c>
      <c r="BO6">
        <v>0</v>
      </c>
      <c r="BP6">
        <v>0</v>
      </c>
      <c r="BQ6">
        <v>1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1</v>
      </c>
      <c r="BZ6">
        <v>0</v>
      </c>
      <c r="CA6">
        <f t="shared" si="3"/>
        <v>1</v>
      </c>
      <c r="CB6">
        <v>31</v>
      </c>
      <c r="CC6">
        <v>22</v>
      </c>
      <c r="CD6">
        <v>0</v>
      </c>
      <c r="CE6">
        <v>0</v>
      </c>
      <c r="CF6">
        <f t="shared" si="39"/>
        <v>0</v>
      </c>
      <c r="CG6">
        <v>0</v>
      </c>
      <c r="CH6" s="64">
        <f t="shared" si="4"/>
        <v>0</v>
      </c>
      <c r="CI6" s="64">
        <f t="shared" si="5"/>
        <v>0</v>
      </c>
      <c r="CJ6" s="64">
        <f t="shared" si="6"/>
        <v>0</v>
      </c>
      <c r="CK6" s="64">
        <f t="shared" si="7"/>
        <v>0</v>
      </c>
      <c r="CL6" s="64">
        <f t="shared" si="8"/>
        <v>0</v>
      </c>
      <c r="CM6" s="64">
        <f t="shared" si="9"/>
        <v>0</v>
      </c>
      <c r="CN6" s="64">
        <f t="shared" si="10"/>
        <v>0</v>
      </c>
      <c r="CO6" s="64">
        <f t="shared" si="11"/>
        <v>0</v>
      </c>
      <c r="CP6" s="64">
        <f t="shared" si="12"/>
        <v>0</v>
      </c>
      <c r="CQ6" s="64">
        <f t="shared" si="13"/>
        <v>0</v>
      </c>
      <c r="CR6" s="64">
        <f t="shared" si="14"/>
        <v>0</v>
      </c>
      <c r="CS6" s="64">
        <f t="shared" si="15"/>
        <v>0</v>
      </c>
      <c r="CT6" s="64">
        <f t="shared" si="16"/>
        <v>0</v>
      </c>
      <c r="CU6" s="64">
        <f t="shared" si="17"/>
        <v>0</v>
      </c>
      <c r="CV6" s="69">
        <f t="shared" si="18"/>
        <v>21.414812720629065</v>
      </c>
      <c r="CW6" s="69">
        <f t="shared" si="19"/>
        <v>808.63070237030604</v>
      </c>
      <c r="CX6" s="69">
        <f t="shared" si="20"/>
        <v>2723.7102795334613</v>
      </c>
      <c r="CY6" s="69">
        <f t="shared" si="21"/>
        <v>23048.090909090908</v>
      </c>
      <c r="CZ6" s="64">
        <f t="shared" si="22"/>
        <v>1932.9556822495531</v>
      </c>
      <c r="DA6" s="64">
        <f t="shared" si="23"/>
        <v>16356.709677419356</v>
      </c>
      <c r="DB6" s="64">
        <f t="shared" si="24"/>
        <v>0</v>
      </c>
      <c r="DC6" s="64">
        <f t="shared" si="25"/>
        <v>0</v>
      </c>
      <c r="DD6" s="64">
        <f t="shared" si="26"/>
        <v>0</v>
      </c>
      <c r="DE6" s="64">
        <f t="shared" si="27"/>
        <v>0</v>
      </c>
      <c r="DF6" s="64">
        <f t="shared" si="28"/>
        <v>0</v>
      </c>
      <c r="DG6" s="64">
        <f t="shared" si="29"/>
        <v>0</v>
      </c>
      <c r="DH6" s="64">
        <f t="shared" si="30"/>
        <v>0</v>
      </c>
      <c r="DI6" s="64">
        <f t="shared" si="31"/>
        <v>0</v>
      </c>
      <c r="DJ6" s="64">
        <f t="shared" si="32"/>
        <v>0</v>
      </c>
      <c r="DK6" s="64">
        <f t="shared" si="33"/>
        <v>0</v>
      </c>
      <c r="DL6" s="64">
        <f t="shared" si="34"/>
        <v>0</v>
      </c>
      <c r="DM6" s="64">
        <f t="shared" si="35"/>
        <v>0</v>
      </c>
      <c r="DN6" s="64">
        <f t="shared" si="36"/>
        <v>0</v>
      </c>
      <c r="DO6" s="64">
        <f t="shared" si="37"/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f t="shared" si="40"/>
        <v>6</v>
      </c>
      <c r="DV6" s="2">
        <f t="shared" si="41"/>
        <v>16356.709677419356</v>
      </c>
    </row>
    <row r="7" spans="1:127" s="2" customFormat="1">
      <c r="A7" s="3">
        <v>41791</v>
      </c>
      <c r="B7">
        <f t="shared" si="42"/>
        <v>2014</v>
      </c>
      <c r="C7" s="2">
        <v>23223295</v>
      </c>
      <c r="D7" s="2">
        <f>VLOOKUP(B7,'Historic CDM'!$B$135:$H$146,2,FALSE)/12</f>
        <v>232660.83668167001</v>
      </c>
      <c r="E7" s="2">
        <f t="shared" ref="E7:E70" si="43">C7+D7</f>
        <v>23455955.836681671</v>
      </c>
      <c r="F7" s="6">
        <v>26581</v>
      </c>
      <c r="G7" s="219">
        <v>5678465</v>
      </c>
      <c r="H7" s="2">
        <f>VLOOKUP(B7,'Historic CDM'!$B$135:$H$147,3,FALSE)/12</f>
        <v>218299.07952460984</v>
      </c>
      <c r="I7" s="2">
        <f t="shared" ref="I7:I70" si="44">G7+H7</f>
        <v>5896764.0795246102</v>
      </c>
      <c r="J7" s="6">
        <v>1909</v>
      </c>
      <c r="K7" s="219">
        <v>14331819</v>
      </c>
      <c r="L7" s="2">
        <f>VLOOKUP(B7,'Historic CDM'!$B$135:$H$146,4,FALSE)/12</f>
        <v>239755.99604353451</v>
      </c>
      <c r="M7" s="2">
        <f t="shared" si="0"/>
        <v>14571574.996043535</v>
      </c>
      <c r="N7" s="222">
        <v>38655</v>
      </c>
      <c r="O7" s="220">
        <v>215</v>
      </c>
      <c r="P7" s="220">
        <v>371132</v>
      </c>
      <c r="Q7" s="2">
        <v>1586</v>
      </c>
      <c r="R7" s="220">
        <v>2713</v>
      </c>
      <c r="S7" s="220">
        <v>29152</v>
      </c>
      <c r="T7" s="2">
        <v>73</v>
      </c>
      <c r="U7" s="220">
        <v>172</v>
      </c>
      <c r="V7" s="221">
        <v>129492</v>
      </c>
      <c r="W7" s="220">
        <v>139</v>
      </c>
      <c r="X7" s="2">
        <v>3409531</v>
      </c>
      <c r="Y7" s="2">
        <v>8832</v>
      </c>
      <c r="Z7" s="220">
        <v>6</v>
      </c>
      <c r="AA7" s="100">
        <f>'Weather Data'!D163</f>
        <v>19.499999999999996</v>
      </c>
      <c r="AB7" s="100">
        <f>'Weather Data'!E163</f>
        <v>59.999999999999986</v>
      </c>
      <c r="AC7" s="100">
        <f>'Weather Data'!F163</f>
        <v>4.9999999999999964</v>
      </c>
      <c r="AD7" s="100">
        <f>'Weather Data'!G163</f>
        <v>105.49999999999999</v>
      </c>
      <c r="AE7" s="100">
        <f>'Weather Data'!H163</f>
        <v>0</v>
      </c>
      <c r="AF7" s="100">
        <f>'Weather Data'!I163</f>
        <v>160.5</v>
      </c>
      <c r="AG7" s="100">
        <f>'Weather Data'!J163</f>
        <v>0</v>
      </c>
      <c r="AH7" s="100">
        <f>'Weather Data'!K163</f>
        <v>220.5</v>
      </c>
      <c r="AI7" s="100">
        <f>'Weather Data'!L163</f>
        <v>0</v>
      </c>
      <c r="AJ7" s="100">
        <f>'Weather Data'!M163</f>
        <v>280.50000000000006</v>
      </c>
      <c r="AK7" s="100">
        <f>'Weather Data'!N163</f>
        <v>0</v>
      </c>
      <c r="AL7" s="100">
        <f>'Weather Data'!O163</f>
        <v>340.5</v>
      </c>
      <c r="AM7" s="100">
        <f>'Weather Data'!P163</f>
        <v>0</v>
      </c>
      <c r="AN7" s="100">
        <f>'Weather Data'!Q163</f>
        <v>400.49999999999994</v>
      </c>
      <c r="AO7" s="100">
        <f>'Weather Data'!R163</f>
        <v>21.35</v>
      </c>
      <c r="AP7" s="5">
        <f>'Economic Data'!D33</f>
        <v>6826.1</v>
      </c>
      <c r="AQ7" s="5">
        <f>'Economic Data'!E33</f>
        <v>6875.4</v>
      </c>
      <c r="AR7" s="5">
        <f>'Economic Data'!F33</f>
        <v>150.9</v>
      </c>
      <c r="AS7" s="5">
        <f>'Economic Data'!G33</f>
        <v>151.19999999999999</v>
      </c>
      <c r="AT7" s="5">
        <f>'Economic Data'!H33</f>
        <v>708787.6</v>
      </c>
      <c r="AU7" s="5">
        <f>'Economic Data'!I33</f>
        <v>6474.7</v>
      </c>
      <c r="AV7" s="5">
        <f>'Economic Data'!J33</f>
        <v>5461.8</v>
      </c>
      <c r="AW7" s="5">
        <f>'Economic Data'!K33</f>
        <v>4020.9</v>
      </c>
      <c r="AX7" s="5">
        <f>'Economic Data'!L33</f>
        <v>912.8</v>
      </c>
      <c r="AY7" s="5">
        <f>'Economic Data'!M33</f>
        <v>444.1</v>
      </c>
      <c r="AZ7" s="5">
        <f>'Economic Data'!N33</f>
        <v>8082.4</v>
      </c>
      <c r="BA7" s="5">
        <f>'Economic Data'!O33</f>
        <v>10.8</v>
      </c>
      <c r="BB7" s="5">
        <f>'Economic Data'!P33</f>
        <v>292</v>
      </c>
      <c r="BC7" s="5">
        <f>'Economic Data'!Q33</f>
        <v>705966</v>
      </c>
      <c r="BD7" s="5">
        <f>'Economic Data'!R33</f>
        <v>6382</v>
      </c>
      <c r="BE7" s="5">
        <f>'Economic Data'!S33</f>
        <v>3945</v>
      </c>
      <c r="BF7" s="5">
        <f>'Economic Data'!T33</f>
        <v>12894</v>
      </c>
      <c r="BG7" s="5">
        <v>0</v>
      </c>
      <c r="BH7" s="5">
        <v>0</v>
      </c>
      <c r="BI7" s="5">
        <v>0</v>
      </c>
      <c r="BJ7" s="5">
        <f t="shared" si="38"/>
        <v>6</v>
      </c>
      <c r="BK7" s="70">
        <f t="shared" si="1"/>
        <v>0.77815125038364363</v>
      </c>
      <c r="BL7" s="5">
        <f t="shared" si="2"/>
        <v>36</v>
      </c>
      <c r="BM7">
        <v>0</v>
      </c>
      <c r="BN7">
        <v>0</v>
      </c>
      <c r="BO7">
        <v>0</v>
      </c>
      <c r="BP7">
        <v>0</v>
      </c>
      <c r="BQ7">
        <v>0</v>
      </c>
      <c r="BR7">
        <v>1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f t="shared" si="3"/>
        <v>0</v>
      </c>
      <c r="CB7">
        <v>30</v>
      </c>
      <c r="CC7">
        <v>21</v>
      </c>
      <c r="CD7">
        <v>0</v>
      </c>
      <c r="CE7">
        <v>0</v>
      </c>
      <c r="CF7">
        <f t="shared" si="39"/>
        <v>0</v>
      </c>
      <c r="CG7">
        <v>0</v>
      </c>
      <c r="CH7" s="64">
        <f t="shared" si="4"/>
        <v>0</v>
      </c>
      <c r="CI7" s="64">
        <f t="shared" si="5"/>
        <v>0</v>
      </c>
      <c r="CJ7" s="64">
        <f t="shared" si="6"/>
        <v>0</v>
      </c>
      <c r="CK7" s="64">
        <f t="shared" si="7"/>
        <v>0</v>
      </c>
      <c r="CL7" s="64">
        <f t="shared" si="8"/>
        <v>0</v>
      </c>
      <c r="CM7" s="64">
        <f t="shared" si="9"/>
        <v>0</v>
      </c>
      <c r="CN7" s="64">
        <f t="shared" si="10"/>
        <v>0</v>
      </c>
      <c r="CO7" s="64">
        <f t="shared" si="11"/>
        <v>0</v>
      </c>
      <c r="CP7" s="64">
        <f t="shared" si="12"/>
        <v>0</v>
      </c>
      <c r="CQ7" s="64">
        <f t="shared" si="13"/>
        <v>0</v>
      </c>
      <c r="CR7" s="64">
        <f t="shared" si="14"/>
        <v>0</v>
      </c>
      <c r="CS7" s="64">
        <f t="shared" si="15"/>
        <v>0</v>
      </c>
      <c r="CT7" s="64">
        <f t="shared" si="16"/>
        <v>0</v>
      </c>
      <c r="CU7" s="64">
        <f t="shared" si="17"/>
        <v>0</v>
      </c>
      <c r="CV7" s="69">
        <f t="shared" si="18"/>
        <v>29.41443868011195</v>
      </c>
      <c r="CW7" s="69">
        <f t="shared" si="19"/>
        <v>914.22698907358301</v>
      </c>
      <c r="CX7" s="69">
        <f t="shared" si="20"/>
        <v>3227.3698773075384</v>
      </c>
      <c r="CY7" s="69">
        <f t="shared" si="21"/>
        <v>27059.769841269841</v>
      </c>
      <c r="CZ7" s="64">
        <f t="shared" si="22"/>
        <v>2259.1589141152767</v>
      </c>
      <c r="DA7" s="64">
        <f t="shared" si="23"/>
        <v>18941.838888888891</v>
      </c>
      <c r="DB7" s="64">
        <f t="shared" si="24"/>
        <v>0</v>
      </c>
      <c r="DC7" s="64">
        <f t="shared" si="25"/>
        <v>0</v>
      </c>
      <c r="DD7" s="64">
        <f t="shared" si="26"/>
        <v>0</v>
      </c>
      <c r="DE7" s="64">
        <f t="shared" si="27"/>
        <v>0</v>
      </c>
      <c r="DF7" s="64">
        <f t="shared" si="28"/>
        <v>0</v>
      </c>
      <c r="DG7" s="64">
        <f t="shared" si="29"/>
        <v>0</v>
      </c>
      <c r="DH7" s="64">
        <f t="shared" si="30"/>
        <v>0</v>
      </c>
      <c r="DI7" s="64">
        <f t="shared" si="31"/>
        <v>0</v>
      </c>
      <c r="DJ7" s="64">
        <f t="shared" si="32"/>
        <v>0</v>
      </c>
      <c r="DK7" s="64">
        <f t="shared" si="33"/>
        <v>0</v>
      </c>
      <c r="DL7" s="64">
        <f t="shared" si="34"/>
        <v>0</v>
      </c>
      <c r="DM7" s="64">
        <f t="shared" si="35"/>
        <v>0</v>
      </c>
      <c r="DN7" s="64">
        <f t="shared" si="36"/>
        <v>0</v>
      </c>
      <c r="DO7" s="64">
        <f t="shared" si="37"/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f t="shared" si="40"/>
        <v>6</v>
      </c>
      <c r="DV7" s="2">
        <f t="shared" si="41"/>
        <v>18941.838888888891</v>
      </c>
    </row>
    <row r="8" spans="1:127" s="2" customFormat="1">
      <c r="A8" s="3">
        <v>41821</v>
      </c>
      <c r="B8">
        <f t="shared" si="42"/>
        <v>2014</v>
      </c>
      <c r="C8" s="2">
        <v>26224874</v>
      </c>
      <c r="D8" s="2">
        <f>VLOOKUP(B8,'Historic CDM'!$B$135:$H$146,2,FALSE)/12</f>
        <v>232660.83668167001</v>
      </c>
      <c r="E8" s="2">
        <f t="shared" si="43"/>
        <v>26457534.836681671</v>
      </c>
      <c r="F8" s="6">
        <v>26628</v>
      </c>
      <c r="G8" s="219">
        <v>5971889</v>
      </c>
      <c r="H8" s="2">
        <f>VLOOKUP(B8,'Historic CDM'!$B$135:$H$147,3,FALSE)/12</f>
        <v>218299.07952460984</v>
      </c>
      <c r="I8" s="2">
        <f t="shared" si="44"/>
        <v>6190188.0795246102</v>
      </c>
      <c r="J8" s="6">
        <v>1904</v>
      </c>
      <c r="K8" s="219">
        <v>14525738</v>
      </c>
      <c r="L8" s="2">
        <f>VLOOKUP(B8,'Historic CDM'!$B$135:$H$146,4,FALSE)/12</f>
        <v>239755.99604353451</v>
      </c>
      <c r="M8" s="2">
        <f t="shared" si="0"/>
        <v>14765493.996043535</v>
      </c>
      <c r="N8" s="222">
        <v>37476</v>
      </c>
      <c r="O8" s="220">
        <v>215</v>
      </c>
      <c r="P8" s="220">
        <v>392570</v>
      </c>
      <c r="Q8" s="2">
        <v>1586</v>
      </c>
      <c r="R8" s="220">
        <v>2713</v>
      </c>
      <c r="S8" s="220">
        <v>28556</v>
      </c>
      <c r="T8" s="2">
        <v>73</v>
      </c>
      <c r="U8" s="220">
        <v>172</v>
      </c>
      <c r="V8" s="221">
        <v>129492</v>
      </c>
      <c r="W8" s="220">
        <v>139</v>
      </c>
      <c r="X8" s="2">
        <v>3573547</v>
      </c>
      <c r="Y8" s="2">
        <v>9037</v>
      </c>
      <c r="Z8" s="220">
        <v>6</v>
      </c>
      <c r="AA8" s="100">
        <f>'Weather Data'!D164</f>
        <v>24.3</v>
      </c>
      <c r="AB8" s="100">
        <f>'Weather Data'!E164</f>
        <v>42.400000000000006</v>
      </c>
      <c r="AC8" s="100">
        <f>'Weather Data'!F164</f>
        <v>4.4000000000000021</v>
      </c>
      <c r="AD8" s="100">
        <f>'Weather Data'!G164</f>
        <v>84.5</v>
      </c>
      <c r="AE8" s="100">
        <f>'Weather Data'!H164</f>
        <v>0</v>
      </c>
      <c r="AF8" s="100">
        <f>'Weather Data'!I164</f>
        <v>142.1</v>
      </c>
      <c r="AG8" s="100">
        <f>'Weather Data'!J164</f>
        <v>0</v>
      </c>
      <c r="AH8" s="100">
        <f>'Weather Data'!K164</f>
        <v>204.1</v>
      </c>
      <c r="AI8" s="100">
        <f>'Weather Data'!L164</f>
        <v>0</v>
      </c>
      <c r="AJ8" s="100">
        <f>'Weather Data'!M164</f>
        <v>266.09999999999997</v>
      </c>
      <c r="AK8" s="100">
        <f>'Weather Data'!N164</f>
        <v>0</v>
      </c>
      <c r="AL8" s="100">
        <f>'Weather Data'!O164</f>
        <v>328.09999999999997</v>
      </c>
      <c r="AM8" s="100">
        <f>'Weather Data'!P164</f>
        <v>0</v>
      </c>
      <c r="AN8" s="100">
        <f>'Weather Data'!Q164</f>
        <v>390.09999999999997</v>
      </c>
      <c r="AO8" s="100">
        <f>'Weather Data'!R164</f>
        <v>20.583870967741937</v>
      </c>
      <c r="AP8" s="5">
        <f>'Economic Data'!D34</f>
        <v>6836.5</v>
      </c>
      <c r="AQ8" s="5">
        <f>'Economic Data'!E34</f>
        <v>6932</v>
      </c>
      <c r="AR8" s="5">
        <f>'Economic Data'!F34</f>
        <v>152.4</v>
      </c>
      <c r="AS8" s="5">
        <f>'Economic Data'!G34</f>
        <v>153.80000000000001</v>
      </c>
      <c r="AT8" s="5">
        <f>'Economic Data'!H34</f>
        <v>708787.6</v>
      </c>
      <c r="AU8" s="5">
        <f>'Economic Data'!I34</f>
        <v>6474.7</v>
      </c>
      <c r="AV8" s="5">
        <f>'Economic Data'!J34</f>
        <v>5461.8</v>
      </c>
      <c r="AW8" s="5">
        <f>'Economic Data'!K34</f>
        <v>4020.9</v>
      </c>
      <c r="AX8" s="5">
        <f>'Economic Data'!L34</f>
        <v>912.8</v>
      </c>
      <c r="AY8" s="5">
        <f>'Economic Data'!M34</f>
        <v>444.1</v>
      </c>
      <c r="AZ8" s="5">
        <f>'Economic Data'!N34</f>
        <v>8082.4</v>
      </c>
      <c r="BA8" s="5">
        <f>'Economic Data'!O34</f>
        <v>10.8</v>
      </c>
      <c r="BB8" s="5">
        <f>'Economic Data'!P34</f>
        <v>292</v>
      </c>
      <c r="BC8" s="5">
        <f>'Economic Data'!Q34</f>
        <v>713152</v>
      </c>
      <c r="BD8" s="5">
        <f>'Economic Data'!R34</f>
        <v>6336</v>
      </c>
      <c r="BE8" s="5">
        <f>'Economic Data'!S34</f>
        <v>3749</v>
      </c>
      <c r="BF8" s="5">
        <f>'Economic Data'!T34</f>
        <v>12636</v>
      </c>
      <c r="BG8" s="5">
        <v>0</v>
      </c>
      <c r="BH8" s="5">
        <v>0</v>
      </c>
      <c r="BI8" s="5">
        <v>0</v>
      </c>
      <c r="BJ8" s="5">
        <f t="shared" si="38"/>
        <v>7</v>
      </c>
      <c r="BK8" s="70">
        <f t="shared" si="1"/>
        <v>0.84509804001425681</v>
      </c>
      <c r="BL8" s="5">
        <f t="shared" si="2"/>
        <v>49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1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f t="shared" si="3"/>
        <v>0</v>
      </c>
      <c r="CB8">
        <v>31</v>
      </c>
      <c r="CC8">
        <v>22</v>
      </c>
      <c r="CD8">
        <v>0</v>
      </c>
      <c r="CE8">
        <v>0</v>
      </c>
      <c r="CF8">
        <f t="shared" si="39"/>
        <v>0</v>
      </c>
      <c r="CG8">
        <v>0</v>
      </c>
      <c r="CH8" s="64">
        <f t="shared" si="4"/>
        <v>0</v>
      </c>
      <c r="CI8" s="64">
        <f t="shared" si="5"/>
        <v>0</v>
      </c>
      <c r="CJ8" s="64">
        <f t="shared" si="6"/>
        <v>0</v>
      </c>
      <c r="CK8" s="64">
        <f t="shared" si="7"/>
        <v>0</v>
      </c>
      <c r="CL8" s="64">
        <f t="shared" si="8"/>
        <v>0</v>
      </c>
      <c r="CM8" s="64">
        <f t="shared" si="9"/>
        <v>0</v>
      </c>
      <c r="CN8" s="64">
        <f t="shared" si="10"/>
        <v>0</v>
      </c>
      <c r="CO8" s="64">
        <f t="shared" si="11"/>
        <v>0</v>
      </c>
      <c r="CP8" s="64">
        <f t="shared" si="12"/>
        <v>0</v>
      </c>
      <c r="CQ8" s="64">
        <f t="shared" si="13"/>
        <v>0</v>
      </c>
      <c r="CR8" s="64">
        <f t="shared" si="14"/>
        <v>0</v>
      </c>
      <c r="CS8" s="64">
        <f t="shared" si="15"/>
        <v>0</v>
      </c>
      <c r="CT8" s="64">
        <f t="shared" si="16"/>
        <v>0</v>
      </c>
      <c r="CU8" s="64">
        <f t="shared" si="17"/>
        <v>0</v>
      </c>
      <c r="CV8" s="69">
        <f t="shared" si="18"/>
        <v>32.051557221699291</v>
      </c>
      <c r="CW8" s="69">
        <f t="shared" si="19"/>
        <v>928.76040202919876</v>
      </c>
      <c r="CX8" s="69">
        <f t="shared" si="20"/>
        <v>3121.6689209394367</v>
      </c>
      <c r="CY8" s="69">
        <f t="shared" si="21"/>
        <v>27072.32575757576</v>
      </c>
      <c r="CZ8" s="64">
        <f t="shared" si="22"/>
        <v>2215.3779438925035</v>
      </c>
      <c r="DA8" s="64">
        <f t="shared" si="23"/>
        <v>19212.618279569891</v>
      </c>
      <c r="DB8" s="64">
        <f t="shared" si="24"/>
        <v>0</v>
      </c>
      <c r="DC8" s="64">
        <f t="shared" si="25"/>
        <v>0</v>
      </c>
      <c r="DD8" s="64">
        <f t="shared" si="26"/>
        <v>0</v>
      </c>
      <c r="DE8" s="64">
        <f t="shared" si="27"/>
        <v>0</v>
      </c>
      <c r="DF8" s="64">
        <f t="shared" si="28"/>
        <v>0</v>
      </c>
      <c r="DG8" s="64">
        <f t="shared" si="29"/>
        <v>0</v>
      </c>
      <c r="DH8" s="64">
        <f t="shared" si="30"/>
        <v>0</v>
      </c>
      <c r="DI8" s="64">
        <f t="shared" si="31"/>
        <v>0</v>
      </c>
      <c r="DJ8" s="64">
        <f t="shared" si="32"/>
        <v>0</v>
      </c>
      <c r="DK8" s="64">
        <f t="shared" si="33"/>
        <v>0</v>
      </c>
      <c r="DL8" s="64">
        <f t="shared" si="34"/>
        <v>0</v>
      </c>
      <c r="DM8" s="64">
        <f t="shared" si="35"/>
        <v>0</v>
      </c>
      <c r="DN8" s="64">
        <f t="shared" si="36"/>
        <v>0</v>
      </c>
      <c r="DO8" s="64">
        <f t="shared" si="37"/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f t="shared" si="40"/>
        <v>6</v>
      </c>
      <c r="DV8" s="2">
        <f t="shared" si="41"/>
        <v>19212.618279569891</v>
      </c>
    </row>
    <row r="9" spans="1:127" s="2" customFormat="1">
      <c r="A9" s="3">
        <v>41852</v>
      </c>
      <c r="B9">
        <f t="shared" si="42"/>
        <v>2014</v>
      </c>
      <c r="C9" s="2">
        <v>25672216</v>
      </c>
      <c r="D9" s="2">
        <f>VLOOKUP(B9,'Historic CDM'!$B$135:$H$146,2,FALSE)/12</f>
        <v>232660.83668167001</v>
      </c>
      <c r="E9" s="2">
        <f t="shared" si="43"/>
        <v>25904876.836681671</v>
      </c>
      <c r="F9" s="6">
        <v>26757</v>
      </c>
      <c r="G9" s="219">
        <v>5994060</v>
      </c>
      <c r="H9" s="2">
        <f>VLOOKUP(B9,'Historic CDM'!$B$135:$H$147,3,FALSE)/12</f>
        <v>218299.07952460984</v>
      </c>
      <c r="I9" s="2">
        <f t="shared" si="44"/>
        <v>6212359.0795246102</v>
      </c>
      <c r="J9" s="6">
        <v>1915</v>
      </c>
      <c r="K9" s="219">
        <v>15535531</v>
      </c>
      <c r="L9" s="2">
        <f>VLOOKUP(B9,'Historic CDM'!$B$135:$H$146,4,FALSE)/12</f>
        <v>239755.99604353451</v>
      </c>
      <c r="M9" s="2">
        <f t="shared" si="0"/>
        <v>15775286.996043535</v>
      </c>
      <c r="N9" s="222">
        <v>40485</v>
      </c>
      <c r="O9" s="220">
        <v>214</v>
      </c>
      <c r="P9" s="220">
        <v>439341</v>
      </c>
      <c r="Q9" s="2">
        <v>1586</v>
      </c>
      <c r="R9" s="220">
        <v>2713</v>
      </c>
      <c r="S9" s="220">
        <v>28896</v>
      </c>
      <c r="T9" s="2">
        <v>73</v>
      </c>
      <c r="U9" s="220">
        <v>172</v>
      </c>
      <c r="V9" s="221">
        <v>129492</v>
      </c>
      <c r="W9" s="220">
        <v>139</v>
      </c>
      <c r="X9" s="2">
        <v>2693259</v>
      </c>
      <c r="Y9" s="2">
        <v>8235</v>
      </c>
      <c r="Z9" s="220">
        <v>6</v>
      </c>
      <c r="AA9" s="100">
        <f>'Weather Data'!D165</f>
        <v>13.500000000000004</v>
      </c>
      <c r="AB9" s="100">
        <f>'Weather Data'!E165</f>
        <v>43.500000000000007</v>
      </c>
      <c r="AC9" s="100">
        <f>'Weather Data'!F165</f>
        <v>3.8000000000000007</v>
      </c>
      <c r="AD9" s="100">
        <f>'Weather Data'!G165</f>
        <v>95.799999999999983</v>
      </c>
      <c r="AE9" s="100">
        <f>'Weather Data'!H165</f>
        <v>0</v>
      </c>
      <c r="AF9" s="100">
        <f>'Weather Data'!I165</f>
        <v>154</v>
      </c>
      <c r="AG9" s="100">
        <f>'Weather Data'!J165</f>
        <v>0</v>
      </c>
      <c r="AH9" s="100">
        <f>'Weather Data'!K165</f>
        <v>216.00000000000003</v>
      </c>
      <c r="AI9" s="100">
        <f>'Weather Data'!L165</f>
        <v>0</v>
      </c>
      <c r="AJ9" s="100">
        <f>'Weather Data'!M165</f>
        <v>278.00000000000006</v>
      </c>
      <c r="AK9" s="100">
        <f>'Weather Data'!N165</f>
        <v>0</v>
      </c>
      <c r="AL9" s="100">
        <f>'Weather Data'!O165</f>
        <v>340</v>
      </c>
      <c r="AM9" s="100">
        <f>'Weather Data'!P165</f>
        <v>0</v>
      </c>
      <c r="AN9" s="100">
        <f>'Weather Data'!Q165</f>
        <v>401.99999999999994</v>
      </c>
      <c r="AO9" s="100">
        <f>'Weather Data'!R165</f>
        <v>20.967741935483868</v>
      </c>
      <c r="AP9" s="5">
        <f>'Economic Data'!D35</f>
        <v>6842.5</v>
      </c>
      <c r="AQ9" s="5">
        <f>'Economic Data'!E35</f>
        <v>6947.8</v>
      </c>
      <c r="AR9" s="5">
        <f>'Economic Data'!F35</f>
        <v>153.9</v>
      </c>
      <c r="AS9" s="5">
        <f>'Economic Data'!G35</f>
        <v>155.4</v>
      </c>
      <c r="AT9" s="5">
        <f>'Economic Data'!H35</f>
        <v>708787.6</v>
      </c>
      <c r="AU9" s="5">
        <f>'Economic Data'!I35</f>
        <v>6474.7</v>
      </c>
      <c r="AV9" s="5">
        <f>'Economic Data'!J35</f>
        <v>5461.8</v>
      </c>
      <c r="AW9" s="5">
        <f>'Economic Data'!K35</f>
        <v>4020.9</v>
      </c>
      <c r="AX9" s="5">
        <f>'Economic Data'!L35</f>
        <v>912.8</v>
      </c>
      <c r="AY9" s="5">
        <f>'Economic Data'!M35</f>
        <v>444.1</v>
      </c>
      <c r="AZ9" s="5">
        <f>'Economic Data'!N35</f>
        <v>8082.4</v>
      </c>
      <c r="BA9" s="5">
        <f>'Economic Data'!O35</f>
        <v>10.8</v>
      </c>
      <c r="BB9" s="5">
        <f>'Economic Data'!P35</f>
        <v>292</v>
      </c>
      <c r="BC9" s="5">
        <f>'Economic Data'!Q35</f>
        <v>713152</v>
      </c>
      <c r="BD9" s="5">
        <f>'Economic Data'!R35</f>
        <v>6336</v>
      </c>
      <c r="BE9" s="5">
        <f>'Economic Data'!S35</f>
        <v>3749</v>
      </c>
      <c r="BF9" s="5">
        <f>'Economic Data'!T35</f>
        <v>12636</v>
      </c>
      <c r="BG9" s="5">
        <v>0</v>
      </c>
      <c r="BH9" s="5">
        <v>0</v>
      </c>
      <c r="BI9" s="5">
        <v>0</v>
      </c>
      <c r="BJ9" s="5">
        <f t="shared" si="38"/>
        <v>8</v>
      </c>
      <c r="BK9" s="70">
        <f t="shared" si="1"/>
        <v>0.90308998699194354</v>
      </c>
      <c r="BL9" s="5">
        <f t="shared" si="2"/>
        <v>64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1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f t="shared" si="3"/>
        <v>0</v>
      </c>
      <c r="CB9">
        <v>31</v>
      </c>
      <c r="CC9">
        <v>20</v>
      </c>
      <c r="CD9">
        <v>0</v>
      </c>
      <c r="CE9">
        <v>0</v>
      </c>
      <c r="CF9">
        <f t="shared" si="39"/>
        <v>0</v>
      </c>
      <c r="CG9">
        <v>0</v>
      </c>
      <c r="CH9" s="64">
        <f t="shared" si="4"/>
        <v>0</v>
      </c>
      <c r="CI9" s="64">
        <f t="shared" si="5"/>
        <v>0</v>
      </c>
      <c r="CJ9" s="64">
        <f t="shared" si="6"/>
        <v>0</v>
      </c>
      <c r="CK9" s="64">
        <f t="shared" si="7"/>
        <v>0</v>
      </c>
      <c r="CL9" s="64">
        <f t="shared" si="8"/>
        <v>0</v>
      </c>
      <c r="CM9" s="64">
        <f t="shared" si="9"/>
        <v>0</v>
      </c>
      <c r="CN9" s="64">
        <f t="shared" si="10"/>
        <v>0</v>
      </c>
      <c r="CO9" s="64">
        <f t="shared" si="11"/>
        <v>0</v>
      </c>
      <c r="CP9" s="64">
        <f t="shared" si="12"/>
        <v>0</v>
      </c>
      <c r="CQ9" s="64">
        <f t="shared" si="13"/>
        <v>0</v>
      </c>
      <c r="CR9" s="64">
        <f t="shared" si="14"/>
        <v>0</v>
      </c>
      <c r="CS9" s="64">
        <f t="shared" si="15"/>
        <v>0</v>
      </c>
      <c r="CT9" s="64">
        <f t="shared" si="16"/>
        <v>0</v>
      </c>
      <c r="CU9" s="64">
        <f t="shared" si="17"/>
        <v>0</v>
      </c>
      <c r="CV9" s="69">
        <f t="shared" si="18"/>
        <v>31.230750393543893</v>
      </c>
      <c r="CW9" s="69">
        <f t="shared" si="19"/>
        <v>936.44242983488243</v>
      </c>
      <c r="CX9" s="69">
        <f t="shared" si="20"/>
        <v>3685.8147187017603</v>
      </c>
      <c r="CY9" s="69">
        <f t="shared" si="21"/>
        <v>22443.825000000001</v>
      </c>
      <c r="CZ9" s="64">
        <f t="shared" si="22"/>
        <v>2377.9449798075875</v>
      </c>
      <c r="DA9" s="64">
        <f t="shared" si="23"/>
        <v>14479.887096774195</v>
      </c>
      <c r="DB9" s="64">
        <f t="shared" si="24"/>
        <v>0</v>
      </c>
      <c r="DC9" s="64">
        <f t="shared" si="25"/>
        <v>0</v>
      </c>
      <c r="DD9" s="64">
        <f t="shared" si="26"/>
        <v>0</v>
      </c>
      <c r="DE9" s="64">
        <f t="shared" si="27"/>
        <v>0</v>
      </c>
      <c r="DF9" s="64">
        <f t="shared" si="28"/>
        <v>0</v>
      </c>
      <c r="DG9" s="64">
        <f t="shared" si="29"/>
        <v>0</v>
      </c>
      <c r="DH9" s="64">
        <f t="shared" si="30"/>
        <v>0</v>
      </c>
      <c r="DI9" s="64">
        <f t="shared" si="31"/>
        <v>0</v>
      </c>
      <c r="DJ9" s="64">
        <f t="shared" si="32"/>
        <v>0</v>
      </c>
      <c r="DK9" s="64">
        <f t="shared" si="33"/>
        <v>0</v>
      </c>
      <c r="DL9" s="64">
        <f t="shared" si="34"/>
        <v>0</v>
      </c>
      <c r="DM9" s="64">
        <f t="shared" si="35"/>
        <v>0</v>
      </c>
      <c r="DN9" s="64">
        <f t="shared" si="36"/>
        <v>0</v>
      </c>
      <c r="DO9" s="64">
        <f t="shared" si="37"/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f t="shared" si="40"/>
        <v>6</v>
      </c>
      <c r="DV9" s="2">
        <f t="shared" si="41"/>
        <v>14479.887096774195</v>
      </c>
    </row>
    <row r="10" spans="1:127" s="2" customFormat="1">
      <c r="A10" s="3">
        <v>41883</v>
      </c>
      <c r="B10">
        <f t="shared" si="42"/>
        <v>2014</v>
      </c>
      <c r="C10" s="2">
        <v>20441257</v>
      </c>
      <c r="D10" s="2">
        <f>VLOOKUP(B10,'Historic CDM'!$B$135:$H$146,2,FALSE)/12</f>
        <v>232660.83668167001</v>
      </c>
      <c r="E10" s="2">
        <f t="shared" si="43"/>
        <v>20673917.836681671</v>
      </c>
      <c r="F10" s="6">
        <v>26650</v>
      </c>
      <c r="G10" s="219">
        <v>5238969</v>
      </c>
      <c r="H10" s="2">
        <f>VLOOKUP(B10,'Historic CDM'!$B$135:$H$147,3,FALSE)/12</f>
        <v>218299.07952460984</v>
      </c>
      <c r="I10" s="2">
        <f t="shared" si="44"/>
        <v>5457268.0795246102</v>
      </c>
      <c r="J10" s="6">
        <v>1913</v>
      </c>
      <c r="K10" s="219">
        <v>15185804</v>
      </c>
      <c r="L10" s="2">
        <f>VLOOKUP(B10,'Historic CDM'!$B$135:$H$146,4,FALSE)/12</f>
        <v>239755.99604353451</v>
      </c>
      <c r="M10" s="2">
        <f t="shared" si="0"/>
        <v>15425559.996043535</v>
      </c>
      <c r="N10" s="222">
        <v>40806</v>
      </c>
      <c r="O10" s="220">
        <v>215</v>
      </c>
      <c r="P10" s="220">
        <v>494493</v>
      </c>
      <c r="Q10" s="2">
        <v>1586</v>
      </c>
      <c r="R10" s="220">
        <v>2711</v>
      </c>
      <c r="S10" s="220">
        <v>28937</v>
      </c>
      <c r="T10" s="2">
        <v>73</v>
      </c>
      <c r="U10" s="220">
        <v>172</v>
      </c>
      <c r="V10" s="221">
        <v>129492</v>
      </c>
      <c r="W10" s="220">
        <v>139</v>
      </c>
      <c r="X10" s="2">
        <v>3111799</v>
      </c>
      <c r="Y10" s="2">
        <v>8751</v>
      </c>
      <c r="Z10" s="220">
        <v>6</v>
      </c>
      <c r="AA10" s="100">
        <f>'Weather Data'!D166</f>
        <v>122.29999999999998</v>
      </c>
      <c r="AB10" s="100">
        <f>'Weather Data'!E166</f>
        <v>15.299999999999997</v>
      </c>
      <c r="AC10" s="100">
        <f>'Weather Data'!F166</f>
        <v>76.799999999999983</v>
      </c>
      <c r="AD10" s="100">
        <f>'Weather Data'!G166</f>
        <v>29.799999999999997</v>
      </c>
      <c r="AE10" s="100">
        <f>'Weather Data'!H166</f>
        <v>41.7</v>
      </c>
      <c r="AF10" s="100">
        <f>'Weather Data'!I166</f>
        <v>54.7</v>
      </c>
      <c r="AG10" s="100">
        <f>'Weather Data'!J166</f>
        <v>19.5</v>
      </c>
      <c r="AH10" s="100">
        <f>'Weather Data'!K166</f>
        <v>92.5</v>
      </c>
      <c r="AI10" s="100">
        <f>'Weather Data'!L166</f>
        <v>5.6000000000000014</v>
      </c>
      <c r="AJ10" s="100">
        <f>'Weather Data'!M166</f>
        <v>138.6</v>
      </c>
      <c r="AK10" s="100">
        <f>'Weather Data'!N166</f>
        <v>0.30000000000000071</v>
      </c>
      <c r="AL10" s="100">
        <f>'Weather Data'!O166</f>
        <v>193.3</v>
      </c>
      <c r="AM10" s="100">
        <f>'Weather Data'!P166</f>
        <v>0</v>
      </c>
      <c r="AN10" s="100">
        <f>'Weather Data'!Q166</f>
        <v>252.99999999999994</v>
      </c>
      <c r="AO10" s="100">
        <f>'Weather Data'!R166</f>
        <v>16.433333333333334</v>
      </c>
      <c r="AP10" s="5">
        <f>'Economic Data'!D36</f>
        <v>6853.6</v>
      </c>
      <c r="AQ10" s="5">
        <f>'Economic Data'!E36</f>
        <v>6917.2</v>
      </c>
      <c r="AR10" s="5">
        <f>'Economic Data'!F36</f>
        <v>157</v>
      </c>
      <c r="AS10" s="5">
        <f>'Economic Data'!G36</f>
        <v>157.69999999999999</v>
      </c>
      <c r="AT10" s="5">
        <f>'Economic Data'!H36</f>
        <v>708787.6</v>
      </c>
      <c r="AU10" s="5">
        <f>'Economic Data'!I36</f>
        <v>6474.7</v>
      </c>
      <c r="AV10" s="5">
        <f>'Economic Data'!J36</f>
        <v>5461.8</v>
      </c>
      <c r="AW10" s="5">
        <f>'Economic Data'!K36</f>
        <v>4020.9</v>
      </c>
      <c r="AX10" s="5">
        <f>'Economic Data'!L36</f>
        <v>912.8</v>
      </c>
      <c r="AY10" s="5">
        <f>'Economic Data'!M36</f>
        <v>444.1</v>
      </c>
      <c r="AZ10" s="5">
        <f>'Economic Data'!N36</f>
        <v>8082.4</v>
      </c>
      <c r="BA10" s="5">
        <f>'Economic Data'!O36</f>
        <v>10.8</v>
      </c>
      <c r="BB10" s="5">
        <f>'Economic Data'!P36</f>
        <v>292</v>
      </c>
      <c r="BC10" s="5">
        <f>'Economic Data'!Q36</f>
        <v>713152</v>
      </c>
      <c r="BD10" s="5">
        <f>'Economic Data'!R36</f>
        <v>6336</v>
      </c>
      <c r="BE10" s="5">
        <f>'Economic Data'!S36</f>
        <v>3749</v>
      </c>
      <c r="BF10" s="5">
        <f>'Economic Data'!T36</f>
        <v>12636</v>
      </c>
      <c r="BG10" s="5">
        <v>0</v>
      </c>
      <c r="BH10" s="5">
        <v>0</v>
      </c>
      <c r="BI10" s="5">
        <v>0</v>
      </c>
      <c r="BJ10" s="5">
        <f t="shared" si="38"/>
        <v>9</v>
      </c>
      <c r="BK10" s="70">
        <f t="shared" si="1"/>
        <v>0.95424250943932487</v>
      </c>
      <c r="BL10" s="5">
        <f t="shared" si="2"/>
        <v>81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f t="shared" si="3"/>
        <v>0</v>
      </c>
      <c r="CB10">
        <v>30</v>
      </c>
      <c r="CC10">
        <v>21</v>
      </c>
      <c r="CD10">
        <v>0</v>
      </c>
      <c r="CE10">
        <v>0</v>
      </c>
      <c r="CF10">
        <f t="shared" si="39"/>
        <v>0</v>
      </c>
      <c r="CG10">
        <v>0</v>
      </c>
      <c r="CH10" s="64">
        <f t="shared" si="4"/>
        <v>0</v>
      </c>
      <c r="CI10" s="64">
        <f t="shared" si="5"/>
        <v>0</v>
      </c>
      <c r="CJ10" s="64">
        <f t="shared" si="6"/>
        <v>0</v>
      </c>
      <c r="CK10" s="64">
        <f t="shared" si="7"/>
        <v>0</v>
      </c>
      <c r="CL10" s="64">
        <f t="shared" si="8"/>
        <v>0</v>
      </c>
      <c r="CM10" s="64">
        <f t="shared" si="9"/>
        <v>0</v>
      </c>
      <c r="CN10" s="64">
        <f t="shared" si="10"/>
        <v>0</v>
      </c>
      <c r="CO10" s="64">
        <f t="shared" si="11"/>
        <v>0</v>
      </c>
      <c r="CP10" s="64">
        <f t="shared" si="12"/>
        <v>0</v>
      </c>
      <c r="CQ10" s="64">
        <f t="shared" si="13"/>
        <v>0</v>
      </c>
      <c r="CR10" s="64">
        <f t="shared" si="14"/>
        <v>0</v>
      </c>
      <c r="CS10" s="64">
        <f t="shared" si="15"/>
        <v>0</v>
      </c>
      <c r="CT10" s="64">
        <f t="shared" si="16"/>
        <v>0</v>
      </c>
      <c r="CU10" s="64">
        <f t="shared" si="17"/>
        <v>0</v>
      </c>
      <c r="CV10" s="69">
        <f t="shared" si="18"/>
        <v>25.858558895161565</v>
      </c>
      <c r="CW10" s="69">
        <f t="shared" si="19"/>
        <v>846.08807434490086</v>
      </c>
      <c r="CX10" s="69">
        <f t="shared" si="20"/>
        <v>3416.5138418701076</v>
      </c>
      <c r="CY10" s="69">
        <f t="shared" si="21"/>
        <v>24696.817460317459</v>
      </c>
      <c r="CZ10" s="64">
        <f t="shared" si="22"/>
        <v>2391.5596893090751</v>
      </c>
      <c r="DA10" s="64">
        <f t="shared" si="23"/>
        <v>17287.772222222222</v>
      </c>
      <c r="DB10" s="64">
        <f t="shared" si="24"/>
        <v>0</v>
      </c>
      <c r="DC10" s="64">
        <f t="shared" si="25"/>
        <v>0</v>
      </c>
      <c r="DD10" s="64">
        <f t="shared" si="26"/>
        <v>0</v>
      </c>
      <c r="DE10" s="64">
        <f t="shared" si="27"/>
        <v>0</v>
      </c>
      <c r="DF10" s="64">
        <f t="shared" si="28"/>
        <v>0</v>
      </c>
      <c r="DG10" s="64">
        <f t="shared" si="29"/>
        <v>0</v>
      </c>
      <c r="DH10" s="64">
        <f t="shared" si="30"/>
        <v>0</v>
      </c>
      <c r="DI10" s="64">
        <f t="shared" si="31"/>
        <v>0</v>
      </c>
      <c r="DJ10" s="64">
        <f t="shared" si="32"/>
        <v>0</v>
      </c>
      <c r="DK10" s="64">
        <f t="shared" si="33"/>
        <v>0</v>
      </c>
      <c r="DL10" s="64">
        <f t="shared" si="34"/>
        <v>0</v>
      </c>
      <c r="DM10" s="64">
        <f t="shared" si="35"/>
        <v>0</v>
      </c>
      <c r="DN10" s="64">
        <f t="shared" si="36"/>
        <v>0</v>
      </c>
      <c r="DO10" s="64">
        <f t="shared" si="37"/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f t="shared" si="40"/>
        <v>6</v>
      </c>
      <c r="DV10" s="2">
        <f t="shared" si="41"/>
        <v>17287.772222222222</v>
      </c>
    </row>
    <row r="11" spans="1:127" s="2" customFormat="1">
      <c r="A11" s="3">
        <v>41913</v>
      </c>
      <c r="B11">
        <f t="shared" si="42"/>
        <v>2014</v>
      </c>
      <c r="C11" s="2">
        <v>16498969</v>
      </c>
      <c r="D11" s="2">
        <f>VLOOKUP(B11,'Historic CDM'!$B$135:$H$146,2,FALSE)/12</f>
        <v>232660.83668167001</v>
      </c>
      <c r="E11" s="2">
        <f t="shared" si="43"/>
        <v>16731629.83668167</v>
      </c>
      <c r="F11" s="6">
        <v>26699</v>
      </c>
      <c r="G11" s="219">
        <v>4899229</v>
      </c>
      <c r="H11" s="2">
        <f>VLOOKUP(B11,'Historic CDM'!$B$135:$H$147,3,FALSE)/12</f>
        <v>218299.07952460984</v>
      </c>
      <c r="I11" s="2">
        <f t="shared" si="44"/>
        <v>5117528.0795246102</v>
      </c>
      <c r="J11" s="6">
        <v>1931</v>
      </c>
      <c r="K11" s="219">
        <v>13783867</v>
      </c>
      <c r="L11" s="2">
        <f>VLOOKUP(B11,'Historic CDM'!$B$135:$H$146,4,FALSE)/12</f>
        <v>239755.99604353451</v>
      </c>
      <c r="M11" s="2">
        <f t="shared" si="0"/>
        <v>14023622.996043535</v>
      </c>
      <c r="N11" s="222">
        <v>9474</v>
      </c>
      <c r="O11" s="220">
        <v>215</v>
      </c>
      <c r="P11" s="220">
        <v>584979</v>
      </c>
      <c r="Q11" s="288">
        <f>AVERAGE(Q10,Q12)</f>
        <v>1586</v>
      </c>
      <c r="R11" s="220">
        <v>2714</v>
      </c>
      <c r="S11" s="220">
        <v>28805</v>
      </c>
      <c r="T11" s="2">
        <v>73</v>
      </c>
      <c r="U11" s="220">
        <v>172</v>
      </c>
      <c r="V11" s="221">
        <v>129492</v>
      </c>
      <c r="W11" s="220">
        <v>139</v>
      </c>
      <c r="X11" s="2">
        <v>2963385</v>
      </c>
      <c r="Y11" s="288">
        <f>AVERAGE(Y10,Y12)</f>
        <v>10499.5</v>
      </c>
      <c r="Z11" s="220">
        <v>6</v>
      </c>
      <c r="AA11" s="100">
        <f>'Weather Data'!D167</f>
        <v>281.2</v>
      </c>
      <c r="AB11" s="100">
        <f>'Weather Data'!E167</f>
        <v>0</v>
      </c>
      <c r="AC11" s="100">
        <f>'Weather Data'!F167</f>
        <v>219.2</v>
      </c>
      <c r="AD11" s="100">
        <f>'Weather Data'!G167</f>
        <v>0</v>
      </c>
      <c r="AE11" s="100">
        <f>'Weather Data'!H167</f>
        <v>159.9</v>
      </c>
      <c r="AF11" s="100">
        <f>'Weather Data'!I167</f>
        <v>2.6999999999999993</v>
      </c>
      <c r="AG11" s="100">
        <f>'Weather Data'!J167</f>
        <v>107.70000000000003</v>
      </c>
      <c r="AH11" s="100">
        <f>'Weather Data'!K167</f>
        <v>12.499999999999998</v>
      </c>
      <c r="AI11" s="100">
        <f>'Weather Data'!L167</f>
        <v>65.399999999999991</v>
      </c>
      <c r="AJ11" s="100">
        <f>'Weather Data'!M167</f>
        <v>32.199999999999996</v>
      </c>
      <c r="AK11" s="100">
        <f>'Weather Data'!N167</f>
        <v>29.6</v>
      </c>
      <c r="AL11" s="100">
        <f>'Weather Data'!O167</f>
        <v>58.400000000000006</v>
      </c>
      <c r="AM11" s="100">
        <f>'Weather Data'!P167</f>
        <v>7.5</v>
      </c>
      <c r="AN11" s="100">
        <f>'Weather Data'!Q167</f>
        <v>98.299999999999983</v>
      </c>
      <c r="AO11" s="100">
        <f>'Weather Data'!R167</f>
        <v>10.929032258064517</v>
      </c>
      <c r="AP11" s="5">
        <f>'Economic Data'!D37</f>
        <v>6856.6</v>
      </c>
      <c r="AQ11" s="5">
        <f>'Economic Data'!E37</f>
        <v>6898.9</v>
      </c>
      <c r="AR11" s="5">
        <f>'Economic Data'!F37</f>
        <v>158.5</v>
      </c>
      <c r="AS11" s="5">
        <f>'Economic Data'!G37</f>
        <v>159.80000000000001</v>
      </c>
      <c r="AT11" s="5">
        <f>'Economic Data'!H37</f>
        <v>708787.6</v>
      </c>
      <c r="AU11" s="5">
        <f>'Economic Data'!I37</f>
        <v>6474.7</v>
      </c>
      <c r="AV11" s="5">
        <f>'Economic Data'!J37</f>
        <v>5461.8</v>
      </c>
      <c r="AW11" s="5">
        <f>'Economic Data'!K37</f>
        <v>4020.9</v>
      </c>
      <c r="AX11" s="5">
        <f>'Economic Data'!L37</f>
        <v>912.8</v>
      </c>
      <c r="AY11" s="5">
        <f>'Economic Data'!M37</f>
        <v>444.1</v>
      </c>
      <c r="AZ11" s="5">
        <f>'Economic Data'!N37</f>
        <v>8082.4</v>
      </c>
      <c r="BA11" s="5">
        <f>'Economic Data'!O37</f>
        <v>10.8</v>
      </c>
      <c r="BB11" s="5">
        <f>'Economic Data'!P37</f>
        <v>292</v>
      </c>
      <c r="BC11" s="5">
        <f>'Economic Data'!Q37</f>
        <v>716976</v>
      </c>
      <c r="BD11" s="5">
        <f>'Economic Data'!R37</f>
        <v>6623</v>
      </c>
      <c r="BE11" s="5">
        <f>'Economic Data'!S37</f>
        <v>3934</v>
      </c>
      <c r="BF11" s="5">
        <f>'Economic Data'!T37</f>
        <v>12096</v>
      </c>
      <c r="BG11" s="5">
        <v>0</v>
      </c>
      <c r="BH11" s="5">
        <v>0</v>
      </c>
      <c r="BI11" s="5">
        <v>0</v>
      </c>
      <c r="BJ11" s="5">
        <f t="shared" si="38"/>
        <v>10</v>
      </c>
      <c r="BK11" s="70">
        <f t="shared" si="1"/>
        <v>1</v>
      </c>
      <c r="BL11" s="5">
        <f t="shared" si="2"/>
        <v>100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1</v>
      </c>
      <c r="BW11">
        <v>0</v>
      </c>
      <c r="BX11">
        <v>0</v>
      </c>
      <c r="BY11">
        <v>0</v>
      </c>
      <c r="BZ11">
        <v>1</v>
      </c>
      <c r="CA11">
        <f t="shared" si="3"/>
        <v>1</v>
      </c>
      <c r="CB11">
        <v>31</v>
      </c>
      <c r="CC11">
        <v>22</v>
      </c>
      <c r="CD11">
        <v>0</v>
      </c>
      <c r="CE11">
        <v>0</v>
      </c>
      <c r="CF11">
        <f t="shared" si="39"/>
        <v>0</v>
      </c>
      <c r="CG11">
        <v>0</v>
      </c>
      <c r="CH11" s="64">
        <f t="shared" si="4"/>
        <v>0</v>
      </c>
      <c r="CI11" s="64">
        <f t="shared" si="5"/>
        <v>0</v>
      </c>
      <c r="CJ11" s="64">
        <f t="shared" si="6"/>
        <v>0</v>
      </c>
      <c r="CK11" s="64">
        <f t="shared" si="7"/>
        <v>0</v>
      </c>
      <c r="CL11" s="64">
        <f t="shared" si="8"/>
        <v>0</v>
      </c>
      <c r="CM11" s="64">
        <f t="shared" si="9"/>
        <v>0</v>
      </c>
      <c r="CN11" s="64">
        <f t="shared" si="10"/>
        <v>0</v>
      </c>
      <c r="CO11" s="64">
        <f t="shared" si="11"/>
        <v>0</v>
      </c>
      <c r="CP11" s="64">
        <f t="shared" si="12"/>
        <v>0</v>
      </c>
      <c r="CQ11" s="64">
        <f t="shared" si="13"/>
        <v>0</v>
      </c>
      <c r="CR11" s="64">
        <f t="shared" si="14"/>
        <v>0</v>
      </c>
      <c r="CS11" s="64">
        <f t="shared" si="15"/>
        <v>0</v>
      </c>
      <c r="CT11" s="64">
        <f t="shared" si="16"/>
        <v>0</v>
      </c>
      <c r="CU11" s="64">
        <f t="shared" si="17"/>
        <v>0</v>
      </c>
      <c r="CV11" s="69">
        <f t="shared" si="18"/>
        <v>20.2153636739828</v>
      </c>
      <c r="CW11" s="69">
        <f t="shared" si="19"/>
        <v>767.82116722049659</v>
      </c>
      <c r="CX11" s="69">
        <f t="shared" si="20"/>
        <v>2964.8251577259057</v>
      </c>
      <c r="CY11" s="69">
        <f t="shared" si="21"/>
        <v>22449.886363636364</v>
      </c>
      <c r="CZ11" s="64">
        <f t="shared" si="22"/>
        <v>2104.0694667732237</v>
      </c>
      <c r="DA11" s="64">
        <f t="shared" si="23"/>
        <v>15932.177419354839</v>
      </c>
      <c r="DB11" s="64">
        <f t="shared" si="24"/>
        <v>0</v>
      </c>
      <c r="DC11" s="64">
        <f t="shared" si="25"/>
        <v>0</v>
      </c>
      <c r="DD11" s="64">
        <f t="shared" si="26"/>
        <v>0</v>
      </c>
      <c r="DE11" s="64">
        <f t="shared" si="27"/>
        <v>0</v>
      </c>
      <c r="DF11" s="64">
        <f t="shared" si="28"/>
        <v>0</v>
      </c>
      <c r="DG11" s="64">
        <f t="shared" si="29"/>
        <v>0</v>
      </c>
      <c r="DH11" s="64">
        <f t="shared" si="30"/>
        <v>0</v>
      </c>
      <c r="DI11" s="64">
        <f t="shared" si="31"/>
        <v>0</v>
      </c>
      <c r="DJ11" s="64">
        <f t="shared" si="32"/>
        <v>0</v>
      </c>
      <c r="DK11" s="64">
        <f t="shared" si="33"/>
        <v>0</v>
      </c>
      <c r="DL11" s="64">
        <f t="shared" si="34"/>
        <v>0</v>
      </c>
      <c r="DM11" s="64">
        <f t="shared" si="35"/>
        <v>0</v>
      </c>
      <c r="DN11" s="64">
        <f t="shared" si="36"/>
        <v>0</v>
      </c>
      <c r="DO11" s="64">
        <f t="shared" si="37"/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f t="shared" si="40"/>
        <v>6</v>
      </c>
      <c r="DV11" s="2">
        <f t="shared" si="41"/>
        <v>15932.177419354839</v>
      </c>
    </row>
    <row r="12" spans="1:127" s="2" customFormat="1">
      <c r="A12" s="3">
        <v>41944</v>
      </c>
      <c r="B12">
        <f t="shared" si="42"/>
        <v>2014</v>
      </c>
      <c r="C12" s="2">
        <v>18153521</v>
      </c>
      <c r="D12" s="2">
        <f>VLOOKUP(B12,'Historic CDM'!$B$135:$H$146,2,FALSE)/12</f>
        <v>232660.83668167001</v>
      </c>
      <c r="E12" s="2">
        <f t="shared" si="43"/>
        <v>18386181.836681671</v>
      </c>
      <c r="F12" s="6">
        <v>26657</v>
      </c>
      <c r="G12" s="219">
        <v>5126643</v>
      </c>
      <c r="H12" s="2">
        <f>VLOOKUP(B12,'Historic CDM'!$B$135:$H$147,3,FALSE)/12</f>
        <v>218299.07952460984</v>
      </c>
      <c r="I12" s="2">
        <f t="shared" si="44"/>
        <v>5344942.0795246102</v>
      </c>
      <c r="J12" s="6">
        <v>1916</v>
      </c>
      <c r="K12" s="219">
        <v>13875334</v>
      </c>
      <c r="L12" s="2">
        <f>VLOOKUP(B12,'Historic CDM'!$B$135:$H$146,4,FALSE)/12</f>
        <v>239755.99604353451</v>
      </c>
      <c r="M12" s="2">
        <f t="shared" si="0"/>
        <v>14115089.996043535</v>
      </c>
      <c r="N12" s="222">
        <v>33904</v>
      </c>
      <c r="O12" s="220">
        <v>204</v>
      </c>
      <c r="P12" s="220">
        <v>615178</v>
      </c>
      <c r="Q12" s="2">
        <v>1586</v>
      </c>
      <c r="R12" s="220">
        <v>2714</v>
      </c>
      <c r="S12" s="220">
        <v>28450</v>
      </c>
      <c r="T12" s="2">
        <v>73</v>
      </c>
      <c r="U12" s="220">
        <v>172</v>
      </c>
      <c r="V12" s="221">
        <v>129708</v>
      </c>
      <c r="W12" s="220">
        <v>141</v>
      </c>
      <c r="X12" s="2">
        <v>3181573</v>
      </c>
      <c r="Y12" s="2">
        <v>12248</v>
      </c>
      <c r="Z12" s="220">
        <v>6</v>
      </c>
      <c r="AA12" s="100">
        <f>'Weather Data'!D168</f>
        <v>539.30000000000007</v>
      </c>
      <c r="AB12" s="100">
        <f>'Weather Data'!E168</f>
        <v>0</v>
      </c>
      <c r="AC12" s="100">
        <f>'Weather Data'!F168</f>
        <v>479.30000000000013</v>
      </c>
      <c r="AD12" s="100">
        <f>'Weather Data'!G168</f>
        <v>0</v>
      </c>
      <c r="AE12" s="100">
        <f>'Weather Data'!H168</f>
        <v>419.30000000000007</v>
      </c>
      <c r="AF12" s="100">
        <f>'Weather Data'!I168</f>
        <v>0</v>
      </c>
      <c r="AG12" s="100">
        <f>'Weather Data'!J168</f>
        <v>359.30000000000007</v>
      </c>
      <c r="AH12" s="100">
        <f>'Weather Data'!K168</f>
        <v>0</v>
      </c>
      <c r="AI12" s="100">
        <f>'Weather Data'!L168</f>
        <v>299.3</v>
      </c>
      <c r="AJ12" s="100">
        <f>'Weather Data'!M168</f>
        <v>0</v>
      </c>
      <c r="AK12" s="100">
        <f>'Weather Data'!N168</f>
        <v>239.9</v>
      </c>
      <c r="AL12" s="100">
        <f>'Weather Data'!O168</f>
        <v>0.59999999999999964</v>
      </c>
      <c r="AM12" s="100">
        <f>'Weather Data'!P168</f>
        <v>189.4</v>
      </c>
      <c r="AN12" s="100">
        <f>'Weather Data'!Q168</f>
        <v>10.099999999999998</v>
      </c>
      <c r="AO12" s="100">
        <f>'Weather Data'!R168</f>
        <v>2.023333333333333</v>
      </c>
      <c r="AP12" s="5">
        <f>'Economic Data'!D38</f>
        <v>6858.1</v>
      </c>
      <c r="AQ12" s="5">
        <f>'Economic Data'!E38</f>
        <v>6871.1</v>
      </c>
      <c r="AR12" s="5">
        <f>'Economic Data'!F38</f>
        <v>159.69999999999999</v>
      </c>
      <c r="AS12" s="5">
        <f>'Economic Data'!G38</f>
        <v>160.80000000000001</v>
      </c>
      <c r="AT12" s="5">
        <f>'Economic Data'!H38</f>
        <v>708787.6</v>
      </c>
      <c r="AU12" s="5">
        <f>'Economic Data'!I38</f>
        <v>6474.7</v>
      </c>
      <c r="AV12" s="5">
        <f>'Economic Data'!J38</f>
        <v>5461.8</v>
      </c>
      <c r="AW12" s="5">
        <f>'Economic Data'!K38</f>
        <v>4020.9</v>
      </c>
      <c r="AX12" s="5">
        <f>'Economic Data'!L38</f>
        <v>912.8</v>
      </c>
      <c r="AY12" s="5">
        <f>'Economic Data'!M38</f>
        <v>444.1</v>
      </c>
      <c r="AZ12" s="5">
        <f>'Economic Data'!N38</f>
        <v>8082.4</v>
      </c>
      <c r="BA12" s="5">
        <f>'Economic Data'!O38</f>
        <v>10.8</v>
      </c>
      <c r="BB12" s="5">
        <f>'Economic Data'!P38</f>
        <v>292</v>
      </c>
      <c r="BC12" s="5">
        <f>'Economic Data'!Q38</f>
        <v>716976</v>
      </c>
      <c r="BD12" s="5">
        <f>'Economic Data'!R38</f>
        <v>6623</v>
      </c>
      <c r="BE12" s="5">
        <f>'Economic Data'!S38</f>
        <v>3934</v>
      </c>
      <c r="BF12" s="5">
        <f>'Economic Data'!T38</f>
        <v>12096</v>
      </c>
      <c r="BG12" s="5">
        <v>0</v>
      </c>
      <c r="BH12" s="5">
        <v>0</v>
      </c>
      <c r="BI12" s="5">
        <v>0</v>
      </c>
      <c r="BJ12" s="5">
        <f t="shared" si="38"/>
        <v>11</v>
      </c>
      <c r="BK12" s="70">
        <f t="shared" si="1"/>
        <v>1.0413926851582251</v>
      </c>
      <c r="BL12" s="5">
        <f t="shared" si="2"/>
        <v>121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</v>
      </c>
      <c r="BX12">
        <v>0</v>
      </c>
      <c r="BY12">
        <v>0</v>
      </c>
      <c r="BZ12">
        <v>1</v>
      </c>
      <c r="CA12">
        <f t="shared" si="3"/>
        <v>1</v>
      </c>
      <c r="CB12">
        <v>30</v>
      </c>
      <c r="CC12">
        <v>20</v>
      </c>
      <c r="CD12">
        <v>0</v>
      </c>
      <c r="CE12">
        <v>0</v>
      </c>
      <c r="CF12">
        <f t="shared" si="39"/>
        <v>0</v>
      </c>
      <c r="CG12">
        <v>0</v>
      </c>
      <c r="CH12" s="64">
        <f t="shared" si="4"/>
        <v>0</v>
      </c>
      <c r="CI12" s="64">
        <f t="shared" si="5"/>
        <v>0</v>
      </c>
      <c r="CJ12" s="64">
        <f t="shared" si="6"/>
        <v>0</v>
      </c>
      <c r="CK12" s="64">
        <f t="shared" si="7"/>
        <v>0</v>
      </c>
      <c r="CL12" s="64">
        <f t="shared" si="8"/>
        <v>0</v>
      </c>
      <c r="CM12" s="64">
        <f t="shared" si="9"/>
        <v>0</v>
      </c>
      <c r="CN12" s="64">
        <f t="shared" si="10"/>
        <v>0</v>
      </c>
      <c r="CO12" s="64">
        <f t="shared" si="11"/>
        <v>0</v>
      </c>
      <c r="CP12" s="64">
        <f t="shared" si="12"/>
        <v>0</v>
      </c>
      <c r="CQ12" s="64">
        <f t="shared" si="13"/>
        <v>0</v>
      </c>
      <c r="CR12" s="64">
        <f t="shared" si="14"/>
        <v>0</v>
      </c>
      <c r="CS12" s="64">
        <f t="shared" si="15"/>
        <v>0</v>
      </c>
      <c r="CT12" s="64">
        <f t="shared" si="16"/>
        <v>0</v>
      </c>
      <c r="CU12" s="64">
        <f t="shared" si="17"/>
        <v>0</v>
      </c>
      <c r="CV12" s="69">
        <f t="shared" si="18"/>
        <v>22.991061555666018</v>
      </c>
      <c r="CW12" s="69">
        <f t="shared" si="19"/>
        <v>873.35654894192976</v>
      </c>
      <c r="CX12" s="69">
        <f t="shared" si="20"/>
        <v>3459.5808813832191</v>
      </c>
      <c r="CY12" s="69">
        <f t="shared" si="21"/>
        <v>26513.108333333334</v>
      </c>
      <c r="CZ12" s="64">
        <f t="shared" si="22"/>
        <v>2306.3872542554795</v>
      </c>
      <c r="DA12" s="64">
        <f t="shared" si="23"/>
        <v>17675.405555555557</v>
      </c>
      <c r="DB12" s="64">
        <f t="shared" si="24"/>
        <v>0</v>
      </c>
      <c r="DC12" s="64">
        <f t="shared" si="25"/>
        <v>0</v>
      </c>
      <c r="DD12" s="64">
        <f t="shared" si="26"/>
        <v>0</v>
      </c>
      <c r="DE12" s="64">
        <f t="shared" si="27"/>
        <v>0</v>
      </c>
      <c r="DF12" s="64">
        <f t="shared" si="28"/>
        <v>0</v>
      </c>
      <c r="DG12" s="64">
        <f t="shared" si="29"/>
        <v>0</v>
      </c>
      <c r="DH12" s="64">
        <f t="shared" si="30"/>
        <v>0</v>
      </c>
      <c r="DI12" s="64">
        <f t="shared" si="31"/>
        <v>0</v>
      </c>
      <c r="DJ12" s="64">
        <f t="shared" si="32"/>
        <v>0</v>
      </c>
      <c r="DK12" s="64">
        <f t="shared" si="33"/>
        <v>0</v>
      </c>
      <c r="DL12" s="64">
        <f t="shared" si="34"/>
        <v>0</v>
      </c>
      <c r="DM12" s="64">
        <f t="shared" si="35"/>
        <v>0</v>
      </c>
      <c r="DN12" s="64">
        <f t="shared" si="36"/>
        <v>0</v>
      </c>
      <c r="DO12" s="64">
        <f t="shared" si="37"/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f t="shared" si="40"/>
        <v>6</v>
      </c>
      <c r="DV12" s="2">
        <f t="shared" si="41"/>
        <v>17675.405555555557</v>
      </c>
    </row>
    <row r="13" spans="1:127" s="2" customFormat="1">
      <c r="A13" s="3">
        <v>41974</v>
      </c>
      <c r="B13">
        <f t="shared" si="42"/>
        <v>2014</v>
      </c>
      <c r="C13" s="2">
        <v>20562251</v>
      </c>
      <c r="D13" s="2">
        <f>VLOOKUP(B13,'Historic CDM'!$B$135:$H$146,2,FALSE)/12</f>
        <v>232660.83668167001</v>
      </c>
      <c r="E13" s="2">
        <f t="shared" si="43"/>
        <v>20794911.836681671</v>
      </c>
      <c r="F13" s="6">
        <v>26632</v>
      </c>
      <c r="G13" s="219">
        <v>5412054</v>
      </c>
      <c r="H13" s="2">
        <f>VLOOKUP(B13,'Historic CDM'!$B$135:$H$147,3,FALSE)/12</f>
        <v>218299.07952460984</v>
      </c>
      <c r="I13" s="2">
        <f t="shared" si="44"/>
        <v>5630353.0795246102</v>
      </c>
      <c r="J13" s="6">
        <v>1917</v>
      </c>
      <c r="K13" s="219">
        <v>13953579</v>
      </c>
      <c r="L13" s="2">
        <f>VLOOKUP(B13,'Historic CDM'!$B$135:$H$146,4,FALSE)/12</f>
        <v>239755.99604353451</v>
      </c>
      <c r="M13" s="2">
        <f t="shared" si="0"/>
        <v>14193334.996043535</v>
      </c>
      <c r="N13" s="222">
        <v>35802</v>
      </c>
      <c r="O13" s="220">
        <v>208</v>
      </c>
      <c r="P13" s="220">
        <v>673213</v>
      </c>
      <c r="Q13" s="288">
        <f>AVERAGE(Q12,Q14)</f>
        <v>1585.5</v>
      </c>
      <c r="R13" s="220">
        <v>2712</v>
      </c>
      <c r="S13" s="220">
        <v>28724</v>
      </c>
      <c r="T13" s="2">
        <v>72</v>
      </c>
      <c r="U13" s="220">
        <v>172</v>
      </c>
      <c r="V13" s="221">
        <v>129708</v>
      </c>
      <c r="W13" s="220">
        <v>141</v>
      </c>
      <c r="X13" s="2">
        <v>3333306</v>
      </c>
      <c r="Y13" s="288">
        <f>AVERAGE(Y12,Y14)</f>
        <v>10232</v>
      </c>
      <c r="Z13" s="220">
        <v>6</v>
      </c>
      <c r="AA13" s="100">
        <f>'Weather Data'!D169</f>
        <v>607.20000000000005</v>
      </c>
      <c r="AB13" s="100">
        <f>'Weather Data'!E169</f>
        <v>0</v>
      </c>
      <c r="AC13" s="100">
        <f>'Weather Data'!F169</f>
        <v>545.20000000000005</v>
      </c>
      <c r="AD13" s="100">
        <f>'Weather Data'!G169</f>
        <v>0</v>
      </c>
      <c r="AE13" s="100">
        <f>'Weather Data'!H169</f>
        <v>483.2</v>
      </c>
      <c r="AF13" s="100">
        <f>'Weather Data'!I169</f>
        <v>0</v>
      </c>
      <c r="AG13" s="100">
        <f>'Weather Data'!J169</f>
        <v>421.2</v>
      </c>
      <c r="AH13" s="100">
        <f>'Weather Data'!K169</f>
        <v>0</v>
      </c>
      <c r="AI13" s="100">
        <f>'Weather Data'!L169</f>
        <v>359.19999999999993</v>
      </c>
      <c r="AJ13" s="100">
        <f>'Weather Data'!M169</f>
        <v>0</v>
      </c>
      <c r="AK13" s="100">
        <f>'Weather Data'!N169</f>
        <v>297.20000000000005</v>
      </c>
      <c r="AL13" s="100">
        <f>'Weather Data'!O169</f>
        <v>0</v>
      </c>
      <c r="AM13" s="100">
        <f>'Weather Data'!P169</f>
        <v>235.70000000000002</v>
      </c>
      <c r="AN13" s="100">
        <f>'Weather Data'!Q169</f>
        <v>0.5</v>
      </c>
      <c r="AO13" s="100">
        <f>'Weather Data'!R169</f>
        <v>0.41290322580645139</v>
      </c>
      <c r="AP13" s="5">
        <f>'Economic Data'!D39</f>
        <v>6860</v>
      </c>
      <c r="AQ13" s="5">
        <f>'Economic Data'!E39</f>
        <v>6863.1</v>
      </c>
      <c r="AR13" s="5">
        <f>'Economic Data'!F39</f>
        <v>161.4</v>
      </c>
      <c r="AS13" s="5">
        <f>'Economic Data'!G39</f>
        <v>162.80000000000001</v>
      </c>
      <c r="AT13" s="5">
        <f>'Economic Data'!H39</f>
        <v>708787.6</v>
      </c>
      <c r="AU13" s="5">
        <f>'Economic Data'!I39</f>
        <v>6474.7</v>
      </c>
      <c r="AV13" s="5">
        <f>'Economic Data'!J39</f>
        <v>5461.8</v>
      </c>
      <c r="AW13" s="5">
        <f>'Economic Data'!K39</f>
        <v>4020.9</v>
      </c>
      <c r="AX13" s="5">
        <f>'Economic Data'!L39</f>
        <v>912.8</v>
      </c>
      <c r="AY13" s="5">
        <f>'Economic Data'!M39</f>
        <v>444.1</v>
      </c>
      <c r="AZ13" s="5">
        <f>'Economic Data'!N39</f>
        <v>8082.4</v>
      </c>
      <c r="BA13" s="5">
        <f>'Economic Data'!O39</f>
        <v>10.8</v>
      </c>
      <c r="BB13" s="5">
        <f>'Economic Data'!P39</f>
        <v>292</v>
      </c>
      <c r="BC13" s="5">
        <f>'Economic Data'!Q39</f>
        <v>716976</v>
      </c>
      <c r="BD13" s="5">
        <f>'Economic Data'!R39</f>
        <v>6623</v>
      </c>
      <c r="BE13" s="5">
        <f>'Economic Data'!S39</f>
        <v>3934</v>
      </c>
      <c r="BF13" s="5">
        <f>'Economic Data'!T39</f>
        <v>12096</v>
      </c>
      <c r="BG13" s="5">
        <v>0</v>
      </c>
      <c r="BH13" s="5">
        <v>0</v>
      </c>
      <c r="BI13" s="5">
        <v>0</v>
      </c>
      <c r="BJ13" s="5">
        <f t="shared" si="38"/>
        <v>12</v>
      </c>
      <c r="BK13" s="70">
        <f t="shared" si="1"/>
        <v>1.0791812460476249</v>
      </c>
      <c r="BL13" s="5">
        <f t="shared" si="2"/>
        <v>144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1</v>
      </c>
      <c r="BY13">
        <v>0</v>
      </c>
      <c r="BZ13">
        <v>0</v>
      </c>
      <c r="CA13">
        <f t="shared" si="3"/>
        <v>0</v>
      </c>
      <c r="CB13">
        <v>31</v>
      </c>
      <c r="CC13">
        <v>21</v>
      </c>
      <c r="CD13">
        <v>0</v>
      </c>
      <c r="CE13">
        <v>0</v>
      </c>
      <c r="CF13">
        <f t="shared" si="39"/>
        <v>0</v>
      </c>
      <c r="CG13">
        <v>0</v>
      </c>
      <c r="CH13" s="64">
        <f t="shared" si="4"/>
        <v>0</v>
      </c>
      <c r="CI13" s="64">
        <f t="shared" si="5"/>
        <v>0</v>
      </c>
      <c r="CJ13" s="64">
        <f t="shared" si="6"/>
        <v>0</v>
      </c>
      <c r="CK13" s="64">
        <f t="shared" si="7"/>
        <v>0</v>
      </c>
      <c r="CL13" s="64">
        <f t="shared" si="8"/>
        <v>0</v>
      </c>
      <c r="CM13" s="64">
        <f t="shared" si="9"/>
        <v>0</v>
      </c>
      <c r="CN13" s="64">
        <f t="shared" si="10"/>
        <v>0</v>
      </c>
      <c r="CO13" s="64">
        <f t="shared" si="11"/>
        <v>0</v>
      </c>
      <c r="CP13" s="64">
        <f t="shared" si="12"/>
        <v>0</v>
      </c>
      <c r="CQ13" s="64">
        <f t="shared" si="13"/>
        <v>0</v>
      </c>
      <c r="CR13" s="64">
        <f t="shared" si="14"/>
        <v>0</v>
      </c>
      <c r="CS13" s="64">
        <f t="shared" si="15"/>
        <v>0</v>
      </c>
      <c r="CT13" s="64">
        <f t="shared" si="16"/>
        <v>0</v>
      </c>
      <c r="CU13" s="64">
        <f t="shared" si="17"/>
        <v>0</v>
      </c>
      <c r="CV13" s="69">
        <f t="shared" si="18"/>
        <v>25.187879529697078</v>
      </c>
      <c r="CW13" s="69">
        <f t="shared" si="19"/>
        <v>873.19371580716665</v>
      </c>
      <c r="CX13" s="69">
        <f t="shared" si="20"/>
        <v>3249.3898800465968</v>
      </c>
      <c r="CY13" s="69">
        <f t="shared" si="21"/>
        <v>26454.809523809523</v>
      </c>
      <c r="CZ13" s="64">
        <f t="shared" si="22"/>
        <v>2201.199596160598</v>
      </c>
      <c r="DA13" s="64">
        <f t="shared" si="23"/>
        <v>17921</v>
      </c>
      <c r="DB13" s="64">
        <f t="shared" si="24"/>
        <v>0</v>
      </c>
      <c r="DC13" s="64">
        <f t="shared" si="25"/>
        <v>0</v>
      </c>
      <c r="DD13" s="64">
        <f t="shared" si="26"/>
        <v>0</v>
      </c>
      <c r="DE13" s="64">
        <f t="shared" si="27"/>
        <v>0</v>
      </c>
      <c r="DF13" s="64">
        <f t="shared" si="28"/>
        <v>0</v>
      </c>
      <c r="DG13" s="64">
        <f t="shared" si="29"/>
        <v>0</v>
      </c>
      <c r="DH13" s="64">
        <f t="shared" si="30"/>
        <v>0</v>
      </c>
      <c r="DI13" s="64">
        <f t="shared" si="31"/>
        <v>0</v>
      </c>
      <c r="DJ13" s="64">
        <f t="shared" si="32"/>
        <v>0</v>
      </c>
      <c r="DK13" s="64">
        <f t="shared" si="33"/>
        <v>0</v>
      </c>
      <c r="DL13" s="64">
        <f t="shared" si="34"/>
        <v>0</v>
      </c>
      <c r="DM13" s="64">
        <f t="shared" si="35"/>
        <v>0</v>
      </c>
      <c r="DN13" s="64">
        <f t="shared" si="36"/>
        <v>0</v>
      </c>
      <c r="DO13" s="64">
        <f t="shared" si="37"/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f t="shared" si="40"/>
        <v>6</v>
      </c>
      <c r="DV13" s="2">
        <f t="shared" si="41"/>
        <v>17921</v>
      </c>
    </row>
    <row r="14" spans="1:127" s="2" customFormat="1">
      <c r="A14" s="3">
        <v>42005</v>
      </c>
      <c r="B14">
        <f t="shared" si="42"/>
        <v>2015</v>
      </c>
      <c r="C14" s="2">
        <v>21144903</v>
      </c>
      <c r="D14" s="2">
        <f>VLOOKUP(B14,'Historic CDM'!$B$135:$H$146,2,FALSE)/12</f>
        <v>335044.72340367432</v>
      </c>
      <c r="E14" s="2">
        <f t="shared" si="43"/>
        <v>21479947.723403674</v>
      </c>
      <c r="F14" s="6">
        <v>26696</v>
      </c>
      <c r="G14" s="219">
        <v>5787797</v>
      </c>
      <c r="H14" s="2">
        <f>VLOOKUP(B14,'Historic CDM'!$B$135:$H$147,3,FALSE)/12</f>
        <v>554198.2771220546</v>
      </c>
      <c r="I14" s="2">
        <f t="shared" si="44"/>
        <v>6341995.2771220542</v>
      </c>
      <c r="J14" s="6">
        <v>1933</v>
      </c>
      <c r="K14" s="219">
        <v>14432946</v>
      </c>
      <c r="L14" s="2">
        <f>VLOOKUP(B14,'Historic CDM'!$B$135:$H$146,4,FALSE)/12</f>
        <v>605691.5867469128</v>
      </c>
      <c r="M14" s="2">
        <f t="shared" si="0"/>
        <v>15038637.586746912</v>
      </c>
      <c r="N14" s="222">
        <v>34484</v>
      </c>
      <c r="O14" s="220">
        <v>211</v>
      </c>
      <c r="P14" s="220">
        <v>663672</v>
      </c>
      <c r="Q14" s="2">
        <v>1585</v>
      </c>
      <c r="R14" s="220">
        <v>2712</v>
      </c>
      <c r="S14" s="220">
        <v>28562</v>
      </c>
      <c r="T14" s="2">
        <v>74</v>
      </c>
      <c r="U14" s="220">
        <v>175</v>
      </c>
      <c r="V14" s="221">
        <v>129846</v>
      </c>
      <c r="W14" s="220">
        <v>141</v>
      </c>
      <c r="X14" s="2">
        <v>3747992</v>
      </c>
      <c r="Y14" s="2">
        <v>8216</v>
      </c>
      <c r="Z14" s="220">
        <v>6</v>
      </c>
      <c r="AA14" s="100">
        <f>'Weather Data'!D170</f>
        <v>828.90000000000009</v>
      </c>
      <c r="AB14" s="100">
        <f>'Weather Data'!E170</f>
        <v>0</v>
      </c>
      <c r="AC14" s="100">
        <f>'Weather Data'!F170</f>
        <v>766.90000000000009</v>
      </c>
      <c r="AD14" s="100">
        <f>'Weather Data'!G170</f>
        <v>0</v>
      </c>
      <c r="AE14" s="100">
        <f>'Weather Data'!H170</f>
        <v>704.90000000000009</v>
      </c>
      <c r="AF14" s="100">
        <f>'Weather Data'!I170</f>
        <v>0</v>
      </c>
      <c r="AG14" s="100">
        <f>'Weather Data'!J170</f>
        <v>642.9</v>
      </c>
      <c r="AH14" s="100">
        <f>'Weather Data'!K170</f>
        <v>0</v>
      </c>
      <c r="AI14" s="100">
        <f>'Weather Data'!L170</f>
        <v>580.89999999999986</v>
      </c>
      <c r="AJ14" s="100">
        <f>'Weather Data'!M170</f>
        <v>0</v>
      </c>
      <c r="AK14" s="100">
        <f>'Weather Data'!N170</f>
        <v>518.9</v>
      </c>
      <c r="AL14" s="100">
        <f>'Weather Data'!O170</f>
        <v>0</v>
      </c>
      <c r="AM14" s="100">
        <f>'Weather Data'!P170</f>
        <v>456.9</v>
      </c>
      <c r="AN14" s="100">
        <f>'Weather Data'!Q170</f>
        <v>0</v>
      </c>
      <c r="AO14" s="100">
        <f>'Weather Data'!R170</f>
        <v>-6.7387096774193527</v>
      </c>
      <c r="AP14" s="5">
        <f>'Economic Data'!D40</f>
        <v>6851.1</v>
      </c>
      <c r="AQ14" s="5">
        <f>'Economic Data'!E40</f>
        <v>6809.7</v>
      </c>
      <c r="AR14" s="5">
        <f>'Economic Data'!F40</f>
        <v>162.19999999999999</v>
      </c>
      <c r="AS14" s="5">
        <f>'Economic Data'!G40</f>
        <v>161.30000000000001</v>
      </c>
      <c r="AT14" s="5">
        <f>'Economic Data'!H40</f>
        <v>727609.6</v>
      </c>
      <c r="AU14" s="5">
        <f>'Economic Data'!I40</f>
        <v>6877.7</v>
      </c>
      <c r="AV14" s="5">
        <f>'Economic Data'!J40</f>
        <v>5851.5</v>
      </c>
      <c r="AW14" s="5">
        <f>'Economic Data'!K40</f>
        <v>4285.8999999999996</v>
      </c>
      <c r="AX14" s="5">
        <f>'Economic Data'!L40</f>
        <v>946.1</v>
      </c>
      <c r="AY14" s="5">
        <f>'Economic Data'!M40</f>
        <v>506</v>
      </c>
      <c r="AZ14" s="5">
        <f>'Economic Data'!N40</f>
        <v>7729.3</v>
      </c>
      <c r="BA14" s="5">
        <f>'Economic Data'!O40</f>
        <v>10.199999999999999</v>
      </c>
      <c r="BB14" s="5">
        <f>'Economic Data'!P40</f>
        <v>143.30000000000001</v>
      </c>
      <c r="BC14" s="5">
        <f>'Economic Data'!Q40</f>
        <v>718587</v>
      </c>
      <c r="BD14" s="5">
        <f>'Economic Data'!R40</f>
        <v>6731</v>
      </c>
      <c r="BE14" s="5">
        <f>'Economic Data'!S40</f>
        <v>4016</v>
      </c>
      <c r="BF14" s="5">
        <f>'Economic Data'!T40</f>
        <v>12895</v>
      </c>
      <c r="BG14" s="5">
        <v>0</v>
      </c>
      <c r="BH14" s="5">
        <v>0</v>
      </c>
      <c r="BI14" s="5">
        <v>0</v>
      </c>
      <c r="BJ14" s="5">
        <f t="shared" si="38"/>
        <v>13</v>
      </c>
      <c r="BK14" s="70">
        <f t="shared" si="1"/>
        <v>1.1139433523068367</v>
      </c>
      <c r="BL14" s="5">
        <f t="shared" si="2"/>
        <v>169</v>
      </c>
      <c r="BM14">
        <v>1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f t="shared" ref="BY14:BZ17" si="45">BY2</f>
        <v>0</v>
      </c>
      <c r="BZ14">
        <f t="shared" si="45"/>
        <v>0</v>
      </c>
      <c r="CA14">
        <f t="shared" ref="CA14:CA53" si="46">BY14+BZ14</f>
        <v>0</v>
      </c>
      <c r="CB14">
        <v>31</v>
      </c>
      <c r="CC14">
        <v>21</v>
      </c>
      <c r="CD14">
        <v>0</v>
      </c>
      <c r="CE14">
        <v>0</v>
      </c>
      <c r="CF14">
        <f t="shared" si="39"/>
        <v>0</v>
      </c>
      <c r="CG14">
        <v>0</v>
      </c>
      <c r="CH14" s="64">
        <f t="shared" si="4"/>
        <v>0</v>
      </c>
      <c r="CI14" s="64">
        <f t="shared" si="5"/>
        <v>0</v>
      </c>
      <c r="CJ14" s="64">
        <f t="shared" si="6"/>
        <v>0</v>
      </c>
      <c r="CK14" s="64">
        <f t="shared" si="7"/>
        <v>0</v>
      </c>
      <c r="CL14" s="64">
        <f t="shared" si="8"/>
        <v>0</v>
      </c>
      <c r="CM14" s="64">
        <f t="shared" si="9"/>
        <v>0</v>
      </c>
      <c r="CN14" s="64">
        <f t="shared" si="10"/>
        <v>0</v>
      </c>
      <c r="CO14" s="64">
        <f t="shared" si="11"/>
        <v>0</v>
      </c>
      <c r="CP14" s="64">
        <f t="shared" si="12"/>
        <v>0</v>
      </c>
      <c r="CQ14" s="64">
        <f t="shared" si="13"/>
        <v>0</v>
      </c>
      <c r="CR14" s="64">
        <f t="shared" si="14"/>
        <v>0</v>
      </c>
      <c r="CS14" s="64">
        <f t="shared" si="15"/>
        <v>0</v>
      </c>
      <c r="CT14" s="64">
        <f t="shared" si="16"/>
        <v>0</v>
      </c>
      <c r="CU14" s="64">
        <f t="shared" si="17"/>
        <v>0</v>
      </c>
      <c r="CV14" s="69">
        <f t="shared" si="18"/>
        <v>25.955256947281789</v>
      </c>
      <c r="CW14" s="69">
        <f t="shared" si="19"/>
        <v>969.57579530989972</v>
      </c>
      <c r="CX14" s="69">
        <f t="shared" si="20"/>
        <v>3393.9601865824675</v>
      </c>
      <c r="CY14" s="69">
        <f t="shared" si="21"/>
        <v>29745.968253968254</v>
      </c>
      <c r="CZ14" s="64">
        <f t="shared" si="22"/>
        <v>2299.1343199429616</v>
      </c>
      <c r="DA14" s="64">
        <f t="shared" si="23"/>
        <v>20150.494623655915</v>
      </c>
      <c r="DB14" s="64">
        <f t="shared" si="24"/>
        <v>0</v>
      </c>
      <c r="DC14" s="64">
        <f t="shared" si="25"/>
        <v>0</v>
      </c>
      <c r="DD14" s="64">
        <f t="shared" si="26"/>
        <v>0</v>
      </c>
      <c r="DE14" s="64">
        <f t="shared" si="27"/>
        <v>0</v>
      </c>
      <c r="DF14" s="64">
        <f t="shared" si="28"/>
        <v>0</v>
      </c>
      <c r="DG14" s="64">
        <f t="shared" si="29"/>
        <v>0</v>
      </c>
      <c r="DH14" s="64">
        <f t="shared" si="30"/>
        <v>0</v>
      </c>
      <c r="DI14" s="64">
        <f t="shared" si="31"/>
        <v>0</v>
      </c>
      <c r="DJ14" s="64">
        <f t="shared" si="32"/>
        <v>0</v>
      </c>
      <c r="DK14" s="64">
        <f t="shared" si="33"/>
        <v>0</v>
      </c>
      <c r="DL14" s="64">
        <f t="shared" si="34"/>
        <v>0</v>
      </c>
      <c r="DM14" s="64">
        <f t="shared" si="35"/>
        <v>0</v>
      </c>
      <c r="DN14" s="64">
        <f t="shared" si="36"/>
        <v>0</v>
      </c>
      <c r="DO14" s="64">
        <f t="shared" si="37"/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f t="shared" si="40"/>
        <v>6</v>
      </c>
      <c r="DV14" s="2">
        <f t="shared" si="41"/>
        <v>20150.494623655915</v>
      </c>
    </row>
    <row r="15" spans="1:127" s="2" customFormat="1">
      <c r="A15" s="3">
        <v>42036</v>
      </c>
      <c r="B15">
        <f t="shared" si="42"/>
        <v>2015</v>
      </c>
      <c r="C15" s="2">
        <v>18981596</v>
      </c>
      <c r="D15" s="2">
        <f>VLOOKUP(B15,'Historic CDM'!$B$135:$H$146,2,FALSE)/12</f>
        <v>335044.72340367432</v>
      </c>
      <c r="E15" s="2">
        <f t="shared" si="43"/>
        <v>19316640.723403674</v>
      </c>
      <c r="F15" s="6">
        <v>26689</v>
      </c>
      <c r="G15" s="219">
        <v>5414090</v>
      </c>
      <c r="H15" s="2">
        <f>VLOOKUP(B15,'Historic CDM'!$B$135:$H$147,3,FALSE)/12</f>
        <v>554198.2771220546</v>
      </c>
      <c r="I15" s="2">
        <f t="shared" si="44"/>
        <v>5968288.2771220542</v>
      </c>
      <c r="J15" s="6">
        <v>1936</v>
      </c>
      <c r="K15" s="219">
        <v>12761675</v>
      </c>
      <c r="L15" s="2">
        <f>VLOOKUP(B15,'Historic CDM'!$B$135:$H$146,4,FALSE)/12</f>
        <v>605691.5867469128</v>
      </c>
      <c r="M15" s="2">
        <f t="shared" si="0"/>
        <v>13367366.586746912</v>
      </c>
      <c r="N15" s="222">
        <v>36312</v>
      </c>
      <c r="O15" s="220">
        <v>210</v>
      </c>
      <c r="P15" s="220">
        <v>596898</v>
      </c>
      <c r="Q15" s="2">
        <v>1583</v>
      </c>
      <c r="R15" s="220">
        <v>2711</v>
      </c>
      <c r="S15" s="220">
        <v>25375</v>
      </c>
      <c r="T15" s="2">
        <v>74</v>
      </c>
      <c r="U15" s="220">
        <v>175</v>
      </c>
      <c r="V15" s="221">
        <v>129846</v>
      </c>
      <c r="W15" s="220">
        <v>141</v>
      </c>
      <c r="X15" s="2">
        <v>3564671</v>
      </c>
      <c r="Y15" s="2">
        <v>8552</v>
      </c>
      <c r="Z15" s="220">
        <v>6</v>
      </c>
      <c r="AA15" s="100">
        <f>'Weather Data'!D171</f>
        <v>867.10000000000025</v>
      </c>
      <c r="AB15" s="100">
        <f>'Weather Data'!E171</f>
        <v>0</v>
      </c>
      <c r="AC15" s="100">
        <f>'Weather Data'!F171</f>
        <v>811.10000000000014</v>
      </c>
      <c r="AD15" s="100">
        <f>'Weather Data'!G171</f>
        <v>0</v>
      </c>
      <c r="AE15" s="100">
        <f>'Weather Data'!H171</f>
        <v>755.10000000000014</v>
      </c>
      <c r="AF15" s="100">
        <f>'Weather Data'!I171</f>
        <v>0</v>
      </c>
      <c r="AG15" s="100">
        <f>'Weather Data'!J171</f>
        <v>699.10000000000014</v>
      </c>
      <c r="AH15" s="100">
        <f>'Weather Data'!K171</f>
        <v>0</v>
      </c>
      <c r="AI15" s="100">
        <f>'Weather Data'!L171</f>
        <v>643.10000000000014</v>
      </c>
      <c r="AJ15" s="100">
        <f>'Weather Data'!M171</f>
        <v>0</v>
      </c>
      <c r="AK15" s="100">
        <f>'Weather Data'!N171</f>
        <v>587.1</v>
      </c>
      <c r="AL15" s="100">
        <f>'Weather Data'!O171</f>
        <v>0</v>
      </c>
      <c r="AM15" s="100">
        <f>'Weather Data'!P171</f>
        <v>531.09999999999991</v>
      </c>
      <c r="AN15" s="100">
        <f>'Weather Data'!Q171</f>
        <v>0</v>
      </c>
      <c r="AO15" s="100">
        <f>'Weather Data'!R171</f>
        <v>-10.967857142857142</v>
      </c>
      <c r="AP15" s="5">
        <f>'Economic Data'!D41</f>
        <v>6859.2</v>
      </c>
      <c r="AQ15" s="5">
        <f>'Economic Data'!E41</f>
        <v>6782.7</v>
      </c>
      <c r="AR15" s="5">
        <f>'Economic Data'!F41</f>
        <v>162.80000000000001</v>
      </c>
      <c r="AS15" s="5">
        <f>'Economic Data'!G41</f>
        <v>160.30000000000001</v>
      </c>
      <c r="AT15" s="5">
        <f>'Economic Data'!H41</f>
        <v>727609.6</v>
      </c>
      <c r="AU15" s="5">
        <f>'Economic Data'!I41</f>
        <v>6877.7</v>
      </c>
      <c r="AV15" s="5">
        <f>'Economic Data'!J41</f>
        <v>5851.5</v>
      </c>
      <c r="AW15" s="5">
        <f>'Economic Data'!K41</f>
        <v>4285.8999999999996</v>
      </c>
      <c r="AX15" s="5">
        <f>'Economic Data'!L41</f>
        <v>946.1</v>
      </c>
      <c r="AY15" s="5">
        <f>'Economic Data'!M41</f>
        <v>506</v>
      </c>
      <c r="AZ15" s="5">
        <f>'Economic Data'!N41</f>
        <v>7729.3</v>
      </c>
      <c r="BA15" s="5">
        <f>'Economic Data'!O41</f>
        <v>10.199999999999999</v>
      </c>
      <c r="BB15" s="5">
        <f>'Economic Data'!P41</f>
        <v>143.30000000000001</v>
      </c>
      <c r="BC15" s="5">
        <f>'Economic Data'!Q41</f>
        <v>718587</v>
      </c>
      <c r="BD15" s="5">
        <f>'Economic Data'!R41</f>
        <v>6731</v>
      </c>
      <c r="BE15" s="5">
        <f>'Economic Data'!S41</f>
        <v>4016</v>
      </c>
      <c r="BF15" s="5">
        <f>'Economic Data'!T41</f>
        <v>12895</v>
      </c>
      <c r="BG15" s="5">
        <v>0</v>
      </c>
      <c r="BH15" s="5">
        <v>0</v>
      </c>
      <c r="BI15" s="5">
        <v>0</v>
      </c>
      <c r="BJ15" s="5">
        <f t="shared" si="38"/>
        <v>14</v>
      </c>
      <c r="BK15" s="70">
        <f t="shared" si="1"/>
        <v>1.146128035678238</v>
      </c>
      <c r="BL15" s="5">
        <f t="shared" si="2"/>
        <v>196</v>
      </c>
      <c r="BM15">
        <v>0</v>
      </c>
      <c r="BN15">
        <v>1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f t="shared" si="45"/>
        <v>0</v>
      </c>
      <c r="BZ15">
        <f t="shared" si="45"/>
        <v>0</v>
      </c>
      <c r="CA15">
        <f t="shared" si="46"/>
        <v>0</v>
      </c>
      <c r="CB15">
        <v>28</v>
      </c>
      <c r="CC15">
        <v>19</v>
      </c>
      <c r="CD15">
        <v>0</v>
      </c>
      <c r="CE15">
        <v>0</v>
      </c>
      <c r="CF15">
        <f t="shared" si="39"/>
        <v>0</v>
      </c>
      <c r="CG15">
        <v>0</v>
      </c>
      <c r="CH15" s="64">
        <f t="shared" si="4"/>
        <v>0</v>
      </c>
      <c r="CI15" s="64">
        <f t="shared" si="5"/>
        <v>0</v>
      </c>
      <c r="CJ15" s="64">
        <f t="shared" si="6"/>
        <v>0</v>
      </c>
      <c r="CK15" s="64">
        <f t="shared" si="7"/>
        <v>0</v>
      </c>
      <c r="CL15" s="64">
        <f t="shared" si="8"/>
        <v>0</v>
      </c>
      <c r="CM15" s="64">
        <f t="shared" si="9"/>
        <v>0</v>
      </c>
      <c r="CN15" s="64">
        <f t="shared" si="10"/>
        <v>0</v>
      </c>
      <c r="CO15" s="64">
        <f t="shared" si="11"/>
        <v>0</v>
      </c>
      <c r="CP15" s="64">
        <f t="shared" si="12"/>
        <v>0</v>
      </c>
      <c r="CQ15" s="64">
        <f t="shared" si="13"/>
        <v>0</v>
      </c>
      <c r="CR15" s="64">
        <f t="shared" si="14"/>
        <v>0</v>
      </c>
      <c r="CS15" s="64">
        <f t="shared" si="15"/>
        <v>0</v>
      </c>
      <c r="CT15" s="64">
        <f t="shared" si="16"/>
        <v>0</v>
      </c>
      <c r="CU15" s="64">
        <f t="shared" si="17"/>
        <v>0</v>
      </c>
      <c r="CV15" s="69">
        <f t="shared" si="18"/>
        <v>25.848852554829538</v>
      </c>
      <c r="CW15" s="69">
        <f t="shared" si="19"/>
        <v>1015.0150131159957</v>
      </c>
      <c r="CX15" s="69">
        <f t="shared" si="20"/>
        <v>3350.2171896608802</v>
      </c>
      <c r="CY15" s="69">
        <f t="shared" si="21"/>
        <v>31269.043859649126</v>
      </c>
      <c r="CZ15" s="64">
        <f t="shared" si="22"/>
        <v>2273.3616644127401</v>
      </c>
      <c r="DA15" s="64">
        <f t="shared" si="23"/>
        <v>21218.27976190476</v>
      </c>
      <c r="DB15" s="64">
        <f t="shared" si="24"/>
        <v>0</v>
      </c>
      <c r="DC15" s="64">
        <f t="shared" si="25"/>
        <v>0</v>
      </c>
      <c r="DD15" s="64">
        <f t="shared" si="26"/>
        <v>0</v>
      </c>
      <c r="DE15" s="64">
        <f t="shared" si="27"/>
        <v>0</v>
      </c>
      <c r="DF15" s="64">
        <f t="shared" si="28"/>
        <v>0</v>
      </c>
      <c r="DG15" s="64">
        <f t="shared" si="29"/>
        <v>0</v>
      </c>
      <c r="DH15" s="64">
        <f t="shared" si="30"/>
        <v>0</v>
      </c>
      <c r="DI15" s="64">
        <f t="shared" si="31"/>
        <v>0</v>
      </c>
      <c r="DJ15" s="64">
        <f t="shared" si="32"/>
        <v>0</v>
      </c>
      <c r="DK15" s="64">
        <f t="shared" si="33"/>
        <v>0</v>
      </c>
      <c r="DL15" s="64">
        <f t="shared" si="34"/>
        <v>0</v>
      </c>
      <c r="DM15" s="64">
        <f t="shared" si="35"/>
        <v>0</v>
      </c>
      <c r="DN15" s="64">
        <f t="shared" si="36"/>
        <v>0</v>
      </c>
      <c r="DO15" s="64">
        <f t="shared" si="37"/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f t="shared" si="40"/>
        <v>6</v>
      </c>
      <c r="DV15" s="2">
        <f t="shared" si="41"/>
        <v>21218.27976190476</v>
      </c>
    </row>
    <row r="16" spans="1:127" s="2" customFormat="1">
      <c r="A16" s="3">
        <v>42064</v>
      </c>
      <c r="B16">
        <f t="shared" si="42"/>
        <v>2015</v>
      </c>
      <c r="C16" s="2">
        <v>18468773</v>
      </c>
      <c r="D16" s="2">
        <f>VLOOKUP(B16,'Historic CDM'!$B$135:$H$146,2,FALSE)/12</f>
        <v>335044.72340367432</v>
      </c>
      <c r="E16" s="2">
        <f t="shared" si="43"/>
        <v>18803817.723403674</v>
      </c>
      <c r="F16" s="6">
        <v>26693</v>
      </c>
      <c r="G16" s="219">
        <v>5526432</v>
      </c>
      <c r="H16" s="2">
        <f>VLOOKUP(B16,'Historic CDM'!$B$135:$H$147,3,FALSE)/12</f>
        <v>554198.2771220546</v>
      </c>
      <c r="I16" s="2">
        <f t="shared" si="44"/>
        <v>6080630.2771220542</v>
      </c>
      <c r="J16" s="6">
        <v>1922</v>
      </c>
      <c r="K16" s="219">
        <v>13288528</v>
      </c>
      <c r="L16" s="2">
        <f>VLOOKUP(B16,'Historic CDM'!$B$135:$H$146,4,FALSE)/12</f>
        <v>605691.5867469128</v>
      </c>
      <c r="M16" s="2">
        <f t="shared" si="0"/>
        <v>13894219.586746912</v>
      </c>
      <c r="N16" s="222">
        <v>33050</v>
      </c>
      <c r="O16" s="220">
        <v>209</v>
      </c>
      <c r="P16" s="220">
        <v>556097</v>
      </c>
      <c r="Q16" s="2">
        <v>1579</v>
      </c>
      <c r="R16" s="220">
        <v>2711</v>
      </c>
      <c r="S16" s="220">
        <v>31348</v>
      </c>
      <c r="T16" s="2">
        <v>73</v>
      </c>
      <c r="U16" s="220">
        <v>174</v>
      </c>
      <c r="V16" s="221">
        <v>129846</v>
      </c>
      <c r="W16" s="220">
        <v>141</v>
      </c>
      <c r="X16" s="2">
        <v>3449912</v>
      </c>
      <c r="Y16" s="2">
        <v>8105</v>
      </c>
      <c r="Z16" s="220">
        <v>6</v>
      </c>
      <c r="AA16" s="100">
        <f>'Weather Data'!D172</f>
        <v>627.29999999999995</v>
      </c>
      <c r="AB16" s="100">
        <f>'Weather Data'!E172</f>
        <v>0</v>
      </c>
      <c r="AC16" s="100">
        <f>'Weather Data'!F172</f>
        <v>565.29999999999995</v>
      </c>
      <c r="AD16" s="100">
        <f>'Weather Data'!G172</f>
        <v>0</v>
      </c>
      <c r="AE16" s="100">
        <f>'Weather Data'!H172</f>
        <v>503.3</v>
      </c>
      <c r="AF16" s="100">
        <f>'Weather Data'!I172</f>
        <v>0</v>
      </c>
      <c r="AG16" s="100">
        <f>'Weather Data'!J172</f>
        <v>441.3</v>
      </c>
      <c r="AH16" s="100">
        <f>'Weather Data'!K172</f>
        <v>0</v>
      </c>
      <c r="AI16" s="100">
        <f>'Weather Data'!L172</f>
        <v>379.29999999999995</v>
      </c>
      <c r="AJ16" s="100">
        <f>'Weather Data'!M172</f>
        <v>0</v>
      </c>
      <c r="AK16" s="100">
        <f>'Weather Data'!N172</f>
        <v>317.29999999999995</v>
      </c>
      <c r="AL16" s="100">
        <f>'Weather Data'!O172</f>
        <v>0</v>
      </c>
      <c r="AM16" s="100">
        <f>'Weather Data'!P172</f>
        <v>255.70000000000002</v>
      </c>
      <c r="AN16" s="100">
        <f>'Weather Data'!Q172</f>
        <v>0.40000000000000036</v>
      </c>
      <c r="AO16" s="100">
        <f>'Weather Data'!R172</f>
        <v>-0.2354838709677417</v>
      </c>
      <c r="AP16" s="5">
        <f>'Economic Data'!D42</f>
        <v>6870</v>
      </c>
      <c r="AQ16" s="5">
        <f>'Economic Data'!E42</f>
        <v>6761.8</v>
      </c>
      <c r="AR16" s="5">
        <f>'Economic Data'!F42</f>
        <v>161.30000000000001</v>
      </c>
      <c r="AS16" s="5">
        <f>'Economic Data'!G42</f>
        <v>156.9</v>
      </c>
      <c r="AT16" s="5">
        <f>'Economic Data'!H42</f>
        <v>727609.6</v>
      </c>
      <c r="AU16" s="5">
        <f>'Economic Data'!I42</f>
        <v>6877.7</v>
      </c>
      <c r="AV16" s="5">
        <f>'Economic Data'!J42</f>
        <v>5851.5</v>
      </c>
      <c r="AW16" s="5">
        <f>'Economic Data'!K42</f>
        <v>4285.8999999999996</v>
      </c>
      <c r="AX16" s="5">
        <f>'Economic Data'!L42</f>
        <v>946.1</v>
      </c>
      <c r="AY16" s="5">
        <f>'Economic Data'!M42</f>
        <v>506</v>
      </c>
      <c r="AZ16" s="5">
        <f>'Economic Data'!N42</f>
        <v>7729.3</v>
      </c>
      <c r="BA16" s="5">
        <f>'Economic Data'!O42</f>
        <v>10.199999999999999</v>
      </c>
      <c r="BB16" s="5">
        <f>'Economic Data'!P42</f>
        <v>143.30000000000001</v>
      </c>
      <c r="BC16" s="5">
        <f>'Economic Data'!Q42</f>
        <v>718587</v>
      </c>
      <c r="BD16" s="5">
        <f>'Economic Data'!R42</f>
        <v>6731</v>
      </c>
      <c r="BE16" s="5">
        <f>'Economic Data'!S42</f>
        <v>4016</v>
      </c>
      <c r="BF16" s="5">
        <f>'Economic Data'!T42</f>
        <v>12895</v>
      </c>
      <c r="BG16" s="5">
        <v>0</v>
      </c>
      <c r="BH16" s="5">
        <v>0</v>
      </c>
      <c r="BI16" s="5">
        <v>0</v>
      </c>
      <c r="BJ16" s="5">
        <f t="shared" si="38"/>
        <v>15</v>
      </c>
      <c r="BK16" s="70">
        <f t="shared" si="1"/>
        <v>1.1760912590556813</v>
      </c>
      <c r="BL16" s="5">
        <f t="shared" si="2"/>
        <v>225</v>
      </c>
      <c r="BM16">
        <v>0</v>
      </c>
      <c r="BN16">
        <v>0</v>
      </c>
      <c r="BO16">
        <v>1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f t="shared" si="45"/>
        <v>1</v>
      </c>
      <c r="BZ16">
        <f t="shared" si="45"/>
        <v>0</v>
      </c>
      <c r="CA16">
        <f t="shared" si="46"/>
        <v>1</v>
      </c>
      <c r="CB16">
        <v>31</v>
      </c>
      <c r="CC16">
        <v>22</v>
      </c>
      <c r="CD16">
        <v>0</v>
      </c>
      <c r="CE16">
        <v>0</v>
      </c>
      <c r="CF16">
        <f t="shared" si="39"/>
        <v>0</v>
      </c>
      <c r="CG16">
        <v>0</v>
      </c>
      <c r="CH16" s="64">
        <f t="shared" si="4"/>
        <v>0</v>
      </c>
      <c r="CI16" s="64">
        <f t="shared" si="5"/>
        <v>0</v>
      </c>
      <c r="CJ16" s="64">
        <f t="shared" si="6"/>
        <v>0</v>
      </c>
      <c r="CK16" s="64">
        <f t="shared" si="7"/>
        <v>0</v>
      </c>
      <c r="CL16" s="64">
        <f t="shared" si="8"/>
        <v>0</v>
      </c>
      <c r="CM16" s="64">
        <f t="shared" si="9"/>
        <v>0</v>
      </c>
      <c r="CN16" s="64">
        <f t="shared" si="10"/>
        <v>0</v>
      </c>
      <c r="CO16" s="64">
        <f t="shared" si="11"/>
        <v>0</v>
      </c>
      <c r="CP16" s="64">
        <f t="shared" si="12"/>
        <v>0</v>
      </c>
      <c r="CQ16" s="64">
        <f t="shared" si="13"/>
        <v>0</v>
      </c>
      <c r="CR16" s="64">
        <f t="shared" si="14"/>
        <v>0</v>
      </c>
      <c r="CS16" s="64">
        <f t="shared" si="15"/>
        <v>0</v>
      </c>
      <c r="CT16" s="64">
        <f t="shared" si="16"/>
        <v>0</v>
      </c>
      <c r="CU16" s="64">
        <f t="shared" si="17"/>
        <v>0</v>
      </c>
      <c r="CV16" s="69">
        <f t="shared" si="18"/>
        <v>22.724113635450728</v>
      </c>
      <c r="CW16" s="69">
        <f t="shared" si="19"/>
        <v>938.51370228770713</v>
      </c>
      <c r="CX16" s="69">
        <f t="shared" si="20"/>
        <v>3021.7963433551354</v>
      </c>
      <c r="CY16" s="69">
        <f t="shared" si="21"/>
        <v>26135.696969696972</v>
      </c>
      <c r="CZ16" s="64">
        <f t="shared" si="22"/>
        <v>2144.5006307681606</v>
      </c>
      <c r="DA16" s="64">
        <f t="shared" si="23"/>
        <v>18547.913978494624</v>
      </c>
      <c r="DB16" s="64">
        <f t="shared" si="24"/>
        <v>0</v>
      </c>
      <c r="DC16" s="64">
        <f t="shared" si="25"/>
        <v>0</v>
      </c>
      <c r="DD16" s="64">
        <f t="shared" si="26"/>
        <v>0</v>
      </c>
      <c r="DE16" s="64">
        <f t="shared" si="27"/>
        <v>0</v>
      </c>
      <c r="DF16" s="64">
        <f t="shared" si="28"/>
        <v>0</v>
      </c>
      <c r="DG16" s="64">
        <f t="shared" si="29"/>
        <v>0</v>
      </c>
      <c r="DH16" s="64">
        <f t="shared" si="30"/>
        <v>0</v>
      </c>
      <c r="DI16" s="64">
        <f t="shared" si="31"/>
        <v>0</v>
      </c>
      <c r="DJ16" s="64">
        <f t="shared" si="32"/>
        <v>0</v>
      </c>
      <c r="DK16" s="64">
        <f t="shared" si="33"/>
        <v>0</v>
      </c>
      <c r="DL16" s="64">
        <f t="shared" si="34"/>
        <v>0</v>
      </c>
      <c r="DM16" s="64">
        <f t="shared" si="35"/>
        <v>0</v>
      </c>
      <c r="DN16" s="64">
        <f t="shared" si="36"/>
        <v>0</v>
      </c>
      <c r="DO16" s="64">
        <f t="shared" si="37"/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f t="shared" si="40"/>
        <v>6</v>
      </c>
      <c r="DV16" s="2">
        <f t="shared" si="41"/>
        <v>18547.913978494624</v>
      </c>
    </row>
    <row r="17" spans="1:127" s="2" customFormat="1">
      <c r="A17" s="3">
        <v>42095</v>
      </c>
      <c r="B17">
        <f t="shared" si="42"/>
        <v>2015</v>
      </c>
      <c r="C17" s="2">
        <v>15860000</v>
      </c>
      <c r="D17" s="2">
        <f>VLOOKUP(B17,'Historic CDM'!$B$135:$H$146,2,FALSE)/12</f>
        <v>335044.72340367432</v>
      </c>
      <c r="E17" s="2">
        <f t="shared" si="43"/>
        <v>16195044.723403674</v>
      </c>
      <c r="F17" s="6">
        <v>26705</v>
      </c>
      <c r="G17" s="219">
        <v>4905796</v>
      </c>
      <c r="H17" s="2">
        <f>VLOOKUP(B17,'Historic CDM'!$B$135:$H$147,3,FALSE)/12</f>
        <v>554198.2771220546</v>
      </c>
      <c r="I17" s="2">
        <f t="shared" si="44"/>
        <v>5459994.2771220542</v>
      </c>
      <c r="J17" s="6">
        <v>1933</v>
      </c>
      <c r="K17" s="219">
        <v>12590304</v>
      </c>
      <c r="L17" s="2">
        <f>VLOOKUP(B17,'Historic CDM'!$B$135:$H$146,4,FALSE)/12</f>
        <v>605691.5867469128</v>
      </c>
      <c r="M17" s="2">
        <f t="shared" si="0"/>
        <v>13195995.586746912</v>
      </c>
      <c r="N17" s="222">
        <v>36906</v>
      </c>
      <c r="O17" s="220">
        <v>209</v>
      </c>
      <c r="P17" s="220">
        <v>466544</v>
      </c>
      <c r="Q17" s="2">
        <v>1579</v>
      </c>
      <c r="R17" s="220">
        <v>2711</v>
      </c>
      <c r="S17" s="220">
        <v>28925</v>
      </c>
      <c r="T17" s="2">
        <v>73</v>
      </c>
      <c r="U17" s="220">
        <v>174</v>
      </c>
      <c r="V17" s="221">
        <v>129846</v>
      </c>
      <c r="W17" s="220">
        <v>141</v>
      </c>
      <c r="X17" s="2">
        <v>3013821</v>
      </c>
      <c r="Y17" s="2">
        <v>7558</v>
      </c>
      <c r="Z17" s="220">
        <v>6</v>
      </c>
      <c r="AA17" s="100">
        <f>'Weather Data'!D173</f>
        <v>343.20000000000005</v>
      </c>
      <c r="AB17" s="100">
        <f>'Weather Data'!E173</f>
        <v>0</v>
      </c>
      <c r="AC17" s="100">
        <f>'Weather Data'!F173</f>
        <v>283.2</v>
      </c>
      <c r="AD17" s="100">
        <f>'Weather Data'!G173</f>
        <v>0</v>
      </c>
      <c r="AE17" s="100">
        <f>'Weather Data'!H173</f>
        <v>223.19999999999996</v>
      </c>
      <c r="AF17" s="100">
        <f>'Weather Data'!I173</f>
        <v>0</v>
      </c>
      <c r="AG17" s="100">
        <f>'Weather Data'!J173</f>
        <v>164.10000000000002</v>
      </c>
      <c r="AH17" s="100">
        <f>'Weather Data'!K173</f>
        <v>0.90000000000000036</v>
      </c>
      <c r="AI17" s="100">
        <f>'Weather Data'!L173</f>
        <v>110.19999999999997</v>
      </c>
      <c r="AJ17" s="100">
        <f>'Weather Data'!M173</f>
        <v>7</v>
      </c>
      <c r="AK17" s="100">
        <f>'Weather Data'!N173</f>
        <v>62</v>
      </c>
      <c r="AL17" s="100">
        <f>'Weather Data'!O173</f>
        <v>18.8</v>
      </c>
      <c r="AM17" s="100">
        <f>'Weather Data'!P173</f>
        <v>29.799999999999997</v>
      </c>
      <c r="AN17" s="100">
        <f>'Weather Data'!Q173</f>
        <v>46.599999999999994</v>
      </c>
      <c r="AO17" s="100">
        <f>'Weather Data'!R173</f>
        <v>8.5599999999999987</v>
      </c>
      <c r="AP17" s="5">
        <f>'Economic Data'!D43</f>
        <v>6876.8</v>
      </c>
      <c r="AQ17" s="5">
        <f>'Economic Data'!E43</f>
        <v>6786.4</v>
      </c>
      <c r="AR17" s="5">
        <f>'Economic Data'!F43</f>
        <v>160.69999999999999</v>
      </c>
      <c r="AS17" s="5">
        <f>'Economic Data'!G43</f>
        <v>156.69999999999999</v>
      </c>
      <c r="AT17" s="5">
        <f>'Economic Data'!H43</f>
        <v>727609.6</v>
      </c>
      <c r="AU17" s="5">
        <f>'Economic Data'!I43</f>
        <v>6877.7</v>
      </c>
      <c r="AV17" s="5">
        <f>'Economic Data'!J43</f>
        <v>5851.5</v>
      </c>
      <c r="AW17" s="5">
        <f>'Economic Data'!K43</f>
        <v>4285.8999999999996</v>
      </c>
      <c r="AX17" s="5">
        <f>'Economic Data'!L43</f>
        <v>946.1</v>
      </c>
      <c r="AY17" s="5">
        <f>'Economic Data'!M43</f>
        <v>506</v>
      </c>
      <c r="AZ17" s="5">
        <f>'Economic Data'!N43</f>
        <v>7729.3</v>
      </c>
      <c r="BA17" s="5">
        <f>'Economic Data'!O43</f>
        <v>10.199999999999999</v>
      </c>
      <c r="BB17" s="5">
        <f>'Economic Data'!P43</f>
        <v>143.30000000000001</v>
      </c>
      <c r="BC17" s="5">
        <f>'Economic Data'!Q43</f>
        <v>723726</v>
      </c>
      <c r="BD17" s="5">
        <f>'Economic Data'!R43</f>
        <v>6925</v>
      </c>
      <c r="BE17" s="5">
        <f>'Economic Data'!S43</f>
        <v>3621</v>
      </c>
      <c r="BF17" s="5">
        <f>'Economic Data'!T43</f>
        <v>12835</v>
      </c>
      <c r="BG17" s="5">
        <v>0</v>
      </c>
      <c r="BH17" s="5">
        <v>0</v>
      </c>
      <c r="BI17" s="5">
        <v>0</v>
      </c>
      <c r="BJ17" s="5">
        <f t="shared" si="38"/>
        <v>16</v>
      </c>
      <c r="BK17" s="70">
        <f t="shared" si="1"/>
        <v>1.2041199826559248</v>
      </c>
      <c r="BL17" s="5">
        <f t="shared" si="2"/>
        <v>256</v>
      </c>
      <c r="BM17">
        <v>0</v>
      </c>
      <c r="BN17">
        <v>0</v>
      </c>
      <c r="BO17">
        <v>0</v>
      </c>
      <c r="BP17">
        <v>1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f t="shared" si="45"/>
        <v>1</v>
      </c>
      <c r="BZ17">
        <f t="shared" si="45"/>
        <v>0</v>
      </c>
      <c r="CA17">
        <f t="shared" si="46"/>
        <v>1</v>
      </c>
      <c r="CB17">
        <v>30</v>
      </c>
      <c r="CC17">
        <v>20</v>
      </c>
      <c r="CD17">
        <v>0</v>
      </c>
      <c r="CE17">
        <v>0</v>
      </c>
      <c r="CF17">
        <f t="shared" si="39"/>
        <v>0</v>
      </c>
      <c r="CG17">
        <v>0</v>
      </c>
      <c r="CH17" s="64">
        <f t="shared" si="4"/>
        <v>0</v>
      </c>
      <c r="CI17" s="64">
        <f t="shared" si="5"/>
        <v>0</v>
      </c>
      <c r="CJ17" s="64">
        <f t="shared" si="6"/>
        <v>0</v>
      </c>
      <c r="CK17" s="64">
        <f t="shared" si="7"/>
        <v>0</v>
      </c>
      <c r="CL17" s="64">
        <f t="shared" si="8"/>
        <v>0</v>
      </c>
      <c r="CM17" s="64">
        <f t="shared" si="9"/>
        <v>0</v>
      </c>
      <c r="CN17" s="64">
        <f t="shared" si="10"/>
        <v>0</v>
      </c>
      <c r="CO17" s="64">
        <f t="shared" si="11"/>
        <v>0</v>
      </c>
      <c r="CP17" s="64">
        <f t="shared" si="12"/>
        <v>0</v>
      </c>
      <c r="CQ17" s="64">
        <f t="shared" si="13"/>
        <v>0</v>
      </c>
      <c r="CR17" s="64">
        <f t="shared" si="14"/>
        <v>0</v>
      </c>
      <c r="CS17" s="64">
        <f t="shared" si="15"/>
        <v>0</v>
      </c>
      <c r="CT17" s="64">
        <f t="shared" si="16"/>
        <v>0</v>
      </c>
      <c r="CU17" s="64">
        <f t="shared" si="17"/>
        <v>0</v>
      </c>
      <c r="CV17" s="69">
        <f t="shared" si="18"/>
        <v>20.214747205147194</v>
      </c>
      <c r="CW17" s="69">
        <f t="shared" si="19"/>
        <v>870.81248438948239</v>
      </c>
      <c r="CX17" s="69">
        <f t="shared" si="20"/>
        <v>3156.9367432408881</v>
      </c>
      <c r="CY17" s="69">
        <f t="shared" si="21"/>
        <v>25115.174999999999</v>
      </c>
      <c r="CZ17" s="64">
        <f t="shared" si="22"/>
        <v>2104.6244954939252</v>
      </c>
      <c r="DA17" s="64">
        <f t="shared" si="23"/>
        <v>16743.45</v>
      </c>
      <c r="DB17" s="64">
        <f t="shared" si="24"/>
        <v>0</v>
      </c>
      <c r="DC17" s="64">
        <f t="shared" si="25"/>
        <v>0</v>
      </c>
      <c r="DD17" s="64">
        <f t="shared" si="26"/>
        <v>0</v>
      </c>
      <c r="DE17" s="64">
        <f t="shared" si="27"/>
        <v>0</v>
      </c>
      <c r="DF17" s="64">
        <f t="shared" si="28"/>
        <v>0</v>
      </c>
      <c r="DG17" s="64">
        <f t="shared" si="29"/>
        <v>0</v>
      </c>
      <c r="DH17" s="64">
        <f t="shared" si="30"/>
        <v>0</v>
      </c>
      <c r="DI17" s="64">
        <f t="shared" si="31"/>
        <v>0</v>
      </c>
      <c r="DJ17" s="64">
        <f t="shared" si="32"/>
        <v>0</v>
      </c>
      <c r="DK17" s="64">
        <f t="shared" si="33"/>
        <v>0</v>
      </c>
      <c r="DL17" s="64">
        <f t="shared" si="34"/>
        <v>0</v>
      </c>
      <c r="DM17" s="64">
        <f t="shared" si="35"/>
        <v>0</v>
      </c>
      <c r="DN17" s="64">
        <f t="shared" si="36"/>
        <v>0</v>
      </c>
      <c r="DO17" s="64">
        <f t="shared" si="37"/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f t="shared" si="40"/>
        <v>6</v>
      </c>
      <c r="DV17" s="2">
        <f t="shared" si="41"/>
        <v>16743.45</v>
      </c>
    </row>
    <row r="18" spans="1:127" s="2" customFormat="1">
      <c r="A18" s="3">
        <v>42125</v>
      </c>
      <c r="B18">
        <f t="shared" si="42"/>
        <v>2015</v>
      </c>
      <c r="C18" s="2">
        <v>18146671</v>
      </c>
      <c r="D18" s="2">
        <f>VLOOKUP(B18,'Historic CDM'!$B$135:$H$146,2,FALSE)/12</f>
        <v>335044.72340367432</v>
      </c>
      <c r="E18" s="2">
        <f t="shared" si="43"/>
        <v>18481715.723403674</v>
      </c>
      <c r="F18" s="6">
        <v>26784</v>
      </c>
      <c r="G18" s="219">
        <v>5173027</v>
      </c>
      <c r="H18" s="2">
        <f>VLOOKUP(B18,'Historic CDM'!$B$135:$H$147,3,FALSE)/12</f>
        <v>554198.2771220546</v>
      </c>
      <c r="I18" s="2">
        <f t="shared" si="44"/>
        <v>5727225.2771220542</v>
      </c>
      <c r="J18" s="6">
        <v>1938</v>
      </c>
      <c r="K18" s="219">
        <v>13166430</v>
      </c>
      <c r="L18" s="2">
        <f>VLOOKUP(B18,'Historic CDM'!$B$135:$H$146,4,FALSE)/12</f>
        <v>605691.5867469128</v>
      </c>
      <c r="M18" s="2">
        <f t="shared" si="0"/>
        <v>13772121.586746912</v>
      </c>
      <c r="N18" s="222">
        <v>38440</v>
      </c>
      <c r="O18" s="220">
        <v>209</v>
      </c>
      <c r="P18" s="220">
        <v>418301</v>
      </c>
      <c r="Q18" s="2">
        <v>1577</v>
      </c>
      <c r="R18" s="220">
        <v>2694</v>
      </c>
      <c r="S18" s="220">
        <v>28223</v>
      </c>
      <c r="T18" s="2">
        <v>73</v>
      </c>
      <c r="U18" s="220">
        <v>174</v>
      </c>
      <c r="V18" s="221">
        <v>129846</v>
      </c>
      <c r="W18" s="220">
        <v>141</v>
      </c>
      <c r="X18" s="2">
        <v>2960403</v>
      </c>
      <c r="Y18" s="2">
        <v>7990</v>
      </c>
      <c r="Z18" s="220">
        <v>6</v>
      </c>
      <c r="AA18" s="100">
        <f>'Weather Data'!D174</f>
        <v>118.3</v>
      </c>
      <c r="AB18" s="100">
        <f>'Weather Data'!E174</f>
        <v>17.799999999999997</v>
      </c>
      <c r="AC18" s="100">
        <f>'Weather Data'!F174</f>
        <v>79.599999999999994</v>
      </c>
      <c r="AD18" s="100">
        <f>'Weather Data'!G174</f>
        <v>41.099999999999994</v>
      </c>
      <c r="AE18" s="100">
        <f>'Weather Data'!H174</f>
        <v>50.9</v>
      </c>
      <c r="AF18" s="100">
        <f>'Weather Data'!I174</f>
        <v>74.399999999999991</v>
      </c>
      <c r="AG18" s="100">
        <f>'Weather Data'!J174</f>
        <v>27.5</v>
      </c>
      <c r="AH18" s="100">
        <f>'Weather Data'!K174</f>
        <v>112.99999999999999</v>
      </c>
      <c r="AI18" s="100">
        <f>'Weather Data'!L174</f>
        <v>12.199999999999998</v>
      </c>
      <c r="AJ18" s="100">
        <f>'Weather Data'!M174</f>
        <v>159.69999999999999</v>
      </c>
      <c r="AK18" s="100">
        <f>'Weather Data'!N174</f>
        <v>2.6999999999999975</v>
      </c>
      <c r="AL18" s="100">
        <f>'Weather Data'!O174</f>
        <v>212.20000000000002</v>
      </c>
      <c r="AM18" s="100">
        <f>'Weather Data'!P174</f>
        <v>0</v>
      </c>
      <c r="AN18" s="100">
        <f>'Weather Data'!Q174</f>
        <v>271.5</v>
      </c>
      <c r="AO18" s="100">
        <f>'Weather Data'!R174</f>
        <v>16.758064516129032</v>
      </c>
      <c r="AP18" s="5">
        <f>'Economic Data'!D44</f>
        <v>6883.3</v>
      </c>
      <c r="AQ18" s="5">
        <f>'Economic Data'!E44</f>
        <v>6848.1</v>
      </c>
      <c r="AR18" s="5">
        <f>'Economic Data'!F44</f>
        <v>161.19999999999999</v>
      </c>
      <c r="AS18" s="5">
        <f>'Economic Data'!G44</f>
        <v>159.19999999999999</v>
      </c>
      <c r="AT18" s="5">
        <f>'Economic Data'!H44</f>
        <v>727609.6</v>
      </c>
      <c r="AU18" s="5">
        <f>'Economic Data'!I44</f>
        <v>6877.7</v>
      </c>
      <c r="AV18" s="5">
        <f>'Economic Data'!J44</f>
        <v>5851.5</v>
      </c>
      <c r="AW18" s="5">
        <f>'Economic Data'!K44</f>
        <v>4285.8999999999996</v>
      </c>
      <c r="AX18" s="5">
        <f>'Economic Data'!L44</f>
        <v>946.1</v>
      </c>
      <c r="AY18" s="5">
        <f>'Economic Data'!M44</f>
        <v>506</v>
      </c>
      <c r="AZ18" s="5">
        <f>'Economic Data'!N44</f>
        <v>7729.3</v>
      </c>
      <c r="BA18" s="5">
        <f>'Economic Data'!O44</f>
        <v>10.199999999999999</v>
      </c>
      <c r="BB18" s="5">
        <f>'Economic Data'!P44</f>
        <v>143.30000000000001</v>
      </c>
      <c r="BC18" s="5">
        <f>'Economic Data'!Q44</f>
        <v>723726</v>
      </c>
      <c r="BD18" s="5">
        <f>'Economic Data'!R44</f>
        <v>6925</v>
      </c>
      <c r="BE18" s="5">
        <f>'Economic Data'!S44</f>
        <v>3621</v>
      </c>
      <c r="BF18" s="5">
        <f>'Economic Data'!T44</f>
        <v>12835</v>
      </c>
      <c r="BG18" s="5">
        <v>0</v>
      </c>
      <c r="BH18" s="5">
        <v>0</v>
      </c>
      <c r="BI18" s="5">
        <v>0</v>
      </c>
      <c r="BJ18" s="5">
        <f t="shared" si="38"/>
        <v>17</v>
      </c>
      <c r="BK18" s="70">
        <f t="shared" si="1"/>
        <v>1.2304489213782739</v>
      </c>
      <c r="BL18" s="5">
        <f t="shared" si="2"/>
        <v>289</v>
      </c>
      <c r="BM18">
        <v>0</v>
      </c>
      <c r="BN18">
        <v>0</v>
      </c>
      <c r="BO18">
        <v>0</v>
      </c>
      <c r="BP18">
        <v>0</v>
      </c>
      <c r="BQ18">
        <v>1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f t="shared" ref="BY18:BZ33" si="47">BY6</f>
        <v>1</v>
      </c>
      <c r="BZ18">
        <f t="shared" si="47"/>
        <v>0</v>
      </c>
      <c r="CA18">
        <f t="shared" si="46"/>
        <v>1</v>
      </c>
      <c r="CB18">
        <v>31</v>
      </c>
      <c r="CC18">
        <v>20</v>
      </c>
      <c r="CD18">
        <v>0</v>
      </c>
      <c r="CE18">
        <v>0</v>
      </c>
      <c r="CF18">
        <f t="shared" si="39"/>
        <v>0</v>
      </c>
      <c r="CG18">
        <v>0</v>
      </c>
      <c r="CH18" s="64">
        <f t="shared" si="4"/>
        <v>0</v>
      </c>
      <c r="CI18" s="64">
        <f t="shared" si="5"/>
        <v>0</v>
      </c>
      <c r="CJ18" s="64">
        <f t="shared" si="6"/>
        <v>0</v>
      </c>
      <c r="CK18" s="64">
        <f t="shared" si="7"/>
        <v>0</v>
      </c>
      <c r="CL18" s="64">
        <f t="shared" si="8"/>
        <v>0</v>
      </c>
      <c r="CM18" s="64">
        <f t="shared" si="9"/>
        <v>0</v>
      </c>
      <c r="CN18" s="64">
        <f t="shared" si="10"/>
        <v>0</v>
      </c>
      <c r="CO18" s="64">
        <f t="shared" si="11"/>
        <v>0</v>
      </c>
      <c r="CP18" s="64">
        <f t="shared" si="12"/>
        <v>0</v>
      </c>
      <c r="CQ18" s="64">
        <f t="shared" si="13"/>
        <v>0</v>
      </c>
      <c r="CR18" s="64">
        <f t="shared" si="14"/>
        <v>0</v>
      </c>
      <c r="CS18" s="64">
        <f t="shared" si="15"/>
        <v>0</v>
      </c>
      <c r="CT18" s="64">
        <f t="shared" si="16"/>
        <v>0</v>
      </c>
      <c r="CU18" s="64">
        <f t="shared" si="17"/>
        <v>0</v>
      </c>
      <c r="CV18" s="69">
        <f t="shared" si="18"/>
        <v>22.258974692887996</v>
      </c>
      <c r="CW18" s="69">
        <f t="shared" si="19"/>
        <v>883.96747601822108</v>
      </c>
      <c r="CX18" s="69">
        <f t="shared" si="20"/>
        <v>3294.7659298437593</v>
      </c>
      <c r="CY18" s="69">
        <f t="shared" si="21"/>
        <v>24670.024999999998</v>
      </c>
      <c r="CZ18" s="64">
        <f t="shared" si="22"/>
        <v>2125.6554386088769</v>
      </c>
      <c r="DA18" s="64">
        <f t="shared" si="23"/>
        <v>15916.145161290324</v>
      </c>
      <c r="DB18" s="64">
        <f t="shared" si="24"/>
        <v>0</v>
      </c>
      <c r="DC18" s="64">
        <f t="shared" si="25"/>
        <v>0</v>
      </c>
      <c r="DD18" s="64">
        <f t="shared" si="26"/>
        <v>0</v>
      </c>
      <c r="DE18" s="64">
        <f t="shared" si="27"/>
        <v>0</v>
      </c>
      <c r="DF18" s="64">
        <f t="shared" si="28"/>
        <v>0</v>
      </c>
      <c r="DG18" s="64">
        <f t="shared" si="29"/>
        <v>0</v>
      </c>
      <c r="DH18" s="64">
        <f t="shared" si="30"/>
        <v>0</v>
      </c>
      <c r="DI18" s="64">
        <f t="shared" si="31"/>
        <v>0</v>
      </c>
      <c r="DJ18" s="64">
        <f t="shared" si="32"/>
        <v>0</v>
      </c>
      <c r="DK18" s="64">
        <f t="shared" si="33"/>
        <v>0</v>
      </c>
      <c r="DL18" s="64">
        <f t="shared" si="34"/>
        <v>0</v>
      </c>
      <c r="DM18" s="64">
        <f t="shared" si="35"/>
        <v>0</v>
      </c>
      <c r="DN18" s="64">
        <f t="shared" si="36"/>
        <v>0</v>
      </c>
      <c r="DO18" s="64">
        <f t="shared" si="37"/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f t="shared" si="40"/>
        <v>6</v>
      </c>
      <c r="DV18" s="2">
        <f t="shared" si="41"/>
        <v>15916.145161290324</v>
      </c>
    </row>
    <row r="19" spans="1:127" s="2" customFormat="1">
      <c r="A19" s="3">
        <v>42156</v>
      </c>
      <c r="B19">
        <f t="shared" si="42"/>
        <v>2015</v>
      </c>
      <c r="C19" s="2">
        <v>21678045</v>
      </c>
      <c r="D19" s="2">
        <f>VLOOKUP(B19,'Historic CDM'!$B$135:$H$146,2,FALSE)/12</f>
        <v>335044.72340367432</v>
      </c>
      <c r="E19" s="2">
        <f t="shared" si="43"/>
        <v>22013089.723403674</v>
      </c>
      <c r="F19" s="6">
        <v>26847</v>
      </c>
      <c r="G19" s="219">
        <v>5460606</v>
      </c>
      <c r="H19" s="2">
        <f>VLOOKUP(B19,'Historic CDM'!$B$135:$H$147,3,FALSE)/12</f>
        <v>554198.2771220546</v>
      </c>
      <c r="I19" s="2">
        <f t="shared" si="44"/>
        <v>6014804.2771220542</v>
      </c>
      <c r="J19" s="6">
        <v>1935</v>
      </c>
      <c r="K19" s="219">
        <v>13859094</v>
      </c>
      <c r="L19" s="2">
        <f>VLOOKUP(B19,'Historic CDM'!$B$135:$H$146,4,FALSE)/12</f>
        <v>605691.5867469128</v>
      </c>
      <c r="M19" s="2">
        <f t="shared" si="0"/>
        <v>14464785.586746912</v>
      </c>
      <c r="N19" s="222">
        <v>41487</v>
      </c>
      <c r="O19" s="220">
        <v>210</v>
      </c>
      <c r="P19" s="220">
        <v>367933</v>
      </c>
      <c r="Q19" s="2">
        <v>1572</v>
      </c>
      <c r="R19" s="220">
        <v>2694</v>
      </c>
      <c r="S19" s="220">
        <v>28389</v>
      </c>
      <c r="T19" s="2">
        <v>73</v>
      </c>
      <c r="U19" s="220">
        <v>174</v>
      </c>
      <c r="V19" s="221">
        <v>129846</v>
      </c>
      <c r="W19" s="220">
        <v>141</v>
      </c>
      <c r="X19" s="2">
        <v>3221522</v>
      </c>
      <c r="Y19" s="2">
        <v>8550</v>
      </c>
      <c r="Z19" s="220">
        <v>6</v>
      </c>
      <c r="AA19" s="100">
        <f>'Weather Data'!D175</f>
        <v>41.29999999999999</v>
      </c>
      <c r="AB19" s="100">
        <f>'Weather Data'!E175</f>
        <v>26.300000000000008</v>
      </c>
      <c r="AC19" s="100">
        <f>'Weather Data'!F175</f>
        <v>18.900000000000002</v>
      </c>
      <c r="AD19" s="100">
        <f>'Weather Data'!G175</f>
        <v>63.900000000000006</v>
      </c>
      <c r="AE19" s="100">
        <f>'Weather Data'!H175</f>
        <v>7.9</v>
      </c>
      <c r="AF19" s="100">
        <f>'Weather Data'!I175</f>
        <v>112.89999999999998</v>
      </c>
      <c r="AG19" s="100">
        <f>'Weather Data'!J175</f>
        <v>2.7000000000000011</v>
      </c>
      <c r="AH19" s="100">
        <f>'Weather Data'!K175</f>
        <v>167.7</v>
      </c>
      <c r="AI19" s="100">
        <f>'Weather Data'!L175</f>
        <v>0.40000000000000036</v>
      </c>
      <c r="AJ19" s="100">
        <f>'Weather Data'!M175</f>
        <v>225.4</v>
      </c>
      <c r="AK19" s="100">
        <f>'Weather Data'!N175</f>
        <v>0</v>
      </c>
      <c r="AL19" s="100">
        <f>'Weather Data'!O175</f>
        <v>285</v>
      </c>
      <c r="AM19" s="100">
        <f>'Weather Data'!P175</f>
        <v>0</v>
      </c>
      <c r="AN19" s="100">
        <f>'Weather Data'!Q175</f>
        <v>345</v>
      </c>
      <c r="AO19" s="100">
        <f>'Weather Data'!R175</f>
        <v>19.5</v>
      </c>
      <c r="AP19" s="5">
        <f>'Economic Data'!D45</f>
        <v>6883.6</v>
      </c>
      <c r="AQ19" s="5">
        <f>'Economic Data'!E45</f>
        <v>6930.1</v>
      </c>
      <c r="AR19" s="5">
        <f>'Economic Data'!F45</f>
        <v>162.5</v>
      </c>
      <c r="AS19" s="5">
        <f>'Economic Data'!G45</f>
        <v>163.19999999999999</v>
      </c>
      <c r="AT19" s="5">
        <f>'Economic Data'!H45</f>
        <v>727609.6</v>
      </c>
      <c r="AU19" s="5">
        <f>'Economic Data'!I45</f>
        <v>6877.7</v>
      </c>
      <c r="AV19" s="5">
        <f>'Economic Data'!J45</f>
        <v>5851.5</v>
      </c>
      <c r="AW19" s="5">
        <f>'Economic Data'!K45</f>
        <v>4285.8999999999996</v>
      </c>
      <c r="AX19" s="5">
        <f>'Economic Data'!L45</f>
        <v>946.1</v>
      </c>
      <c r="AY19" s="5">
        <f>'Economic Data'!M45</f>
        <v>506</v>
      </c>
      <c r="AZ19" s="5">
        <f>'Economic Data'!N45</f>
        <v>7729.3</v>
      </c>
      <c r="BA19" s="5">
        <f>'Economic Data'!O45</f>
        <v>10.199999999999999</v>
      </c>
      <c r="BB19" s="5">
        <f>'Economic Data'!P45</f>
        <v>143.30000000000001</v>
      </c>
      <c r="BC19" s="5">
        <f>'Economic Data'!Q45</f>
        <v>723726</v>
      </c>
      <c r="BD19" s="5">
        <f>'Economic Data'!R45</f>
        <v>6925</v>
      </c>
      <c r="BE19" s="5">
        <f>'Economic Data'!S45</f>
        <v>3621</v>
      </c>
      <c r="BF19" s="5">
        <f>'Economic Data'!T45</f>
        <v>12835</v>
      </c>
      <c r="BG19" s="5">
        <v>0</v>
      </c>
      <c r="BH19" s="5">
        <v>0</v>
      </c>
      <c r="BI19" s="5">
        <v>0</v>
      </c>
      <c r="BJ19" s="5">
        <f t="shared" si="38"/>
        <v>18</v>
      </c>
      <c r="BK19" s="70">
        <f t="shared" si="1"/>
        <v>1.255272505103306</v>
      </c>
      <c r="BL19" s="5">
        <f t="shared" si="2"/>
        <v>324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f t="shared" si="47"/>
        <v>0</v>
      </c>
      <c r="BZ19">
        <f t="shared" si="47"/>
        <v>0</v>
      </c>
      <c r="CA19">
        <f t="shared" si="46"/>
        <v>0</v>
      </c>
      <c r="CB19">
        <v>30</v>
      </c>
      <c r="CC19">
        <v>22</v>
      </c>
      <c r="CD19">
        <v>0</v>
      </c>
      <c r="CE19">
        <v>0</v>
      </c>
      <c r="CF19">
        <f t="shared" si="39"/>
        <v>0</v>
      </c>
      <c r="CG19">
        <v>0</v>
      </c>
      <c r="CH19" s="64">
        <f t="shared" si="4"/>
        <v>0</v>
      </c>
      <c r="CI19" s="64">
        <f t="shared" si="5"/>
        <v>0</v>
      </c>
      <c r="CJ19" s="64">
        <f t="shared" si="6"/>
        <v>0</v>
      </c>
      <c r="CK19" s="64">
        <f t="shared" si="7"/>
        <v>0</v>
      </c>
      <c r="CL19" s="64">
        <f t="shared" si="8"/>
        <v>0</v>
      </c>
      <c r="CM19" s="64">
        <f t="shared" si="9"/>
        <v>0</v>
      </c>
      <c r="CN19" s="64">
        <f t="shared" si="10"/>
        <v>0</v>
      </c>
      <c r="CO19" s="64">
        <f t="shared" si="11"/>
        <v>0</v>
      </c>
      <c r="CP19" s="64">
        <f t="shared" si="12"/>
        <v>0</v>
      </c>
      <c r="CQ19" s="64">
        <f t="shared" si="13"/>
        <v>0</v>
      </c>
      <c r="CR19" s="64">
        <f t="shared" si="14"/>
        <v>0</v>
      </c>
      <c r="CS19" s="64">
        <f t="shared" si="15"/>
        <v>0</v>
      </c>
      <c r="CT19" s="64">
        <f t="shared" si="16"/>
        <v>0</v>
      </c>
      <c r="CU19" s="64">
        <f t="shared" si="17"/>
        <v>0</v>
      </c>
      <c r="CV19" s="69">
        <f t="shared" si="18"/>
        <v>27.331532664610165</v>
      </c>
      <c r="CW19" s="69">
        <f t="shared" si="19"/>
        <v>954.73083763842135</v>
      </c>
      <c r="CX19" s="69">
        <f t="shared" si="20"/>
        <v>3130.90597115734</v>
      </c>
      <c r="CY19" s="69">
        <f t="shared" si="21"/>
        <v>24405.469696969696</v>
      </c>
      <c r="CZ19" s="64">
        <f t="shared" si="22"/>
        <v>2295.9977121820498</v>
      </c>
      <c r="DA19" s="64">
        <f t="shared" si="23"/>
        <v>17897.344444444443</v>
      </c>
      <c r="DB19" s="64">
        <f t="shared" si="24"/>
        <v>0</v>
      </c>
      <c r="DC19" s="64">
        <f t="shared" si="25"/>
        <v>0</v>
      </c>
      <c r="DD19" s="64">
        <f t="shared" si="26"/>
        <v>0</v>
      </c>
      <c r="DE19" s="64">
        <f t="shared" si="27"/>
        <v>0</v>
      </c>
      <c r="DF19" s="64">
        <f t="shared" si="28"/>
        <v>0</v>
      </c>
      <c r="DG19" s="64">
        <f t="shared" si="29"/>
        <v>0</v>
      </c>
      <c r="DH19" s="64">
        <f t="shared" si="30"/>
        <v>0</v>
      </c>
      <c r="DI19" s="64">
        <f t="shared" si="31"/>
        <v>0</v>
      </c>
      <c r="DJ19" s="64">
        <f t="shared" si="32"/>
        <v>0</v>
      </c>
      <c r="DK19" s="64">
        <f t="shared" si="33"/>
        <v>0</v>
      </c>
      <c r="DL19" s="64">
        <f t="shared" si="34"/>
        <v>0</v>
      </c>
      <c r="DM19" s="64">
        <f t="shared" si="35"/>
        <v>0</v>
      </c>
      <c r="DN19" s="64">
        <f t="shared" si="36"/>
        <v>0</v>
      </c>
      <c r="DO19" s="64">
        <f t="shared" si="37"/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f t="shared" si="40"/>
        <v>6</v>
      </c>
      <c r="DV19" s="2">
        <f t="shared" si="41"/>
        <v>17897.344444444443</v>
      </c>
    </row>
    <row r="20" spans="1:127" s="2" customFormat="1">
      <c r="A20" s="3">
        <v>42186</v>
      </c>
      <c r="B20">
        <f t="shared" si="42"/>
        <v>2015</v>
      </c>
      <c r="C20" s="2">
        <v>27487968</v>
      </c>
      <c r="D20" s="2">
        <f>VLOOKUP(B20,'Historic CDM'!$B$135:$H$146,2,FALSE)/12</f>
        <v>335044.72340367432</v>
      </c>
      <c r="E20" s="2">
        <f t="shared" si="43"/>
        <v>27823012.723403674</v>
      </c>
      <c r="F20" s="6">
        <v>26870</v>
      </c>
      <c r="G20" s="219">
        <v>6213552</v>
      </c>
      <c r="H20" s="2">
        <f>VLOOKUP(B20,'Historic CDM'!$B$135:$H$147,3,FALSE)/12</f>
        <v>554198.2771220546</v>
      </c>
      <c r="I20" s="2">
        <f t="shared" si="44"/>
        <v>6767750.2771220542</v>
      </c>
      <c r="J20" s="6">
        <v>1952</v>
      </c>
      <c r="K20" s="219">
        <v>16203562</v>
      </c>
      <c r="L20" s="2">
        <f>VLOOKUP(B20,'Historic CDM'!$B$135:$H$146,4,FALSE)/12</f>
        <v>605691.5867469128</v>
      </c>
      <c r="M20" s="2">
        <f t="shared" si="0"/>
        <v>16809253.586746912</v>
      </c>
      <c r="N20" s="222">
        <v>43488</v>
      </c>
      <c r="O20" s="220">
        <v>211</v>
      </c>
      <c r="P20" s="220">
        <v>389186</v>
      </c>
      <c r="Q20" s="2">
        <v>1572</v>
      </c>
      <c r="R20" s="220">
        <v>2694</v>
      </c>
      <c r="S20" s="220">
        <v>28172</v>
      </c>
      <c r="T20" s="2">
        <v>73</v>
      </c>
      <c r="U20" s="220">
        <v>174</v>
      </c>
      <c r="V20" s="221">
        <v>129846</v>
      </c>
      <c r="W20" s="220">
        <v>141</v>
      </c>
      <c r="X20" s="2">
        <v>4072605</v>
      </c>
      <c r="Y20" s="2">
        <v>20429</v>
      </c>
      <c r="Z20" s="220">
        <v>6</v>
      </c>
      <c r="AA20" s="100">
        <f>'Weather Data'!D176</f>
        <v>15.199999999999996</v>
      </c>
      <c r="AB20" s="100">
        <f>'Weather Data'!E176</f>
        <v>70.799999999999983</v>
      </c>
      <c r="AC20" s="100">
        <f>'Weather Data'!F176</f>
        <v>2.8999999999999986</v>
      </c>
      <c r="AD20" s="100">
        <f>'Weather Data'!G176</f>
        <v>120.49999999999997</v>
      </c>
      <c r="AE20" s="100">
        <f>'Weather Data'!H176</f>
        <v>0.19999999999999929</v>
      </c>
      <c r="AF20" s="100">
        <f>'Weather Data'!I176</f>
        <v>179.79999999999998</v>
      </c>
      <c r="AG20" s="100">
        <f>'Weather Data'!J176</f>
        <v>0</v>
      </c>
      <c r="AH20" s="100">
        <f>'Weather Data'!K176</f>
        <v>241.60000000000002</v>
      </c>
      <c r="AI20" s="100">
        <f>'Weather Data'!L176</f>
        <v>0</v>
      </c>
      <c r="AJ20" s="100">
        <f>'Weather Data'!M176</f>
        <v>303.60000000000002</v>
      </c>
      <c r="AK20" s="100">
        <f>'Weather Data'!N176</f>
        <v>0</v>
      </c>
      <c r="AL20" s="100">
        <f>'Weather Data'!O176</f>
        <v>365.59999999999997</v>
      </c>
      <c r="AM20" s="100">
        <f>'Weather Data'!P176</f>
        <v>0</v>
      </c>
      <c r="AN20" s="100">
        <f>'Weather Data'!Q176</f>
        <v>427.59999999999997</v>
      </c>
      <c r="AO20" s="100">
        <f>'Weather Data'!R176</f>
        <v>21.793548387096774</v>
      </c>
      <c r="AP20" s="5">
        <f>'Economic Data'!D46</f>
        <v>6891.7</v>
      </c>
      <c r="AQ20" s="5">
        <f>'Economic Data'!E46</f>
        <v>6986.1</v>
      </c>
      <c r="AR20" s="5">
        <f>'Economic Data'!F46</f>
        <v>161.6</v>
      </c>
      <c r="AS20" s="5">
        <f>'Economic Data'!G46</f>
        <v>163.69999999999999</v>
      </c>
      <c r="AT20" s="5">
        <f>'Economic Data'!H46</f>
        <v>727609.6</v>
      </c>
      <c r="AU20" s="5">
        <f>'Economic Data'!I46</f>
        <v>6877.7</v>
      </c>
      <c r="AV20" s="5">
        <f>'Economic Data'!J46</f>
        <v>5851.5</v>
      </c>
      <c r="AW20" s="5">
        <f>'Economic Data'!K46</f>
        <v>4285.8999999999996</v>
      </c>
      <c r="AX20" s="5">
        <f>'Economic Data'!L46</f>
        <v>946.1</v>
      </c>
      <c r="AY20" s="5">
        <f>'Economic Data'!M46</f>
        <v>506</v>
      </c>
      <c r="AZ20" s="5">
        <f>'Economic Data'!N46</f>
        <v>7729.3</v>
      </c>
      <c r="BA20" s="5">
        <f>'Economic Data'!O46</f>
        <v>10.199999999999999</v>
      </c>
      <c r="BB20" s="5">
        <f>'Economic Data'!P46</f>
        <v>143.30000000000001</v>
      </c>
      <c r="BC20" s="5">
        <f>'Economic Data'!Q46</f>
        <v>730341</v>
      </c>
      <c r="BD20" s="5">
        <f>'Economic Data'!R46</f>
        <v>6908</v>
      </c>
      <c r="BE20" s="5">
        <f>'Economic Data'!S46</f>
        <v>3648</v>
      </c>
      <c r="BF20" s="5">
        <f>'Economic Data'!T46</f>
        <v>13213</v>
      </c>
      <c r="BG20" s="5">
        <v>0</v>
      </c>
      <c r="BH20" s="5">
        <v>0</v>
      </c>
      <c r="BI20" s="5">
        <v>0</v>
      </c>
      <c r="BJ20" s="5">
        <f t="shared" si="38"/>
        <v>19</v>
      </c>
      <c r="BK20" s="70">
        <f t="shared" si="1"/>
        <v>1.2787536009528289</v>
      </c>
      <c r="BL20" s="5">
        <f t="shared" si="2"/>
        <v>361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1</v>
      </c>
      <c r="BT20">
        <v>0</v>
      </c>
      <c r="BU20">
        <v>0</v>
      </c>
      <c r="BV20">
        <v>0</v>
      </c>
      <c r="BW20">
        <v>0</v>
      </c>
      <c r="BX20">
        <v>0</v>
      </c>
      <c r="BY20">
        <f t="shared" si="47"/>
        <v>0</v>
      </c>
      <c r="BZ20">
        <f t="shared" si="47"/>
        <v>0</v>
      </c>
      <c r="CA20">
        <f t="shared" si="46"/>
        <v>0</v>
      </c>
      <c r="CB20">
        <v>31</v>
      </c>
      <c r="CC20">
        <v>22</v>
      </c>
      <c r="CD20">
        <v>0</v>
      </c>
      <c r="CE20">
        <v>0</v>
      </c>
      <c r="CF20">
        <f t="shared" si="39"/>
        <v>0</v>
      </c>
      <c r="CG20">
        <v>0</v>
      </c>
      <c r="CH20" s="64">
        <f t="shared" si="4"/>
        <v>0</v>
      </c>
      <c r="CI20" s="64">
        <f t="shared" si="5"/>
        <v>0</v>
      </c>
      <c r="CJ20" s="64">
        <f t="shared" si="6"/>
        <v>0</v>
      </c>
      <c r="CK20" s="64">
        <f t="shared" si="7"/>
        <v>0</v>
      </c>
      <c r="CL20" s="64">
        <f t="shared" si="8"/>
        <v>0</v>
      </c>
      <c r="CM20" s="64">
        <f t="shared" si="9"/>
        <v>0</v>
      </c>
      <c r="CN20" s="64">
        <f t="shared" si="10"/>
        <v>0</v>
      </c>
      <c r="CO20" s="64">
        <f t="shared" si="11"/>
        <v>0</v>
      </c>
      <c r="CP20" s="64">
        <f t="shared" si="12"/>
        <v>0</v>
      </c>
      <c r="CQ20" s="64">
        <f t="shared" si="13"/>
        <v>0</v>
      </c>
      <c r="CR20" s="64">
        <f t="shared" si="14"/>
        <v>0</v>
      </c>
      <c r="CS20" s="64">
        <f t="shared" si="15"/>
        <v>0</v>
      </c>
      <c r="CT20" s="64">
        <f t="shared" si="16"/>
        <v>0</v>
      </c>
      <c r="CU20" s="64">
        <f t="shared" si="17"/>
        <v>0</v>
      </c>
      <c r="CV20" s="69">
        <f t="shared" si="18"/>
        <v>33.402178617961837</v>
      </c>
      <c r="CW20" s="69">
        <f t="shared" si="19"/>
        <v>1034.6659955850871</v>
      </c>
      <c r="CX20" s="69">
        <f t="shared" si="20"/>
        <v>3621.1231337240224</v>
      </c>
      <c r="CY20" s="69">
        <f t="shared" si="21"/>
        <v>30853.06818181818</v>
      </c>
      <c r="CZ20" s="64">
        <f t="shared" si="22"/>
        <v>2569.8293207073707</v>
      </c>
      <c r="DA20" s="64">
        <f t="shared" si="23"/>
        <v>21895.72580645161</v>
      </c>
      <c r="DB20" s="64">
        <f t="shared" si="24"/>
        <v>0</v>
      </c>
      <c r="DC20" s="64">
        <f t="shared" si="25"/>
        <v>0</v>
      </c>
      <c r="DD20" s="64">
        <f t="shared" si="26"/>
        <v>0</v>
      </c>
      <c r="DE20" s="64">
        <f t="shared" si="27"/>
        <v>0</v>
      </c>
      <c r="DF20" s="64">
        <f t="shared" si="28"/>
        <v>0</v>
      </c>
      <c r="DG20" s="64">
        <f t="shared" si="29"/>
        <v>0</v>
      </c>
      <c r="DH20" s="64">
        <f t="shared" si="30"/>
        <v>0</v>
      </c>
      <c r="DI20" s="64">
        <f t="shared" si="31"/>
        <v>0</v>
      </c>
      <c r="DJ20" s="64">
        <f t="shared" si="32"/>
        <v>0</v>
      </c>
      <c r="DK20" s="64">
        <f t="shared" si="33"/>
        <v>0</v>
      </c>
      <c r="DL20" s="64">
        <f t="shared" si="34"/>
        <v>0</v>
      </c>
      <c r="DM20" s="64">
        <f t="shared" si="35"/>
        <v>0</v>
      </c>
      <c r="DN20" s="64">
        <f t="shared" si="36"/>
        <v>0</v>
      </c>
      <c r="DO20" s="64">
        <f t="shared" si="37"/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f t="shared" si="40"/>
        <v>6</v>
      </c>
      <c r="DV20" s="2">
        <f t="shared" si="41"/>
        <v>21895.72580645161</v>
      </c>
    </row>
    <row r="21" spans="1:127" s="2" customFormat="1">
      <c r="A21" s="3">
        <v>42217</v>
      </c>
      <c r="B21">
        <f t="shared" si="42"/>
        <v>2015</v>
      </c>
      <c r="C21" s="2">
        <v>28198521</v>
      </c>
      <c r="D21" s="2">
        <f>VLOOKUP(B21,'Historic CDM'!$B$135:$H$146,2,FALSE)/12</f>
        <v>335044.72340367432</v>
      </c>
      <c r="E21" s="2">
        <f t="shared" si="43"/>
        <v>28533565.723403674</v>
      </c>
      <c r="F21" s="6">
        <v>26865</v>
      </c>
      <c r="G21" s="219">
        <v>6265789</v>
      </c>
      <c r="H21" s="2">
        <f>VLOOKUP(B21,'Historic CDM'!$B$135:$H$147,3,FALSE)/12</f>
        <v>554198.2771220546</v>
      </c>
      <c r="I21" s="2">
        <f t="shared" si="44"/>
        <v>6819987.2771220542</v>
      </c>
      <c r="J21" s="6">
        <v>1927</v>
      </c>
      <c r="K21" s="219">
        <v>16257144</v>
      </c>
      <c r="L21" s="2">
        <f>VLOOKUP(B21,'Historic CDM'!$B$135:$H$146,4,FALSE)/12</f>
        <v>605691.5867469128</v>
      </c>
      <c r="M21" s="2">
        <f t="shared" si="0"/>
        <v>16862835.586746912</v>
      </c>
      <c r="N21" s="222">
        <v>43026</v>
      </c>
      <c r="O21" s="220">
        <v>213</v>
      </c>
      <c r="P21" s="220">
        <v>424948</v>
      </c>
      <c r="Q21" s="2">
        <v>1572</v>
      </c>
      <c r="R21" s="220">
        <v>2694</v>
      </c>
      <c r="S21" s="220">
        <v>28439</v>
      </c>
      <c r="T21" s="2">
        <v>73</v>
      </c>
      <c r="U21" s="220">
        <v>174</v>
      </c>
      <c r="V21" s="221">
        <v>129846</v>
      </c>
      <c r="W21" s="220">
        <v>141</v>
      </c>
      <c r="X21" s="2">
        <v>3555685</v>
      </c>
      <c r="Y21" s="2">
        <v>8965</v>
      </c>
      <c r="Z21" s="220">
        <v>6</v>
      </c>
      <c r="AA21" s="100">
        <f>'Weather Data'!D177</f>
        <v>21.7</v>
      </c>
      <c r="AB21" s="100">
        <f>'Weather Data'!E177</f>
        <v>54</v>
      </c>
      <c r="AC21" s="100">
        <f>'Weather Data'!F177</f>
        <v>8.5000000000000018</v>
      </c>
      <c r="AD21" s="100">
        <f>'Weather Data'!G177</f>
        <v>102.79999999999997</v>
      </c>
      <c r="AE21" s="100">
        <f>'Weather Data'!H177</f>
        <v>2.0999999999999996</v>
      </c>
      <c r="AF21" s="100">
        <f>'Weather Data'!I177</f>
        <v>158.4</v>
      </c>
      <c r="AG21" s="100">
        <f>'Weather Data'!J177</f>
        <v>0</v>
      </c>
      <c r="AH21" s="100">
        <f>'Weather Data'!K177</f>
        <v>218.3</v>
      </c>
      <c r="AI21" s="100">
        <f>'Weather Data'!L177</f>
        <v>0</v>
      </c>
      <c r="AJ21" s="100">
        <f>'Weather Data'!M177</f>
        <v>280.3</v>
      </c>
      <c r="AK21" s="100">
        <f>'Weather Data'!N177</f>
        <v>0</v>
      </c>
      <c r="AL21" s="100">
        <f>'Weather Data'!O177</f>
        <v>342.30000000000007</v>
      </c>
      <c r="AM21" s="100">
        <f>'Weather Data'!P177</f>
        <v>0</v>
      </c>
      <c r="AN21" s="100">
        <f>'Weather Data'!Q177</f>
        <v>404.30000000000007</v>
      </c>
      <c r="AO21" s="100">
        <f>'Weather Data'!R177</f>
        <v>21.041935483870965</v>
      </c>
      <c r="AP21" s="5">
        <f>'Economic Data'!D47</f>
        <v>6896.8</v>
      </c>
      <c r="AQ21" s="5">
        <f>'Economic Data'!E47</f>
        <v>7000.2</v>
      </c>
      <c r="AR21" s="5">
        <f>'Economic Data'!F47</f>
        <v>158.4</v>
      </c>
      <c r="AS21" s="5">
        <f>'Economic Data'!G47</f>
        <v>160.19999999999999</v>
      </c>
      <c r="AT21" s="5">
        <f>'Economic Data'!H47</f>
        <v>727609.6</v>
      </c>
      <c r="AU21" s="5">
        <f>'Economic Data'!I47</f>
        <v>6877.7</v>
      </c>
      <c r="AV21" s="5">
        <f>'Economic Data'!J47</f>
        <v>5851.5</v>
      </c>
      <c r="AW21" s="5">
        <f>'Economic Data'!K47</f>
        <v>4285.8999999999996</v>
      </c>
      <c r="AX21" s="5">
        <f>'Economic Data'!L47</f>
        <v>946.1</v>
      </c>
      <c r="AY21" s="5">
        <f>'Economic Data'!M47</f>
        <v>506</v>
      </c>
      <c r="AZ21" s="5">
        <f>'Economic Data'!N47</f>
        <v>7729.3</v>
      </c>
      <c r="BA21" s="5">
        <f>'Economic Data'!O47</f>
        <v>10.199999999999999</v>
      </c>
      <c r="BB21" s="5">
        <f>'Economic Data'!P47</f>
        <v>143.30000000000001</v>
      </c>
      <c r="BC21" s="5">
        <f>'Economic Data'!Q47</f>
        <v>730341</v>
      </c>
      <c r="BD21" s="5">
        <f>'Economic Data'!R47</f>
        <v>6908</v>
      </c>
      <c r="BE21" s="5">
        <f>'Economic Data'!S47</f>
        <v>3648</v>
      </c>
      <c r="BF21" s="5">
        <f>'Economic Data'!T47</f>
        <v>13213</v>
      </c>
      <c r="BG21" s="5">
        <v>0</v>
      </c>
      <c r="BH21" s="5">
        <v>0</v>
      </c>
      <c r="BI21" s="5">
        <v>0</v>
      </c>
      <c r="BJ21" s="5">
        <f t="shared" si="38"/>
        <v>20</v>
      </c>
      <c r="BK21" s="70">
        <f t="shared" si="1"/>
        <v>1.3010299956639813</v>
      </c>
      <c r="BL21" s="5">
        <f t="shared" si="2"/>
        <v>400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</v>
      </c>
      <c r="BU21">
        <v>0</v>
      </c>
      <c r="BV21">
        <v>0</v>
      </c>
      <c r="BW21">
        <v>0</v>
      </c>
      <c r="BX21">
        <v>0</v>
      </c>
      <c r="BY21">
        <f t="shared" si="47"/>
        <v>0</v>
      </c>
      <c r="BZ21">
        <f t="shared" si="47"/>
        <v>0</v>
      </c>
      <c r="CA21">
        <f t="shared" si="46"/>
        <v>0</v>
      </c>
      <c r="CB21">
        <v>31</v>
      </c>
      <c r="CC21">
        <v>20</v>
      </c>
      <c r="CD21">
        <v>0</v>
      </c>
      <c r="CE21">
        <v>0</v>
      </c>
      <c r="CF21">
        <f t="shared" si="39"/>
        <v>0</v>
      </c>
      <c r="CG21">
        <v>0</v>
      </c>
      <c r="CH21" s="64">
        <f t="shared" si="4"/>
        <v>0</v>
      </c>
      <c r="CI21" s="64">
        <f t="shared" si="5"/>
        <v>0</v>
      </c>
      <c r="CJ21" s="64">
        <f t="shared" si="6"/>
        <v>0</v>
      </c>
      <c r="CK21" s="64">
        <f t="shared" si="7"/>
        <v>0</v>
      </c>
      <c r="CL21" s="64">
        <f t="shared" si="8"/>
        <v>0</v>
      </c>
      <c r="CM21" s="64">
        <f t="shared" si="9"/>
        <v>0</v>
      </c>
      <c r="CN21" s="64">
        <f t="shared" si="10"/>
        <v>0</v>
      </c>
      <c r="CO21" s="64">
        <f t="shared" si="11"/>
        <v>0</v>
      </c>
      <c r="CP21" s="64">
        <f t="shared" si="12"/>
        <v>0</v>
      </c>
      <c r="CQ21" s="64">
        <f t="shared" si="13"/>
        <v>0</v>
      </c>
      <c r="CR21" s="64">
        <f t="shared" si="14"/>
        <v>0</v>
      </c>
      <c r="CS21" s="64">
        <f t="shared" si="15"/>
        <v>0</v>
      </c>
      <c r="CT21" s="64">
        <f t="shared" si="16"/>
        <v>0</v>
      </c>
      <c r="CU21" s="64">
        <f t="shared" si="17"/>
        <v>0</v>
      </c>
      <c r="CV21" s="69">
        <f t="shared" si="18"/>
        <v>34.261589576801178</v>
      </c>
      <c r="CW21" s="69">
        <f t="shared" si="19"/>
        <v>1032.8619229323117</v>
      </c>
      <c r="CX21" s="69">
        <f t="shared" si="20"/>
        <v>3958.412109565003</v>
      </c>
      <c r="CY21" s="69">
        <f t="shared" si="21"/>
        <v>29630.708333333332</v>
      </c>
      <c r="CZ21" s="64">
        <f t="shared" si="22"/>
        <v>2553.8142642354856</v>
      </c>
      <c r="DA21" s="64">
        <f t="shared" si="23"/>
        <v>19116.586021505376</v>
      </c>
      <c r="DB21" s="64">
        <f t="shared" si="24"/>
        <v>0</v>
      </c>
      <c r="DC21" s="64">
        <f t="shared" si="25"/>
        <v>0</v>
      </c>
      <c r="DD21" s="64">
        <f t="shared" si="26"/>
        <v>0</v>
      </c>
      <c r="DE21" s="64">
        <f t="shared" si="27"/>
        <v>0</v>
      </c>
      <c r="DF21" s="64">
        <f t="shared" si="28"/>
        <v>0</v>
      </c>
      <c r="DG21" s="64">
        <f t="shared" si="29"/>
        <v>0</v>
      </c>
      <c r="DH21" s="64">
        <f t="shared" si="30"/>
        <v>0</v>
      </c>
      <c r="DI21" s="64">
        <f t="shared" si="31"/>
        <v>0</v>
      </c>
      <c r="DJ21" s="64">
        <f t="shared" si="32"/>
        <v>0</v>
      </c>
      <c r="DK21" s="64">
        <f t="shared" si="33"/>
        <v>0</v>
      </c>
      <c r="DL21" s="64">
        <f t="shared" si="34"/>
        <v>0</v>
      </c>
      <c r="DM21" s="64">
        <f t="shared" si="35"/>
        <v>0</v>
      </c>
      <c r="DN21" s="64">
        <f t="shared" si="36"/>
        <v>0</v>
      </c>
      <c r="DO21" s="64">
        <f t="shared" si="37"/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f t="shared" si="40"/>
        <v>6</v>
      </c>
      <c r="DV21" s="2">
        <f t="shared" si="41"/>
        <v>19116.586021505376</v>
      </c>
    </row>
    <row r="22" spans="1:127" s="2" customFormat="1">
      <c r="A22" s="3">
        <v>42248</v>
      </c>
      <c r="B22">
        <f t="shared" si="42"/>
        <v>2015</v>
      </c>
      <c r="C22" s="2">
        <v>22310368</v>
      </c>
      <c r="D22" s="2">
        <f>VLOOKUP(B22,'Historic CDM'!$B$135:$H$146,2,FALSE)/12</f>
        <v>335044.72340367432</v>
      </c>
      <c r="E22" s="2">
        <f t="shared" si="43"/>
        <v>22645412.723403674</v>
      </c>
      <c r="F22" s="6">
        <v>26902</v>
      </c>
      <c r="G22" s="219">
        <v>5626650</v>
      </c>
      <c r="H22" s="2">
        <f>VLOOKUP(B22,'Historic CDM'!$B$135:$H$147,3,FALSE)/12</f>
        <v>554198.2771220546</v>
      </c>
      <c r="I22" s="2">
        <f t="shared" si="44"/>
        <v>6180848.2771220542</v>
      </c>
      <c r="J22" s="6">
        <v>1939</v>
      </c>
      <c r="K22" s="219">
        <v>16858792</v>
      </c>
      <c r="L22" s="2">
        <f>VLOOKUP(B22,'Historic CDM'!$B$135:$H$146,4,FALSE)/12</f>
        <v>605691.5867469128</v>
      </c>
      <c r="M22" s="2">
        <f t="shared" ref="M22:M53" si="48">K22+L22</f>
        <v>17464483.586746912</v>
      </c>
      <c r="N22" s="222">
        <v>45384</v>
      </c>
      <c r="O22" s="220">
        <v>221</v>
      </c>
      <c r="P22" s="220">
        <v>491517</v>
      </c>
      <c r="Q22" s="2">
        <v>1577</v>
      </c>
      <c r="R22" s="220">
        <v>2695</v>
      </c>
      <c r="S22" s="220">
        <v>28946</v>
      </c>
      <c r="T22" s="2">
        <v>73</v>
      </c>
      <c r="U22" s="220">
        <v>174</v>
      </c>
      <c r="V22" s="221">
        <v>129846</v>
      </c>
      <c r="W22" s="220">
        <v>141</v>
      </c>
      <c r="X22" s="2">
        <v>3226818</v>
      </c>
      <c r="Y22" s="2">
        <v>9209</v>
      </c>
      <c r="Z22" s="220">
        <v>6</v>
      </c>
      <c r="AA22" s="100">
        <f>'Weather Data'!D178</f>
        <v>51.3</v>
      </c>
      <c r="AB22" s="100">
        <f>'Weather Data'!E178</f>
        <v>38.599999999999994</v>
      </c>
      <c r="AC22" s="100">
        <f>'Weather Data'!F178</f>
        <v>23.099999999999998</v>
      </c>
      <c r="AD22" s="100">
        <f>'Weather Data'!G178</f>
        <v>70.400000000000006</v>
      </c>
      <c r="AE22" s="100">
        <f>'Weather Data'!H178</f>
        <v>7.2999999999999972</v>
      </c>
      <c r="AF22" s="100">
        <f>'Weather Data'!I178</f>
        <v>114.6</v>
      </c>
      <c r="AG22" s="100">
        <f>'Weather Data'!J178</f>
        <v>0.19999999999999929</v>
      </c>
      <c r="AH22" s="100">
        <f>'Weather Data'!K178</f>
        <v>167.50000000000003</v>
      </c>
      <c r="AI22" s="100">
        <f>'Weather Data'!L178</f>
        <v>0</v>
      </c>
      <c r="AJ22" s="100">
        <f>'Weather Data'!M178</f>
        <v>227.30000000000007</v>
      </c>
      <c r="AK22" s="100">
        <f>'Weather Data'!N178</f>
        <v>0</v>
      </c>
      <c r="AL22" s="100">
        <f>'Weather Data'!O178</f>
        <v>287.30000000000007</v>
      </c>
      <c r="AM22" s="100">
        <f>'Weather Data'!P178</f>
        <v>0</v>
      </c>
      <c r="AN22" s="100">
        <f>'Weather Data'!Q178</f>
        <v>347.30000000000013</v>
      </c>
      <c r="AO22" s="100">
        <f>'Weather Data'!R178</f>
        <v>19.576666666666668</v>
      </c>
      <c r="AP22" s="5">
        <f>'Economic Data'!D48</f>
        <v>6893.1</v>
      </c>
      <c r="AQ22" s="5">
        <f>'Economic Data'!E48</f>
        <v>6953.7</v>
      </c>
      <c r="AR22" s="5">
        <f>'Economic Data'!F48</f>
        <v>154.69999999999999</v>
      </c>
      <c r="AS22" s="5">
        <f>'Economic Data'!G48</f>
        <v>155.69999999999999</v>
      </c>
      <c r="AT22" s="5">
        <f>'Economic Data'!H48</f>
        <v>727609.6</v>
      </c>
      <c r="AU22" s="5">
        <f>'Economic Data'!I48</f>
        <v>6877.7</v>
      </c>
      <c r="AV22" s="5">
        <f>'Economic Data'!J48</f>
        <v>5851.5</v>
      </c>
      <c r="AW22" s="5">
        <f>'Economic Data'!K48</f>
        <v>4285.8999999999996</v>
      </c>
      <c r="AX22" s="5">
        <f>'Economic Data'!L48</f>
        <v>946.1</v>
      </c>
      <c r="AY22" s="5">
        <f>'Economic Data'!M48</f>
        <v>506</v>
      </c>
      <c r="AZ22" s="5">
        <f>'Economic Data'!N48</f>
        <v>7729.3</v>
      </c>
      <c r="BA22" s="5">
        <f>'Economic Data'!O48</f>
        <v>10.199999999999999</v>
      </c>
      <c r="BB22" s="5">
        <f>'Economic Data'!P48</f>
        <v>143.30000000000001</v>
      </c>
      <c r="BC22" s="5">
        <f>'Economic Data'!Q48</f>
        <v>730341</v>
      </c>
      <c r="BD22" s="5">
        <f>'Economic Data'!R48</f>
        <v>6908</v>
      </c>
      <c r="BE22" s="5">
        <f>'Economic Data'!S48</f>
        <v>3648</v>
      </c>
      <c r="BF22" s="5">
        <f>'Economic Data'!T48</f>
        <v>13213</v>
      </c>
      <c r="BG22" s="5">
        <v>0</v>
      </c>
      <c r="BH22" s="5">
        <v>0</v>
      </c>
      <c r="BI22" s="5">
        <v>0</v>
      </c>
      <c r="BJ22" s="5">
        <f t="shared" si="38"/>
        <v>21</v>
      </c>
      <c r="BK22" s="70">
        <f t="shared" si="1"/>
        <v>1.3222192947339193</v>
      </c>
      <c r="BL22" s="5">
        <f t="shared" si="2"/>
        <v>441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1</v>
      </c>
      <c r="BV22">
        <v>0</v>
      </c>
      <c r="BW22">
        <v>0</v>
      </c>
      <c r="BX22">
        <v>0</v>
      </c>
      <c r="BY22">
        <f t="shared" si="47"/>
        <v>0</v>
      </c>
      <c r="BZ22">
        <f t="shared" si="47"/>
        <v>0</v>
      </c>
      <c r="CA22">
        <f t="shared" si="46"/>
        <v>0</v>
      </c>
      <c r="CB22">
        <v>30</v>
      </c>
      <c r="CC22">
        <v>21</v>
      </c>
      <c r="CD22">
        <v>0</v>
      </c>
      <c r="CE22">
        <v>0</v>
      </c>
      <c r="CF22">
        <f t="shared" si="39"/>
        <v>0</v>
      </c>
      <c r="CG22">
        <v>0</v>
      </c>
      <c r="CH22" s="64">
        <f t="shared" ref="CH22:CH53" si="49">AA22*$CD22</f>
        <v>0</v>
      </c>
      <c r="CI22" s="64">
        <f t="shared" ref="CI22:CI53" si="50">AB22*$CD22</f>
        <v>0</v>
      </c>
      <c r="CJ22" s="64">
        <f t="shared" ref="CJ22:CJ53" si="51">AC22*$CD22</f>
        <v>0</v>
      </c>
      <c r="CK22" s="64">
        <f t="shared" ref="CK22:CK53" si="52">AD22*$CD22</f>
        <v>0</v>
      </c>
      <c r="CL22" s="64">
        <f t="shared" ref="CL22:CL53" si="53">AE22*$CD22</f>
        <v>0</v>
      </c>
      <c r="CM22" s="64">
        <f t="shared" ref="CM22:CM53" si="54">AF22*$CD22</f>
        <v>0</v>
      </c>
      <c r="CN22" s="64">
        <f t="shared" ref="CN22:CN53" si="55">AG22*$CD22</f>
        <v>0</v>
      </c>
      <c r="CO22" s="64">
        <f t="shared" ref="CO22:CO53" si="56">AH22*$CD22</f>
        <v>0</v>
      </c>
      <c r="CP22" s="64">
        <f t="shared" ref="CP22:CP53" si="57">AI22*$CD22</f>
        <v>0</v>
      </c>
      <c r="CQ22" s="64">
        <f t="shared" ref="CQ22:CQ53" si="58">AJ22*$CD22</f>
        <v>0</v>
      </c>
      <c r="CR22" s="64">
        <f t="shared" ref="CR22:CR53" si="59">AK22*$CD22</f>
        <v>0</v>
      </c>
      <c r="CS22" s="64">
        <f t="shared" ref="CS22:CS53" si="60">AL22*$CD22</f>
        <v>0</v>
      </c>
      <c r="CT22" s="64">
        <f t="shared" ref="CT22:CT53" si="61">AM22*$CD22</f>
        <v>0</v>
      </c>
      <c r="CU22" s="64">
        <f t="shared" ref="CU22:CU53" si="62">AN22*$CD22</f>
        <v>0</v>
      </c>
      <c r="CV22" s="69">
        <f t="shared" ref="CV22:CV53" si="63">E22/$CB22/F22</f>
        <v>28.059143958818023</v>
      </c>
      <c r="CW22" s="69">
        <f t="shared" ref="CW22:CW53" si="64">I22/$CB22/O22</f>
        <v>932.25464209985728</v>
      </c>
      <c r="CX22" s="69">
        <f t="shared" si="20"/>
        <v>3763.086314748311</v>
      </c>
      <c r="CY22" s="69">
        <f t="shared" ref="CY22:CY53" si="65">X22/$CC22/Z22</f>
        <v>25609.666666666668</v>
      </c>
      <c r="CZ22" s="64">
        <f t="shared" si="22"/>
        <v>2634.160420323818</v>
      </c>
      <c r="DA22" s="64">
        <f t="shared" ref="DA22:DA53" si="66">X22/$CB22/Z22</f>
        <v>17926.766666666666</v>
      </c>
      <c r="DB22" s="64">
        <f t="shared" si="24"/>
        <v>0</v>
      </c>
      <c r="DC22" s="64">
        <f t="shared" si="25"/>
        <v>0</v>
      </c>
      <c r="DD22" s="64">
        <f t="shared" si="26"/>
        <v>0</v>
      </c>
      <c r="DE22" s="64">
        <f t="shared" si="27"/>
        <v>0</v>
      </c>
      <c r="DF22" s="64">
        <f t="shared" si="28"/>
        <v>0</v>
      </c>
      <c r="DG22" s="64">
        <f t="shared" si="29"/>
        <v>0</v>
      </c>
      <c r="DH22" s="64">
        <f t="shared" si="30"/>
        <v>0</v>
      </c>
      <c r="DI22" s="64">
        <f t="shared" si="31"/>
        <v>0</v>
      </c>
      <c r="DJ22" s="64">
        <f t="shared" si="32"/>
        <v>0</v>
      </c>
      <c r="DK22" s="64">
        <f t="shared" si="33"/>
        <v>0</v>
      </c>
      <c r="DL22" s="64">
        <f t="shared" si="34"/>
        <v>0</v>
      </c>
      <c r="DM22" s="64">
        <f t="shared" si="35"/>
        <v>0</v>
      </c>
      <c r="DN22" s="64">
        <f t="shared" si="36"/>
        <v>0</v>
      </c>
      <c r="DO22" s="64">
        <f t="shared" si="37"/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f t="shared" si="40"/>
        <v>6</v>
      </c>
      <c r="DV22" s="2">
        <f t="shared" si="41"/>
        <v>17926.766666666666</v>
      </c>
    </row>
    <row r="23" spans="1:127" s="2" customFormat="1">
      <c r="A23" s="3">
        <v>42278</v>
      </c>
      <c r="B23">
        <f t="shared" si="42"/>
        <v>2015</v>
      </c>
      <c r="C23" s="2">
        <v>16809564</v>
      </c>
      <c r="D23" s="2">
        <f>VLOOKUP(B23,'Historic CDM'!$B$135:$H$146,2,FALSE)/12</f>
        <v>335044.72340367432</v>
      </c>
      <c r="E23" s="2">
        <f t="shared" si="43"/>
        <v>17144608.723403674</v>
      </c>
      <c r="F23" s="6">
        <v>27019</v>
      </c>
      <c r="G23" s="219">
        <v>5022855</v>
      </c>
      <c r="H23" s="2">
        <f>VLOOKUP(B23,'Historic CDM'!$B$135:$H$147,3,FALSE)/12</f>
        <v>554198.2771220546</v>
      </c>
      <c r="I23" s="2">
        <f t="shared" si="44"/>
        <v>5577053.2771220542</v>
      </c>
      <c r="J23" s="6">
        <v>1947</v>
      </c>
      <c r="K23" s="219">
        <v>14885840</v>
      </c>
      <c r="L23" s="2">
        <f>VLOOKUP(B23,'Historic CDM'!$B$135:$H$146,4,FALSE)/12</f>
        <v>605691.5867469128</v>
      </c>
      <c r="M23" s="2">
        <f t="shared" si="48"/>
        <v>15491531.586746912</v>
      </c>
      <c r="N23" s="222">
        <v>32316</v>
      </c>
      <c r="O23" s="220">
        <v>212</v>
      </c>
      <c r="P23" s="220">
        <v>569457</v>
      </c>
      <c r="Q23" s="2">
        <v>668</v>
      </c>
      <c r="R23" s="220">
        <v>2695</v>
      </c>
      <c r="S23" s="220">
        <v>27826</v>
      </c>
      <c r="T23" s="2">
        <v>73</v>
      </c>
      <c r="U23" s="220">
        <v>174</v>
      </c>
      <c r="V23" s="221">
        <v>129846</v>
      </c>
      <c r="W23" s="220">
        <v>141</v>
      </c>
      <c r="X23" s="2">
        <v>2870641</v>
      </c>
      <c r="Y23" s="2">
        <v>7009</v>
      </c>
      <c r="Z23" s="220">
        <v>6</v>
      </c>
      <c r="AA23" s="100">
        <f>'Weather Data'!D179</f>
        <v>255.50000000000003</v>
      </c>
      <c r="AB23" s="100">
        <f>'Weather Data'!E179</f>
        <v>0</v>
      </c>
      <c r="AC23" s="100">
        <f>'Weather Data'!F179</f>
        <v>194.50000000000003</v>
      </c>
      <c r="AD23" s="100">
        <f>'Weather Data'!G179</f>
        <v>1</v>
      </c>
      <c r="AE23" s="100">
        <f>'Weather Data'!H179</f>
        <v>138.6</v>
      </c>
      <c r="AF23" s="100">
        <f>'Weather Data'!I179</f>
        <v>7.0999999999999979</v>
      </c>
      <c r="AG23" s="100">
        <f>'Weather Data'!J179</f>
        <v>92.5</v>
      </c>
      <c r="AH23" s="100">
        <f>'Weather Data'!K179</f>
        <v>22.999999999999996</v>
      </c>
      <c r="AI23" s="100">
        <f>'Weather Data'!L179</f>
        <v>52.9</v>
      </c>
      <c r="AJ23" s="100">
        <f>'Weather Data'!M179</f>
        <v>45.4</v>
      </c>
      <c r="AK23" s="100">
        <f>'Weather Data'!N179</f>
        <v>23.499999999999996</v>
      </c>
      <c r="AL23" s="100">
        <f>'Weather Data'!O179</f>
        <v>78</v>
      </c>
      <c r="AM23" s="100">
        <f>'Weather Data'!P179</f>
        <v>8.1999999999999993</v>
      </c>
      <c r="AN23" s="100">
        <f>'Weather Data'!Q179</f>
        <v>124.7</v>
      </c>
      <c r="AO23" s="100">
        <f>'Weather Data'!R179</f>
        <v>11.758064516129032</v>
      </c>
      <c r="AP23" s="5">
        <f>'Economic Data'!D49</f>
        <v>6892.9</v>
      </c>
      <c r="AQ23" s="5">
        <f>'Economic Data'!E49</f>
        <v>6932.8</v>
      </c>
      <c r="AR23" s="5">
        <f>'Economic Data'!F49</f>
        <v>153.1</v>
      </c>
      <c r="AS23" s="5">
        <f>'Economic Data'!G49</f>
        <v>154.19999999999999</v>
      </c>
      <c r="AT23" s="5">
        <f>'Economic Data'!H49</f>
        <v>727609.6</v>
      </c>
      <c r="AU23" s="5">
        <f>'Economic Data'!I49</f>
        <v>6877.7</v>
      </c>
      <c r="AV23" s="5">
        <f>'Economic Data'!J49</f>
        <v>5851.5</v>
      </c>
      <c r="AW23" s="5">
        <f>'Economic Data'!K49</f>
        <v>4285.8999999999996</v>
      </c>
      <c r="AX23" s="5">
        <f>'Economic Data'!L49</f>
        <v>946.1</v>
      </c>
      <c r="AY23" s="5">
        <f>'Economic Data'!M49</f>
        <v>506</v>
      </c>
      <c r="AZ23" s="5">
        <f>'Economic Data'!N49</f>
        <v>7729.3</v>
      </c>
      <c r="BA23" s="5">
        <f>'Economic Data'!O49</f>
        <v>10.199999999999999</v>
      </c>
      <c r="BB23" s="5">
        <f>'Economic Data'!P49</f>
        <v>143.30000000000001</v>
      </c>
      <c r="BC23" s="5">
        <f>'Economic Data'!Q49</f>
        <v>737784</v>
      </c>
      <c r="BD23" s="5">
        <f>'Economic Data'!R49</f>
        <v>6947</v>
      </c>
      <c r="BE23" s="5">
        <f>'Economic Data'!S49</f>
        <v>3381</v>
      </c>
      <c r="BF23" s="5">
        <f>'Economic Data'!T49</f>
        <v>14040</v>
      </c>
      <c r="BG23" s="5">
        <v>0</v>
      </c>
      <c r="BH23" s="5">
        <v>0</v>
      </c>
      <c r="BI23" s="5">
        <v>0</v>
      </c>
      <c r="BJ23" s="5">
        <f t="shared" si="38"/>
        <v>22</v>
      </c>
      <c r="BK23" s="70">
        <f t="shared" si="1"/>
        <v>1.3424226808222062</v>
      </c>
      <c r="BL23" s="5">
        <f t="shared" si="2"/>
        <v>484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1</v>
      </c>
      <c r="BW23">
        <v>0</v>
      </c>
      <c r="BX23">
        <v>0</v>
      </c>
      <c r="BY23">
        <f t="shared" si="47"/>
        <v>0</v>
      </c>
      <c r="BZ23">
        <f t="shared" si="47"/>
        <v>1</v>
      </c>
      <c r="CA23">
        <f t="shared" si="46"/>
        <v>1</v>
      </c>
      <c r="CB23">
        <v>31</v>
      </c>
      <c r="CC23">
        <v>21</v>
      </c>
      <c r="CD23">
        <v>0</v>
      </c>
      <c r="CE23">
        <v>0</v>
      </c>
      <c r="CF23">
        <f t="shared" si="39"/>
        <v>0</v>
      </c>
      <c r="CG23">
        <v>0</v>
      </c>
      <c r="CH23" s="64">
        <f t="shared" si="49"/>
        <v>0</v>
      </c>
      <c r="CI23" s="64">
        <f t="shared" si="50"/>
        <v>0</v>
      </c>
      <c r="CJ23" s="64">
        <f t="shared" si="51"/>
        <v>0</v>
      </c>
      <c r="CK23" s="64">
        <f t="shared" si="52"/>
        <v>0</v>
      </c>
      <c r="CL23" s="64">
        <f t="shared" si="53"/>
        <v>0</v>
      </c>
      <c r="CM23" s="64">
        <f t="shared" si="54"/>
        <v>0</v>
      </c>
      <c r="CN23" s="64">
        <f t="shared" si="55"/>
        <v>0</v>
      </c>
      <c r="CO23" s="64">
        <f t="shared" si="56"/>
        <v>0</v>
      </c>
      <c r="CP23" s="64">
        <f t="shared" si="57"/>
        <v>0</v>
      </c>
      <c r="CQ23" s="64">
        <f t="shared" si="58"/>
        <v>0</v>
      </c>
      <c r="CR23" s="64">
        <f t="shared" si="59"/>
        <v>0</v>
      </c>
      <c r="CS23" s="64">
        <f t="shared" si="60"/>
        <v>0</v>
      </c>
      <c r="CT23" s="64">
        <f t="shared" si="61"/>
        <v>0</v>
      </c>
      <c r="CU23" s="64">
        <f t="shared" si="62"/>
        <v>0</v>
      </c>
      <c r="CV23" s="69">
        <f t="shared" si="63"/>
        <v>20.468999382040206</v>
      </c>
      <c r="CW23" s="69">
        <f t="shared" si="64"/>
        <v>848.60822841175502</v>
      </c>
      <c r="CX23" s="69">
        <f t="shared" si="20"/>
        <v>3479.6791524588753</v>
      </c>
      <c r="CY23" s="69">
        <f t="shared" si="65"/>
        <v>22782.865079365078</v>
      </c>
      <c r="CZ23" s="64">
        <f t="shared" si="22"/>
        <v>2357.2020065043994</v>
      </c>
      <c r="DA23" s="64">
        <f t="shared" si="66"/>
        <v>15433.553763440861</v>
      </c>
      <c r="DB23" s="64">
        <f t="shared" si="24"/>
        <v>0</v>
      </c>
      <c r="DC23" s="64">
        <f t="shared" si="25"/>
        <v>0</v>
      </c>
      <c r="DD23" s="64">
        <f t="shared" si="26"/>
        <v>0</v>
      </c>
      <c r="DE23" s="64">
        <f t="shared" si="27"/>
        <v>0</v>
      </c>
      <c r="DF23" s="64">
        <f t="shared" si="28"/>
        <v>0</v>
      </c>
      <c r="DG23" s="64">
        <f t="shared" si="29"/>
        <v>0</v>
      </c>
      <c r="DH23" s="64">
        <f t="shared" si="30"/>
        <v>0</v>
      </c>
      <c r="DI23" s="64">
        <f t="shared" si="31"/>
        <v>0</v>
      </c>
      <c r="DJ23" s="64">
        <f t="shared" si="32"/>
        <v>0</v>
      </c>
      <c r="DK23" s="64">
        <f t="shared" si="33"/>
        <v>0</v>
      </c>
      <c r="DL23" s="64">
        <f t="shared" si="34"/>
        <v>0</v>
      </c>
      <c r="DM23" s="64">
        <f t="shared" si="35"/>
        <v>0</v>
      </c>
      <c r="DN23" s="64">
        <f t="shared" si="36"/>
        <v>0</v>
      </c>
      <c r="DO23" s="64">
        <f t="shared" si="37"/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f t="shared" si="40"/>
        <v>6</v>
      </c>
      <c r="DV23" s="2">
        <f t="shared" si="41"/>
        <v>15433.553763440861</v>
      </c>
    </row>
    <row r="24" spans="1:127" s="2" customFormat="1">
      <c r="A24" s="3">
        <v>42309</v>
      </c>
      <c r="B24">
        <f t="shared" si="42"/>
        <v>2015</v>
      </c>
      <c r="C24" s="2">
        <v>16511878</v>
      </c>
      <c r="D24" s="2">
        <f>VLOOKUP(B24,'Historic CDM'!$B$135:$H$146,2,FALSE)/12</f>
        <v>335044.72340367432</v>
      </c>
      <c r="E24" s="2">
        <f t="shared" si="43"/>
        <v>16846922.723403674</v>
      </c>
      <c r="F24" s="6">
        <v>26903</v>
      </c>
      <c r="G24" s="219">
        <v>4846877</v>
      </c>
      <c r="H24" s="2">
        <f>VLOOKUP(B24,'Historic CDM'!$B$135:$H$147,3,FALSE)/12</f>
        <v>554198.2771220546</v>
      </c>
      <c r="I24" s="2">
        <f t="shared" si="44"/>
        <v>5401075.2771220542</v>
      </c>
      <c r="J24" s="6">
        <v>1937</v>
      </c>
      <c r="K24" s="219">
        <v>14269209</v>
      </c>
      <c r="L24" s="2">
        <f>VLOOKUP(B24,'Historic CDM'!$B$135:$H$146,4,FALSE)/12</f>
        <v>605691.5867469128</v>
      </c>
      <c r="M24" s="2">
        <f t="shared" si="48"/>
        <v>14874900.586746912</v>
      </c>
      <c r="N24" s="222">
        <v>35928</v>
      </c>
      <c r="O24" s="220">
        <v>214</v>
      </c>
      <c r="P24" s="220">
        <v>612028</v>
      </c>
      <c r="Q24" s="2">
        <v>1579</v>
      </c>
      <c r="R24" s="220">
        <v>2698</v>
      </c>
      <c r="S24" s="220">
        <v>26973</v>
      </c>
      <c r="T24" s="2">
        <v>73</v>
      </c>
      <c r="U24" s="220">
        <v>173</v>
      </c>
      <c r="V24" s="221">
        <v>129846</v>
      </c>
      <c r="W24" s="220">
        <v>141</v>
      </c>
      <c r="X24" s="2">
        <v>2607047</v>
      </c>
      <c r="Y24" s="2">
        <v>6169</v>
      </c>
      <c r="Z24" s="220">
        <v>4</v>
      </c>
      <c r="AA24" s="100">
        <f>'Weather Data'!D180</f>
        <v>385.2</v>
      </c>
      <c r="AB24" s="100">
        <f>'Weather Data'!E180</f>
        <v>0</v>
      </c>
      <c r="AC24" s="100">
        <f>'Weather Data'!F180</f>
        <v>325.2</v>
      </c>
      <c r="AD24" s="100">
        <f>'Weather Data'!G180</f>
        <v>0</v>
      </c>
      <c r="AE24" s="100">
        <f>'Weather Data'!H180</f>
        <v>266.09999999999997</v>
      </c>
      <c r="AF24" s="100">
        <f>'Weather Data'!I180</f>
        <v>0.89999999999999858</v>
      </c>
      <c r="AG24" s="100">
        <f>'Weather Data'!J180</f>
        <v>210.49999999999997</v>
      </c>
      <c r="AH24" s="100">
        <f>'Weather Data'!K180</f>
        <v>5.2999999999999972</v>
      </c>
      <c r="AI24" s="100">
        <f>'Weather Data'!L180</f>
        <v>160.4</v>
      </c>
      <c r="AJ24" s="100">
        <f>'Weather Data'!M180</f>
        <v>15.199999999999998</v>
      </c>
      <c r="AK24" s="100">
        <f>'Weather Data'!N180</f>
        <v>114.4</v>
      </c>
      <c r="AL24" s="100">
        <f>'Weather Data'!O180</f>
        <v>29.199999999999992</v>
      </c>
      <c r="AM24" s="100">
        <f>'Weather Data'!P180</f>
        <v>77.900000000000006</v>
      </c>
      <c r="AN24" s="100">
        <f>'Weather Data'!Q180</f>
        <v>52.699999999999989</v>
      </c>
      <c r="AO24" s="100">
        <f>'Weather Data'!R180</f>
        <v>7.16</v>
      </c>
      <c r="AP24" s="5">
        <f>'Economic Data'!D50</f>
        <v>6886.2</v>
      </c>
      <c r="AQ24" s="5">
        <f>'Economic Data'!E50</f>
        <v>6898.2</v>
      </c>
      <c r="AR24" s="5">
        <f>'Economic Data'!F50</f>
        <v>153.4</v>
      </c>
      <c r="AS24" s="5">
        <f>'Economic Data'!G50</f>
        <v>154.4</v>
      </c>
      <c r="AT24" s="5">
        <f>'Economic Data'!H50</f>
        <v>727609.6</v>
      </c>
      <c r="AU24" s="5">
        <f>'Economic Data'!I50</f>
        <v>6877.7</v>
      </c>
      <c r="AV24" s="5">
        <f>'Economic Data'!J50</f>
        <v>5851.5</v>
      </c>
      <c r="AW24" s="5">
        <f>'Economic Data'!K50</f>
        <v>4285.8999999999996</v>
      </c>
      <c r="AX24" s="5">
        <f>'Economic Data'!L50</f>
        <v>946.1</v>
      </c>
      <c r="AY24" s="5">
        <f>'Economic Data'!M50</f>
        <v>506</v>
      </c>
      <c r="AZ24" s="5">
        <f>'Economic Data'!N50</f>
        <v>7729.3</v>
      </c>
      <c r="BA24" s="5">
        <f>'Economic Data'!O50</f>
        <v>10.199999999999999</v>
      </c>
      <c r="BB24" s="5">
        <f>'Economic Data'!P50</f>
        <v>143.30000000000001</v>
      </c>
      <c r="BC24" s="5">
        <f>'Economic Data'!Q50</f>
        <v>737784</v>
      </c>
      <c r="BD24" s="5">
        <f>'Economic Data'!R50</f>
        <v>6947</v>
      </c>
      <c r="BE24" s="5">
        <f>'Economic Data'!S50</f>
        <v>3381</v>
      </c>
      <c r="BF24" s="5">
        <f>'Economic Data'!T50</f>
        <v>14040</v>
      </c>
      <c r="BG24" s="5">
        <v>0</v>
      </c>
      <c r="BH24" s="5">
        <v>0</v>
      </c>
      <c r="BI24" s="5">
        <v>0</v>
      </c>
      <c r="BJ24" s="5">
        <f t="shared" si="38"/>
        <v>23</v>
      </c>
      <c r="BK24" s="70">
        <f t="shared" si="1"/>
        <v>1.3617278360175928</v>
      </c>
      <c r="BL24" s="5">
        <f t="shared" si="2"/>
        <v>529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1</v>
      </c>
      <c r="BX24">
        <v>0</v>
      </c>
      <c r="BY24">
        <f t="shared" si="47"/>
        <v>0</v>
      </c>
      <c r="BZ24">
        <f t="shared" si="47"/>
        <v>1</v>
      </c>
      <c r="CA24">
        <f t="shared" si="46"/>
        <v>1</v>
      </c>
      <c r="CB24">
        <v>30</v>
      </c>
      <c r="CC24">
        <v>21</v>
      </c>
      <c r="CD24">
        <v>0</v>
      </c>
      <c r="CE24">
        <v>0</v>
      </c>
      <c r="CF24">
        <f t="shared" si="39"/>
        <v>0</v>
      </c>
      <c r="CG24">
        <v>0</v>
      </c>
      <c r="CH24" s="64">
        <f t="shared" si="49"/>
        <v>0</v>
      </c>
      <c r="CI24" s="64">
        <f t="shared" si="50"/>
        <v>0</v>
      </c>
      <c r="CJ24" s="64">
        <f t="shared" si="51"/>
        <v>0</v>
      </c>
      <c r="CK24" s="64">
        <f t="shared" si="52"/>
        <v>0</v>
      </c>
      <c r="CL24" s="64">
        <f t="shared" si="53"/>
        <v>0</v>
      </c>
      <c r="CM24" s="64">
        <f t="shared" si="54"/>
        <v>0</v>
      </c>
      <c r="CN24" s="64">
        <f t="shared" si="55"/>
        <v>0</v>
      </c>
      <c r="CO24" s="64">
        <f t="shared" si="56"/>
        <v>0</v>
      </c>
      <c r="CP24" s="64">
        <f t="shared" si="57"/>
        <v>0</v>
      </c>
      <c r="CQ24" s="64">
        <f t="shared" si="58"/>
        <v>0</v>
      </c>
      <c r="CR24" s="64">
        <f t="shared" si="59"/>
        <v>0</v>
      </c>
      <c r="CS24" s="64">
        <f t="shared" si="60"/>
        <v>0</v>
      </c>
      <c r="CT24" s="64">
        <f t="shared" si="61"/>
        <v>0</v>
      </c>
      <c r="CU24" s="64">
        <f t="shared" si="62"/>
        <v>0</v>
      </c>
      <c r="CV24" s="69">
        <f t="shared" si="63"/>
        <v>20.87366058729965</v>
      </c>
      <c r="CW24" s="69">
        <f t="shared" si="64"/>
        <v>841.28898397539785</v>
      </c>
      <c r="CX24" s="69">
        <f t="shared" si="20"/>
        <v>3309.9467260229003</v>
      </c>
      <c r="CY24" s="69">
        <f t="shared" si="65"/>
        <v>31036.273809523809</v>
      </c>
      <c r="CZ24" s="64">
        <f t="shared" si="22"/>
        <v>2316.96270821603</v>
      </c>
      <c r="DA24" s="64">
        <f t="shared" si="66"/>
        <v>21725.391666666666</v>
      </c>
      <c r="DB24" s="64">
        <f t="shared" si="24"/>
        <v>0</v>
      </c>
      <c r="DC24" s="64">
        <f t="shared" si="25"/>
        <v>0</v>
      </c>
      <c r="DD24" s="64">
        <f t="shared" si="26"/>
        <v>0</v>
      </c>
      <c r="DE24" s="64">
        <f t="shared" si="27"/>
        <v>0</v>
      </c>
      <c r="DF24" s="64">
        <f t="shared" si="28"/>
        <v>0</v>
      </c>
      <c r="DG24" s="64">
        <f t="shared" si="29"/>
        <v>0</v>
      </c>
      <c r="DH24" s="64">
        <f t="shared" si="30"/>
        <v>0</v>
      </c>
      <c r="DI24" s="64">
        <f t="shared" si="31"/>
        <v>0</v>
      </c>
      <c r="DJ24" s="64">
        <f t="shared" si="32"/>
        <v>0</v>
      </c>
      <c r="DK24" s="64">
        <f t="shared" si="33"/>
        <v>0</v>
      </c>
      <c r="DL24" s="64">
        <f t="shared" si="34"/>
        <v>0</v>
      </c>
      <c r="DM24" s="64">
        <f t="shared" si="35"/>
        <v>0</v>
      </c>
      <c r="DN24" s="64">
        <f t="shared" si="36"/>
        <v>0</v>
      </c>
      <c r="DO24" s="64">
        <f t="shared" si="37"/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f t="shared" si="40"/>
        <v>4</v>
      </c>
      <c r="DV24" s="2">
        <f>X24/CB24/DU24</f>
        <v>21725.391666666666</v>
      </c>
      <c r="DW24" s="2">
        <f>X24</f>
        <v>2607047</v>
      </c>
    </row>
    <row r="25" spans="1:127" s="2" customFormat="1">
      <c r="A25" s="3">
        <v>42339</v>
      </c>
      <c r="B25">
        <f t="shared" si="42"/>
        <v>2015</v>
      </c>
      <c r="C25" s="2">
        <v>19158951</v>
      </c>
      <c r="D25" s="2">
        <f>VLOOKUP(B25,'Historic CDM'!$B$135:$H$146,2,FALSE)/12</f>
        <v>335044.72340367432</v>
      </c>
      <c r="E25" s="2">
        <f t="shared" si="43"/>
        <v>19493995.723403674</v>
      </c>
      <c r="F25" s="6">
        <v>26808</v>
      </c>
      <c r="G25" s="219">
        <v>5086107</v>
      </c>
      <c r="H25" s="2">
        <f>VLOOKUP(B25,'Historic CDM'!$B$135:$H$147,3,FALSE)/12</f>
        <v>554198.2771220546</v>
      </c>
      <c r="I25" s="2">
        <f t="shared" si="44"/>
        <v>5640305.2771220542</v>
      </c>
      <c r="J25" s="6">
        <v>1929</v>
      </c>
      <c r="K25" s="219">
        <v>13404433</v>
      </c>
      <c r="L25" s="2">
        <f>VLOOKUP(B25,'Historic CDM'!$B$135:$H$146,4,FALSE)/12</f>
        <v>605691.5867469128</v>
      </c>
      <c r="M25" s="2">
        <f t="shared" si="48"/>
        <v>14010124.586746912</v>
      </c>
      <c r="N25" s="222">
        <v>42708</v>
      </c>
      <c r="O25" s="220">
        <v>216</v>
      </c>
      <c r="P25" s="220">
        <v>670483</v>
      </c>
      <c r="Q25" s="2">
        <v>1579</v>
      </c>
      <c r="R25" s="220">
        <v>2698</v>
      </c>
      <c r="S25" s="220">
        <v>29956</v>
      </c>
      <c r="T25" s="2">
        <v>73</v>
      </c>
      <c r="U25" s="220">
        <v>173</v>
      </c>
      <c r="V25" s="221">
        <v>129846</v>
      </c>
      <c r="W25" s="220">
        <v>141</v>
      </c>
      <c r="X25" s="2">
        <v>2364501</v>
      </c>
      <c r="Y25" s="2">
        <v>6045</v>
      </c>
      <c r="Z25" s="220">
        <v>4</v>
      </c>
      <c r="AA25" s="100">
        <f>'Weather Data'!D181</f>
        <v>479.30000000000007</v>
      </c>
      <c r="AB25" s="100">
        <f>'Weather Data'!E181</f>
        <v>0</v>
      </c>
      <c r="AC25" s="100">
        <f>'Weather Data'!F181</f>
        <v>417.30000000000007</v>
      </c>
      <c r="AD25" s="100">
        <f>'Weather Data'!G181</f>
        <v>0</v>
      </c>
      <c r="AE25" s="100">
        <f>'Weather Data'!H181</f>
        <v>355.3</v>
      </c>
      <c r="AF25" s="100">
        <f>'Weather Data'!I181</f>
        <v>0</v>
      </c>
      <c r="AG25" s="100">
        <f>'Weather Data'!J181</f>
        <v>293.29999999999995</v>
      </c>
      <c r="AH25" s="100">
        <f>'Weather Data'!K181</f>
        <v>0</v>
      </c>
      <c r="AI25" s="100">
        <f>'Weather Data'!L181</f>
        <v>232.09999999999994</v>
      </c>
      <c r="AJ25" s="100">
        <f>'Weather Data'!M181</f>
        <v>0.80000000000000071</v>
      </c>
      <c r="AK25" s="100">
        <f>'Weather Data'!N181</f>
        <v>174.7</v>
      </c>
      <c r="AL25" s="100">
        <f>'Weather Data'!O181</f>
        <v>5.4</v>
      </c>
      <c r="AM25" s="100">
        <f>'Weather Data'!P181</f>
        <v>121.69999999999999</v>
      </c>
      <c r="AN25" s="100">
        <f>'Weather Data'!Q181</f>
        <v>14.400000000000002</v>
      </c>
      <c r="AO25" s="100">
        <f>'Weather Data'!R181</f>
        <v>4.5387096774193552</v>
      </c>
      <c r="AP25" s="5">
        <f>'Economic Data'!D51</f>
        <v>6895.6</v>
      </c>
      <c r="AQ25" s="5">
        <f>'Economic Data'!E51</f>
        <v>6902.3</v>
      </c>
      <c r="AR25" s="5">
        <f>'Economic Data'!F51</f>
        <v>153.9</v>
      </c>
      <c r="AS25" s="5">
        <f>'Economic Data'!G51</f>
        <v>154.9</v>
      </c>
      <c r="AT25" s="5">
        <f>'Economic Data'!H51</f>
        <v>727609.6</v>
      </c>
      <c r="AU25" s="5">
        <f>'Economic Data'!I51</f>
        <v>6877.7</v>
      </c>
      <c r="AV25" s="5">
        <f>'Economic Data'!J51</f>
        <v>5851.5</v>
      </c>
      <c r="AW25" s="5">
        <f>'Economic Data'!K51</f>
        <v>4285.8999999999996</v>
      </c>
      <c r="AX25" s="5">
        <f>'Economic Data'!L51</f>
        <v>946.1</v>
      </c>
      <c r="AY25" s="5">
        <f>'Economic Data'!M51</f>
        <v>506</v>
      </c>
      <c r="AZ25" s="5">
        <f>'Economic Data'!N51</f>
        <v>7729.3</v>
      </c>
      <c r="BA25" s="5">
        <f>'Economic Data'!O51</f>
        <v>10.199999999999999</v>
      </c>
      <c r="BB25" s="5">
        <f>'Economic Data'!P51</f>
        <v>143.30000000000001</v>
      </c>
      <c r="BC25" s="5">
        <f>'Economic Data'!Q51</f>
        <v>737784</v>
      </c>
      <c r="BD25" s="5">
        <f>'Economic Data'!R51</f>
        <v>6947</v>
      </c>
      <c r="BE25" s="5">
        <f>'Economic Data'!S51</f>
        <v>3381</v>
      </c>
      <c r="BF25" s="5">
        <f>'Economic Data'!T51</f>
        <v>14040</v>
      </c>
      <c r="BG25" s="5">
        <v>0</v>
      </c>
      <c r="BH25" s="5">
        <v>0</v>
      </c>
      <c r="BI25" s="5">
        <v>0</v>
      </c>
      <c r="BJ25" s="5">
        <f t="shared" si="38"/>
        <v>24</v>
      </c>
      <c r="BK25" s="70">
        <f t="shared" si="1"/>
        <v>1.3802112417116059</v>
      </c>
      <c r="BL25" s="5">
        <f t="shared" si="2"/>
        <v>576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1</v>
      </c>
      <c r="BY25">
        <f t="shared" si="47"/>
        <v>0</v>
      </c>
      <c r="BZ25">
        <f t="shared" si="47"/>
        <v>0</v>
      </c>
      <c r="CA25">
        <f t="shared" si="46"/>
        <v>0</v>
      </c>
      <c r="CB25">
        <v>31</v>
      </c>
      <c r="CC25">
        <v>21</v>
      </c>
      <c r="CD25">
        <v>0</v>
      </c>
      <c r="CE25">
        <v>0</v>
      </c>
      <c r="CF25">
        <f t="shared" si="39"/>
        <v>0</v>
      </c>
      <c r="CG25">
        <v>0</v>
      </c>
      <c r="CH25" s="64">
        <f t="shared" si="49"/>
        <v>0</v>
      </c>
      <c r="CI25" s="64">
        <f t="shared" si="50"/>
        <v>0</v>
      </c>
      <c r="CJ25" s="64">
        <f t="shared" si="51"/>
        <v>0</v>
      </c>
      <c r="CK25" s="64">
        <f t="shared" si="52"/>
        <v>0</v>
      </c>
      <c r="CL25" s="64">
        <f t="shared" si="53"/>
        <v>0</v>
      </c>
      <c r="CM25" s="64">
        <f t="shared" si="54"/>
        <v>0</v>
      </c>
      <c r="CN25" s="64">
        <f t="shared" si="55"/>
        <v>0</v>
      </c>
      <c r="CO25" s="64">
        <f t="shared" si="56"/>
        <v>0</v>
      </c>
      <c r="CP25" s="64">
        <f t="shared" si="57"/>
        <v>0</v>
      </c>
      <c r="CQ25" s="64">
        <f t="shared" si="58"/>
        <v>0</v>
      </c>
      <c r="CR25" s="64">
        <f t="shared" si="59"/>
        <v>0</v>
      </c>
      <c r="CS25" s="64">
        <f t="shared" si="60"/>
        <v>0</v>
      </c>
      <c r="CT25" s="64">
        <f t="shared" si="61"/>
        <v>0</v>
      </c>
      <c r="CU25" s="64">
        <f t="shared" si="62"/>
        <v>0</v>
      </c>
      <c r="CV25" s="69">
        <f t="shared" si="63"/>
        <v>23.457123684075615</v>
      </c>
      <c r="CW25" s="69">
        <f t="shared" si="64"/>
        <v>842.33949777808459</v>
      </c>
      <c r="CX25" s="69">
        <f t="shared" si="20"/>
        <v>3088.6518048383846</v>
      </c>
      <c r="CY25" s="69">
        <f t="shared" si="65"/>
        <v>28148.821428571428</v>
      </c>
      <c r="CZ25" s="64">
        <f t="shared" si="22"/>
        <v>2092.3125129550349</v>
      </c>
      <c r="DA25" s="64">
        <f t="shared" si="66"/>
        <v>19068.556451612902</v>
      </c>
      <c r="DB25" s="64">
        <f t="shared" si="24"/>
        <v>0</v>
      </c>
      <c r="DC25" s="64">
        <f t="shared" si="25"/>
        <v>0</v>
      </c>
      <c r="DD25" s="64">
        <f t="shared" si="26"/>
        <v>0</v>
      </c>
      <c r="DE25" s="64">
        <f t="shared" si="27"/>
        <v>0</v>
      </c>
      <c r="DF25" s="64">
        <f t="shared" si="28"/>
        <v>0</v>
      </c>
      <c r="DG25" s="64">
        <f t="shared" si="29"/>
        <v>0</v>
      </c>
      <c r="DH25" s="64">
        <f t="shared" si="30"/>
        <v>0</v>
      </c>
      <c r="DI25" s="64">
        <f t="shared" si="31"/>
        <v>0</v>
      </c>
      <c r="DJ25" s="64">
        <f t="shared" si="32"/>
        <v>0</v>
      </c>
      <c r="DK25" s="64">
        <f t="shared" si="33"/>
        <v>0</v>
      </c>
      <c r="DL25" s="64">
        <f t="shared" si="34"/>
        <v>0</v>
      </c>
      <c r="DM25" s="64">
        <f t="shared" si="35"/>
        <v>0</v>
      </c>
      <c r="DN25" s="64">
        <f t="shared" si="36"/>
        <v>0</v>
      </c>
      <c r="DO25" s="64">
        <f t="shared" si="37"/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f t="shared" si="40"/>
        <v>4</v>
      </c>
      <c r="DV25" s="2">
        <f t="shared" si="41"/>
        <v>19068.556451612902</v>
      </c>
      <c r="DW25" s="2">
        <f t="shared" ref="DW25:DW88" si="67">X25</f>
        <v>2364501</v>
      </c>
    </row>
    <row r="26" spans="1:127" s="2" customFormat="1">
      <c r="A26" s="3">
        <v>42370</v>
      </c>
      <c r="B26">
        <f t="shared" si="42"/>
        <v>2016</v>
      </c>
      <c r="C26" s="2">
        <v>19916071</v>
      </c>
      <c r="D26" s="2">
        <f>VLOOKUP(B26,'Historic CDM'!$B$135:$H$146,2,FALSE)/12</f>
        <v>528300.53032321611</v>
      </c>
      <c r="E26" s="2">
        <f t="shared" si="43"/>
        <v>20444371.530323215</v>
      </c>
      <c r="F26" s="6">
        <v>26802</v>
      </c>
      <c r="G26" s="219">
        <v>5501099</v>
      </c>
      <c r="H26" s="2">
        <f>VLOOKUP(B26,'Historic CDM'!$B$135:$H$147,3,FALSE)/12</f>
        <v>907506.28545967676</v>
      </c>
      <c r="I26" s="2">
        <f t="shared" si="44"/>
        <v>6408605.2854596768</v>
      </c>
      <c r="J26" s="6">
        <v>1936</v>
      </c>
      <c r="K26" s="219">
        <v>13987492</v>
      </c>
      <c r="L26" s="2">
        <f>VLOOKUP(B26,'Historic CDM'!$B$135:$H$146,4,FALSE)/12</f>
        <v>972612.99023436254</v>
      </c>
      <c r="M26" s="2">
        <f t="shared" si="48"/>
        <v>14960104.990234362</v>
      </c>
      <c r="N26" s="223">
        <v>35724</v>
      </c>
      <c r="O26" s="220">
        <v>259</v>
      </c>
      <c r="P26" s="220">
        <v>660988</v>
      </c>
      <c r="Q26" s="2">
        <v>1579</v>
      </c>
      <c r="R26" s="220">
        <v>2698</v>
      </c>
      <c r="S26" s="220">
        <v>27635</v>
      </c>
      <c r="T26" s="2">
        <v>73</v>
      </c>
      <c r="U26" s="220">
        <v>174</v>
      </c>
      <c r="V26" s="221">
        <v>129846</v>
      </c>
      <c r="W26" s="220">
        <v>141</v>
      </c>
      <c r="X26" s="2">
        <v>2580598</v>
      </c>
      <c r="Y26" s="2">
        <v>6608</v>
      </c>
      <c r="Z26" s="220">
        <v>3</v>
      </c>
      <c r="AA26" s="100">
        <f>'Weather Data'!D182</f>
        <v>706.9</v>
      </c>
      <c r="AB26" s="100">
        <f>'Weather Data'!E182</f>
        <v>0</v>
      </c>
      <c r="AC26" s="100">
        <f>'Weather Data'!F182</f>
        <v>644.9</v>
      </c>
      <c r="AD26" s="100">
        <f>'Weather Data'!G182</f>
        <v>0</v>
      </c>
      <c r="AE26" s="100">
        <f>'Weather Data'!H182</f>
        <v>582.9</v>
      </c>
      <c r="AF26" s="100">
        <f>'Weather Data'!I182</f>
        <v>0</v>
      </c>
      <c r="AG26" s="100">
        <f>'Weather Data'!J182</f>
        <v>520.9</v>
      </c>
      <c r="AH26" s="100">
        <f>'Weather Data'!K182</f>
        <v>0</v>
      </c>
      <c r="AI26" s="100">
        <f>'Weather Data'!L182</f>
        <v>458.89999999999992</v>
      </c>
      <c r="AJ26" s="100">
        <f>'Weather Data'!M182</f>
        <v>0</v>
      </c>
      <c r="AK26" s="100">
        <f>'Weather Data'!N182</f>
        <v>396.9</v>
      </c>
      <c r="AL26" s="100">
        <f>'Weather Data'!O182</f>
        <v>0</v>
      </c>
      <c r="AM26" s="100">
        <f>'Weather Data'!P182</f>
        <v>334.9</v>
      </c>
      <c r="AN26" s="100">
        <f>'Weather Data'!Q182</f>
        <v>0</v>
      </c>
      <c r="AO26" s="100">
        <f>'Weather Data'!R182</f>
        <v>-2.8032258064516129</v>
      </c>
      <c r="AP26" s="5">
        <f>'Economic Data'!D52</f>
        <v>6908.4</v>
      </c>
      <c r="AQ26" s="5">
        <f>'Economic Data'!E52</f>
        <v>6871.2</v>
      </c>
      <c r="AR26" s="5">
        <f>'Economic Data'!F52</f>
        <v>156</v>
      </c>
      <c r="AS26" s="5">
        <f>'Economic Data'!G52</f>
        <v>155.19999999999999</v>
      </c>
      <c r="AT26" s="5">
        <f>'Economic Data'!H52</f>
        <v>743976.2</v>
      </c>
      <c r="AU26" s="5">
        <f>'Economic Data'!I52</f>
        <v>6953.7</v>
      </c>
      <c r="AV26" s="5">
        <f>'Economic Data'!J52</f>
        <v>5894.8</v>
      </c>
      <c r="AW26" s="5">
        <f>'Economic Data'!K52</f>
        <v>4265.7</v>
      </c>
      <c r="AX26" s="5">
        <f>'Economic Data'!L52</f>
        <v>916.6</v>
      </c>
      <c r="AY26" s="5">
        <f>'Economic Data'!M52</f>
        <v>546.5</v>
      </c>
      <c r="AZ26" s="5">
        <f>'Economic Data'!N52</f>
        <v>7852.2</v>
      </c>
      <c r="BA26" s="5">
        <f>'Economic Data'!O52</f>
        <v>163.80000000000001</v>
      </c>
      <c r="BB26" s="5">
        <f>'Economic Data'!P52</f>
        <v>89.9</v>
      </c>
      <c r="BC26" s="5">
        <f>'Economic Data'!Q52</f>
        <v>743287</v>
      </c>
      <c r="BD26" s="5">
        <f>'Economic Data'!R52</f>
        <v>6948</v>
      </c>
      <c r="BE26" s="5">
        <f>'Economic Data'!S52</f>
        <v>3329</v>
      </c>
      <c r="BF26" s="5">
        <f>'Economic Data'!T52</f>
        <v>14167</v>
      </c>
      <c r="BG26" s="5">
        <v>0</v>
      </c>
      <c r="BH26" s="5">
        <v>0</v>
      </c>
      <c r="BI26" s="5">
        <v>0</v>
      </c>
      <c r="BJ26" s="5">
        <f t="shared" si="38"/>
        <v>25</v>
      </c>
      <c r="BK26" s="70">
        <f t="shared" si="1"/>
        <v>1.3979400086720377</v>
      </c>
      <c r="BL26" s="5">
        <f t="shared" si="2"/>
        <v>625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f t="shared" si="47"/>
        <v>0</v>
      </c>
      <c r="BZ26">
        <f t="shared" si="47"/>
        <v>0</v>
      </c>
      <c r="CA26">
        <f t="shared" si="46"/>
        <v>0</v>
      </c>
      <c r="CB26">
        <v>31</v>
      </c>
      <c r="CC26">
        <v>20</v>
      </c>
      <c r="CD26">
        <v>0</v>
      </c>
      <c r="CE26">
        <v>0</v>
      </c>
      <c r="CF26">
        <f t="shared" si="39"/>
        <v>0</v>
      </c>
      <c r="CG26">
        <v>0</v>
      </c>
      <c r="CH26" s="64">
        <f t="shared" si="49"/>
        <v>0</v>
      </c>
      <c r="CI26" s="64">
        <f t="shared" si="50"/>
        <v>0</v>
      </c>
      <c r="CJ26" s="64">
        <f t="shared" si="51"/>
        <v>0</v>
      </c>
      <c r="CK26" s="64">
        <f t="shared" si="52"/>
        <v>0</v>
      </c>
      <c r="CL26" s="64">
        <f t="shared" si="53"/>
        <v>0</v>
      </c>
      <c r="CM26" s="64">
        <f t="shared" si="54"/>
        <v>0</v>
      </c>
      <c r="CN26" s="64">
        <f t="shared" si="55"/>
        <v>0</v>
      </c>
      <c r="CO26" s="64">
        <f t="shared" si="56"/>
        <v>0</v>
      </c>
      <c r="CP26" s="64">
        <f t="shared" si="57"/>
        <v>0</v>
      </c>
      <c r="CQ26" s="64">
        <f t="shared" si="58"/>
        <v>0</v>
      </c>
      <c r="CR26" s="64">
        <f t="shared" si="59"/>
        <v>0</v>
      </c>
      <c r="CS26" s="64">
        <f t="shared" si="60"/>
        <v>0</v>
      </c>
      <c r="CT26" s="64">
        <f t="shared" si="61"/>
        <v>0</v>
      </c>
      <c r="CU26" s="64">
        <f t="shared" si="62"/>
        <v>0</v>
      </c>
      <c r="CV26" s="69">
        <f t="shared" si="63"/>
        <v>24.606218036597191</v>
      </c>
      <c r="CW26" s="69">
        <f t="shared" si="64"/>
        <v>798.18225002611484</v>
      </c>
      <c r="CX26" s="69">
        <f t="shared" si="20"/>
        <v>2888.0511564158996</v>
      </c>
      <c r="CY26" s="69">
        <f t="shared" si="65"/>
        <v>43009.966666666667</v>
      </c>
      <c r="CZ26" s="64">
        <f t="shared" si="22"/>
        <v>1863.2588105909033</v>
      </c>
      <c r="DA26" s="64">
        <f t="shared" si="66"/>
        <v>27748.365591397847</v>
      </c>
      <c r="DB26" s="64">
        <f t="shared" si="24"/>
        <v>0</v>
      </c>
      <c r="DC26" s="64">
        <f t="shared" si="25"/>
        <v>0</v>
      </c>
      <c r="DD26" s="64">
        <f t="shared" si="26"/>
        <v>0</v>
      </c>
      <c r="DE26" s="64">
        <f t="shared" si="27"/>
        <v>0</v>
      </c>
      <c r="DF26" s="64">
        <f t="shared" si="28"/>
        <v>0</v>
      </c>
      <c r="DG26" s="64">
        <f t="shared" si="29"/>
        <v>0</v>
      </c>
      <c r="DH26" s="64">
        <f t="shared" si="30"/>
        <v>0</v>
      </c>
      <c r="DI26" s="64">
        <f t="shared" si="31"/>
        <v>0</v>
      </c>
      <c r="DJ26" s="64">
        <f t="shared" si="32"/>
        <v>0</v>
      </c>
      <c r="DK26" s="64">
        <f t="shared" si="33"/>
        <v>0</v>
      </c>
      <c r="DL26" s="64">
        <f t="shared" si="34"/>
        <v>0</v>
      </c>
      <c r="DM26" s="64">
        <f t="shared" si="35"/>
        <v>0</v>
      </c>
      <c r="DN26" s="64">
        <f t="shared" si="36"/>
        <v>0</v>
      </c>
      <c r="DO26" s="64">
        <f t="shared" si="37"/>
        <v>0</v>
      </c>
      <c r="DP26" s="2">
        <v>1</v>
      </c>
      <c r="DQ26" s="2">
        <v>0</v>
      </c>
      <c r="DR26" s="2">
        <v>0</v>
      </c>
      <c r="DS26" s="2">
        <v>0</v>
      </c>
      <c r="DT26" s="2">
        <v>0</v>
      </c>
      <c r="DU26" s="288">
        <v>4</v>
      </c>
      <c r="DV26" s="2">
        <f t="shared" si="41"/>
        <v>20811.274193548386</v>
      </c>
      <c r="DW26" s="2">
        <f t="shared" si="67"/>
        <v>2580598</v>
      </c>
    </row>
    <row r="27" spans="1:127" s="2" customFormat="1">
      <c r="A27" s="3">
        <v>42401</v>
      </c>
      <c r="B27">
        <f t="shared" si="42"/>
        <v>2016</v>
      </c>
      <c r="C27" s="2">
        <v>17661313</v>
      </c>
      <c r="D27" s="2">
        <f>VLOOKUP(B27,'Historic CDM'!$B$135:$H$146,2,FALSE)/12</f>
        <v>528300.53032321611</v>
      </c>
      <c r="E27" s="2">
        <f t="shared" si="43"/>
        <v>18189613.530323215</v>
      </c>
      <c r="F27" s="6">
        <v>26838</v>
      </c>
      <c r="G27" s="219">
        <v>5176056</v>
      </c>
      <c r="H27" s="2">
        <f>VLOOKUP(B27,'Historic CDM'!$B$135:$H$147,3,FALSE)/12</f>
        <v>907506.28545967676</v>
      </c>
      <c r="I27" s="2">
        <f t="shared" si="44"/>
        <v>6083562.2854596768</v>
      </c>
      <c r="J27" s="6">
        <v>1937</v>
      </c>
      <c r="K27" s="219">
        <v>13586931</v>
      </c>
      <c r="L27" s="2">
        <f>VLOOKUP(B27,'Historic CDM'!$B$135:$H$146,4,FALSE)/12</f>
        <v>972612.99023436254</v>
      </c>
      <c r="M27" s="2">
        <f t="shared" si="48"/>
        <v>14559543.990234362</v>
      </c>
      <c r="N27" s="222">
        <v>34535</v>
      </c>
      <c r="O27" s="220">
        <v>259</v>
      </c>
      <c r="P27" s="220">
        <v>546958</v>
      </c>
      <c r="Q27" s="2">
        <v>1532</v>
      </c>
      <c r="R27" s="220">
        <v>2698</v>
      </c>
      <c r="S27" s="220">
        <v>27249</v>
      </c>
      <c r="T27" s="2">
        <v>73</v>
      </c>
      <c r="U27" s="220">
        <v>174</v>
      </c>
      <c r="V27" s="221">
        <v>129846</v>
      </c>
      <c r="W27" s="220">
        <v>141</v>
      </c>
      <c r="X27" s="2">
        <v>2518509</v>
      </c>
      <c r="Y27" s="2">
        <v>6325</v>
      </c>
      <c r="Z27" s="220">
        <v>3</v>
      </c>
      <c r="AA27" s="100">
        <f>'Weather Data'!D183</f>
        <v>608.20000000000005</v>
      </c>
      <c r="AB27" s="100">
        <f>'Weather Data'!E183</f>
        <v>0</v>
      </c>
      <c r="AC27" s="100">
        <f>'Weather Data'!F183</f>
        <v>550.19999999999993</v>
      </c>
      <c r="AD27" s="100">
        <f>'Weather Data'!G183</f>
        <v>0</v>
      </c>
      <c r="AE27" s="100">
        <f>'Weather Data'!H183</f>
        <v>492.2</v>
      </c>
      <c r="AF27" s="100">
        <f>'Weather Data'!I183</f>
        <v>0</v>
      </c>
      <c r="AG27" s="100">
        <f>'Weather Data'!J183</f>
        <v>434.20000000000005</v>
      </c>
      <c r="AH27" s="100">
        <f>'Weather Data'!K183</f>
        <v>0</v>
      </c>
      <c r="AI27" s="100">
        <f>'Weather Data'!L183</f>
        <v>376.20000000000005</v>
      </c>
      <c r="AJ27" s="100">
        <f>'Weather Data'!M183</f>
        <v>0</v>
      </c>
      <c r="AK27" s="100">
        <f>'Weather Data'!N183</f>
        <v>318.20000000000005</v>
      </c>
      <c r="AL27" s="100">
        <f>'Weather Data'!O183</f>
        <v>0</v>
      </c>
      <c r="AM27" s="100">
        <f>'Weather Data'!P183</f>
        <v>262.50000000000006</v>
      </c>
      <c r="AN27" s="100">
        <f>'Weather Data'!Q183</f>
        <v>2.3000000000000007</v>
      </c>
      <c r="AO27" s="100">
        <f>'Weather Data'!R183</f>
        <v>-0.97241379310344833</v>
      </c>
      <c r="AP27" s="5">
        <f>'Economic Data'!D53</f>
        <v>6922.3</v>
      </c>
      <c r="AQ27" s="5">
        <f>'Economic Data'!E53</f>
        <v>6850.4</v>
      </c>
      <c r="AR27" s="5">
        <f>'Economic Data'!F53</f>
        <v>158.4</v>
      </c>
      <c r="AS27" s="5">
        <f>'Economic Data'!G53</f>
        <v>156</v>
      </c>
      <c r="AT27" s="5">
        <f>'Economic Data'!H53</f>
        <v>743976.2</v>
      </c>
      <c r="AU27" s="5">
        <f>'Economic Data'!I53</f>
        <v>6953.7</v>
      </c>
      <c r="AV27" s="5">
        <f>'Economic Data'!J53</f>
        <v>5894.8</v>
      </c>
      <c r="AW27" s="5">
        <f>'Economic Data'!K53</f>
        <v>4265.7</v>
      </c>
      <c r="AX27" s="5">
        <f>'Economic Data'!L53</f>
        <v>916.6</v>
      </c>
      <c r="AY27" s="5">
        <f>'Economic Data'!M53</f>
        <v>546.5</v>
      </c>
      <c r="AZ27" s="5">
        <f>'Economic Data'!N53</f>
        <v>7852.2</v>
      </c>
      <c r="BA27" s="5">
        <f>'Economic Data'!O53</f>
        <v>163.80000000000001</v>
      </c>
      <c r="BB27" s="5">
        <f>'Economic Data'!P53</f>
        <v>89.9</v>
      </c>
      <c r="BC27" s="5">
        <f>'Economic Data'!Q53</f>
        <v>743287</v>
      </c>
      <c r="BD27" s="5">
        <f>'Economic Data'!R53</f>
        <v>6948</v>
      </c>
      <c r="BE27" s="5">
        <f>'Economic Data'!S53</f>
        <v>3329</v>
      </c>
      <c r="BF27" s="5">
        <f>'Economic Data'!T53</f>
        <v>14167</v>
      </c>
      <c r="BG27" s="5">
        <v>0</v>
      </c>
      <c r="BH27" s="5">
        <v>0</v>
      </c>
      <c r="BI27" s="5">
        <v>0</v>
      </c>
      <c r="BJ27" s="5">
        <f t="shared" si="38"/>
        <v>26</v>
      </c>
      <c r="BK27" s="70">
        <f t="shared" si="1"/>
        <v>1.414973347970818</v>
      </c>
      <c r="BL27" s="5">
        <f t="shared" si="2"/>
        <v>676</v>
      </c>
      <c r="BM27">
        <v>0</v>
      </c>
      <c r="BN27">
        <v>1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f t="shared" si="47"/>
        <v>0</v>
      </c>
      <c r="BZ27">
        <f t="shared" si="47"/>
        <v>0</v>
      </c>
      <c r="CA27">
        <f t="shared" si="46"/>
        <v>0</v>
      </c>
      <c r="CB27">
        <v>29</v>
      </c>
      <c r="CC27">
        <v>20</v>
      </c>
      <c r="CD27">
        <v>0</v>
      </c>
      <c r="CE27">
        <v>0</v>
      </c>
      <c r="CF27">
        <f t="shared" si="39"/>
        <v>0</v>
      </c>
      <c r="CG27">
        <v>0</v>
      </c>
      <c r="CH27" s="64">
        <f t="shared" si="49"/>
        <v>0</v>
      </c>
      <c r="CI27" s="64">
        <f t="shared" si="50"/>
        <v>0</v>
      </c>
      <c r="CJ27" s="64">
        <f t="shared" si="51"/>
        <v>0</v>
      </c>
      <c r="CK27" s="64">
        <f t="shared" si="52"/>
        <v>0</v>
      </c>
      <c r="CL27" s="64">
        <f t="shared" si="53"/>
        <v>0</v>
      </c>
      <c r="CM27" s="64">
        <f t="shared" si="54"/>
        <v>0</v>
      </c>
      <c r="CN27" s="64">
        <f t="shared" si="55"/>
        <v>0</v>
      </c>
      <c r="CO27" s="64">
        <f t="shared" si="56"/>
        <v>0</v>
      </c>
      <c r="CP27" s="64">
        <f t="shared" si="57"/>
        <v>0</v>
      </c>
      <c r="CQ27" s="64">
        <f t="shared" si="58"/>
        <v>0</v>
      </c>
      <c r="CR27" s="64">
        <f t="shared" si="59"/>
        <v>0</v>
      </c>
      <c r="CS27" s="64">
        <f t="shared" si="60"/>
        <v>0</v>
      </c>
      <c r="CT27" s="64">
        <f t="shared" si="61"/>
        <v>0</v>
      </c>
      <c r="CU27" s="64">
        <f t="shared" si="62"/>
        <v>0</v>
      </c>
      <c r="CV27" s="69">
        <f t="shared" si="63"/>
        <v>23.370893985012522</v>
      </c>
      <c r="CW27" s="69">
        <f t="shared" si="64"/>
        <v>809.95370595921668</v>
      </c>
      <c r="CX27" s="69">
        <f t="shared" si="20"/>
        <v>2810.7227780375215</v>
      </c>
      <c r="CY27" s="69">
        <f t="shared" si="65"/>
        <v>41975.15</v>
      </c>
      <c r="CZ27" s="64">
        <f t="shared" si="22"/>
        <v>1938.4295020948425</v>
      </c>
      <c r="DA27" s="64">
        <f t="shared" si="66"/>
        <v>28948.379310344826</v>
      </c>
      <c r="DB27" s="64">
        <f t="shared" si="24"/>
        <v>0</v>
      </c>
      <c r="DC27" s="64">
        <f t="shared" si="25"/>
        <v>0</v>
      </c>
      <c r="DD27" s="64">
        <f t="shared" si="26"/>
        <v>0</v>
      </c>
      <c r="DE27" s="64">
        <f t="shared" si="27"/>
        <v>0</v>
      </c>
      <c r="DF27" s="64">
        <f t="shared" si="28"/>
        <v>0</v>
      </c>
      <c r="DG27" s="64">
        <f t="shared" si="29"/>
        <v>0</v>
      </c>
      <c r="DH27" s="64">
        <f t="shared" si="30"/>
        <v>0</v>
      </c>
      <c r="DI27" s="64">
        <f t="shared" si="31"/>
        <v>0</v>
      </c>
      <c r="DJ27" s="64">
        <f t="shared" si="32"/>
        <v>0</v>
      </c>
      <c r="DK27" s="64">
        <f t="shared" si="33"/>
        <v>0</v>
      </c>
      <c r="DL27" s="64">
        <f t="shared" si="34"/>
        <v>0</v>
      </c>
      <c r="DM27" s="64">
        <f t="shared" si="35"/>
        <v>0</v>
      </c>
      <c r="DN27" s="64">
        <f t="shared" si="36"/>
        <v>0</v>
      </c>
      <c r="DO27" s="64">
        <f t="shared" si="37"/>
        <v>0</v>
      </c>
      <c r="DP27" s="2">
        <f>DP26+1</f>
        <v>2</v>
      </c>
      <c r="DQ27" s="2">
        <v>0</v>
      </c>
      <c r="DR27" s="2">
        <v>0</v>
      </c>
      <c r="DS27" s="2">
        <v>0</v>
      </c>
      <c r="DT27" s="2">
        <v>0</v>
      </c>
      <c r="DU27" s="288">
        <v>4</v>
      </c>
      <c r="DV27" s="2">
        <f t="shared" si="41"/>
        <v>21711.28448275862</v>
      </c>
      <c r="DW27" s="2">
        <f t="shared" si="67"/>
        <v>2518509</v>
      </c>
    </row>
    <row r="28" spans="1:127" s="2" customFormat="1">
      <c r="A28" s="3">
        <v>42430</v>
      </c>
      <c r="B28">
        <f t="shared" si="42"/>
        <v>2016</v>
      </c>
      <c r="C28" s="2">
        <v>17270436</v>
      </c>
      <c r="D28" s="2">
        <f>VLOOKUP(B28,'Historic CDM'!$B$135:$H$146,2,FALSE)/12</f>
        <v>528300.53032321611</v>
      </c>
      <c r="E28" s="2">
        <f t="shared" si="43"/>
        <v>17798736.530323215</v>
      </c>
      <c r="F28" s="6">
        <v>26855</v>
      </c>
      <c r="G28" s="219">
        <v>5195839</v>
      </c>
      <c r="H28" s="2">
        <f>VLOOKUP(B28,'Historic CDM'!$B$135:$H$147,3,FALSE)/12</f>
        <v>907506.28545967676</v>
      </c>
      <c r="I28" s="2">
        <f t="shared" si="44"/>
        <v>6103345.2854596768</v>
      </c>
      <c r="J28" s="6">
        <v>1938</v>
      </c>
      <c r="K28" s="219">
        <v>13678424</v>
      </c>
      <c r="L28" s="2">
        <f>VLOOKUP(B28,'Historic CDM'!$B$135:$H$146,4,FALSE)/12</f>
        <v>972612.99023436254</v>
      </c>
      <c r="M28" s="2">
        <f t="shared" si="48"/>
        <v>14651036.990234362</v>
      </c>
      <c r="N28" s="222">
        <v>34566</v>
      </c>
      <c r="O28" s="220">
        <v>259</v>
      </c>
      <c r="P28" s="220">
        <v>491920</v>
      </c>
      <c r="Q28" s="2">
        <v>1397</v>
      </c>
      <c r="R28" s="220">
        <v>2707</v>
      </c>
      <c r="S28" s="220">
        <v>28454</v>
      </c>
      <c r="T28" s="2">
        <v>73</v>
      </c>
      <c r="U28" s="220">
        <v>174</v>
      </c>
      <c r="V28" s="221">
        <v>129846</v>
      </c>
      <c r="W28" s="220">
        <v>141</v>
      </c>
      <c r="X28" s="2">
        <v>2565586</v>
      </c>
      <c r="Y28" s="2">
        <v>6101</v>
      </c>
      <c r="Z28" s="220">
        <v>3</v>
      </c>
      <c r="AA28" s="100">
        <f>'Weather Data'!D184</f>
        <v>466.4</v>
      </c>
      <c r="AB28" s="100">
        <f>'Weather Data'!E184</f>
        <v>0</v>
      </c>
      <c r="AC28" s="100">
        <f>'Weather Data'!F184</f>
        <v>404.4</v>
      </c>
      <c r="AD28" s="100">
        <f>'Weather Data'!G184</f>
        <v>0</v>
      </c>
      <c r="AE28" s="100">
        <f>'Weather Data'!H184</f>
        <v>342.4</v>
      </c>
      <c r="AF28" s="100">
        <f>'Weather Data'!I184</f>
        <v>0</v>
      </c>
      <c r="AG28" s="100">
        <f>'Weather Data'!J184</f>
        <v>281</v>
      </c>
      <c r="AH28" s="100">
        <f>'Weather Data'!K184</f>
        <v>0.59999999999999964</v>
      </c>
      <c r="AI28" s="100">
        <f>'Weather Data'!L184</f>
        <v>224.50000000000003</v>
      </c>
      <c r="AJ28" s="100">
        <f>'Weather Data'!M184</f>
        <v>6.1</v>
      </c>
      <c r="AK28" s="100">
        <f>'Weather Data'!N184</f>
        <v>170.50000000000006</v>
      </c>
      <c r="AL28" s="100">
        <f>'Weather Data'!O184</f>
        <v>14.1</v>
      </c>
      <c r="AM28" s="100">
        <f>'Weather Data'!P184</f>
        <v>121.50000000000001</v>
      </c>
      <c r="AN28" s="100">
        <f>'Weather Data'!Q184</f>
        <v>27.099999999999994</v>
      </c>
      <c r="AO28" s="100">
        <f>'Weather Data'!R184</f>
        <v>4.9548387096774196</v>
      </c>
      <c r="AP28" s="5">
        <f>'Economic Data'!D54</f>
        <v>6930.2</v>
      </c>
      <c r="AQ28" s="5">
        <f>'Economic Data'!E54</f>
        <v>6827.3</v>
      </c>
      <c r="AR28" s="5">
        <f>'Economic Data'!F54</f>
        <v>160.69999999999999</v>
      </c>
      <c r="AS28" s="5">
        <f>'Economic Data'!G54</f>
        <v>156.9</v>
      </c>
      <c r="AT28" s="5">
        <f>'Economic Data'!H54</f>
        <v>743976.2</v>
      </c>
      <c r="AU28" s="5">
        <f>'Economic Data'!I54</f>
        <v>6953.7</v>
      </c>
      <c r="AV28" s="5">
        <f>'Economic Data'!J54</f>
        <v>5894.8</v>
      </c>
      <c r="AW28" s="5">
        <f>'Economic Data'!K54</f>
        <v>4265.7</v>
      </c>
      <c r="AX28" s="5">
        <f>'Economic Data'!L54</f>
        <v>916.6</v>
      </c>
      <c r="AY28" s="5">
        <f>'Economic Data'!M54</f>
        <v>546.5</v>
      </c>
      <c r="AZ28" s="5">
        <f>'Economic Data'!N54</f>
        <v>7852.2</v>
      </c>
      <c r="BA28" s="5">
        <f>'Economic Data'!O54</f>
        <v>163.80000000000001</v>
      </c>
      <c r="BB28" s="5">
        <f>'Economic Data'!P54</f>
        <v>89.9</v>
      </c>
      <c r="BC28" s="5">
        <f>'Economic Data'!Q54</f>
        <v>743287</v>
      </c>
      <c r="BD28" s="5">
        <f>'Economic Data'!R54</f>
        <v>6948</v>
      </c>
      <c r="BE28" s="5">
        <f>'Economic Data'!S54</f>
        <v>3329</v>
      </c>
      <c r="BF28" s="5">
        <f>'Economic Data'!T54</f>
        <v>14167</v>
      </c>
      <c r="BG28" s="5">
        <v>0</v>
      </c>
      <c r="BH28" s="5">
        <v>0</v>
      </c>
      <c r="BI28" s="5">
        <v>0</v>
      </c>
      <c r="BJ28" s="5">
        <f t="shared" si="38"/>
        <v>27</v>
      </c>
      <c r="BK28" s="70">
        <f t="shared" si="1"/>
        <v>1.4313637641589874</v>
      </c>
      <c r="BL28" s="5">
        <f t="shared" si="2"/>
        <v>729</v>
      </c>
      <c r="BM28">
        <v>0</v>
      </c>
      <c r="BN28">
        <v>0</v>
      </c>
      <c r="BO28">
        <v>1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f t="shared" si="47"/>
        <v>1</v>
      </c>
      <c r="BZ28">
        <f t="shared" si="47"/>
        <v>0</v>
      </c>
      <c r="CA28">
        <f t="shared" si="46"/>
        <v>1</v>
      </c>
      <c r="CB28">
        <v>31</v>
      </c>
      <c r="CC28">
        <v>21</v>
      </c>
      <c r="CD28">
        <v>0</v>
      </c>
      <c r="CE28">
        <v>0</v>
      </c>
      <c r="CF28">
        <f t="shared" si="39"/>
        <v>0</v>
      </c>
      <c r="CG28">
        <v>0</v>
      </c>
      <c r="CH28" s="64">
        <f t="shared" si="49"/>
        <v>0</v>
      </c>
      <c r="CI28" s="64">
        <f t="shared" si="50"/>
        <v>0</v>
      </c>
      <c r="CJ28" s="64">
        <f t="shared" si="51"/>
        <v>0</v>
      </c>
      <c r="CK28" s="64">
        <f t="shared" si="52"/>
        <v>0</v>
      </c>
      <c r="CL28" s="64">
        <f t="shared" si="53"/>
        <v>0</v>
      </c>
      <c r="CM28" s="64">
        <f t="shared" si="54"/>
        <v>0</v>
      </c>
      <c r="CN28" s="64">
        <f t="shared" si="55"/>
        <v>0</v>
      </c>
      <c r="CO28" s="64">
        <f t="shared" si="56"/>
        <v>0</v>
      </c>
      <c r="CP28" s="64">
        <f t="shared" si="57"/>
        <v>0</v>
      </c>
      <c r="CQ28" s="64">
        <f t="shared" si="58"/>
        <v>0</v>
      </c>
      <c r="CR28" s="64">
        <f t="shared" si="59"/>
        <v>0</v>
      </c>
      <c r="CS28" s="64">
        <f t="shared" si="60"/>
        <v>0</v>
      </c>
      <c r="CT28" s="64">
        <f t="shared" si="61"/>
        <v>0</v>
      </c>
      <c r="CU28" s="64">
        <f t="shared" si="62"/>
        <v>0</v>
      </c>
      <c r="CV28" s="69">
        <f t="shared" si="63"/>
        <v>21.379735293269366</v>
      </c>
      <c r="CW28" s="69">
        <f t="shared" si="64"/>
        <v>760.1625713612749</v>
      </c>
      <c r="CX28" s="69">
        <f t="shared" si="20"/>
        <v>2693.7004946192983</v>
      </c>
      <c r="CY28" s="69">
        <f t="shared" si="65"/>
        <v>40723.5873015873</v>
      </c>
      <c r="CZ28" s="64">
        <f t="shared" si="22"/>
        <v>1824.764851193718</v>
      </c>
      <c r="DA28" s="64">
        <f t="shared" si="66"/>
        <v>27586.946236559143</v>
      </c>
      <c r="DB28" s="64">
        <f t="shared" si="24"/>
        <v>0</v>
      </c>
      <c r="DC28" s="64">
        <f t="shared" si="25"/>
        <v>0</v>
      </c>
      <c r="DD28" s="64">
        <f t="shared" si="26"/>
        <v>0</v>
      </c>
      <c r="DE28" s="64">
        <f t="shared" si="27"/>
        <v>0</v>
      </c>
      <c r="DF28" s="64">
        <f t="shared" si="28"/>
        <v>0</v>
      </c>
      <c r="DG28" s="64">
        <f t="shared" si="29"/>
        <v>0</v>
      </c>
      <c r="DH28" s="64">
        <f t="shared" si="30"/>
        <v>0</v>
      </c>
      <c r="DI28" s="64">
        <f t="shared" si="31"/>
        <v>0</v>
      </c>
      <c r="DJ28" s="64">
        <f t="shared" si="32"/>
        <v>0</v>
      </c>
      <c r="DK28" s="64">
        <f t="shared" si="33"/>
        <v>0</v>
      </c>
      <c r="DL28" s="64">
        <f t="shared" si="34"/>
        <v>0</v>
      </c>
      <c r="DM28" s="64">
        <f t="shared" si="35"/>
        <v>0</v>
      </c>
      <c r="DN28" s="64">
        <f t="shared" si="36"/>
        <v>0</v>
      </c>
      <c r="DO28" s="64">
        <f t="shared" si="37"/>
        <v>0</v>
      </c>
      <c r="DP28" s="2">
        <f t="shared" ref="DP28:DQ43" si="68">DP27+1</f>
        <v>3</v>
      </c>
      <c r="DQ28" s="2">
        <v>0</v>
      </c>
      <c r="DR28" s="2">
        <v>0</v>
      </c>
      <c r="DS28" s="2">
        <v>0</v>
      </c>
      <c r="DT28" s="2">
        <v>0</v>
      </c>
      <c r="DU28" s="288">
        <v>4</v>
      </c>
      <c r="DV28" s="2">
        <f t="shared" si="41"/>
        <v>20690.209677419356</v>
      </c>
      <c r="DW28" s="2">
        <f t="shared" si="67"/>
        <v>2565586</v>
      </c>
    </row>
    <row r="29" spans="1:127" s="2" customFormat="1">
      <c r="A29" s="3">
        <v>42461</v>
      </c>
      <c r="B29">
        <f t="shared" si="42"/>
        <v>2016</v>
      </c>
      <c r="C29" s="2">
        <v>15707415</v>
      </c>
      <c r="D29" s="2">
        <f>VLOOKUP(B29,'Historic CDM'!$B$135:$H$146,2,FALSE)/12</f>
        <v>528300.53032321611</v>
      </c>
      <c r="E29" s="2">
        <f t="shared" si="43"/>
        <v>16235715.530323217</v>
      </c>
      <c r="F29" s="6">
        <v>26880</v>
      </c>
      <c r="G29" s="219">
        <v>4895630</v>
      </c>
      <c r="H29" s="2">
        <f>VLOOKUP(B29,'Historic CDM'!$B$135:$H$147,3,FALSE)/12</f>
        <v>907506.28545967676</v>
      </c>
      <c r="I29" s="2">
        <f t="shared" si="44"/>
        <v>5803136.2854596768</v>
      </c>
      <c r="J29" s="6">
        <v>1939</v>
      </c>
      <c r="K29" s="219">
        <v>13359719</v>
      </c>
      <c r="L29" s="2">
        <f>VLOOKUP(B29,'Historic CDM'!$B$135:$H$146,4,FALSE)/12</f>
        <v>972612.99023436254</v>
      </c>
      <c r="M29" s="2">
        <f t="shared" si="48"/>
        <v>14332331.990234362</v>
      </c>
      <c r="N29" s="222">
        <v>36731</v>
      </c>
      <c r="O29" s="220">
        <v>260</v>
      </c>
      <c r="P29" s="220">
        <v>412774</v>
      </c>
      <c r="Q29" s="2">
        <v>1397</v>
      </c>
      <c r="R29" s="220">
        <v>2707</v>
      </c>
      <c r="S29" s="220">
        <v>29941</v>
      </c>
      <c r="T29" s="2">
        <v>73</v>
      </c>
      <c r="U29" s="220">
        <v>174</v>
      </c>
      <c r="V29" s="221">
        <v>129846</v>
      </c>
      <c r="W29" s="220">
        <v>141</v>
      </c>
      <c r="X29" s="2">
        <v>2289773</v>
      </c>
      <c r="Y29" s="2">
        <v>5998</v>
      </c>
      <c r="Z29" s="220">
        <v>3</v>
      </c>
      <c r="AA29" s="100">
        <f>'Weather Data'!D185</f>
        <v>392.09999999999991</v>
      </c>
      <c r="AB29" s="100">
        <f>'Weather Data'!E185</f>
        <v>0</v>
      </c>
      <c r="AC29" s="100">
        <f>'Weather Data'!F185</f>
        <v>332.09999999999997</v>
      </c>
      <c r="AD29" s="100">
        <f>'Weather Data'!G185</f>
        <v>0</v>
      </c>
      <c r="AE29" s="100">
        <f>'Weather Data'!H185</f>
        <v>272.10000000000002</v>
      </c>
      <c r="AF29" s="100">
        <f>'Weather Data'!I185</f>
        <v>0</v>
      </c>
      <c r="AG29" s="100">
        <f>'Weather Data'!J185</f>
        <v>214.6</v>
      </c>
      <c r="AH29" s="100">
        <f>'Weather Data'!K185</f>
        <v>2.5</v>
      </c>
      <c r="AI29" s="100">
        <f>'Weather Data'!L185</f>
        <v>161.5</v>
      </c>
      <c r="AJ29" s="100">
        <f>'Weather Data'!M185</f>
        <v>9.4</v>
      </c>
      <c r="AK29" s="100">
        <f>'Weather Data'!N185</f>
        <v>113.10000000000001</v>
      </c>
      <c r="AL29" s="100">
        <f>'Weather Data'!O185</f>
        <v>21.000000000000004</v>
      </c>
      <c r="AM29" s="100">
        <f>'Weather Data'!P185</f>
        <v>74.000000000000014</v>
      </c>
      <c r="AN29" s="100">
        <f>'Weather Data'!Q185</f>
        <v>41.900000000000006</v>
      </c>
      <c r="AO29" s="100">
        <f>'Weather Data'!R185</f>
        <v>6.9300000000000015</v>
      </c>
      <c r="AP29" s="5">
        <f>'Economic Data'!D55</f>
        <v>6931.9</v>
      </c>
      <c r="AQ29" s="5">
        <f>'Economic Data'!E55</f>
        <v>6843.7</v>
      </c>
      <c r="AR29" s="5">
        <f>'Economic Data'!F55</f>
        <v>162.6</v>
      </c>
      <c r="AS29" s="5">
        <f>'Economic Data'!G55</f>
        <v>159</v>
      </c>
      <c r="AT29" s="5">
        <f>'Economic Data'!H55</f>
        <v>743976.2</v>
      </c>
      <c r="AU29" s="5">
        <f>'Economic Data'!I55</f>
        <v>6953.7</v>
      </c>
      <c r="AV29" s="5">
        <f>'Economic Data'!J55</f>
        <v>5894.8</v>
      </c>
      <c r="AW29" s="5">
        <f>'Economic Data'!K55</f>
        <v>4265.7</v>
      </c>
      <c r="AX29" s="5">
        <f>'Economic Data'!L55</f>
        <v>916.6</v>
      </c>
      <c r="AY29" s="5">
        <f>'Economic Data'!M55</f>
        <v>546.5</v>
      </c>
      <c r="AZ29" s="5">
        <f>'Economic Data'!N55</f>
        <v>7852.2</v>
      </c>
      <c r="BA29" s="5">
        <f>'Economic Data'!O55</f>
        <v>163.80000000000001</v>
      </c>
      <c r="BB29" s="5">
        <f>'Economic Data'!P55</f>
        <v>89.9</v>
      </c>
      <c r="BC29" s="5">
        <f>'Economic Data'!Q55</f>
        <v>740632</v>
      </c>
      <c r="BD29" s="5">
        <f>'Economic Data'!R55</f>
        <v>6954</v>
      </c>
      <c r="BE29" s="5">
        <f>'Economic Data'!S55</f>
        <v>3468</v>
      </c>
      <c r="BF29" s="5">
        <f>'Economic Data'!T55</f>
        <v>13152</v>
      </c>
      <c r="BG29" s="5">
        <v>0</v>
      </c>
      <c r="BH29" s="5">
        <v>0</v>
      </c>
      <c r="BI29" s="5">
        <v>0</v>
      </c>
      <c r="BJ29" s="5">
        <f t="shared" si="38"/>
        <v>28</v>
      </c>
      <c r="BK29" s="70">
        <f t="shared" si="1"/>
        <v>1.4471580313422192</v>
      </c>
      <c r="BL29" s="5">
        <f t="shared" si="2"/>
        <v>784</v>
      </c>
      <c r="BM29">
        <v>0</v>
      </c>
      <c r="BN29">
        <v>0</v>
      </c>
      <c r="BO29">
        <v>0</v>
      </c>
      <c r="BP29">
        <v>1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f t="shared" si="47"/>
        <v>1</v>
      </c>
      <c r="BZ29">
        <f t="shared" si="47"/>
        <v>0</v>
      </c>
      <c r="CA29">
        <f t="shared" si="46"/>
        <v>1</v>
      </c>
      <c r="CB29">
        <v>30</v>
      </c>
      <c r="CC29">
        <v>21</v>
      </c>
      <c r="CD29">
        <v>0</v>
      </c>
      <c r="CE29">
        <v>0</v>
      </c>
      <c r="CF29">
        <f t="shared" si="39"/>
        <v>0</v>
      </c>
      <c r="CG29">
        <v>0</v>
      </c>
      <c r="CH29" s="64">
        <f t="shared" si="49"/>
        <v>0</v>
      </c>
      <c r="CI29" s="64">
        <f t="shared" si="50"/>
        <v>0</v>
      </c>
      <c r="CJ29" s="64">
        <f t="shared" si="51"/>
        <v>0</v>
      </c>
      <c r="CK29" s="64">
        <f t="shared" si="52"/>
        <v>0</v>
      </c>
      <c r="CL29" s="64">
        <f t="shared" si="53"/>
        <v>0</v>
      </c>
      <c r="CM29" s="64">
        <f t="shared" si="54"/>
        <v>0</v>
      </c>
      <c r="CN29" s="64">
        <f t="shared" si="55"/>
        <v>0</v>
      </c>
      <c r="CO29" s="64">
        <f t="shared" si="56"/>
        <v>0</v>
      </c>
      <c r="CP29" s="64">
        <f t="shared" si="57"/>
        <v>0</v>
      </c>
      <c r="CQ29" s="64">
        <f t="shared" si="58"/>
        <v>0</v>
      </c>
      <c r="CR29" s="64">
        <f t="shared" si="59"/>
        <v>0</v>
      </c>
      <c r="CS29" s="64">
        <f t="shared" si="60"/>
        <v>0</v>
      </c>
      <c r="CT29" s="64">
        <f t="shared" si="61"/>
        <v>0</v>
      </c>
      <c r="CU29" s="64">
        <f t="shared" si="62"/>
        <v>0</v>
      </c>
      <c r="CV29" s="69">
        <f t="shared" si="63"/>
        <v>20.133575806452402</v>
      </c>
      <c r="CW29" s="69">
        <f t="shared" si="64"/>
        <v>743.99183146918938</v>
      </c>
      <c r="CX29" s="69">
        <f t="shared" si="20"/>
        <v>2624.9692289806521</v>
      </c>
      <c r="CY29" s="69">
        <f t="shared" si="65"/>
        <v>36345.603174603173</v>
      </c>
      <c r="CZ29" s="64">
        <f t="shared" si="22"/>
        <v>1837.4784602864568</v>
      </c>
      <c r="DA29" s="64">
        <f t="shared" si="66"/>
        <v>25441.92222222222</v>
      </c>
      <c r="DB29" s="64">
        <f t="shared" si="24"/>
        <v>0</v>
      </c>
      <c r="DC29" s="64">
        <f t="shared" si="25"/>
        <v>0</v>
      </c>
      <c r="DD29" s="64">
        <f t="shared" si="26"/>
        <v>0</v>
      </c>
      <c r="DE29" s="64">
        <f t="shared" si="27"/>
        <v>0</v>
      </c>
      <c r="DF29" s="64">
        <f t="shared" si="28"/>
        <v>0</v>
      </c>
      <c r="DG29" s="64">
        <f t="shared" si="29"/>
        <v>0</v>
      </c>
      <c r="DH29" s="64">
        <f t="shared" si="30"/>
        <v>0</v>
      </c>
      <c r="DI29" s="64">
        <f t="shared" si="31"/>
        <v>0</v>
      </c>
      <c r="DJ29" s="64">
        <f t="shared" si="32"/>
        <v>0</v>
      </c>
      <c r="DK29" s="64">
        <f t="shared" si="33"/>
        <v>0</v>
      </c>
      <c r="DL29" s="64">
        <f t="shared" si="34"/>
        <v>0</v>
      </c>
      <c r="DM29" s="64">
        <f t="shared" si="35"/>
        <v>0</v>
      </c>
      <c r="DN29" s="64">
        <f t="shared" si="36"/>
        <v>0</v>
      </c>
      <c r="DO29" s="64">
        <f t="shared" si="37"/>
        <v>0</v>
      </c>
      <c r="DP29" s="2">
        <f t="shared" si="68"/>
        <v>4</v>
      </c>
      <c r="DQ29" s="2">
        <v>0</v>
      </c>
      <c r="DR29" s="2">
        <v>0</v>
      </c>
      <c r="DS29" s="2">
        <v>0</v>
      </c>
      <c r="DT29" s="2">
        <v>0</v>
      </c>
      <c r="DU29" s="288">
        <v>4</v>
      </c>
      <c r="DV29" s="2">
        <f t="shared" si="41"/>
        <v>19081.441666666666</v>
      </c>
      <c r="DW29" s="2">
        <f t="shared" si="67"/>
        <v>2289773</v>
      </c>
    </row>
    <row r="30" spans="1:127" s="2" customFormat="1">
      <c r="A30" s="3">
        <v>42491</v>
      </c>
      <c r="B30">
        <f t="shared" si="42"/>
        <v>2016</v>
      </c>
      <c r="C30" s="2">
        <v>18225839</v>
      </c>
      <c r="D30" s="2">
        <f>VLOOKUP(B30,'Historic CDM'!$B$135:$H$146,2,FALSE)/12</f>
        <v>528300.53032321611</v>
      </c>
      <c r="E30" s="2">
        <f t="shared" si="43"/>
        <v>18754139.530323215</v>
      </c>
      <c r="F30" s="6">
        <v>26912</v>
      </c>
      <c r="G30" s="219">
        <v>5320739</v>
      </c>
      <c r="H30" s="2">
        <f>VLOOKUP(B30,'Historic CDM'!$B$135:$H$147,3,FALSE)/12</f>
        <v>907506.28545967676</v>
      </c>
      <c r="I30" s="2">
        <f t="shared" si="44"/>
        <v>6228245.2854596768</v>
      </c>
      <c r="J30" s="6">
        <v>1941</v>
      </c>
      <c r="K30" s="219">
        <v>13839343</v>
      </c>
      <c r="L30" s="2">
        <f>VLOOKUP(B30,'Historic CDM'!$B$135:$H$146,4,FALSE)/12</f>
        <v>972612.99023436254</v>
      </c>
      <c r="M30" s="2">
        <f t="shared" si="48"/>
        <v>14811955.990234362</v>
      </c>
      <c r="N30" s="222">
        <v>36426</v>
      </c>
      <c r="O30" s="220">
        <v>261</v>
      </c>
      <c r="P30" s="220">
        <v>371592</v>
      </c>
      <c r="Q30" s="2">
        <v>1397</v>
      </c>
      <c r="R30" s="220">
        <v>2707</v>
      </c>
      <c r="S30" s="220">
        <v>27698</v>
      </c>
      <c r="T30" s="2">
        <v>72</v>
      </c>
      <c r="U30" s="220">
        <v>174</v>
      </c>
      <c r="V30" s="221">
        <v>129373</v>
      </c>
      <c r="W30" s="220">
        <v>139</v>
      </c>
      <c r="X30" s="2">
        <v>2326556</v>
      </c>
      <c r="Y30" s="2">
        <v>7382</v>
      </c>
      <c r="Z30" s="220">
        <v>3</v>
      </c>
      <c r="AA30" s="100">
        <f>'Weather Data'!D186</f>
        <v>173.29999999999998</v>
      </c>
      <c r="AB30" s="100">
        <f>'Weather Data'!E186</f>
        <v>22.100000000000005</v>
      </c>
      <c r="AC30" s="100">
        <f>'Weather Data'!F186</f>
        <v>126.6</v>
      </c>
      <c r="AD30" s="100">
        <f>'Weather Data'!G186</f>
        <v>37.400000000000006</v>
      </c>
      <c r="AE30" s="100">
        <f>'Weather Data'!H186</f>
        <v>82.399999999999991</v>
      </c>
      <c r="AF30" s="100">
        <f>'Weather Data'!I186</f>
        <v>55.2</v>
      </c>
      <c r="AG30" s="100">
        <f>'Weather Data'!J186</f>
        <v>46.099999999999994</v>
      </c>
      <c r="AH30" s="100">
        <f>'Weather Data'!K186</f>
        <v>80.900000000000006</v>
      </c>
      <c r="AI30" s="100">
        <f>'Weather Data'!L186</f>
        <v>20.099999999999998</v>
      </c>
      <c r="AJ30" s="100">
        <f>'Weather Data'!M186</f>
        <v>116.89999999999998</v>
      </c>
      <c r="AK30" s="100">
        <f>'Weather Data'!N186</f>
        <v>7.0000000000000009</v>
      </c>
      <c r="AL30" s="100">
        <f>'Weather Data'!O186</f>
        <v>165.79999999999998</v>
      </c>
      <c r="AM30" s="100">
        <f>'Weather Data'!P186</f>
        <v>2.8</v>
      </c>
      <c r="AN30" s="100">
        <f>'Weather Data'!Q186</f>
        <v>223.59999999999997</v>
      </c>
      <c r="AO30" s="100">
        <f>'Weather Data'!R186</f>
        <v>15.122580645161293</v>
      </c>
      <c r="AP30" s="5">
        <f>'Economic Data'!D56</f>
        <v>6944.7</v>
      </c>
      <c r="AQ30" s="5">
        <f>'Economic Data'!E56</f>
        <v>6913.7</v>
      </c>
      <c r="AR30" s="5">
        <f>'Economic Data'!F56</f>
        <v>164.5</v>
      </c>
      <c r="AS30" s="5">
        <f>'Economic Data'!G56</f>
        <v>162.19999999999999</v>
      </c>
      <c r="AT30" s="5">
        <f>'Economic Data'!H56</f>
        <v>743976.2</v>
      </c>
      <c r="AU30" s="5">
        <f>'Economic Data'!I56</f>
        <v>6953.7</v>
      </c>
      <c r="AV30" s="5">
        <f>'Economic Data'!J56</f>
        <v>5894.8</v>
      </c>
      <c r="AW30" s="5">
        <f>'Economic Data'!K56</f>
        <v>4265.7</v>
      </c>
      <c r="AX30" s="5">
        <f>'Economic Data'!L56</f>
        <v>916.6</v>
      </c>
      <c r="AY30" s="5">
        <f>'Economic Data'!M56</f>
        <v>546.5</v>
      </c>
      <c r="AZ30" s="5">
        <f>'Economic Data'!N56</f>
        <v>7852.2</v>
      </c>
      <c r="BA30" s="5">
        <f>'Economic Data'!O56</f>
        <v>163.80000000000001</v>
      </c>
      <c r="BB30" s="5">
        <f>'Economic Data'!P56</f>
        <v>89.9</v>
      </c>
      <c r="BC30" s="5">
        <f>'Economic Data'!Q56</f>
        <v>740632</v>
      </c>
      <c r="BD30" s="5">
        <f>'Economic Data'!R56</f>
        <v>6954</v>
      </c>
      <c r="BE30" s="5">
        <f>'Economic Data'!S56</f>
        <v>3468</v>
      </c>
      <c r="BF30" s="5">
        <f>'Economic Data'!T56</f>
        <v>13152</v>
      </c>
      <c r="BG30" s="5">
        <v>0</v>
      </c>
      <c r="BH30" s="5">
        <v>0</v>
      </c>
      <c r="BI30" s="5">
        <v>0</v>
      </c>
      <c r="BJ30" s="5">
        <f t="shared" si="38"/>
        <v>29</v>
      </c>
      <c r="BK30" s="70">
        <f t="shared" si="1"/>
        <v>1.4623979978989561</v>
      </c>
      <c r="BL30" s="5">
        <f t="shared" si="2"/>
        <v>841</v>
      </c>
      <c r="BM30">
        <v>0</v>
      </c>
      <c r="BN30">
        <v>0</v>
      </c>
      <c r="BO30">
        <v>0</v>
      </c>
      <c r="BP30">
        <v>0</v>
      </c>
      <c r="BQ30">
        <v>1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f t="shared" si="47"/>
        <v>1</v>
      </c>
      <c r="BZ30">
        <f t="shared" si="47"/>
        <v>0</v>
      </c>
      <c r="CA30">
        <f t="shared" si="46"/>
        <v>1</v>
      </c>
      <c r="CB30">
        <v>31</v>
      </c>
      <c r="CC30">
        <v>21</v>
      </c>
      <c r="CD30">
        <v>0</v>
      </c>
      <c r="CE30">
        <v>0</v>
      </c>
      <c r="CF30">
        <f t="shared" si="39"/>
        <v>0</v>
      </c>
      <c r="CG30">
        <v>0</v>
      </c>
      <c r="CH30" s="64">
        <f t="shared" si="49"/>
        <v>0</v>
      </c>
      <c r="CI30" s="64">
        <f t="shared" si="50"/>
        <v>0</v>
      </c>
      <c r="CJ30" s="64">
        <f t="shared" si="51"/>
        <v>0</v>
      </c>
      <c r="CK30" s="64">
        <f t="shared" si="52"/>
        <v>0</v>
      </c>
      <c r="CL30" s="64">
        <f t="shared" si="53"/>
        <v>0</v>
      </c>
      <c r="CM30" s="64">
        <f t="shared" si="54"/>
        <v>0</v>
      </c>
      <c r="CN30" s="64">
        <f t="shared" si="55"/>
        <v>0</v>
      </c>
      <c r="CO30" s="64">
        <f t="shared" si="56"/>
        <v>0</v>
      </c>
      <c r="CP30" s="64">
        <f t="shared" si="57"/>
        <v>0</v>
      </c>
      <c r="CQ30" s="64">
        <f t="shared" si="58"/>
        <v>0</v>
      </c>
      <c r="CR30" s="64">
        <f t="shared" si="59"/>
        <v>0</v>
      </c>
      <c r="CS30" s="64">
        <f t="shared" si="60"/>
        <v>0</v>
      </c>
      <c r="CT30" s="64">
        <f t="shared" si="61"/>
        <v>0</v>
      </c>
      <c r="CU30" s="64">
        <f t="shared" si="62"/>
        <v>0</v>
      </c>
      <c r="CV30" s="69">
        <f t="shared" si="63"/>
        <v>22.479646362724885</v>
      </c>
      <c r="CW30" s="69">
        <f t="shared" si="64"/>
        <v>769.77447601775759</v>
      </c>
      <c r="CX30" s="69">
        <f t="shared" si="20"/>
        <v>2702.4185349816385</v>
      </c>
      <c r="CY30" s="69">
        <f t="shared" si="65"/>
        <v>36929.460317460318</v>
      </c>
      <c r="CZ30" s="64">
        <f t="shared" si="22"/>
        <v>1830.6706204714326</v>
      </c>
      <c r="DA30" s="64">
        <f t="shared" si="66"/>
        <v>25016.731182795698</v>
      </c>
      <c r="DB30" s="64">
        <f t="shared" si="24"/>
        <v>0</v>
      </c>
      <c r="DC30" s="64">
        <f t="shared" si="25"/>
        <v>0</v>
      </c>
      <c r="DD30" s="64">
        <f t="shared" si="26"/>
        <v>0</v>
      </c>
      <c r="DE30" s="64">
        <f t="shared" si="27"/>
        <v>0</v>
      </c>
      <c r="DF30" s="64">
        <f t="shared" si="28"/>
        <v>0</v>
      </c>
      <c r="DG30" s="64">
        <f t="shared" si="29"/>
        <v>0</v>
      </c>
      <c r="DH30" s="64">
        <f t="shared" si="30"/>
        <v>0</v>
      </c>
      <c r="DI30" s="64">
        <f t="shared" si="31"/>
        <v>0</v>
      </c>
      <c r="DJ30" s="64">
        <f t="shared" si="32"/>
        <v>0</v>
      </c>
      <c r="DK30" s="64">
        <f t="shared" si="33"/>
        <v>0</v>
      </c>
      <c r="DL30" s="64">
        <f t="shared" si="34"/>
        <v>0</v>
      </c>
      <c r="DM30" s="64">
        <f t="shared" si="35"/>
        <v>0</v>
      </c>
      <c r="DN30" s="64">
        <f t="shared" si="36"/>
        <v>0</v>
      </c>
      <c r="DO30" s="64">
        <f t="shared" si="37"/>
        <v>0</v>
      </c>
      <c r="DP30" s="2">
        <f t="shared" si="68"/>
        <v>5</v>
      </c>
      <c r="DQ30" s="2">
        <v>0</v>
      </c>
      <c r="DR30" s="2">
        <v>0</v>
      </c>
      <c r="DS30" s="2">
        <v>0</v>
      </c>
      <c r="DT30" s="2">
        <v>0</v>
      </c>
      <c r="DU30" s="288">
        <v>4</v>
      </c>
      <c r="DV30" s="2">
        <f t="shared" si="41"/>
        <v>18762.548387096773</v>
      </c>
      <c r="DW30" s="2">
        <f t="shared" si="67"/>
        <v>2326556</v>
      </c>
    </row>
    <row r="31" spans="1:127" s="2" customFormat="1">
      <c r="A31" s="3">
        <v>42522</v>
      </c>
      <c r="B31">
        <f t="shared" si="42"/>
        <v>2016</v>
      </c>
      <c r="C31" s="2">
        <v>24856255</v>
      </c>
      <c r="D31" s="2">
        <f>VLOOKUP(B31,'Historic CDM'!$B$135:$H$146,2,FALSE)/12</f>
        <v>528300.53032321611</v>
      </c>
      <c r="E31" s="2">
        <f t="shared" si="43"/>
        <v>25384555.530323215</v>
      </c>
      <c r="F31" s="6">
        <v>26809</v>
      </c>
      <c r="G31" s="219">
        <v>5870266</v>
      </c>
      <c r="H31" s="2">
        <f>VLOOKUP(B31,'Historic CDM'!$B$135:$H$147,3,FALSE)/12</f>
        <v>907506.28545967676</v>
      </c>
      <c r="I31" s="2">
        <f t="shared" si="44"/>
        <v>6777772.2854596768</v>
      </c>
      <c r="J31" s="6">
        <v>1925</v>
      </c>
      <c r="K31" s="219">
        <v>15570018</v>
      </c>
      <c r="L31" s="2">
        <f>VLOOKUP(B31,'Historic CDM'!$B$135:$H$146,4,FALSE)/12</f>
        <v>972612.99023436254</v>
      </c>
      <c r="M31" s="2">
        <f t="shared" si="48"/>
        <v>16542630.990234362</v>
      </c>
      <c r="N31" s="222">
        <v>41425</v>
      </c>
      <c r="O31" s="220">
        <v>251</v>
      </c>
      <c r="P31" s="220">
        <v>220602</v>
      </c>
      <c r="Q31" s="2">
        <v>1279</v>
      </c>
      <c r="R31" s="220">
        <v>2721</v>
      </c>
      <c r="S31" s="220">
        <v>27718</v>
      </c>
      <c r="T31" s="2">
        <v>72</v>
      </c>
      <c r="U31" s="220">
        <v>174</v>
      </c>
      <c r="V31" s="221">
        <v>129373</v>
      </c>
      <c r="W31" s="220">
        <v>139</v>
      </c>
      <c r="X31" s="2">
        <v>2706683</v>
      </c>
      <c r="Y31" s="2">
        <v>7567</v>
      </c>
      <c r="Z31" s="220">
        <v>3</v>
      </c>
      <c r="AA31" s="100">
        <f>'Weather Data'!D187</f>
        <v>18.400000000000002</v>
      </c>
      <c r="AB31" s="100">
        <f>'Weather Data'!E187</f>
        <v>52.900000000000006</v>
      </c>
      <c r="AC31" s="100">
        <f>'Weather Data'!F187</f>
        <v>6.7999999999999989</v>
      </c>
      <c r="AD31" s="100">
        <f>'Weather Data'!G187</f>
        <v>101.3</v>
      </c>
      <c r="AE31" s="100">
        <f>'Weather Data'!H187</f>
        <v>0.90000000000000036</v>
      </c>
      <c r="AF31" s="100">
        <f>'Weather Data'!I187</f>
        <v>155.4</v>
      </c>
      <c r="AG31" s="100">
        <f>'Weather Data'!J187</f>
        <v>0</v>
      </c>
      <c r="AH31" s="100">
        <f>'Weather Data'!K187</f>
        <v>214.49999999999991</v>
      </c>
      <c r="AI31" s="100">
        <f>'Weather Data'!L187</f>
        <v>0</v>
      </c>
      <c r="AJ31" s="100">
        <f>'Weather Data'!M187</f>
        <v>274.49999999999989</v>
      </c>
      <c r="AK31" s="100">
        <f>'Weather Data'!N187</f>
        <v>0</v>
      </c>
      <c r="AL31" s="100">
        <f>'Weather Data'!O187</f>
        <v>334.49999999999989</v>
      </c>
      <c r="AM31" s="100">
        <f>'Weather Data'!P187</f>
        <v>0</v>
      </c>
      <c r="AN31" s="100">
        <f>'Weather Data'!Q187</f>
        <v>394.49999999999989</v>
      </c>
      <c r="AO31" s="100">
        <f>'Weather Data'!R187</f>
        <v>21.150000000000002</v>
      </c>
      <c r="AP31" s="5">
        <f>'Economic Data'!D57</f>
        <v>6955.5</v>
      </c>
      <c r="AQ31" s="5">
        <f>'Economic Data'!E57</f>
        <v>7000.2</v>
      </c>
      <c r="AR31" s="5">
        <f>'Economic Data'!F57</f>
        <v>166.4</v>
      </c>
      <c r="AS31" s="5">
        <f>'Economic Data'!G57</f>
        <v>166.5</v>
      </c>
      <c r="AT31" s="5">
        <f>'Economic Data'!H57</f>
        <v>743976.2</v>
      </c>
      <c r="AU31" s="5">
        <f>'Economic Data'!I57</f>
        <v>6953.7</v>
      </c>
      <c r="AV31" s="5">
        <f>'Economic Data'!J57</f>
        <v>5894.8</v>
      </c>
      <c r="AW31" s="5">
        <f>'Economic Data'!K57</f>
        <v>4265.7</v>
      </c>
      <c r="AX31" s="5">
        <f>'Economic Data'!L57</f>
        <v>916.6</v>
      </c>
      <c r="AY31" s="5">
        <f>'Economic Data'!M57</f>
        <v>546.5</v>
      </c>
      <c r="AZ31" s="5">
        <f>'Economic Data'!N57</f>
        <v>7852.2</v>
      </c>
      <c r="BA31" s="5">
        <f>'Economic Data'!O57</f>
        <v>163.80000000000001</v>
      </c>
      <c r="BB31" s="5">
        <f>'Economic Data'!P57</f>
        <v>89.9</v>
      </c>
      <c r="BC31" s="5">
        <f>'Economic Data'!Q57</f>
        <v>740632</v>
      </c>
      <c r="BD31" s="5">
        <f>'Economic Data'!R57</f>
        <v>6954</v>
      </c>
      <c r="BE31" s="5">
        <f>'Economic Data'!S57</f>
        <v>3468</v>
      </c>
      <c r="BF31" s="5">
        <f>'Economic Data'!T57</f>
        <v>13152</v>
      </c>
      <c r="BG31" s="5">
        <v>0</v>
      </c>
      <c r="BH31" s="5">
        <v>0</v>
      </c>
      <c r="BI31" s="5">
        <v>0</v>
      </c>
      <c r="BJ31" s="5">
        <f t="shared" si="38"/>
        <v>30</v>
      </c>
      <c r="BK31" s="70">
        <f t="shared" si="1"/>
        <v>1.4771212547196624</v>
      </c>
      <c r="BL31" s="5">
        <f t="shared" si="2"/>
        <v>900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1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f t="shared" si="47"/>
        <v>0</v>
      </c>
      <c r="BZ31">
        <f t="shared" si="47"/>
        <v>0</v>
      </c>
      <c r="CA31">
        <f t="shared" si="46"/>
        <v>0</v>
      </c>
      <c r="CB31">
        <v>30</v>
      </c>
      <c r="CC31">
        <v>22</v>
      </c>
      <c r="CD31">
        <v>0</v>
      </c>
      <c r="CE31">
        <v>0</v>
      </c>
      <c r="CF31">
        <f t="shared" si="39"/>
        <v>0</v>
      </c>
      <c r="CG31">
        <v>0</v>
      </c>
      <c r="CH31" s="64">
        <f t="shared" si="49"/>
        <v>0</v>
      </c>
      <c r="CI31" s="64">
        <f t="shared" si="50"/>
        <v>0</v>
      </c>
      <c r="CJ31" s="64">
        <f t="shared" si="51"/>
        <v>0</v>
      </c>
      <c r="CK31" s="64">
        <f t="shared" si="52"/>
        <v>0</v>
      </c>
      <c r="CL31" s="64">
        <f t="shared" si="53"/>
        <v>0</v>
      </c>
      <c r="CM31" s="64">
        <f t="shared" si="54"/>
        <v>0</v>
      </c>
      <c r="CN31" s="64">
        <f t="shared" si="55"/>
        <v>0</v>
      </c>
      <c r="CO31" s="64">
        <f t="shared" si="56"/>
        <v>0</v>
      </c>
      <c r="CP31" s="64">
        <f t="shared" si="57"/>
        <v>0</v>
      </c>
      <c r="CQ31" s="64">
        <f t="shared" si="58"/>
        <v>0</v>
      </c>
      <c r="CR31" s="64">
        <f t="shared" si="59"/>
        <v>0</v>
      </c>
      <c r="CS31" s="64">
        <f t="shared" si="60"/>
        <v>0</v>
      </c>
      <c r="CT31" s="64">
        <f t="shared" si="61"/>
        <v>0</v>
      </c>
      <c r="CU31" s="64">
        <f t="shared" si="62"/>
        <v>0</v>
      </c>
      <c r="CV31" s="69">
        <f t="shared" si="63"/>
        <v>31.562231004915283</v>
      </c>
      <c r="CW31" s="69">
        <f t="shared" si="64"/>
        <v>900.10256115002346</v>
      </c>
      <c r="CX31" s="69">
        <f t="shared" si="20"/>
        <v>2995.7680170652593</v>
      </c>
      <c r="CY31" s="69">
        <f t="shared" si="65"/>
        <v>41010.348484848488</v>
      </c>
      <c r="CZ31" s="64">
        <f t="shared" si="22"/>
        <v>2196.8965458478569</v>
      </c>
      <c r="DA31" s="64">
        <f t="shared" si="66"/>
        <v>30074.255555555555</v>
      </c>
      <c r="DB31" s="64">
        <f t="shared" si="24"/>
        <v>0</v>
      </c>
      <c r="DC31" s="64">
        <f t="shared" si="25"/>
        <v>0</v>
      </c>
      <c r="DD31" s="64">
        <f t="shared" si="26"/>
        <v>0</v>
      </c>
      <c r="DE31" s="64">
        <f t="shared" si="27"/>
        <v>0</v>
      </c>
      <c r="DF31" s="64">
        <f t="shared" si="28"/>
        <v>0</v>
      </c>
      <c r="DG31" s="64">
        <f t="shared" si="29"/>
        <v>0</v>
      </c>
      <c r="DH31" s="64">
        <f t="shared" si="30"/>
        <v>0</v>
      </c>
      <c r="DI31" s="64">
        <f t="shared" si="31"/>
        <v>0</v>
      </c>
      <c r="DJ31" s="64">
        <f t="shared" si="32"/>
        <v>0</v>
      </c>
      <c r="DK31" s="64">
        <f t="shared" si="33"/>
        <v>0</v>
      </c>
      <c r="DL31" s="64">
        <f t="shared" si="34"/>
        <v>0</v>
      </c>
      <c r="DM31" s="64">
        <f t="shared" si="35"/>
        <v>0</v>
      </c>
      <c r="DN31" s="64">
        <f t="shared" si="36"/>
        <v>0</v>
      </c>
      <c r="DO31" s="64">
        <f t="shared" si="37"/>
        <v>0</v>
      </c>
      <c r="DP31" s="2">
        <f t="shared" si="68"/>
        <v>6</v>
      </c>
      <c r="DQ31" s="2">
        <v>0</v>
      </c>
      <c r="DR31" s="2">
        <v>0</v>
      </c>
      <c r="DS31" s="2">
        <v>0</v>
      </c>
      <c r="DT31" s="2">
        <v>0</v>
      </c>
      <c r="DU31" s="288">
        <v>4</v>
      </c>
      <c r="DV31" s="2">
        <f t="shared" si="41"/>
        <v>22555.691666666666</v>
      </c>
      <c r="DW31" s="2">
        <f t="shared" si="67"/>
        <v>2706683</v>
      </c>
    </row>
    <row r="32" spans="1:127" s="2" customFormat="1">
      <c r="A32" s="3">
        <v>42552</v>
      </c>
      <c r="B32">
        <f t="shared" si="42"/>
        <v>2016</v>
      </c>
      <c r="C32" s="2">
        <v>32189893</v>
      </c>
      <c r="D32" s="2">
        <f>VLOOKUP(B32,'Historic CDM'!$B$135:$H$146,2,FALSE)/12</f>
        <v>528300.53032321611</v>
      </c>
      <c r="E32" s="2">
        <f t="shared" si="43"/>
        <v>32718193.530323215</v>
      </c>
      <c r="F32" s="6">
        <v>26865</v>
      </c>
      <c r="G32" s="219">
        <v>6786646</v>
      </c>
      <c r="H32" s="2">
        <f>VLOOKUP(B32,'Historic CDM'!$B$135:$H$147,3,FALSE)/12</f>
        <v>907506.28545967676</v>
      </c>
      <c r="I32" s="2">
        <f t="shared" si="44"/>
        <v>7694152.2854596768</v>
      </c>
      <c r="J32" s="6">
        <v>1926</v>
      </c>
      <c r="K32" s="219">
        <v>17537485</v>
      </c>
      <c r="L32" s="2">
        <f>VLOOKUP(B32,'Historic CDM'!$B$135:$H$146,4,FALSE)/12</f>
        <v>972612.99023436254</v>
      </c>
      <c r="M32" s="2">
        <f t="shared" si="48"/>
        <v>18510097.990234364</v>
      </c>
      <c r="N32" s="222">
        <v>47326</v>
      </c>
      <c r="O32" s="220">
        <v>252</v>
      </c>
      <c r="P32" s="220">
        <v>227300</v>
      </c>
      <c r="Q32" s="2">
        <v>924</v>
      </c>
      <c r="R32" s="220">
        <v>2721</v>
      </c>
      <c r="S32" s="220">
        <v>27942</v>
      </c>
      <c r="T32" s="2">
        <v>72</v>
      </c>
      <c r="U32" s="220">
        <v>174</v>
      </c>
      <c r="V32" s="221">
        <v>129373</v>
      </c>
      <c r="W32" s="220">
        <v>139</v>
      </c>
      <c r="X32" s="2">
        <v>3094570</v>
      </c>
      <c r="Y32" s="2">
        <v>8803</v>
      </c>
      <c r="Z32" s="220">
        <v>3</v>
      </c>
      <c r="AA32" s="100">
        <f>'Weather Data'!D188</f>
        <v>2.6000000000000014</v>
      </c>
      <c r="AB32" s="100">
        <f>'Weather Data'!E188</f>
        <v>118.89999999999999</v>
      </c>
      <c r="AC32" s="100">
        <f>'Weather Data'!F188</f>
        <v>0</v>
      </c>
      <c r="AD32" s="100">
        <f>'Weather Data'!G188</f>
        <v>178.3</v>
      </c>
      <c r="AE32" s="100">
        <f>'Weather Data'!H188</f>
        <v>0</v>
      </c>
      <c r="AF32" s="100">
        <f>'Weather Data'!I188</f>
        <v>240.29999999999998</v>
      </c>
      <c r="AG32" s="100">
        <f>'Weather Data'!J188</f>
        <v>0</v>
      </c>
      <c r="AH32" s="100">
        <f>'Weather Data'!K188</f>
        <v>302.3</v>
      </c>
      <c r="AI32" s="100">
        <f>'Weather Data'!L188</f>
        <v>0</v>
      </c>
      <c r="AJ32" s="100">
        <f>'Weather Data'!M188</f>
        <v>364.29999999999995</v>
      </c>
      <c r="AK32" s="100">
        <f>'Weather Data'!N188</f>
        <v>0</v>
      </c>
      <c r="AL32" s="100">
        <f>'Weather Data'!O188</f>
        <v>426.3</v>
      </c>
      <c r="AM32" s="100">
        <f>'Weather Data'!P188</f>
        <v>0</v>
      </c>
      <c r="AN32" s="100">
        <f>'Weather Data'!Q188</f>
        <v>488.3</v>
      </c>
      <c r="AO32" s="100">
        <f>'Weather Data'!R188</f>
        <v>23.751612903225805</v>
      </c>
      <c r="AP32" s="5">
        <f>'Economic Data'!D58</f>
        <v>6956.3</v>
      </c>
      <c r="AQ32" s="5">
        <f>'Economic Data'!E58</f>
        <v>7049.5</v>
      </c>
      <c r="AR32" s="5">
        <f>'Economic Data'!F58</f>
        <v>167.9</v>
      </c>
      <c r="AS32" s="5">
        <f>'Economic Data'!G58</f>
        <v>169.9</v>
      </c>
      <c r="AT32" s="5">
        <f>'Economic Data'!H58</f>
        <v>743976.2</v>
      </c>
      <c r="AU32" s="5">
        <f>'Economic Data'!I58</f>
        <v>6953.7</v>
      </c>
      <c r="AV32" s="5">
        <f>'Economic Data'!J58</f>
        <v>5894.8</v>
      </c>
      <c r="AW32" s="5">
        <f>'Economic Data'!K58</f>
        <v>4265.7</v>
      </c>
      <c r="AX32" s="5">
        <f>'Economic Data'!L58</f>
        <v>916.6</v>
      </c>
      <c r="AY32" s="5">
        <f>'Economic Data'!M58</f>
        <v>546.5</v>
      </c>
      <c r="AZ32" s="5">
        <f>'Economic Data'!N58</f>
        <v>7852.2</v>
      </c>
      <c r="BA32" s="5">
        <f>'Economic Data'!O58</f>
        <v>163.80000000000001</v>
      </c>
      <c r="BB32" s="5">
        <f>'Economic Data'!P58</f>
        <v>89.9</v>
      </c>
      <c r="BC32" s="5">
        <f>'Economic Data'!Q58</f>
        <v>746606</v>
      </c>
      <c r="BD32" s="5">
        <f>'Economic Data'!R58</f>
        <v>6970</v>
      </c>
      <c r="BE32" s="5">
        <f>'Economic Data'!S58</f>
        <v>3595</v>
      </c>
      <c r="BF32" s="5">
        <f>'Economic Data'!T58</f>
        <v>13552</v>
      </c>
      <c r="BG32" s="5">
        <v>0</v>
      </c>
      <c r="BH32" s="5">
        <v>0</v>
      </c>
      <c r="BI32" s="5">
        <v>0</v>
      </c>
      <c r="BJ32" s="5">
        <f t="shared" si="38"/>
        <v>31</v>
      </c>
      <c r="BK32" s="70">
        <f t="shared" si="1"/>
        <v>1.4913616938342726</v>
      </c>
      <c r="BL32" s="5">
        <f t="shared" si="2"/>
        <v>961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f t="shared" si="47"/>
        <v>0</v>
      </c>
      <c r="BZ32">
        <f t="shared" si="47"/>
        <v>0</v>
      </c>
      <c r="CA32">
        <f t="shared" si="46"/>
        <v>0</v>
      </c>
      <c r="CB32">
        <v>31</v>
      </c>
      <c r="CC32">
        <v>20</v>
      </c>
      <c r="CD32">
        <v>0</v>
      </c>
      <c r="CE32">
        <v>0</v>
      </c>
      <c r="CF32">
        <f t="shared" si="39"/>
        <v>0</v>
      </c>
      <c r="CG32">
        <v>0</v>
      </c>
      <c r="CH32" s="64">
        <f t="shared" si="49"/>
        <v>0</v>
      </c>
      <c r="CI32" s="64">
        <f t="shared" si="50"/>
        <v>0</v>
      </c>
      <c r="CJ32" s="64">
        <f t="shared" si="51"/>
        <v>0</v>
      </c>
      <c r="CK32" s="64">
        <f t="shared" si="52"/>
        <v>0</v>
      </c>
      <c r="CL32" s="64">
        <f t="shared" si="53"/>
        <v>0</v>
      </c>
      <c r="CM32" s="64">
        <f t="shared" si="54"/>
        <v>0</v>
      </c>
      <c r="CN32" s="64">
        <f t="shared" si="55"/>
        <v>0</v>
      </c>
      <c r="CO32" s="64">
        <f t="shared" si="56"/>
        <v>0</v>
      </c>
      <c r="CP32" s="64">
        <f t="shared" si="57"/>
        <v>0</v>
      </c>
      <c r="CQ32" s="64">
        <f t="shared" si="58"/>
        <v>0</v>
      </c>
      <c r="CR32" s="64">
        <f t="shared" si="59"/>
        <v>0</v>
      </c>
      <c r="CS32" s="64">
        <f t="shared" si="60"/>
        <v>0</v>
      </c>
      <c r="CT32" s="64">
        <f t="shared" si="61"/>
        <v>0</v>
      </c>
      <c r="CU32" s="64">
        <f t="shared" si="62"/>
        <v>0</v>
      </c>
      <c r="CV32" s="69">
        <f t="shared" si="63"/>
        <v>39.286268295267512</v>
      </c>
      <c r="CW32" s="69">
        <f t="shared" si="64"/>
        <v>984.91452706857103</v>
      </c>
      <c r="CX32" s="69">
        <f t="shared" si="20"/>
        <v>3672.6384901258657</v>
      </c>
      <c r="CY32" s="69">
        <f t="shared" si="65"/>
        <v>51576.166666666664</v>
      </c>
      <c r="CZ32" s="64">
        <f t="shared" si="22"/>
        <v>2369.4441871779782</v>
      </c>
      <c r="DA32" s="64">
        <f t="shared" si="66"/>
        <v>33274.946236559139</v>
      </c>
      <c r="DB32" s="64">
        <f t="shared" si="24"/>
        <v>0</v>
      </c>
      <c r="DC32" s="64">
        <f t="shared" si="25"/>
        <v>0</v>
      </c>
      <c r="DD32" s="64">
        <f t="shared" si="26"/>
        <v>0</v>
      </c>
      <c r="DE32" s="64">
        <f t="shared" si="27"/>
        <v>0</v>
      </c>
      <c r="DF32" s="64">
        <f t="shared" si="28"/>
        <v>0</v>
      </c>
      <c r="DG32" s="64">
        <f t="shared" si="29"/>
        <v>0</v>
      </c>
      <c r="DH32" s="64">
        <f t="shared" si="30"/>
        <v>0</v>
      </c>
      <c r="DI32" s="64">
        <f t="shared" si="31"/>
        <v>0</v>
      </c>
      <c r="DJ32" s="64">
        <f t="shared" si="32"/>
        <v>0</v>
      </c>
      <c r="DK32" s="64">
        <f t="shared" si="33"/>
        <v>0</v>
      </c>
      <c r="DL32" s="64">
        <f t="shared" si="34"/>
        <v>0</v>
      </c>
      <c r="DM32" s="64">
        <f t="shared" si="35"/>
        <v>0</v>
      </c>
      <c r="DN32" s="64">
        <f t="shared" si="36"/>
        <v>0</v>
      </c>
      <c r="DO32" s="64">
        <f t="shared" si="37"/>
        <v>0</v>
      </c>
      <c r="DP32" s="2">
        <f t="shared" si="68"/>
        <v>7</v>
      </c>
      <c r="DQ32" s="2">
        <v>0</v>
      </c>
      <c r="DR32" s="2">
        <v>0</v>
      </c>
      <c r="DS32" s="2">
        <v>0</v>
      </c>
      <c r="DT32" s="2">
        <v>0</v>
      </c>
      <c r="DU32" s="288">
        <v>4</v>
      </c>
      <c r="DV32" s="2">
        <f t="shared" si="41"/>
        <v>24956.209677419356</v>
      </c>
      <c r="DW32" s="2">
        <f t="shared" si="67"/>
        <v>3094570</v>
      </c>
    </row>
    <row r="33" spans="1:127" s="2" customFormat="1">
      <c r="A33" s="3">
        <v>42583</v>
      </c>
      <c r="B33">
        <f t="shared" si="42"/>
        <v>2016</v>
      </c>
      <c r="C33" s="2">
        <v>32141059</v>
      </c>
      <c r="D33" s="2">
        <f>VLOOKUP(B33,'Historic CDM'!$B$135:$H$146,2,FALSE)/12</f>
        <v>528300.53032321611</v>
      </c>
      <c r="E33" s="2">
        <f t="shared" si="43"/>
        <v>32669359.530323215</v>
      </c>
      <c r="F33" s="6">
        <v>26914</v>
      </c>
      <c r="G33" s="219">
        <v>6797542</v>
      </c>
      <c r="H33" s="2">
        <f>VLOOKUP(B33,'Historic CDM'!$B$135:$H$147,3,FALSE)/12</f>
        <v>907506.28545967676</v>
      </c>
      <c r="I33" s="2">
        <f t="shared" si="44"/>
        <v>7705048.2854596768</v>
      </c>
      <c r="J33" s="6">
        <v>1926</v>
      </c>
      <c r="K33" s="219">
        <v>19715113</v>
      </c>
      <c r="L33" s="2">
        <f>VLOOKUP(B33,'Historic CDM'!$B$135:$H$146,4,FALSE)/12</f>
        <v>972612.99023436254</v>
      </c>
      <c r="M33" s="2">
        <f t="shared" si="48"/>
        <v>20687725.990234364</v>
      </c>
      <c r="N33" s="222">
        <v>47548</v>
      </c>
      <c r="O33" s="220">
        <v>251</v>
      </c>
      <c r="P33" s="220">
        <v>254316</v>
      </c>
      <c r="Q33" s="2">
        <v>918</v>
      </c>
      <c r="R33" s="220">
        <v>2721</v>
      </c>
      <c r="S33" s="220">
        <v>28264</v>
      </c>
      <c r="T33" s="2">
        <v>72</v>
      </c>
      <c r="U33" s="220">
        <v>173</v>
      </c>
      <c r="V33" s="221">
        <v>129373</v>
      </c>
      <c r="W33" s="220">
        <v>139</v>
      </c>
      <c r="X33" s="2">
        <v>3564597</v>
      </c>
      <c r="Y33" s="2">
        <v>9071</v>
      </c>
      <c r="Z33" s="220">
        <v>3</v>
      </c>
      <c r="AA33" s="100">
        <f>'Weather Data'!D189</f>
        <v>1.3999999999999986</v>
      </c>
      <c r="AB33" s="100">
        <f>'Weather Data'!E189</f>
        <v>114.29999999999998</v>
      </c>
      <c r="AC33" s="100">
        <f>'Weather Data'!F189</f>
        <v>0</v>
      </c>
      <c r="AD33" s="100">
        <f>'Weather Data'!G189</f>
        <v>174.90000000000006</v>
      </c>
      <c r="AE33" s="100">
        <f>'Weather Data'!H189</f>
        <v>0</v>
      </c>
      <c r="AF33" s="100">
        <f>'Weather Data'!I189</f>
        <v>236.90000000000003</v>
      </c>
      <c r="AG33" s="100">
        <f>'Weather Data'!J189</f>
        <v>0</v>
      </c>
      <c r="AH33" s="100">
        <f>'Weather Data'!K189</f>
        <v>298.89999999999992</v>
      </c>
      <c r="AI33" s="100">
        <f>'Weather Data'!L189</f>
        <v>0</v>
      </c>
      <c r="AJ33" s="100">
        <f>'Weather Data'!M189</f>
        <v>360.9</v>
      </c>
      <c r="AK33" s="100">
        <f>'Weather Data'!N189</f>
        <v>0</v>
      </c>
      <c r="AL33" s="100">
        <f>'Weather Data'!O189</f>
        <v>422.90000000000003</v>
      </c>
      <c r="AM33" s="100">
        <f>'Weather Data'!P189</f>
        <v>0</v>
      </c>
      <c r="AN33" s="100">
        <f>'Weather Data'!Q189</f>
        <v>484.90000000000003</v>
      </c>
      <c r="AO33" s="100">
        <f>'Weather Data'!R189</f>
        <v>23.641935483870963</v>
      </c>
      <c r="AP33" s="5">
        <f>'Economic Data'!D59</f>
        <v>6953.5</v>
      </c>
      <c r="AQ33" s="5">
        <f>'Economic Data'!E59</f>
        <v>7045.6</v>
      </c>
      <c r="AR33" s="5">
        <f>'Economic Data'!F59</f>
        <v>167.8</v>
      </c>
      <c r="AS33" s="5">
        <f>'Economic Data'!G59</f>
        <v>171.1</v>
      </c>
      <c r="AT33" s="5">
        <f>'Economic Data'!H59</f>
        <v>743976.2</v>
      </c>
      <c r="AU33" s="5">
        <f>'Economic Data'!I59</f>
        <v>6953.7</v>
      </c>
      <c r="AV33" s="5">
        <f>'Economic Data'!J59</f>
        <v>5894.8</v>
      </c>
      <c r="AW33" s="5">
        <f>'Economic Data'!K59</f>
        <v>4265.7</v>
      </c>
      <c r="AX33" s="5">
        <f>'Economic Data'!L59</f>
        <v>916.6</v>
      </c>
      <c r="AY33" s="5">
        <f>'Economic Data'!M59</f>
        <v>546.5</v>
      </c>
      <c r="AZ33" s="5">
        <f>'Economic Data'!N59</f>
        <v>7852.2</v>
      </c>
      <c r="BA33" s="5">
        <f>'Economic Data'!O59</f>
        <v>163.80000000000001</v>
      </c>
      <c r="BB33" s="5">
        <f>'Economic Data'!P59</f>
        <v>89.9</v>
      </c>
      <c r="BC33" s="5">
        <f>'Economic Data'!Q59</f>
        <v>746606</v>
      </c>
      <c r="BD33" s="5">
        <f>'Economic Data'!R59</f>
        <v>6970</v>
      </c>
      <c r="BE33" s="5">
        <f>'Economic Data'!S59</f>
        <v>3595</v>
      </c>
      <c r="BF33" s="5">
        <f>'Economic Data'!T59</f>
        <v>13552</v>
      </c>
      <c r="BG33" s="5">
        <v>0</v>
      </c>
      <c r="BH33" s="5">
        <v>0</v>
      </c>
      <c r="BI33" s="5">
        <v>0</v>
      </c>
      <c r="BJ33" s="5">
        <f t="shared" si="38"/>
        <v>32</v>
      </c>
      <c r="BK33" s="70">
        <f t="shared" si="1"/>
        <v>1.505149978319906</v>
      </c>
      <c r="BL33" s="5">
        <f t="shared" si="2"/>
        <v>1024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1</v>
      </c>
      <c r="BU33">
        <v>0</v>
      </c>
      <c r="BV33">
        <v>0</v>
      </c>
      <c r="BW33">
        <v>0</v>
      </c>
      <c r="BX33">
        <v>0</v>
      </c>
      <c r="BY33">
        <f t="shared" si="47"/>
        <v>0</v>
      </c>
      <c r="BZ33">
        <f t="shared" si="47"/>
        <v>0</v>
      </c>
      <c r="CA33">
        <f t="shared" si="46"/>
        <v>0</v>
      </c>
      <c r="CB33">
        <v>31</v>
      </c>
      <c r="CC33">
        <v>22</v>
      </c>
      <c r="CD33">
        <v>0</v>
      </c>
      <c r="CE33">
        <v>0</v>
      </c>
      <c r="CF33">
        <f t="shared" si="39"/>
        <v>0</v>
      </c>
      <c r="CG33">
        <v>0</v>
      </c>
      <c r="CH33" s="64">
        <f t="shared" si="49"/>
        <v>0</v>
      </c>
      <c r="CI33" s="64">
        <f t="shared" si="50"/>
        <v>0</v>
      </c>
      <c r="CJ33" s="64">
        <f t="shared" si="51"/>
        <v>0</v>
      </c>
      <c r="CK33" s="64">
        <f t="shared" si="52"/>
        <v>0</v>
      </c>
      <c r="CL33" s="64">
        <f t="shared" si="53"/>
        <v>0</v>
      </c>
      <c r="CM33" s="64">
        <f t="shared" si="54"/>
        <v>0</v>
      </c>
      <c r="CN33" s="64">
        <f t="shared" si="55"/>
        <v>0</v>
      </c>
      <c r="CO33" s="64">
        <f t="shared" si="56"/>
        <v>0</v>
      </c>
      <c r="CP33" s="64">
        <f t="shared" si="57"/>
        <v>0</v>
      </c>
      <c r="CQ33" s="64">
        <f t="shared" si="58"/>
        <v>0</v>
      </c>
      <c r="CR33" s="64">
        <f t="shared" si="59"/>
        <v>0</v>
      </c>
      <c r="CS33" s="64">
        <f t="shared" si="60"/>
        <v>0</v>
      </c>
      <c r="CT33" s="64">
        <f t="shared" si="61"/>
        <v>0</v>
      </c>
      <c r="CU33" s="64">
        <f t="shared" si="62"/>
        <v>0</v>
      </c>
      <c r="CV33" s="69">
        <f t="shared" si="63"/>
        <v>39.156212656230259</v>
      </c>
      <c r="CW33" s="69">
        <f t="shared" si="64"/>
        <v>990.23882347509016</v>
      </c>
      <c r="CX33" s="69">
        <f t="shared" si="20"/>
        <v>3746.4190492999569</v>
      </c>
      <c r="CY33" s="69">
        <f t="shared" si="65"/>
        <v>54009.045454545449</v>
      </c>
      <c r="CZ33" s="64">
        <f t="shared" si="22"/>
        <v>2658.7490027290019</v>
      </c>
      <c r="DA33" s="64">
        <f t="shared" si="66"/>
        <v>38329</v>
      </c>
      <c r="DB33" s="64">
        <f t="shared" si="24"/>
        <v>0</v>
      </c>
      <c r="DC33" s="64">
        <f t="shared" si="25"/>
        <v>0</v>
      </c>
      <c r="DD33" s="64">
        <f t="shared" si="26"/>
        <v>0</v>
      </c>
      <c r="DE33" s="64">
        <f t="shared" si="27"/>
        <v>0</v>
      </c>
      <c r="DF33" s="64">
        <f t="shared" si="28"/>
        <v>0</v>
      </c>
      <c r="DG33" s="64">
        <f t="shared" si="29"/>
        <v>0</v>
      </c>
      <c r="DH33" s="64">
        <f t="shared" si="30"/>
        <v>0</v>
      </c>
      <c r="DI33" s="64">
        <f t="shared" si="31"/>
        <v>0</v>
      </c>
      <c r="DJ33" s="64">
        <f t="shared" si="32"/>
        <v>0</v>
      </c>
      <c r="DK33" s="64">
        <f t="shared" si="33"/>
        <v>0</v>
      </c>
      <c r="DL33" s="64">
        <f t="shared" si="34"/>
        <v>0</v>
      </c>
      <c r="DM33" s="64">
        <f t="shared" si="35"/>
        <v>0</v>
      </c>
      <c r="DN33" s="64">
        <f t="shared" si="36"/>
        <v>0</v>
      </c>
      <c r="DO33" s="64">
        <f t="shared" si="37"/>
        <v>0</v>
      </c>
      <c r="DP33" s="2">
        <f t="shared" si="68"/>
        <v>8</v>
      </c>
      <c r="DQ33" s="2">
        <v>0</v>
      </c>
      <c r="DR33" s="2">
        <v>0</v>
      </c>
      <c r="DS33" s="2">
        <v>0</v>
      </c>
      <c r="DT33" s="2">
        <v>0</v>
      </c>
      <c r="DU33" s="288">
        <v>4</v>
      </c>
      <c r="DV33" s="2">
        <f t="shared" si="41"/>
        <v>28746.75</v>
      </c>
      <c r="DW33" s="2">
        <f t="shared" si="67"/>
        <v>3564597</v>
      </c>
    </row>
    <row r="34" spans="1:127" s="2" customFormat="1">
      <c r="A34" s="3">
        <v>42614</v>
      </c>
      <c r="B34">
        <f t="shared" si="42"/>
        <v>2016</v>
      </c>
      <c r="C34" s="2">
        <v>23328452</v>
      </c>
      <c r="D34" s="2">
        <f>VLOOKUP(B34,'Historic CDM'!$B$135:$H$146,2,FALSE)/12</f>
        <v>528300.53032321611</v>
      </c>
      <c r="E34" s="2">
        <f t="shared" si="43"/>
        <v>23856752.530323215</v>
      </c>
      <c r="F34" s="6">
        <v>26959</v>
      </c>
      <c r="G34" s="219">
        <v>5783123</v>
      </c>
      <c r="H34" s="2">
        <f>VLOOKUP(B34,'Historic CDM'!$B$135:$H$147,3,FALSE)/12</f>
        <v>907506.28545967676</v>
      </c>
      <c r="I34" s="2">
        <f t="shared" si="44"/>
        <v>6690629.2854596768</v>
      </c>
      <c r="J34" s="6">
        <v>1929</v>
      </c>
      <c r="K34" s="219">
        <v>18836554</v>
      </c>
      <c r="L34" s="2">
        <f>VLOOKUP(B34,'Historic CDM'!$B$135:$H$146,4,FALSE)/12</f>
        <v>972612.99023436254</v>
      </c>
      <c r="M34" s="2">
        <f t="shared" si="48"/>
        <v>19809166.990234364</v>
      </c>
      <c r="N34" s="222">
        <v>48009</v>
      </c>
      <c r="O34" s="220">
        <v>251</v>
      </c>
      <c r="P34" s="220">
        <v>226920</v>
      </c>
      <c r="Q34" s="2">
        <v>869</v>
      </c>
      <c r="R34" s="220">
        <v>2738</v>
      </c>
      <c r="S34" s="220">
        <v>27569</v>
      </c>
      <c r="T34" s="2">
        <v>72</v>
      </c>
      <c r="U34" s="220">
        <v>173</v>
      </c>
      <c r="V34" s="221">
        <v>129373</v>
      </c>
      <c r="W34" s="220">
        <v>139</v>
      </c>
      <c r="X34" s="2">
        <v>2934361</v>
      </c>
      <c r="Y34" s="2">
        <v>9180</v>
      </c>
      <c r="Z34" s="220">
        <v>3</v>
      </c>
      <c r="AA34" s="100">
        <f>'Weather Data'!D190</f>
        <v>48.5</v>
      </c>
      <c r="AB34" s="100">
        <f>'Weather Data'!E190</f>
        <v>29.799999999999997</v>
      </c>
      <c r="AC34" s="100">
        <f>'Weather Data'!F190</f>
        <v>19.399999999999995</v>
      </c>
      <c r="AD34" s="100">
        <f>'Weather Data'!G190</f>
        <v>60.70000000000001</v>
      </c>
      <c r="AE34" s="100">
        <f>'Weather Data'!H190</f>
        <v>3.5999999999999979</v>
      </c>
      <c r="AF34" s="100">
        <f>'Weather Data'!I190</f>
        <v>104.9</v>
      </c>
      <c r="AG34" s="100">
        <f>'Weather Data'!J190</f>
        <v>0.19999999999999929</v>
      </c>
      <c r="AH34" s="100">
        <f>'Weather Data'!K190</f>
        <v>161.5</v>
      </c>
      <c r="AI34" s="100">
        <f>'Weather Data'!L190</f>
        <v>0</v>
      </c>
      <c r="AJ34" s="100">
        <f>'Weather Data'!M190</f>
        <v>221.29999999999998</v>
      </c>
      <c r="AK34" s="100">
        <f>'Weather Data'!N190</f>
        <v>0</v>
      </c>
      <c r="AL34" s="100">
        <f>'Weather Data'!O190</f>
        <v>281.3</v>
      </c>
      <c r="AM34" s="100">
        <f>'Weather Data'!P190</f>
        <v>0</v>
      </c>
      <c r="AN34" s="100">
        <f>'Weather Data'!Q190</f>
        <v>341.29999999999995</v>
      </c>
      <c r="AO34" s="100">
        <f>'Weather Data'!R190</f>
        <v>19.376666666666665</v>
      </c>
      <c r="AP34" s="5">
        <f>'Economic Data'!D60</f>
        <v>6950.1</v>
      </c>
      <c r="AQ34" s="5">
        <f>'Economic Data'!E60</f>
        <v>6998.1</v>
      </c>
      <c r="AR34" s="5">
        <f>'Economic Data'!F60</f>
        <v>167.6</v>
      </c>
      <c r="AS34" s="5">
        <f>'Economic Data'!G60</f>
        <v>170.3</v>
      </c>
      <c r="AT34" s="5">
        <f>'Economic Data'!H60</f>
        <v>743976.2</v>
      </c>
      <c r="AU34" s="5">
        <f>'Economic Data'!I60</f>
        <v>6953.7</v>
      </c>
      <c r="AV34" s="5">
        <f>'Economic Data'!J60</f>
        <v>5894.8</v>
      </c>
      <c r="AW34" s="5">
        <f>'Economic Data'!K60</f>
        <v>4265.7</v>
      </c>
      <c r="AX34" s="5">
        <f>'Economic Data'!L60</f>
        <v>916.6</v>
      </c>
      <c r="AY34" s="5">
        <f>'Economic Data'!M60</f>
        <v>546.5</v>
      </c>
      <c r="AZ34" s="5">
        <f>'Economic Data'!N60</f>
        <v>7852.2</v>
      </c>
      <c r="BA34" s="5">
        <f>'Economic Data'!O60</f>
        <v>163.80000000000001</v>
      </c>
      <c r="BB34" s="5">
        <f>'Economic Data'!P60</f>
        <v>89.9</v>
      </c>
      <c r="BC34" s="5">
        <f>'Economic Data'!Q60</f>
        <v>746606</v>
      </c>
      <c r="BD34" s="5">
        <f>'Economic Data'!R60</f>
        <v>6970</v>
      </c>
      <c r="BE34" s="5">
        <f>'Economic Data'!S60</f>
        <v>3595</v>
      </c>
      <c r="BF34" s="5">
        <f>'Economic Data'!T60</f>
        <v>13552</v>
      </c>
      <c r="BG34" s="5">
        <v>0</v>
      </c>
      <c r="BH34" s="5">
        <v>0</v>
      </c>
      <c r="BI34" s="5">
        <v>0</v>
      </c>
      <c r="BJ34" s="5">
        <f t="shared" si="38"/>
        <v>33</v>
      </c>
      <c r="BK34" s="70">
        <f t="shared" si="1"/>
        <v>1.5185139398778875</v>
      </c>
      <c r="BL34" s="5">
        <f t="shared" si="2"/>
        <v>1089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1</v>
      </c>
      <c r="BV34">
        <v>0</v>
      </c>
      <c r="BW34">
        <v>0</v>
      </c>
      <c r="BX34">
        <v>0</v>
      </c>
      <c r="BY34">
        <f t="shared" ref="BY34:BZ49" si="69">BY22</f>
        <v>0</v>
      </c>
      <c r="BZ34">
        <f t="shared" si="69"/>
        <v>0</v>
      </c>
      <c r="CA34">
        <f t="shared" si="46"/>
        <v>0</v>
      </c>
      <c r="CB34">
        <v>30</v>
      </c>
      <c r="CC34">
        <v>21</v>
      </c>
      <c r="CD34">
        <v>0</v>
      </c>
      <c r="CE34">
        <v>0</v>
      </c>
      <c r="CF34">
        <f t="shared" si="39"/>
        <v>0</v>
      </c>
      <c r="CG34">
        <v>0</v>
      </c>
      <c r="CH34" s="64">
        <f t="shared" si="49"/>
        <v>0</v>
      </c>
      <c r="CI34" s="64">
        <f t="shared" si="50"/>
        <v>0</v>
      </c>
      <c r="CJ34" s="64">
        <f t="shared" si="51"/>
        <v>0</v>
      </c>
      <c r="CK34" s="64">
        <f t="shared" si="52"/>
        <v>0</v>
      </c>
      <c r="CL34" s="64">
        <f t="shared" si="53"/>
        <v>0</v>
      </c>
      <c r="CM34" s="64">
        <f t="shared" si="54"/>
        <v>0</v>
      </c>
      <c r="CN34" s="64">
        <f t="shared" si="55"/>
        <v>0</v>
      </c>
      <c r="CO34" s="64">
        <f t="shared" si="56"/>
        <v>0</v>
      </c>
      <c r="CP34" s="64">
        <f t="shared" si="57"/>
        <v>0</v>
      </c>
      <c r="CQ34" s="64">
        <f t="shared" si="58"/>
        <v>0</v>
      </c>
      <c r="CR34" s="64">
        <f t="shared" si="59"/>
        <v>0</v>
      </c>
      <c r="CS34" s="64">
        <f t="shared" si="60"/>
        <v>0</v>
      </c>
      <c r="CT34" s="64">
        <f t="shared" si="61"/>
        <v>0</v>
      </c>
      <c r="CU34" s="64">
        <f t="shared" si="62"/>
        <v>0</v>
      </c>
      <c r="CV34" s="69">
        <f t="shared" si="63"/>
        <v>29.497573513264854</v>
      </c>
      <c r="CW34" s="69">
        <f t="shared" si="64"/>
        <v>888.52978558561438</v>
      </c>
      <c r="CX34" s="69">
        <f t="shared" si="20"/>
        <v>3758.1420964208623</v>
      </c>
      <c r="CY34" s="69">
        <f t="shared" si="65"/>
        <v>46577.158730158728</v>
      </c>
      <c r="CZ34" s="64">
        <f t="shared" si="22"/>
        <v>2630.6994674946031</v>
      </c>
      <c r="DA34" s="64">
        <f t="shared" si="66"/>
        <v>32604.011111111115</v>
      </c>
      <c r="DB34" s="64">
        <f t="shared" si="24"/>
        <v>0</v>
      </c>
      <c r="DC34" s="64">
        <f t="shared" si="25"/>
        <v>0</v>
      </c>
      <c r="DD34" s="64">
        <f t="shared" si="26"/>
        <v>0</v>
      </c>
      <c r="DE34" s="64">
        <f t="shared" si="27"/>
        <v>0</v>
      </c>
      <c r="DF34" s="64">
        <f t="shared" si="28"/>
        <v>0</v>
      </c>
      <c r="DG34" s="64">
        <f t="shared" si="29"/>
        <v>0</v>
      </c>
      <c r="DH34" s="64">
        <f t="shared" si="30"/>
        <v>0</v>
      </c>
      <c r="DI34" s="64">
        <f t="shared" si="31"/>
        <v>0</v>
      </c>
      <c r="DJ34" s="64">
        <f t="shared" si="32"/>
        <v>0</v>
      </c>
      <c r="DK34" s="64">
        <f t="shared" si="33"/>
        <v>0</v>
      </c>
      <c r="DL34" s="64">
        <f t="shared" si="34"/>
        <v>0</v>
      </c>
      <c r="DM34" s="64">
        <f t="shared" si="35"/>
        <v>0</v>
      </c>
      <c r="DN34" s="64">
        <f t="shared" si="36"/>
        <v>0</v>
      </c>
      <c r="DO34" s="64">
        <f t="shared" si="37"/>
        <v>0</v>
      </c>
      <c r="DP34" s="2">
        <f t="shared" si="68"/>
        <v>9</v>
      </c>
      <c r="DQ34" s="2">
        <v>0</v>
      </c>
      <c r="DR34" s="2">
        <v>0</v>
      </c>
      <c r="DS34" s="2">
        <v>0</v>
      </c>
      <c r="DT34" s="2">
        <v>0</v>
      </c>
      <c r="DU34" s="288">
        <v>4</v>
      </c>
      <c r="DV34" s="2">
        <f t="shared" si="41"/>
        <v>24453.008333333335</v>
      </c>
      <c r="DW34" s="2">
        <f t="shared" si="67"/>
        <v>2934361</v>
      </c>
    </row>
    <row r="35" spans="1:127" s="2" customFormat="1">
      <c r="A35" s="3">
        <v>42644</v>
      </c>
      <c r="B35">
        <f t="shared" si="42"/>
        <v>2016</v>
      </c>
      <c r="C35" s="2">
        <v>17590912</v>
      </c>
      <c r="D35" s="2">
        <f>VLOOKUP(B35,'Historic CDM'!$B$135:$H$146,2,FALSE)/12</f>
        <v>528300.53032321611</v>
      </c>
      <c r="E35" s="2">
        <f t="shared" si="43"/>
        <v>18119212.530323215</v>
      </c>
      <c r="F35" s="6">
        <v>27017</v>
      </c>
      <c r="G35" s="219">
        <v>5124073</v>
      </c>
      <c r="H35" s="2">
        <f>VLOOKUP(B35,'Historic CDM'!$B$135:$H$147,3,FALSE)/12</f>
        <v>907506.28545967676</v>
      </c>
      <c r="I35" s="2">
        <f t="shared" si="44"/>
        <v>6031579.2854596768</v>
      </c>
      <c r="J35" s="6">
        <v>1928</v>
      </c>
      <c r="K35" s="219">
        <v>16422155</v>
      </c>
      <c r="L35" s="2">
        <f>VLOOKUP(B35,'Historic CDM'!$B$135:$H$146,4,FALSE)/12</f>
        <v>972612.99023436254</v>
      </c>
      <c r="M35" s="2">
        <f t="shared" si="48"/>
        <v>17394767.990234364</v>
      </c>
      <c r="N35" s="222">
        <v>39910</v>
      </c>
      <c r="O35" s="220">
        <v>251</v>
      </c>
      <c r="P35" s="220">
        <v>266277</v>
      </c>
      <c r="Q35" s="2">
        <v>722</v>
      </c>
      <c r="R35" s="220">
        <v>2738</v>
      </c>
      <c r="S35" s="220">
        <v>22739</v>
      </c>
      <c r="T35" s="2">
        <v>72</v>
      </c>
      <c r="U35" s="220">
        <v>172</v>
      </c>
      <c r="V35" s="221">
        <v>129373</v>
      </c>
      <c r="W35" s="220">
        <v>139</v>
      </c>
      <c r="X35" s="2">
        <v>2701535</v>
      </c>
      <c r="Y35" s="2">
        <v>7035</v>
      </c>
      <c r="Z35" s="220">
        <v>3</v>
      </c>
      <c r="AA35" s="100">
        <f>'Weather Data'!D191</f>
        <v>224.6</v>
      </c>
      <c r="AB35" s="100">
        <f>'Weather Data'!E191</f>
        <v>3.5</v>
      </c>
      <c r="AC35" s="100">
        <f>'Weather Data'!F191</f>
        <v>173.20000000000002</v>
      </c>
      <c r="AD35" s="100">
        <f>'Weather Data'!G191</f>
        <v>14.099999999999998</v>
      </c>
      <c r="AE35" s="100">
        <f>'Weather Data'!H191</f>
        <v>127</v>
      </c>
      <c r="AF35" s="100">
        <f>'Weather Data'!I191</f>
        <v>29.9</v>
      </c>
      <c r="AG35" s="100">
        <f>'Weather Data'!J191</f>
        <v>88.9</v>
      </c>
      <c r="AH35" s="100">
        <f>'Weather Data'!K191</f>
        <v>53.79999999999999</v>
      </c>
      <c r="AI35" s="100">
        <f>'Weather Data'!L191</f>
        <v>55.9</v>
      </c>
      <c r="AJ35" s="100">
        <f>'Weather Data'!M191</f>
        <v>82.799999999999983</v>
      </c>
      <c r="AK35" s="100">
        <f>'Weather Data'!N191</f>
        <v>29.8</v>
      </c>
      <c r="AL35" s="100">
        <f>'Weather Data'!O191</f>
        <v>118.69999999999999</v>
      </c>
      <c r="AM35" s="100">
        <f>'Weather Data'!P191</f>
        <v>11.399999999999999</v>
      </c>
      <c r="AN35" s="100">
        <f>'Weather Data'!Q191</f>
        <v>162.29999999999998</v>
      </c>
      <c r="AO35" s="100">
        <f>'Weather Data'!R191</f>
        <v>12.867741935483869</v>
      </c>
      <c r="AP35" s="5">
        <f>'Economic Data'!D61</f>
        <v>6963.9</v>
      </c>
      <c r="AQ35" s="5">
        <f>'Economic Data'!E61</f>
        <v>6990.5</v>
      </c>
      <c r="AR35" s="5">
        <f>'Economic Data'!F61</f>
        <v>166.9</v>
      </c>
      <c r="AS35" s="5">
        <f>'Economic Data'!G61</f>
        <v>169</v>
      </c>
      <c r="AT35" s="5">
        <f>'Economic Data'!H61</f>
        <v>743976.2</v>
      </c>
      <c r="AU35" s="5">
        <f>'Economic Data'!I61</f>
        <v>6953.7</v>
      </c>
      <c r="AV35" s="5">
        <f>'Economic Data'!J61</f>
        <v>5894.8</v>
      </c>
      <c r="AW35" s="5">
        <f>'Economic Data'!K61</f>
        <v>4265.7</v>
      </c>
      <c r="AX35" s="5">
        <f>'Economic Data'!L61</f>
        <v>916.6</v>
      </c>
      <c r="AY35" s="5">
        <f>'Economic Data'!M61</f>
        <v>546.5</v>
      </c>
      <c r="AZ35" s="5">
        <f>'Economic Data'!N61</f>
        <v>7852.2</v>
      </c>
      <c r="BA35" s="5">
        <f>'Economic Data'!O61</f>
        <v>163.80000000000001</v>
      </c>
      <c r="BB35" s="5">
        <f>'Economic Data'!P61</f>
        <v>89.9</v>
      </c>
      <c r="BC35" s="5">
        <f>'Economic Data'!Q61</f>
        <v>745380</v>
      </c>
      <c r="BD35" s="5">
        <f>'Economic Data'!R61</f>
        <v>6943</v>
      </c>
      <c r="BE35" s="5">
        <f>'Economic Data'!S61</f>
        <v>3625</v>
      </c>
      <c r="BF35" s="5">
        <f>'Economic Data'!T61</f>
        <v>13028</v>
      </c>
      <c r="BG35" s="5">
        <v>0</v>
      </c>
      <c r="BH35" s="5">
        <v>0</v>
      </c>
      <c r="BI35" s="5">
        <v>0</v>
      </c>
      <c r="BJ35" s="5">
        <f t="shared" si="38"/>
        <v>34</v>
      </c>
      <c r="BK35" s="70">
        <f t="shared" si="1"/>
        <v>1.5314789170422551</v>
      </c>
      <c r="BL35" s="5">
        <f t="shared" si="2"/>
        <v>1156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1</v>
      </c>
      <c r="BW35">
        <v>0</v>
      </c>
      <c r="BX35">
        <v>0</v>
      </c>
      <c r="BY35">
        <f t="shared" si="69"/>
        <v>0</v>
      </c>
      <c r="BZ35">
        <f t="shared" si="69"/>
        <v>1</v>
      </c>
      <c r="CA35">
        <f t="shared" si="46"/>
        <v>1</v>
      </c>
      <c r="CB35">
        <v>31</v>
      </c>
      <c r="CC35">
        <v>20</v>
      </c>
      <c r="CD35">
        <v>0</v>
      </c>
      <c r="CE35">
        <v>0</v>
      </c>
      <c r="CF35">
        <f t="shared" si="39"/>
        <v>0</v>
      </c>
      <c r="CG35">
        <v>0</v>
      </c>
      <c r="CH35" s="64">
        <f t="shared" si="49"/>
        <v>0</v>
      </c>
      <c r="CI35" s="64">
        <f t="shared" si="50"/>
        <v>0</v>
      </c>
      <c r="CJ35" s="64">
        <f t="shared" si="51"/>
        <v>0</v>
      </c>
      <c r="CK35" s="64">
        <f t="shared" si="52"/>
        <v>0</v>
      </c>
      <c r="CL35" s="64">
        <f t="shared" si="53"/>
        <v>0</v>
      </c>
      <c r="CM35" s="64">
        <f t="shared" si="54"/>
        <v>0</v>
      </c>
      <c r="CN35" s="64">
        <f t="shared" si="55"/>
        <v>0</v>
      </c>
      <c r="CO35" s="64">
        <f t="shared" si="56"/>
        <v>0</v>
      </c>
      <c r="CP35" s="64">
        <f t="shared" si="57"/>
        <v>0</v>
      </c>
      <c r="CQ35" s="64">
        <f t="shared" si="58"/>
        <v>0</v>
      </c>
      <c r="CR35" s="64">
        <f t="shared" si="59"/>
        <v>0</v>
      </c>
      <c r="CS35" s="64">
        <f t="shared" si="60"/>
        <v>0</v>
      </c>
      <c r="CT35" s="64">
        <f t="shared" si="61"/>
        <v>0</v>
      </c>
      <c r="CU35" s="64">
        <f t="shared" si="62"/>
        <v>0</v>
      </c>
      <c r="CV35" s="69">
        <f t="shared" si="63"/>
        <v>21.634183172988113</v>
      </c>
      <c r="CW35" s="69">
        <f t="shared" si="64"/>
        <v>775.16762440042112</v>
      </c>
      <c r="CX35" s="69">
        <f t="shared" si="20"/>
        <v>3465.0932251462878</v>
      </c>
      <c r="CY35" s="69">
        <f t="shared" si="65"/>
        <v>45025.583333333336</v>
      </c>
      <c r="CZ35" s="64">
        <f t="shared" si="22"/>
        <v>2235.5440162234113</v>
      </c>
      <c r="DA35" s="64">
        <f t="shared" si="66"/>
        <v>29048.763440860217</v>
      </c>
      <c r="DB35" s="64">
        <f t="shared" si="24"/>
        <v>0</v>
      </c>
      <c r="DC35" s="64">
        <f t="shared" si="25"/>
        <v>0</v>
      </c>
      <c r="DD35" s="64">
        <f t="shared" si="26"/>
        <v>0</v>
      </c>
      <c r="DE35" s="64">
        <f t="shared" si="27"/>
        <v>0</v>
      </c>
      <c r="DF35" s="64">
        <f t="shared" si="28"/>
        <v>0</v>
      </c>
      <c r="DG35" s="64">
        <f t="shared" si="29"/>
        <v>0</v>
      </c>
      <c r="DH35" s="64">
        <f t="shared" si="30"/>
        <v>0</v>
      </c>
      <c r="DI35" s="64">
        <f t="shared" si="31"/>
        <v>0</v>
      </c>
      <c r="DJ35" s="64">
        <f t="shared" si="32"/>
        <v>0</v>
      </c>
      <c r="DK35" s="64">
        <f t="shared" si="33"/>
        <v>0</v>
      </c>
      <c r="DL35" s="64">
        <f t="shared" si="34"/>
        <v>0</v>
      </c>
      <c r="DM35" s="64">
        <f t="shared" si="35"/>
        <v>0</v>
      </c>
      <c r="DN35" s="64">
        <f t="shared" si="36"/>
        <v>0</v>
      </c>
      <c r="DO35" s="64">
        <f t="shared" si="37"/>
        <v>0</v>
      </c>
      <c r="DP35" s="2">
        <f t="shared" si="68"/>
        <v>10</v>
      </c>
      <c r="DQ35" s="2">
        <v>0</v>
      </c>
      <c r="DR35" s="2">
        <v>0</v>
      </c>
      <c r="DS35" s="2">
        <v>0</v>
      </c>
      <c r="DT35" s="2">
        <v>0</v>
      </c>
      <c r="DU35" s="288">
        <v>4</v>
      </c>
      <c r="DV35" s="2">
        <f t="shared" si="41"/>
        <v>21786.572580645163</v>
      </c>
      <c r="DW35" s="2">
        <f t="shared" si="67"/>
        <v>2701535</v>
      </c>
    </row>
    <row r="36" spans="1:127" s="2" customFormat="1">
      <c r="A36" s="3">
        <v>42675</v>
      </c>
      <c r="B36">
        <f t="shared" si="42"/>
        <v>2016</v>
      </c>
      <c r="C36" s="2">
        <v>16513480</v>
      </c>
      <c r="D36" s="2">
        <f>VLOOKUP(B36,'Historic CDM'!$B$135:$H$146,2,FALSE)/12</f>
        <v>528300.53032321611</v>
      </c>
      <c r="E36" s="2">
        <f t="shared" si="43"/>
        <v>17041780.530323215</v>
      </c>
      <c r="F36" s="6">
        <v>27063</v>
      </c>
      <c r="G36" s="219">
        <v>4897848</v>
      </c>
      <c r="H36" s="2">
        <f>VLOOKUP(B36,'Historic CDM'!$B$135:$H$147,3,FALSE)/12</f>
        <v>907506.28545967676</v>
      </c>
      <c r="I36" s="2">
        <f t="shared" si="44"/>
        <v>5805354.2854596768</v>
      </c>
      <c r="J36" s="6">
        <v>1933</v>
      </c>
      <c r="K36" s="219">
        <v>15463619</v>
      </c>
      <c r="L36" s="2">
        <f>VLOOKUP(B36,'Historic CDM'!$B$135:$H$146,4,FALSE)/12</f>
        <v>972612.99023436254</v>
      </c>
      <c r="M36" s="2">
        <f t="shared" si="48"/>
        <v>16436231.990234362</v>
      </c>
      <c r="N36" s="222">
        <v>36836</v>
      </c>
      <c r="O36" s="220">
        <v>251</v>
      </c>
      <c r="P36" s="220">
        <v>281181</v>
      </c>
      <c r="Q36" s="2">
        <v>753</v>
      </c>
      <c r="R36" s="220">
        <v>2740</v>
      </c>
      <c r="S36" s="220">
        <v>32812</v>
      </c>
      <c r="T36" s="2">
        <v>72</v>
      </c>
      <c r="U36" s="220">
        <v>172</v>
      </c>
      <c r="V36" s="221">
        <v>129373</v>
      </c>
      <c r="W36" s="220">
        <v>139</v>
      </c>
      <c r="X36" s="2">
        <v>2668913</v>
      </c>
      <c r="Y36" s="2">
        <v>7195</v>
      </c>
      <c r="Z36" s="220">
        <v>3</v>
      </c>
      <c r="AA36" s="100">
        <f>'Weather Data'!D192</f>
        <v>375.3</v>
      </c>
      <c r="AB36" s="100">
        <f>'Weather Data'!E192</f>
        <v>0</v>
      </c>
      <c r="AC36" s="100">
        <f>'Weather Data'!F192</f>
        <v>315.30000000000007</v>
      </c>
      <c r="AD36" s="100">
        <f>'Weather Data'!G192</f>
        <v>0</v>
      </c>
      <c r="AE36" s="100">
        <f>'Weather Data'!H192</f>
        <v>255.4</v>
      </c>
      <c r="AF36" s="100">
        <f>'Weather Data'!I192</f>
        <v>0.10000000000000142</v>
      </c>
      <c r="AG36" s="100">
        <f>'Weather Data'!J192</f>
        <v>200.29999999999998</v>
      </c>
      <c r="AH36" s="100">
        <f>'Weather Data'!K192</f>
        <v>5.0000000000000018</v>
      </c>
      <c r="AI36" s="100">
        <f>'Weather Data'!L192</f>
        <v>146.9</v>
      </c>
      <c r="AJ36" s="100">
        <f>'Weather Data'!M192</f>
        <v>11.600000000000001</v>
      </c>
      <c r="AK36" s="100">
        <f>'Weather Data'!N192</f>
        <v>98.199999999999989</v>
      </c>
      <c r="AL36" s="100">
        <f>'Weather Data'!O192</f>
        <v>22.900000000000002</v>
      </c>
      <c r="AM36" s="100">
        <f>'Weather Data'!P192</f>
        <v>60.900000000000006</v>
      </c>
      <c r="AN36" s="100">
        <f>'Weather Data'!Q192</f>
        <v>45.600000000000009</v>
      </c>
      <c r="AO36" s="100">
        <f>'Weather Data'!R192</f>
        <v>7.49</v>
      </c>
      <c r="AP36" s="5">
        <f>'Economic Data'!D62</f>
        <v>6977.8</v>
      </c>
      <c r="AQ36" s="5">
        <f>'Economic Data'!E62</f>
        <v>6983.4</v>
      </c>
      <c r="AR36" s="5">
        <f>'Economic Data'!F62</f>
        <v>163.80000000000001</v>
      </c>
      <c r="AS36" s="5">
        <f>'Economic Data'!G62</f>
        <v>165.2</v>
      </c>
      <c r="AT36" s="5">
        <f>'Economic Data'!H62</f>
        <v>743976.2</v>
      </c>
      <c r="AU36" s="5">
        <f>'Economic Data'!I62</f>
        <v>6953.7</v>
      </c>
      <c r="AV36" s="5">
        <f>'Economic Data'!J62</f>
        <v>5894.8</v>
      </c>
      <c r="AW36" s="5">
        <f>'Economic Data'!K62</f>
        <v>4265.7</v>
      </c>
      <c r="AX36" s="5">
        <f>'Economic Data'!L62</f>
        <v>916.6</v>
      </c>
      <c r="AY36" s="5">
        <f>'Economic Data'!M62</f>
        <v>546.5</v>
      </c>
      <c r="AZ36" s="5">
        <f>'Economic Data'!N62</f>
        <v>7852.2</v>
      </c>
      <c r="BA36" s="5">
        <f>'Economic Data'!O62</f>
        <v>163.80000000000001</v>
      </c>
      <c r="BB36" s="5">
        <f>'Economic Data'!P62</f>
        <v>89.9</v>
      </c>
      <c r="BC36" s="5">
        <f>'Economic Data'!Q62</f>
        <v>745380</v>
      </c>
      <c r="BD36" s="5">
        <f>'Economic Data'!R62</f>
        <v>6943</v>
      </c>
      <c r="BE36" s="5">
        <f>'Economic Data'!S62</f>
        <v>3625</v>
      </c>
      <c r="BF36" s="5">
        <f>'Economic Data'!T62</f>
        <v>13028</v>
      </c>
      <c r="BG36" s="5">
        <v>0</v>
      </c>
      <c r="BH36" s="5">
        <v>0</v>
      </c>
      <c r="BI36" s="5">
        <v>0</v>
      </c>
      <c r="BJ36" s="5">
        <f t="shared" si="38"/>
        <v>35</v>
      </c>
      <c r="BK36" s="70">
        <f t="shared" si="1"/>
        <v>1.5440680443502757</v>
      </c>
      <c r="BL36" s="5">
        <f t="shared" si="2"/>
        <v>1225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1</v>
      </c>
      <c r="BX36">
        <v>0</v>
      </c>
      <c r="BY36">
        <f t="shared" si="69"/>
        <v>0</v>
      </c>
      <c r="BZ36">
        <f t="shared" si="69"/>
        <v>1</v>
      </c>
      <c r="CA36">
        <f t="shared" si="46"/>
        <v>1</v>
      </c>
      <c r="CB36">
        <v>30</v>
      </c>
      <c r="CC36">
        <v>22</v>
      </c>
      <c r="CD36">
        <v>0</v>
      </c>
      <c r="CE36">
        <v>0</v>
      </c>
      <c r="CF36">
        <f t="shared" si="39"/>
        <v>0</v>
      </c>
      <c r="CG36">
        <v>0</v>
      </c>
      <c r="CH36" s="64">
        <f t="shared" si="49"/>
        <v>0</v>
      </c>
      <c r="CI36" s="64">
        <f t="shared" si="50"/>
        <v>0</v>
      </c>
      <c r="CJ36" s="64">
        <f t="shared" si="51"/>
        <v>0</v>
      </c>
      <c r="CK36" s="64">
        <f t="shared" si="52"/>
        <v>0</v>
      </c>
      <c r="CL36" s="64">
        <f t="shared" si="53"/>
        <v>0</v>
      </c>
      <c r="CM36" s="64">
        <f t="shared" si="54"/>
        <v>0</v>
      </c>
      <c r="CN36" s="64">
        <f t="shared" si="55"/>
        <v>0</v>
      </c>
      <c r="CO36" s="64">
        <f t="shared" si="56"/>
        <v>0</v>
      </c>
      <c r="CP36" s="64">
        <f t="shared" si="57"/>
        <v>0</v>
      </c>
      <c r="CQ36" s="64">
        <f t="shared" si="58"/>
        <v>0</v>
      </c>
      <c r="CR36" s="64">
        <f t="shared" si="59"/>
        <v>0</v>
      </c>
      <c r="CS36" s="64">
        <f t="shared" si="60"/>
        <v>0</v>
      </c>
      <c r="CT36" s="64">
        <f t="shared" si="61"/>
        <v>0</v>
      </c>
      <c r="CU36" s="64">
        <f t="shared" si="62"/>
        <v>0</v>
      </c>
      <c r="CV36" s="69">
        <f t="shared" si="63"/>
        <v>20.990257954061775</v>
      </c>
      <c r="CW36" s="69">
        <f t="shared" si="64"/>
        <v>770.96338452319742</v>
      </c>
      <c r="CX36" s="69">
        <f t="shared" si="20"/>
        <v>2976.4998171376969</v>
      </c>
      <c r="CY36" s="69">
        <f t="shared" si="65"/>
        <v>40438.07575757576</v>
      </c>
      <c r="CZ36" s="64">
        <f t="shared" si="22"/>
        <v>2182.7665325676444</v>
      </c>
      <c r="DA36" s="64">
        <f t="shared" si="66"/>
        <v>29654.588888888888</v>
      </c>
      <c r="DB36" s="64">
        <f t="shared" si="24"/>
        <v>0</v>
      </c>
      <c r="DC36" s="64">
        <f t="shared" si="25"/>
        <v>0</v>
      </c>
      <c r="DD36" s="64">
        <f t="shared" si="26"/>
        <v>0</v>
      </c>
      <c r="DE36" s="64">
        <f t="shared" si="27"/>
        <v>0</v>
      </c>
      <c r="DF36" s="64">
        <f t="shared" si="28"/>
        <v>0</v>
      </c>
      <c r="DG36" s="64">
        <f t="shared" si="29"/>
        <v>0</v>
      </c>
      <c r="DH36" s="64">
        <f t="shared" si="30"/>
        <v>0</v>
      </c>
      <c r="DI36" s="64">
        <f t="shared" si="31"/>
        <v>0</v>
      </c>
      <c r="DJ36" s="64">
        <f t="shared" si="32"/>
        <v>0</v>
      </c>
      <c r="DK36" s="64">
        <f t="shared" si="33"/>
        <v>0</v>
      </c>
      <c r="DL36" s="64">
        <f t="shared" si="34"/>
        <v>0</v>
      </c>
      <c r="DM36" s="64">
        <f t="shared" si="35"/>
        <v>0</v>
      </c>
      <c r="DN36" s="64">
        <f t="shared" si="36"/>
        <v>0</v>
      </c>
      <c r="DO36" s="64">
        <f t="shared" si="37"/>
        <v>0</v>
      </c>
      <c r="DP36" s="2">
        <f t="shared" si="68"/>
        <v>11</v>
      </c>
      <c r="DQ36" s="2">
        <v>0</v>
      </c>
      <c r="DR36" s="2">
        <v>0</v>
      </c>
      <c r="DS36" s="2">
        <v>0</v>
      </c>
      <c r="DT36" s="2">
        <v>0</v>
      </c>
      <c r="DU36" s="288">
        <v>4</v>
      </c>
      <c r="DV36" s="2">
        <f t="shared" si="41"/>
        <v>22240.941666666666</v>
      </c>
      <c r="DW36" s="2">
        <f t="shared" si="67"/>
        <v>2668913</v>
      </c>
    </row>
    <row r="37" spans="1:127" s="2" customFormat="1">
      <c r="A37" s="3">
        <v>42705</v>
      </c>
      <c r="B37">
        <f t="shared" si="42"/>
        <v>2016</v>
      </c>
      <c r="C37" s="2">
        <v>19989298</v>
      </c>
      <c r="D37" s="2">
        <f>VLOOKUP(B37,'Historic CDM'!$B$135:$H$146,2,FALSE)/12</f>
        <v>528300.53032321611</v>
      </c>
      <c r="E37" s="2">
        <f t="shared" si="43"/>
        <v>20517598.530323215</v>
      </c>
      <c r="F37" s="6">
        <v>27131</v>
      </c>
      <c r="G37" s="219">
        <v>5460133</v>
      </c>
      <c r="H37" s="2">
        <f>VLOOKUP(B37,'Historic CDM'!$B$135:$H$147,3,FALSE)/12</f>
        <v>907506.28545967676</v>
      </c>
      <c r="I37" s="2">
        <f t="shared" si="44"/>
        <v>6367639.2854596768</v>
      </c>
      <c r="J37" s="6">
        <v>1944</v>
      </c>
      <c r="K37" s="219">
        <v>15034753</v>
      </c>
      <c r="L37" s="2">
        <f>VLOOKUP(B37,'Historic CDM'!$B$135:$H$146,4,FALSE)/12</f>
        <v>972612.99023436254</v>
      </c>
      <c r="M37" s="2">
        <f t="shared" si="48"/>
        <v>16007365.990234362</v>
      </c>
      <c r="N37" s="222">
        <v>37084</v>
      </c>
      <c r="O37" s="220">
        <v>249</v>
      </c>
      <c r="P37" s="220">
        <v>307861</v>
      </c>
      <c r="Q37" s="2">
        <v>725</v>
      </c>
      <c r="R37" s="220">
        <v>2742</v>
      </c>
      <c r="S37" s="220">
        <v>27737</v>
      </c>
      <c r="T37" s="2">
        <v>72</v>
      </c>
      <c r="U37" s="220">
        <v>264</v>
      </c>
      <c r="V37" s="221">
        <v>129373</v>
      </c>
      <c r="W37" s="220">
        <v>132</v>
      </c>
      <c r="X37" s="2">
        <v>2635161</v>
      </c>
      <c r="Y37" s="2">
        <v>6564</v>
      </c>
      <c r="Z37" s="220">
        <v>3</v>
      </c>
      <c r="AA37" s="100">
        <f>'Weather Data'!D193</f>
        <v>685.19999999999993</v>
      </c>
      <c r="AB37" s="100">
        <f>'Weather Data'!E193</f>
        <v>0</v>
      </c>
      <c r="AC37" s="100">
        <f>'Weather Data'!F193</f>
        <v>623.19999999999993</v>
      </c>
      <c r="AD37" s="100">
        <f>'Weather Data'!G193</f>
        <v>0</v>
      </c>
      <c r="AE37" s="100">
        <f>'Weather Data'!H193</f>
        <v>561.20000000000005</v>
      </c>
      <c r="AF37" s="100">
        <f>'Weather Data'!I193</f>
        <v>0</v>
      </c>
      <c r="AG37" s="100">
        <f>'Weather Data'!J193</f>
        <v>499.20000000000005</v>
      </c>
      <c r="AH37" s="100">
        <f>'Weather Data'!K193</f>
        <v>0</v>
      </c>
      <c r="AI37" s="100">
        <f>'Weather Data'!L193</f>
        <v>437.20000000000005</v>
      </c>
      <c r="AJ37" s="100">
        <f>'Weather Data'!M193</f>
        <v>0</v>
      </c>
      <c r="AK37" s="100">
        <f>'Weather Data'!N193</f>
        <v>375.2</v>
      </c>
      <c r="AL37" s="100">
        <f>'Weather Data'!O193</f>
        <v>0</v>
      </c>
      <c r="AM37" s="100">
        <f>'Weather Data'!P193</f>
        <v>313.2</v>
      </c>
      <c r="AN37" s="100">
        <f>'Weather Data'!Q193</f>
        <v>0</v>
      </c>
      <c r="AO37" s="100">
        <f>'Weather Data'!R193</f>
        <v>-2.1032258064516132</v>
      </c>
      <c r="AP37" s="5">
        <f>'Economic Data'!D63</f>
        <v>6992.4</v>
      </c>
      <c r="AQ37" s="5">
        <f>'Economic Data'!E63</f>
        <v>6999.9</v>
      </c>
      <c r="AR37" s="5">
        <f>'Economic Data'!F63</f>
        <v>161.19999999999999</v>
      </c>
      <c r="AS37" s="5">
        <f>'Economic Data'!G63</f>
        <v>162.1</v>
      </c>
      <c r="AT37" s="5">
        <f>'Economic Data'!H63</f>
        <v>743976.2</v>
      </c>
      <c r="AU37" s="5">
        <f>'Economic Data'!I63</f>
        <v>6953.7</v>
      </c>
      <c r="AV37" s="5">
        <f>'Economic Data'!J63</f>
        <v>5894.8</v>
      </c>
      <c r="AW37" s="5">
        <f>'Economic Data'!K63</f>
        <v>4265.7</v>
      </c>
      <c r="AX37" s="5">
        <f>'Economic Data'!L63</f>
        <v>916.6</v>
      </c>
      <c r="AY37" s="5">
        <f>'Economic Data'!M63</f>
        <v>546.5</v>
      </c>
      <c r="AZ37" s="5">
        <f>'Economic Data'!N63</f>
        <v>7852.2</v>
      </c>
      <c r="BA37" s="5">
        <f>'Economic Data'!O63</f>
        <v>163.80000000000001</v>
      </c>
      <c r="BB37" s="5">
        <f>'Economic Data'!P63</f>
        <v>89.9</v>
      </c>
      <c r="BC37" s="5">
        <f>'Economic Data'!Q63</f>
        <v>745380</v>
      </c>
      <c r="BD37" s="5">
        <f>'Economic Data'!R63</f>
        <v>6943</v>
      </c>
      <c r="BE37" s="5">
        <f>'Economic Data'!S63</f>
        <v>3625</v>
      </c>
      <c r="BF37" s="5">
        <f>'Economic Data'!T63</f>
        <v>13028</v>
      </c>
      <c r="BG37" s="5">
        <v>0</v>
      </c>
      <c r="BH37" s="5">
        <v>0</v>
      </c>
      <c r="BI37" s="5">
        <v>0</v>
      </c>
      <c r="BJ37" s="5">
        <f t="shared" si="38"/>
        <v>36</v>
      </c>
      <c r="BK37" s="70">
        <f t="shared" si="1"/>
        <v>1.5563025007672873</v>
      </c>
      <c r="BL37" s="5">
        <f t="shared" si="2"/>
        <v>1296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</v>
      </c>
      <c r="BY37">
        <f t="shared" si="69"/>
        <v>0</v>
      </c>
      <c r="BZ37">
        <f t="shared" si="69"/>
        <v>0</v>
      </c>
      <c r="CA37">
        <f t="shared" si="46"/>
        <v>0</v>
      </c>
      <c r="CB37">
        <v>31</v>
      </c>
      <c r="CC37">
        <v>20</v>
      </c>
      <c r="CD37">
        <v>0</v>
      </c>
      <c r="CE37">
        <v>0</v>
      </c>
      <c r="CF37">
        <f t="shared" si="39"/>
        <v>0</v>
      </c>
      <c r="CG37">
        <v>0</v>
      </c>
      <c r="CH37" s="64">
        <f t="shared" si="49"/>
        <v>0</v>
      </c>
      <c r="CI37" s="64">
        <f t="shared" si="50"/>
        <v>0</v>
      </c>
      <c r="CJ37" s="64">
        <f t="shared" si="51"/>
        <v>0</v>
      </c>
      <c r="CK37" s="64">
        <f t="shared" si="52"/>
        <v>0</v>
      </c>
      <c r="CL37" s="64">
        <f t="shared" si="53"/>
        <v>0</v>
      </c>
      <c r="CM37" s="64">
        <f t="shared" si="54"/>
        <v>0</v>
      </c>
      <c r="CN37" s="64">
        <f t="shared" si="55"/>
        <v>0</v>
      </c>
      <c r="CO37" s="64">
        <f t="shared" si="56"/>
        <v>0</v>
      </c>
      <c r="CP37" s="64">
        <f t="shared" si="57"/>
        <v>0</v>
      </c>
      <c r="CQ37" s="64">
        <f t="shared" si="58"/>
        <v>0</v>
      </c>
      <c r="CR37" s="64">
        <f t="shared" si="59"/>
        <v>0</v>
      </c>
      <c r="CS37" s="64">
        <f t="shared" si="60"/>
        <v>0</v>
      </c>
      <c r="CT37" s="64">
        <f t="shared" si="61"/>
        <v>0</v>
      </c>
      <c r="CU37" s="64">
        <f t="shared" si="62"/>
        <v>0</v>
      </c>
      <c r="CV37" s="69">
        <f t="shared" si="63"/>
        <v>24.394899454763941</v>
      </c>
      <c r="CW37" s="69">
        <f t="shared" si="64"/>
        <v>824.93059793492375</v>
      </c>
      <c r="CX37" s="69">
        <f t="shared" si="20"/>
        <v>3214.330520127382</v>
      </c>
      <c r="CY37" s="69">
        <f t="shared" si="65"/>
        <v>43919.35</v>
      </c>
      <c r="CZ37" s="64">
        <f t="shared" si="22"/>
        <v>2073.7616258886337</v>
      </c>
      <c r="DA37" s="64">
        <f t="shared" si="66"/>
        <v>28335.06451612903</v>
      </c>
      <c r="DB37" s="64">
        <f t="shared" si="24"/>
        <v>0</v>
      </c>
      <c r="DC37" s="64">
        <f t="shared" si="25"/>
        <v>0</v>
      </c>
      <c r="DD37" s="64">
        <f t="shared" si="26"/>
        <v>0</v>
      </c>
      <c r="DE37" s="64">
        <f t="shared" si="27"/>
        <v>0</v>
      </c>
      <c r="DF37" s="64">
        <f t="shared" si="28"/>
        <v>0</v>
      </c>
      <c r="DG37" s="64">
        <f t="shared" si="29"/>
        <v>0</v>
      </c>
      <c r="DH37" s="64">
        <f t="shared" si="30"/>
        <v>0</v>
      </c>
      <c r="DI37" s="64">
        <f t="shared" si="31"/>
        <v>0</v>
      </c>
      <c r="DJ37" s="64">
        <f t="shared" si="32"/>
        <v>0</v>
      </c>
      <c r="DK37" s="64">
        <f t="shared" si="33"/>
        <v>0</v>
      </c>
      <c r="DL37" s="64">
        <f t="shared" si="34"/>
        <v>0</v>
      </c>
      <c r="DM37" s="64">
        <f t="shared" si="35"/>
        <v>0</v>
      </c>
      <c r="DN37" s="64">
        <f t="shared" si="36"/>
        <v>0</v>
      </c>
      <c r="DO37" s="64">
        <f t="shared" si="37"/>
        <v>0</v>
      </c>
      <c r="DP37" s="2">
        <f t="shared" si="68"/>
        <v>12</v>
      </c>
      <c r="DQ37" s="2">
        <v>0</v>
      </c>
      <c r="DR37" s="2">
        <v>0</v>
      </c>
      <c r="DS37" s="2">
        <v>0</v>
      </c>
      <c r="DT37" s="2">
        <v>0</v>
      </c>
      <c r="DU37" s="288">
        <v>4</v>
      </c>
      <c r="DV37" s="2">
        <f t="shared" si="41"/>
        <v>21251.298387096773</v>
      </c>
      <c r="DW37" s="2">
        <f t="shared" si="67"/>
        <v>2635161</v>
      </c>
    </row>
    <row r="38" spans="1:127" s="2" customFormat="1">
      <c r="A38" s="3">
        <v>42736</v>
      </c>
      <c r="B38">
        <f t="shared" si="42"/>
        <v>2017</v>
      </c>
      <c r="C38" s="2">
        <v>19749822</v>
      </c>
      <c r="D38" s="2">
        <f>VLOOKUP(B38,'Historic CDM'!$B$135:$H$146,2,FALSE)/12</f>
        <v>931954.37951623613</v>
      </c>
      <c r="E38" s="2">
        <f t="shared" si="43"/>
        <v>20681776.379516236</v>
      </c>
      <c r="F38" s="6">
        <v>27137</v>
      </c>
      <c r="G38" s="219">
        <v>5827775</v>
      </c>
      <c r="H38" s="2">
        <f>VLOOKUP(B38,'Historic CDM'!$B$135:$H$147,3,FALSE)/12</f>
        <v>1008417.3725585771</v>
      </c>
      <c r="I38" s="2">
        <f t="shared" si="44"/>
        <v>6836192.372558577</v>
      </c>
      <c r="J38" s="6">
        <v>1948</v>
      </c>
      <c r="K38" s="219">
        <v>13363846</v>
      </c>
      <c r="L38" s="2">
        <f>VLOOKUP(B38,'Historic CDM'!$B$135:$H$146,4,FALSE)/12</f>
        <v>1082686.4618870232</v>
      </c>
      <c r="M38" s="2">
        <f t="shared" si="48"/>
        <v>14446532.461887022</v>
      </c>
      <c r="N38" s="222">
        <v>34380</v>
      </c>
      <c r="O38" s="220">
        <v>250</v>
      </c>
      <c r="P38" s="220">
        <v>303337</v>
      </c>
      <c r="Q38" s="2">
        <v>725</v>
      </c>
      <c r="R38" s="220">
        <v>2744</v>
      </c>
      <c r="S38" s="220">
        <v>25984</v>
      </c>
      <c r="T38" s="2">
        <v>73</v>
      </c>
      <c r="U38" s="220">
        <v>264</v>
      </c>
      <c r="V38" s="221">
        <v>129105</v>
      </c>
      <c r="W38" s="220">
        <v>132</v>
      </c>
      <c r="X38" s="2">
        <v>3109978</v>
      </c>
      <c r="Y38" s="2">
        <v>7457</v>
      </c>
      <c r="Z38" s="220">
        <v>4</v>
      </c>
      <c r="AA38" s="100">
        <f>'Weather Data'!D194</f>
        <v>646.20000000000005</v>
      </c>
      <c r="AB38" s="100">
        <f>'Weather Data'!E194</f>
        <v>0</v>
      </c>
      <c r="AC38" s="100">
        <f>'Weather Data'!F194</f>
        <v>584.19999999999993</v>
      </c>
      <c r="AD38" s="100">
        <f>'Weather Data'!G194</f>
        <v>0</v>
      </c>
      <c r="AE38" s="100">
        <f>'Weather Data'!H194</f>
        <v>522.19999999999993</v>
      </c>
      <c r="AF38" s="100">
        <f>'Weather Data'!I194</f>
        <v>0</v>
      </c>
      <c r="AG38" s="100">
        <f>'Weather Data'!J194</f>
        <v>460.19999999999993</v>
      </c>
      <c r="AH38" s="100">
        <f>'Weather Data'!K194</f>
        <v>0</v>
      </c>
      <c r="AI38" s="100">
        <f>'Weather Data'!L194</f>
        <v>398.19999999999993</v>
      </c>
      <c r="AJ38" s="100">
        <f>'Weather Data'!M194</f>
        <v>0</v>
      </c>
      <c r="AK38" s="100">
        <f>'Weather Data'!N194</f>
        <v>336.2</v>
      </c>
      <c r="AL38" s="100">
        <f>'Weather Data'!O194</f>
        <v>0</v>
      </c>
      <c r="AM38" s="100">
        <f>'Weather Data'!P194</f>
        <v>274.2</v>
      </c>
      <c r="AN38" s="100">
        <f>'Weather Data'!Q194</f>
        <v>0</v>
      </c>
      <c r="AO38" s="100">
        <f>'Weather Data'!R194</f>
        <v>-0.84516129032258069</v>
      </c>
      <c r="AP38" s="5">
        <f>'Economic Data'!D64</f>
        <v>7014.6</v>
      </c>
      <c r="AQ38" s="5">
        <f>'Economic Data'!E64</f>
        <v>6982.5</v>
      </c>
      <c r="AR38" s="5">
        <f>'Economic Data'!F64</f>
        <v>160.5</v>
      </c>
      <c r="AS38" s="5">
        <f>'Economic Data'!G64</f>
        <v>160.1</v>
      </c>
      <c r="AT38" s="5">
        <f>'Economic Data'!H64</f>
        <v>764464.8</v>
      </c>
      <c r="AU38" s="5">
        <f>'Economic Data'!I64</f>
        <v>7291.3</v>
      </c>
      <c r="AV38" s="5">
        <f>'Economic Data'!J64</f>
        <v>6223.6</v>
      </c>
      <c r="AW38" s="5">
        <f>'Economic Data'!K64</f>
        <v>4582</v>
      </c>
      <c r="AX38" s="5">
        <f>'Economic Data'!L64</f>
        <v>921.1</v>
      </c>
      <c r="AY38" s="5">
        <f>'Economic Data'!M64</f>
        <v>586.70000000000005</v>
      </c>
      <c r="AZ38" s="5">
        <f>'Economic Data'!N64</f>
        <v>7685.1</v>
      </c>
      <c r="BA38" s="5">
        <f>'Economic Data'!O64</f>
        <v>124.8</v>
      </c>
      <c r="BB38" s="5">
        <f>'Economic Data'!P64</f>
        <v>103.7</v>
      </c>
      <c r="BC38" s="5">
        <f>'Economic Data'!Q64</f>
        <v>756702</v>
      </c>
      <c r="BD38" s="5">
        <f>'Economic Data'!R64</f>
        <v>7107</v>
      </c>
      <c r="BE38" s="5">
        <f>'Economic Data'!S64</f>
        <v>3589</v>
      </c>
      <c r="BF38" s="5">
        <f>'Economic Data'!T64</f>
        <v>13203</v>
      </c>
      <c r="BG38" s="5">
        <f>'EV Data'!V3</f>
        <v>439.66666666666669</v>
      </c>
      <c r="BH38" s="5">
        <f>'EV Data'!AB3</f>
        <v>3.3333333333333335</v>
      </c>
      <c r="BI38" s="5">
        <f>'EV Data'!W3</f>
        <v>9</v>
      </c>
      <c r="BJ38" s="5">
        <f t="shared" si="38"/>
        <v>37</v>
      </c>
      <c r="BK38" s="70">
        <f t="shared" si="1"/>
        <v>1.568201724066995</v>
      </c>
      <c r="BL38" s="5">
        <f t="shared" si="2"/>
        <v>1369</v>
      </c>
      <c r="BM38">
        <v>1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f t="shared" si="69"/>
        <v>0</v>
      </c>
      <c r="BZ38">
        <f t="shared" si="69"/>
        <v>0</v>
      </c>
      <c r="CA38">
        <f t="shared" si="46"/>
        <v>0</v>
      </c>
      <c r="CB38">
        <v>31</v>
      </c>
      <c r="CC38">
        <v>22</v>
      </c>
      <c r="CD38">
        <v>0</v>
      </c>
      <c r="CE38">
        <v>0</v>
      </c>
      <c r="CF38">
        <f t="shared" si="39"/>
        <v>0</v>
      </c>
      <c r="CG38">
        <v>0</v>
      </c>
      <c r="CH38" s="64">
        <f t="shared" si="49"/>
        <v>0</v>
      </c>
      <c r="CI38" s="64">
        <f t="shared" si="50"/>
        <v>0</v>
      </c>
      <c r="CJ38" s="64">
        <f t="shared" si="51"/>
        <v>0</v>
      </c>
      <c r="CK38" s="64">
        <f t="shared" si="52"/>
        <v>0</v>
      </c>
      <c r="CL38" s="64">
        <f t="shared" si="53"/>
        <v>0</v>
      </c>
      <c r="CM38" s="64">
        <f t="shared" si="54"/>
        <v>0</v>
      </c>
      <c r="CN38" s="64">
        <f t="shared" si="55"/>
        <v>0</v>
      </c>
      <c r="CO38" s="64">
        <f t="shared" si="56"/>
        <v>0</v>
      </c>
      <c r="CP38" s="64">
        <f t="shared" si="57"/>
        <v>0</v>
      </c>
      <c r="CQ38" s="64">
        <f t="shared" si="58"/>
        <v>0</v>
      </c>
      <c r="CR38" s="64">
        <f t="shared" si="59"/>
        <v>0</v>
      </c>
      <c r="CS38" s="64">
        <f t="shared" si="60"/>
        <v>0</v>
      </c>
      <c r="CT38" s="64">
        <f t="shared" si="61"/>
        <v>0</v>
      </c>
      <c r="CU38" s="64">
        <f t="shared" si="62"/>
        <v>0</v>
      </c>
      <c r="CV38" s="69">
        <f t="shared" si="63"/>
        <v>24.584665834786023</v>
      </c>
      <c r="CW38" s="69">
        <f t="shared" si="64"/>
        <v>882.0893383946551</v>
      </c>
      <c r="CX38" s="69">
        <f t="shared" si="20"/>
        <v>2626.6422657976404</v>
      </c>
      <c r="CY38" s="69">
        <f t="shared" si="65"/>
        <v>35340.659090909088</v>
      </c>
      <c r="CZ38" s="64">
        <f t="shared" si="22"/>
        <v>1864.0687047596157</v>
      </c>
      <c r="DA38" s="64">
        <f t="shared" si="66"/>
        <v>25080.467741935485</v>
      </c>
      <c r="DB38" s="64">
        <f t="shared" si="24"/>
        <v>0</v>
      </c>
      <c r="DC38" s="64">
        <f t="shared" si="25"/>
        <v>0</v>
      </c>
      <c r="DD38" s="64">
        <f t="shared" si="26"/>
        <v>0</v>
      </c>
      <c r="DE38" s="64">
        <f t="shared" si="27"/>
        <v>0</v>
      </c>
      <c r="DF38" s="64">
        <f t="shared" si="28"/>
        <v>0</v>
      </c>
      <c r="DG38" s="64">
        <f t="shared" si="29"/>
        <v>0</v>
      </c>
      <c r="DH38" s="64">
        <f t="shared" si="30"/>
        <v>0</v>
      </c>
      <c r="DI38" s="64">
        <f t="shared" si="31"/>
        <v>0</v>
      </c>
      <c r="DJ38" s="64">
        <f t="shared" si="32"/>
        <v>0</v>
      </c>
      <c r="DK38" s="64">
        <f t="shared" si="33"/>
        <v>0</v>
      </c>
      <c r="DL38" s="64">
        <f t="shared" si="34"/>
        <v>0</v>
      </c>
      <c r="DM38" s="64">
        <f t="shared" si="35"/>
        <v>0</v>
      </c>
      <c r="DN38" s="64">
        <f t="shared" si="36"/>
        <v>0</v>
      </c>
      <c r="DO38" s="64">
        <f t="shared" si="37"/>
        <v>0</v>
      </c>
      <c r="DP38" s="2">
        <f t="shared" si="68"/>
        <v>13</v>
      </c>
      <c r="DQ38" s="2">
        <v>1</v>
      </c>
      <c r="DR38" s="2">
        <v>0</v>
      </c>
      <c r="DS38" s="2">
        <v>0</v>
      </c>
      <c r="DT38" s="2">
        <v>0</v>
      </c>
      <c r="DU38" s="2">
        <f t="shared" si="40"/>
        <v>4</v>
      </c>
      <c r="DV38" s="2">
        <f t="shared" si="41"/>
        <v>25080.467741935485</v>
      </c>
      <c r="DW38" s="2">
        <f t="shared" si="67"/>
        <v>3109978</v>
      </c>
    </row>
    <row r="39" spans="1:127" s="2" customFormat="1">
      <c r="A39" s="3">
        <v>42767</v>
      </c>
      <c r="B39">
        <f t="shared" si="42"/>
        <v>2017</v>
      </c>
      <c r="C39" s="2">
        <v>16782978</v>
      </c>
      <c r="D39" s="2">
        <f>VLOOKUP(B39,'Historic CDM'!$B$135:$H$146,2,FALSE)/12</f>
        <v>931954.37951623613</v>
      </c>
      <c r="E39" s="2">
        <f t="shared" si="43"/>
        <v>17714932.379516236</v>
      </c>
      <c r="F39" s="6">
        <v>27148</v>
      </c>
      <c r="G39" s="219">
        <v>4944345</v>
      </c>
      <c r="H39" s="2">
        <f>VLOOKUP(B39,'Historic CDM'!$B$135:$H$147,3,FALSE)/12</f>
        <v>1008417.3725585771</v>
      </c>
      <c r="I39" s="2">
        <f t="shared" si="44"/>
        <v>5952762.372558577</v>
      </c>
      <c r="J39" s="6">
        <v>1949</v>
      </c>
      <c r="K39" s="219">
        <v>11406638</v>
      </c>
      <c r="L39" s="2">
        <f>VLOOKUP(B39,'Historic CDM'!$B$135:$H$146,4,FALSE)/12</f>
        <v>1082686.4618870232</v>
      </c>
      <c r="M39" s="2">
        <f t="shared" si="48"/>
        <v>12489324.461887022</v>
      </c>
      <c r="N39" s="222">
        <v>57585</v>
      </c>
      <c r="O39" s="220">
        <v>250</v>
      </c>
      <c r="P39" s="220">
        <v>275183</v>
      </c>
      <c r="Q39" s="2">
        <v>728</v>
      </c>
      <c r="R39" s="220">
        <v>2746</v>
      </c>
      <c r="S39" s="220">
        <v>25804</v>
      </c>
      <c r="T39" s="2">
        <v>72</v>
      </c>
      <c r="U39" s="220">
        <v>261</v>
      </c>
      <c r="V39" s="221">
        <v>129105</v>
      </c>
      <c r="W39" s="220">
        <v>132</v>
      </c>
      <c r="X39" s="2">
        <v>2736036</v>
      </c>
      <c r="Y39" s="2">
        <v>7379</v>
      </c>
      <c r="Z39" s="220">
        <v>4</v>
      </c>
      <c r="AA39" s="100">
        <f>'Weather Data'!D195</f>
        <v>496.69999999999987</v>
      </c>
      <c r="AB39" s="100">
        <f>'Weather Data'!E195</f>
        <v>0</v>
      </c>
      <c r="AC39" s="100">
        <f>'Weather Data'!F195</f>
        <v>440.69999999999987</v>
      </c>
      <c r="AD39" s="100">
        <f>'Weather Data'!G195</f>
        <v>0</v>
      </c>
      <c r="AE39" s="100">
        <f>'Weather Data'!H195</f>
        <v>384.69999999999987</v>
      </c>
      <c r="AF39" s="100">
        <f>'Weather Data'!I195</f>
        <v>0</v>
      </c>
      <c r="AG39" s="100">
        <f>'Weather Data'!J195</f>
        <v>328.69999999999993</v>
      </c>
      <c r="AH39" s="100">
        <f>'Weather Data'!K195</f>
        <v>0</v>
      </c>
      <c r="AI39" s="100">
        <f>'Weather Data'!L195</f>
        <v>272.7</v>
      </c>
      <c r="AJ39" s="100">
        <f>'Weather Data'!M195</f>
        <v>0</v>
      </c>
      <c r="AK39" s="100">
        <f>'Weather Data'!N195</f>
        <v>221.09999999999997</v>
      </c>
      <c r="AL39" s="100">
        <f>'Weather Data'!O195</f>
        <v>4.4000000000000004</v>
      </c>
      <c r="AM39" s="100">
        <f>'Weather Data'!P195</f>
        <v>174.9</v>
      </c>
      <c r="AN39" s="100">
        <f>'Weather Data'!Q195</f>
        <v>14.200000000000001</v>
      </c>
      <c r="AO39" s="100">
        <f>'Weather Data'!R195</f>
        <v>2.2607142857142857</v>
      </c>
      <c r="AP39" s="5">
        <f>'Economic Data'!D65</f>
        <v>7031.3</v>
      </c>
      <c r="AQ39" s="5">
        <f>'Economic Data'!E65</f>
        <v>6962.5</v>
      </c>
      <c r="AR39" s="5">
        <f>'Economic Data'!F65</f>
        <v>160.6</v>
      </c>
      <c r="AS39" s="5">
        <f>'Economic Data'!G65</f>
        <v>158.80000000000001</v>
      </c>
      <c r="AT39" s="5">
        <f>'Economic Data'!H65</f>
        <v>764464.8</v>
      </c>
      <c r="AU39" s="5">
        <f>'Economic Data'!I65</f>
        <v>7291.3</v>
      </c>
      <c r="AV39" s="5">
        <f>'Economic Data'!J65</f>
        <v>6223.6</v>
      </c>
      <c r="AW39" s="5">
        <f>'Economic Data'!K65</f>
        <v>4582</v>
      </c>
      <c r="AX39" s="5">
        <f>'Economic Data'!L65</f>
        <v>921.1</v>
      </c>
      <c r="AY39" s="5">
        <f>'Economic Data'!M65</f>
        <v>586.70000000000005</v>
      </c>
      <c r="AZ39" s="5">
        <f>'Economic Data'!N65</f>
        <v>7685.1</v>
      </c>
      <c r="BA39" s="5">
        <f>'Economic Data'!O65</f>
        <v>124.8</v>
      </c>
      <c r="BB39" s="5">
        <f>'Economic Data'!P65</f>
        <v>103.7</v>
      </c>
      <c r="BC39" s="5">
        <f>'Economic Data'!Q65</f>
        <v>756702</v>
      </c>
      <c r="BD39" s="5">
        <f>'Economic Data'!R65</f>
        <v>7107</v>
      </c>
      <c r="BE39" s="5">
        <f>'Economic Data'!S65</f>
        <v>3589</v>
      </c>
      <c r="BF39" s="5">
        <f>'Economic Data'!T65</f>
        <v>13203</v>
      </c>
      <c r="BG39" s="5">
        <f>'EV Data'!V4</f>
        <v>879.33333333333337</v>
      </c>
      <c r="BH39" s="5">
        <f>'EV Data'!AB4</f>
        <v>6.666666666666667</v>
      </c>
      <c r="BI39" s="5">
        <f>'EV Data'!W4</f>
        <v>18</v>
      </c>
      <c r="BJ39" s="5">
        <f t="shared" si="38"/>
        <v>38</v>
      </c>
      <c r="BK39" s="70">
        <f t="shared" si="1"/>
        <v>1.5797835966168101</v>
      </c>
      <c r="BL39" s="5">
        <f t="shared" si="2"/>
        <v>1444</v>
      </c>
      <c r="BM39">
        <v>0</v>
      </c>
      <c r="BN39">
        <v>1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f t="shared" si="69"/>
        <v>0</v>
      </c>
      <c r="BZ39">
        <f t="shared" si="69"/>
        <v>0</v>
      </c>
      <c r="CA39">
        <f t="shared" si="46"/>
        <v>0</v>
      </c>
      <c r="CB39">
        <v>28</v>
      </c>
      <c r="CC39">
        <v>19</v>
      </c>
      <c r="CD39">
        <v>0</v>
      </c>
      <c r="CE39">
        <v>0</v>
      </c>
      <c r="CF39">
        <f t="shared" si="39"/>
        <v>0</v>
      </c>
      <c r="CG39">
        <v>0</v>
      </c>
      <c r="CH39" s="64">
        <f t="shared" si="49"/>
        <v>0</v>
      </c>
      <c r="CI39" s="64">
        <f t="shared" si="50"/>
        <v>0</v>
      </c>
      <c r="CJ39" s="64">
        <f t="shared" si="51"/>
        <v>0</v>
      </c>
      <c r="CK39" s="64">
        <f t="shared" si="52"/>
        <v>0</v>
      </c>
      <c r="CL39" s="64">
        <f t="shared" si="53"/>
        <v>0</v>
      </c>
      <c r="CM39" s="64">
        <f t="shared" si="54"/>
        <v>0</v>
      </c>
      <c r="CN39" s="64">
        <f t="shared" si="55"/>
        <v>0</v>
      </c>
      <c r="CO39" s="64">
        <f t="shared" si="56"/>
        <v>0</v>
      </c>
      <c r="CP39" s="64">
        <f t="shared" si="57"/>
        <v>0</v>
      </c>
      <c r="CQ39" s="64">
        <f t="shared" si="58"/>
        <v>0</v>
      </c>
      <c r="CR39" s="64">
        <f t="shared" si="59"/>
        <v>0</v>
      </c>
      <c r="CS39" s="64">
        <f t="shared" si="60"/>
        <v>0</v>
      </c>
      <c r="CT39" s="64">
        <f t="shared" si="61"/>
        <v>0</v>
      </c>
      <c r="CU39" s="64">
        <f t="shared" si="62"/>
        <v>0</v>
      </c>
      <c r="CV39" s="69">
        <f t="shared" si="63"/>
        <v>23.304705923504276</v>
      </c>
      <c r="CW39" s="69">
        <f t="shared" si="64"/>
        <v>850.39462465122529</v>
      </c>
      <c r="CX39" s="69">
        <f t="shared" si="20"/>
        <v>2629.3314656604257</v>
      </c>
      <c r="CY39" s="69">
        <f t="shared" si="65"/>
        <v>36000.473684210527</v>
      </c>
      <c r="CZ39" s="64">
        <f t="shared" si="22"/>
        <v>1784.1892088410032</v>
      </c>
      <c r="DA39" s="64">
        <f t="shared" si="66"/>
        <v>24428.892857142859</v>
      </c>
      <c r="DB39" s="64">
        <f t="shared" si="24"/>
        <v>0</v>
      </c>
      <c r="DC39" s="64">
        <f t="shared" si="25"/>
        <v>0</v>
      </c>
      <c r="DD39" s="64">
        <f t="shared" si="26"/>
        <v>0</v>
      </c>
      <c r="DE39" s="64">
        <f t="shared" si="27"/>
        <v>0</v>
      </c>
      <c r="DF39" s="64">
        <f t="shared" si="28"/>
        <v>0</v>
      </c>
      <c r="DG39" s="64">
        <f t="shared" si="29"/>
        <v>0</v>
      </c>
      <c r="DH39" s="64">
        <f t="shared" si="30"/>
        <v>0</v>
      </c>
      <c r="DI39" s="64">
        <f t="shared" si="31"/>
        <v>0</v>
      </c>
      <c r="DJ39" s="64">
        <f t="shared" si="32"/>
        <v>0</v>
      </c>
      <c r="DK39" s="64">
        <f t="shared" si="33"/>
        <v>0</v>
      </c>
      <c r="DL39" s="64">
        <f t="shared" si="34"/>
        <v>0</v>
      </c>
      <c r="DM39" s="64">
        <f t="shared" si="35"/>
        <v>0</v>
      </c>
      <c r="DN39" s="64">
        <f t="shared" si="36"/>
        <v>0</v>
      </c>
      <c r="DO39" s="64">
        <f t="shared" si="37"/>
        <v>0</v>
      </c>
      <c r="DP39" s="2">
        <f t="shared" si="68"/>
        <v>14</v>
      </c>
      <c r="DQ39" s="2">
        <f>DQ38+1</f>
        <v>2</v>
      </c>
      <c r="DR39" s="2">
        <v>0</v>
      </c>
      <c r="DS39" s="2">
        <v>0</v>
      </c>
      <c r="DT39" s="2">
        <v>0</v>
      </c>
      <c r="DU39" s="2">
        <f t="shared" si="40"/>
        <v>4</v>
      </c>
      <c r="DV39" s="2">
        <f t="shared" si="41"/>
        <v>24428.892857142859</v>
      </c>
      <c r="DW39" s="2">
        <f t="shared" si="67"/>
        <v>2736036</v>
      </c>
    </row>
    <row r="40" spans="1:127" s="2" customFormat="1">
      <c r="A40" s="3">
        <v>42795</v>
      </c>
      <c r="B40">
        <f t="shared" si="42"/>
        <v>2017</v>
      </c>
      <c r="C40" s="2">
        <v>16447014</v>
      </c>
      <c r="D40" s="2">
        <f>VLOOKUP(B40,'Historic CDM'!$B$135:$H$146,2,FALSE)/12</f>
        <v>931954.37951623613</v>
      </c>
      <c r="E40" s="2">
        <f t="shared" si="43"/>
        <v>17378968.379516236</v>
      </c>
      <c r="F40" s="6">
        <v>27207</v>
      </c>
      <c r="G40" s="219">
        <v>5073373</v>
      </c>
      <c r="H40" s="2">
        <f>VLOOKUP(B40,'Historic CDM'!$B$135:$H$147,3,FALSE)/12</f>
        <v>1008417.3725585771</v>
      </c>
      <c r="I40" s="2">
        <f t="shared" si="44"/>
        <v>6081790.372558577</v>
      </c>
      <c r="J40" s="6">
        <v>1957</v>
      </c>
      <c r="K40" s="219">
        <v>13787931</v>
      </c>
      <c r="L40" s="2">
        <f>VLOOKUP(B40,'Historic CDM'!$B$135:$H$146,4,FALSE)/12</f>
        <v>1082686.4618870232</v>
      </c>
      <c r="M40" s="2">
        <f t="shared" si="48"/>
        <v>14870617.461887022</v>
      </c>
      <c r="N40" s="222">
        <v>38940</v>
      </c>
      <c r="O40" s="220">
        <v>250</v>
      </c>
      <c r="P40" s="220">
        <v>254800</v>
      </c>
      <c r="Q40" s="2">
        <v>728</v>
      </c>
      <c r="R40" s="220">
        <v>2746</v>
      </c>
      <c r="S40" s="220">
        <v>26012</v>
      </c>
      <c r="T40" s="2">
        <v>73</v>
      </c>
      <c r="U40" s="220">
        <v>259</v>
      </c>
      <c r="V40" s="221">
        <v>129105</v>
      </c>
      <c r="W40" s="220">
        <v>132</v>
      </c>
      <c r="X40" s="2">
        <v>2956591</v>
      </c>
      <c r="Y40" s="2">
        <v>7382</v>
      </c>
      <c r="Z40" s="220">
        <v>4</v>
      </c>
      <c r="AA40" s="100">
        <f>'Weather Data'!D196</f>
        <v>569.30000000000007</v>
      </c>
      <c r="AB40" s="100">
        <f>'Weather Data'!E196</f>
        <v>0</v>
      </c>
      <c r="AC40" s="100">
        <f>'Weather Data'!F196</f>
        <v>507.30000000000007</v>
      </c>
      <c r="AD40" s="100">
        <f>'Weather Data'!G196</f>
        <v>0</v>
      </c>
      <c r="AE40" s="100">
        <f>'Weather Data'!H196</f>
        <v>445.30000000000013</v>
      </c>
      <c r="AF40" s="100">
        <f>'Weather Data'!I196</f>
        <v>0</v>
      </c>
      <c r="AG40" s="100">
        <f>'Weather Data'!J196</f>
        <v>383.30000000000007</v>
      </c>
      <c r="AH40" s="100">
        <f>'Weather Data'!K196</f>
        <v>0</v>
      </c>
      <c r="AI40" s="100">
        <f>'Weather Data'!L196</f>
        <v>322.30000000000007</v>
      </c>
      <c r="AJ40" s="100">
        <f>'Weather Data'!M196</f>
        <v>1</v>
      </c>
      <c r="AK40" s="100">
        <f>'Weather Data'!N196</f>
        <v>264</v>
      </c>
      <c r="AL40" s="100">
        <f>'Weather Data'!O196</f>
        <v>4.6999999999999993</v>
      </c>
      <c r="AM40" s="100">
        <f>'Weather Data'!P196</f>
        <v>207.1</v>
      </c>
      <c r="AN40" s="100">
        <f>'Weather Data'!Q196</f>
        <v>9.7999999999999989</v>
      </c>
      <c r="AO40" s="100">
        <f>'Weather Data'!R196</f>
        <v>1.6354838709677419</v>
      </c>
      <c r="AP40" s="5">
        <f>'Economic Data'!D66</f>
        <v>7049</v>
      </c>
      <c r="AQ40" s="5">
        <f>'Economic Data'!E66</f>
        <v>6946</v>
      </c>
      <c r="AR40" s="5">
        <f>'Economic Data'!F66</f>
        <v>160.69999999999999</v>
      </c>
      <c r="AS40" s="5">
        <f>'Economic Data'!G66</f>
        <v>157.9</v>
      </c>
      <c r="AT40" s="5">
        <f>'Economic Data'!H66</f>
        <v>764464.8</v>
      </c>
      <c r="AU40" s="5">
        <f>'Economic Data'!I66</f>
        <v>7291.3</v>
      </c>
      <c r="AV40" s="5">
        <f>'Economic Data'!J66</f>
        <v>6223.6</v>
      </c>
      <c r="AW40" s="5">
        <f>'Economic Data'!K66</f>
        <v>4582</v>
      </c>
      <c r="AX40" s="5">
        <f>'Economic Data'!L66</f>
        <v>921.1</v>
      </c>
      <c r="AY40" s="5">
        <f>'Economic Data'!M66</f>
        <v>586.70000000000005</v>
      </c>
      <c r="AZ40" s="5">
        <f>'Economic Data'!N66</f>
        <v>7685.1</v>
      </c>
      <c r="BA40" s="5">
        <f>'Economic Data'!O66</f>
        <v>124.8</v>
      </c>
      <c r="BB40" s="5">
        <f>'Economic Data'!P66</f>
        <v>103.7</v>
      </c>
      <c r="BC40" s="5">
        <f>'Economic Data'!Q66</f>
        <v>756702</v>
      </c>
      <c r="BD40" s="5">
        <f>'Economic Data'!R66</f>
        <v>7107</v>
      </c>
      <c r="BE40" s="5">
        <f>'Economic Data'!S66</f>
        <v>3589</v>
      </c>
      <c r="BF40" s="5">
        <f>'Economic Data'!T66</f>
        <v>13203</v>
      </c>
      <c r="BG40" s="5">
        <f>'EV Data'!V5</f>
        <v>1319</v>
      </c>
      <c r="BH40" s="5">
        <f>'EV Data'!AB5</f>
        <v>10</v>
      </c>
      <c r="BI40" s="5">
        <f>'EV Data'!W5</f>
        <v>27</v>
      </c>
      <c r="BJ40" s="5">
        <f t="shared" si="38"/>
        <v>39</v>
      </c>
      <c r="BK40" s="70">
        <f t="shared" si="1"/>
        <v>1.5910646070264991</v>
      </c>
      <c r="BL40" s="5">
        <f t="shared" si="2"/>
        <v>1521</v>
      </c>
      <c r="BM40">
        <v>0</v>
      </c>
      <c r="BN40">
        <v>0</v>
      </c>
      <c r="BO40">
        <v>1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f t="shared" si="69"/>
        <v>1</v>
      </c>
      <c r="BZ40">
        <f t="shared" si="69"/>
        <v>0</v>
      </c>
      <c r="CA40">
        <f t="shared" si="46"/>
        <v>1</v>
      </c>
      <c r="CB40">
        <v>31</v>
      </c>
      <c r="CC40">
        <v>23</v>
      </c>
      <c r="CD40">
        <v>0</v>
      </c>
      <c r="CE40">
        <v>0</v>
      </c>
      <c r="CF40">
        <f t="shared" si="39"/>
        <v>0</v>
      </c>
      <c r="CG40">
        <v>0</v>
      </c>
      <c r="CH40" s="64">
        <f t="shared" si="49"/>
        <v>0</v>
      </c>
      <c r="CI40" s="64">
        <f t="shared" si="50"/>
        <v>0</v>
      </c>
      <c r="CJ40" s="64">
        <f t="shared" si="51"/>
        <v>0</v>
      </c>
      <c r="CK40" s="64">
        <f t="shared" si="52"/>
        <v>0</v>
      </c>
      <c r="CL40" s="64">
        <f t="shared" si="53"/>
        <v>0</v>
      </c>
      <c r="CM40" s="64">
        <f t="shared" si="54"/>
        <v>0</v>
      </c>
      <c r="CN40" s="64">
        <f t="shared" si="55"/>
        <v>0</v>
      </c>
      <c r="CO40" s="64">
        <f t="shared" si="56"/>
        <v>0</v>
      </c>
      <c r="CP40" s="64">
        <f t="shared" si="57"/>
        <v>0</v>
      </c>
      <c r="CQ40" s="64">
        <f t="shared" si="58"/>
        <v>0</v>
      </c>
      <c r="CR40" s="64">
        <f t="shared" si="59"/>
        <v>0</v>
      </c>
      <c r="CS40" s="64">
        <f t="shared" si="60"/>
        <v>0</v>
      </c>
      <c r="CT40" s="64">
        <f t="shared" si="61"/>
        <v>0</v>
      </c>
      <c r="CU40" s="64">
        <f t="shared" si="62"/>
        <v>0</v>
      </c>
      <c r="CV40" s="69">
        <f t="shared" si="63"/>
        <v>20.605428132840856</v>
      </c>
      <c r="CW40" s="69">
        <f t="shared" si="64"/>
        <v>784.74714484626804</v>
      </c>
      <c r="CX40" s="69">
        <f t="shared" si="20"/>
        <v>2586.1943411977431</v>
      </c>
      <c r="CY40" s="69">
        <f t="shared" si="65"/>
        <v>32136.858695652172</v>
      </c>
      <c r="CZ40" s="64">
        <f t="shared" si="22"/>
        <v>1918.789349920906</v>
      </c>
      <c r="DA40" s="64">
        <f t="shared" si="66"/>
        <v>23843.475806451614</v>
      </c>
      <c r="DB40" s="64">
        <f t="shared" si="24"/>
        <v>0</v>
      </c>
      <c r="DC40" s="64">
        <f t="shared" si="25"/>
        <v>0</v>
      </c>
      <c r="DD40" s="64">
        <f t="shared" si="26"/>
        <v>0</v>
      </c>
      <c r="DE40" s="64">
        <f t="shared" si="27"/>
        <v>0</v>
      </c>
      <c r="DF40" s="64">
        <f t="shared" si="28"/>
        <v>0</v>
      </c>
      <c r="DG40" s="64">
        <f t="shared" si="29"/>
        <v>0</v>
      </c>
      <c r="DH40" s="64">
        <f t="shared" si="30"/>
        <v>0</v>
      </c>
      <c r="DI40" s="64">
        <f t="shared" si="31"/>
        <v>0</v>
      </c>
      <c r="DJ40" s="64">
        <f t="shared" si="32"/>
        <v>0</v>
      </c>
      <c r="DK40" s="64">
        <f t="shared" si="33"/>
        <v>0</v>
      </c>
      <c r="DL40" s="64">
        <f t="shared" si="34"/>
        <v>0</v>
      </c>
      <c r="DM40" s="64">
        <f t="shared" si="35"/>
        <v>0</v>
      </c>
      <c r="DN40" s="64">
        <f t="shared" si="36"/>
        <v>0</v>
      </c>
      <c r="DO40" s="64">
        <f t="shared" si="37"/>
        <v>0</v>
      </c>
      <c r="DP40" s="2">
        <f t="shared" si="68"/>
        <v>15</v>
      </c>
      <c r="DQ40" s="2">
        <f t="shared" si="68"/>
        <v>3</v>
      </c>
      <c r="DR40" s="2">
        <v>0</v>
      </c>
      <c r="DS40" s="2">
        <v>0</v>
      </c>
      <c r="DT40" s="2">
        <v>0</v>
      </c>
      <c r="DU40" s="2">
        <f t="shared" si="40"/>
        <v>4</v>
      </c>
      <c r="DV40" s="2">
        <f t="shared" si="41"/>
        <v>23843.475806451614</v>
      </c>
      <c r="DW40" s="2">
        <f t="shared" si="67"/>
        <v>2956591</v>
      </c>
    </row>
    <row r="41" spans="1:127" s="2" customFormat="1">
      <c r="A41" s="3">
        <v>42826</v>
      </c>
      <c r="B41">
        <f t="shared" si="42"/>
        <v>2017</v>
      </c>
      <c r="C41" s="2">
        <v>15343596</v>
      </c>
      <c r="D41" s="2">
        <f>VLOOKUP(B41,'Historic CDM'!$B$135:$H$146,2,FALSE)/12</f>
        <v>931954.37951623613</v>
      </c>
      <c r="E41" s="2">
        <f t="shared" si="43"/>
        <v>16275550.379516236</v>
      </c>
      <c r="F41" s="6">
        <v>27239</v>
      </c>
      <c r="G41" s="219">
        <v>4851242</v>
      </c>
      <c r="H41" s="2">
        <f>VLOOKUP(B41,'Historic CDM'!$B$135:$H$147,3,FALSE)/12</f>
        <v>1008417.3725585771</v>
      </c>
      <c r="I41" s="2">
        <f t="shared" si="44"/>
        <v>5859659.372558577</v>
      </c>
      <c r="J41" s="6">
        <v>1957</v>
      </c>
      <c r="K41" s="219">
        <v>11876382</v>
      </c>
      <c r="L41" s="2">
        <f>VLOOKUP(B41,'Historic CDM'!$B$135:$H$146,4,FALSE)/12</f>
        <v>1082686.4618870232</v>
      </c>
      <c r="M41" s="2">
        <f t="shared" si="48"/>
        <v>12959068.461887022</v>
      </c>
      <c r="N41" s="222">
        <v>34096</v>
      </c>
      <c r="O41" s="220">
        <v>250</v>
      </c>
      <c r="P41" s="220">
        <v>214032</v>
      </c>
      <c r="Q41" s="2">
        <v>728</v>
      </c>
      <c r="R41" s="220">
        <v>2746</v>
      </c>
      <c r="S41" s="220">
        <v>25986</v>
      </c>
      <c r="T41" s="2">
        <v>73</v>
      </c>
      <c r="U41" s="220">
        <v>256</v>
      </c>
      <c r="V41" s="221">
        <v>129105</v>
      </c>
      <c r="W41" s="220">
        <v>132</v>
      </c>
      <c r="X41" s="2">
        <v>2405329</v>
      </c>
      <c r="Y41" s="2">
        <v>7004</v>
      </c>
      <c r="Z41" s="220">
        <v>4</v>
      </c>
      <c r="AA41" s="100">
        <f>'Weather Data'!D197</f>
        <v>259.50000000000006</v>
      </c>
      <c r="AB41" s="100">
        <f>'Weather Data'!E197</f>
        <v>0</v>
      </c>
      <c r="AC41" s="100">
        <f>'Weather Data'!F197</f>
        <v>200.50000000000003</v>
      </c>
      <c r="AD41" s="100">
        <f>'Weather Data'!G197</f>
        <v>1</v>
      </c>
      <c r="AE41" s="100">
        <f>'Weather Data'!H197</f>
        <v>147.39999999999995</v>
      </c>
      <c r="AF41" s="100">
        <f>'Weather Data'!I197</f>
        <v>7.9000000000000021</v>
      </c>
      <c r="AG41" s="100">
        <f>'Weather Data'!J197</f>
        <v>100.79999999999997</v>
      </c>
      <c r="AH41" s="100">
        <f>'Weather Data'!K197</f>
        <v>21.300000000000004</v>
      </c>
      <c r="AI41" s="100">
        <f>'Weather Data'!L197</f>
        <v>59.800000000000011</v>
      </c>
      <c r="AJ41" s="100">
        <f>'Weather Data'!M197</f>
        <v>40.300000000000004</v>
      </c>
      <c r="AK41" s="100">
        <f>'Weather Data'!N197</f>
        <v>28</v>
      </c>
      <c r="AL41" s="100">
        <f>'Weather Data'!O197</f>
        <v>68.5</v>
      </c>
      <c r="AM41" s="100">
        <f>'Weather Data'!P197</f>
        <v>9.5</v>
      </c>
      <c r="AN41" s="100">
        <f>'Weather Data'!Q197</f>
        <v>110.00000000000003</v>
      </c>
      <c r="AO41" s="100">
        <f>'Weather Data'!R197</f>
        <v>11.35</v>
      </c>
      <c r="AP41" s="5">
        <f>'Economic Data'!D67</f>
        <v>7055.1</v>
      </c>
      <c r="AQ41" s="5">
        <f>'Economic Data'!E67</f>
        <v>6963.6</v>
      </c>
      <c r="AR41" s="5">
        <f>'Economic Data'!F67</f>
        <v>159.30000000000001</v>
      </c>
      <c r="AS41" s="5">
        <f>'Economic Data'!G67</f>
        <v>156.5</v>
      </c>
      <c r="AT41" s="5">
        <f>'Economic Data'!H67</f>
        <v>764464.8</v>
      </c>
      <c r="AU41" s="5">
        <f>'Economic Data'!I67</f>
        <v>7291.3</v>
      </c>
      <c r="AV41" s="5">
        <f>'Economic Data'!J67</f>
        <v>6223.6</v>
      </c>
      <c r="AW41" s="5">
        <f>'Economic Data'!K67</f>
        <v>4582</v>
      </c>
      <c r="AX41" s="5">
        <f>'Economic Data'!L67</f>
        <v>921.1</v>
      </c>
      <c r="AY41" s="5">
        <f>'Economic Data'!M67</f>
        <v>586.70000000000005</v>
      </c>
      <c r="AZ41" s="5">
        <f>'Economic Data'!N67</f>
        <v>7685.1</v>
      </c>
      <c r="BA41" s="5">
        <f>'Economic Data'!O67</f>
        <v>124.8</v>
      </c>
      <c r="BB41" s="5">
        <f>'Economic Data'!P67</f>
        <v>103.7</v>
      </c>
      <c r="BC41" s="5">
        <f>'Economic Data'!Q67</f>
        <v>764644</v>
      </c>
      <c r="BD41" s="5">
        <f>'Economic Data'!R67</f>
        <v>7237</v>
      </c>
      <c r="BE41" s="5">
        <f>'Economic Data'!S67</f>
        <v>3572</v>
      </c>
      <c r="BF41" s="5">
        <f>'Economic Data'!T67</f>
        <v>13312</v>
      </c>
      <c r="BG41" s="5">
        <f>'EV Data'!V6</f>
        <v>2015.3333333333335</v>
      </c>
      <c r="BH41" s="5">
        <f>'EV Data'!AB6</f>
        <v>13.333333333333334</v>
      </c>
      <c r="BI41" s="5">
        <f>'EV Data'!W6</f>
        <v>40.666666666666664</v>
      </c>
      <c r="BJ41" s="5">
        <f t="shared" si="38"/>
        <v>40</v>
      </c>
      <c r="BK41" s="70">
        <f t="shared" si="1"/>
        <v>1.6020599913279623</v>
      </c>
      <c r="BL41" s="5">
        <f t="shared" si="2"/>
        <v>1600</v>
      </c>
      <c r="BM41">
        <v>0</v>
      </c>
      <c r="BN41">
        <v>0</v>
      </c>
      <c r="BO41">
        <v>0</v>
      </c>
      <c r="BP41">
        <v>1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f t="shared" si="69"/>
        <v>1</v>
      </c>
      <c r="BZ41">
        <f t="shared" si="69"/>
        <v>0</v>
      </c>
      <c r="CA41">
        <f t="shared" si="46"/>
        <v>1</v>
      </c>
      <c r="CB41">
        <v>30</v>
      </c>
      <c r="CC41">
        <v>19</v>
      </c>
      <c r="CD41">
        <v>0</v>
      </c>
      <c r="CE41">
        <v>0</v>
      </c>
      <c r="CF41">
        <f t="shared" si="39"/>
        <v>0</v>
      </c>
      <c r="CG41">
        <v>0</v>
      </c>
      <c r="CH41" s="64">
        <f t="shared" si="49"/>
        <v>0</v>
      </c>
      <c r="CI41" s="64">
        <f t="shared" si="50"/>
        <v>0</v>
      </c>
      <c r="CJ41" s="64">
        <f t="shared" si="51"/>
        <v>0</v>
      </c>
      <c r="CK41" s="64">
        <f t="shared" si="52"/>
        <v>0</v>
      </c>
      <c r="CL41" s="64">
        <f t="shared" si="53"/>
        <v>0</v>
      </c>
      <c r="CM41" s="64">
        <f t="shared" si="54"/>
        <v>0</v>
      </c>
      <c r="CN41" s="64">
        <f t="shared" si="55"/>
        <v>0</v>
      </c>
      <c r="CO41" s="64">
        <f t="shared" si="56"/>
        <v>0</v>
      </c>
      <c r="CP41" s="64">
        <f t="shared" si="57"/>
        <v>0</v>
      </c>
      <c r="CQ41" s="64">
        <f t="shared" si="58"/>
        <v>0</v>
      </c>
      <c r="CR41" s="64">
        <f t="shared" si="59"/>
        <v>0</v>
      </c>
      <c r="CS41" s="64">
        <f t="shared" si="60"/>
        <v>0</v>
      </c>
      <c r="CT41" s="64">
        <f t="shared" si="61"/>
        <v>0</v>
      </c>
      <c r="CU41" s="64">
        <f t="shared" si="62"/>
        <v>0</v>
      </c>
      <c r="CV41" s="69">
        <f t="shared" si="63"/>
        <v>19.916970005649052</v>
      </c>
      <c r="CW41" s="69">
        <f t="shared" si="64"/>
        <v>781.2879163411435</v>
      </c>
      <c r="CX41" s="69">
        <f t="shared" si="20"/>
        <v>2728.2249393446364</v>
      </c>
      <c r="CY41" s="69">
        <f t="shared" si="65"/>
        <v>31649.065789473683</v>
      </c>
      <c r="CZ41" s="64">
        <f t="shared" si="22"/>
        <v>1727.8757949182695</v>
      </c>
      <c r="DA41" s="64">
        <f t="shared" si="66"/>
        <v>20044.408333333333</v>
      </c>
      <c r="DB41" s="64">
        <f t="shared" si="24"/>
        <v>0</v>
      </c>
      <c r="DC41" s="64">
        <f t="shared" si="25"/>
        <v>0</v>
      </c>
      <c r="DD41" s="64">
        <f t="shared" si="26"/>
        <v>0</v>
      </c>
      <c r="DE41" s="64">
        <f t="shared" si="27"/>
        <v>0</v>
      </c>
      <c r="DF41" s="64">
        <f t="shared" si="28"/>
        <v>0</v>
      </c>
      <c r="DG41" s="64">
        <f t="shared" si="29"/>
        <v>0</v>
      </c>
      <c r="DH41" s="64">
        <f t="shared" si="30"/>
        <v>0</v>
      </c>
      <c r="DI41" s="64">
        <f t="shared" si="31"/>
        <v>0</v>
      </c>
      <c r="DJ41" s="64">
        <f t="shared" si="32"/>
        <v>0</v>
      </c>
      <c r="DK41" s="64">
        <f t="shared" si="33"/>
        <v>0</v>
      </c>
      <c r="DL41" s="64">
        <f t="shared" si="34"/>
        <v>0</v>
      </c>
      <c r="DM41" s="64">
        <f t="shared" si="35"/>
        <v>0</v>
      </c>
      <c r="DN41" s="64">
        <f t="shared" si="36"/>
        <v>0</v>
      </c>
      <c r="DO41" s="64">
        <f t="shared" si="37"/>
        <v>0</v>
      </c>
      <c r="DP41" s="2">
        <f t="shared" si="68"/>
        <v>16</v>
      </c>
      <c r="DQ41" s="2">
        <f t="shared" si="68"/>
        <v>4</v>
      </c>
      <c r="DR41" s="2">
        <v>0</v>
      </c>
      <c r="DS41" s="2">
        <v>0</v>
      </c>
      <c r="DT41" s="2">
        <v>0</v>
      </c>
      <c r="DU41" s="2">
        <f t="shared" si="40"/>
        <v>4</v>
      </c>
      <c r="DV41" s="2">
        <f t="shared" si="41"/>
        <v>20044.408333333333</v>
      </c>
      <c r="DW41" s="2">
        <f t="shared" si="67"/>
        <v>2405329</v>
      </c>
    </row>
    <row r="42" spans="1:127" s="2" customFormat="1">
      <c r="A42" s="3">
        <v>42856</v>
      </c>
      <c r="B42">
        <f t="shared" si="42"/>
        <v>2017</v>
      </c>
      <c r="C42" s="2">
        <v>15994887</v>
      </c>
      <c r="D42" s="2">
        <f>VLOOKUP(B42,'Historic CDM'!$B$135:$H$146,2,FALSE)/12</f>
        <v>931954.37951623613</v>
      </c>
      <c r="E42" s="2">
        <f t="shared" si="43"/>
        <v>16926841.379516236</v>
      </c>
      <c r="F42" s="6">
        <v>27274</v>
      </c>
      <c r="G42" s="219">
        <v>5068665</v>
      </c>
      <c r="H42" s="2">
        <f>VLOOKUP(B42,'Historic CDM'!$B$135:$H$147,3,FALSE)/12</f>
        <v>1008417.3725585771</v>
      </c>
      <c r="I42" s="2">
        <f t="shared" si="44"/>
        <v>6077082.372558577</v>
      </c>
      <c r="J42" s="6">
        <v>1965</v>
      </c>
      <c r="K42" s="219">
        <v>13103390</v>
      </c>
      <c r="L42" s="2">
        <f>VLOOKUP(B42,'Historic CDM'!$B$135:$H$146,4,FALSE)/12</f>
        <v>1082686.4618870232</v>
      </c>
      <c r="M42" s="2">
        <f t="shared" si="48"/>
        <v>14186076.461887022</v>
      </c>
      <c r="N42" s="222">
        <v>38059</v>
      </c>
      <c r="O42" s="220">
        <v>250</v>
      </c>
      <c r="P42" s="220">
        <v>192738</v>
      </c>
      <c r="Q42" s="2">
        <v>728</v>
      </c>
      <c r="R42" s="220">
        <v>2757</v>
      </c>
      <c r="S42" s="220">
        <v>25985</v>
      </c>
      <c r="T42" s="2">
        <v>73</v>
      </c>
      <c r="U42" s="220">
        <v>255</v>
      </c>
      <c r="V42" s="221">
        <v>129105</v>
      </c>
      <c r="W42" s="220">
        <v>132</v>
      </c>
      <c r="X42" s="2">
        <v>2604156</v>
      </c>
      <c r="Y42" s="2">
        <v>6546</v>
      </c>
      <c r="Z42" s="220">
        <v>4</v>
      </c>
      <c r="AA42" s="100">
        <f>'Weather Data'!D198</f>
        <v>187.8</v>
      </c>
      <c r="AB42" s="100">
        <f>'Weather Data'!E198</f>
        <v>8.1999999999999993</v>
      </c>
      <c r="AC42" s="100">
        <f>'Weather Data'!F198</f>
        <v>135.5</v>
      </c>
      <c r="AD42" s="100">
        <f>'Weather Data'!G198</f>
        <v>17.900000000000002</v>
      </c>
      <c r="AE42" s="100">
        <f>'Weather Data'!H198</f>
        <v>93.700000000000017</v>
      </c>
      <c r="AF42" s="100">
        <f>'Weather Data'!I198</f>
        <v>38.100000000000009</v>
      </c>
      <c r="AG42" s="100">
        <f>'Weather Data'!J198</f>
        <v>58.300000000000004</v>
      </c>
      <c r="AH42" s="100">
        <f>'Weather Data'!K198</f>
        <v>64.7</v>
      </c>
      <c r="AI42" s="100">
        <f>'Weather Data'!L198</f>
        <v>32.1</v>
      </c>
      <c r="AJ42" s="100">
        <f>'Weather Data'!M198</f>
        <v>100.50000000000001</v>
      </c>
      <c r="AK42" s="100">
        <f>'Weather Data'!N198</f>
        <v>14.2</v>
      </c>
      <c r="AL42" s="100">
        <f>'Weather Data'!O198</f>
        <v>144.6</v>
      </c>
      <c r="AM42" s="100">
        <f>'Weather Data'!P198</f>
        <v>2.0000000000000009</v>
      </c>
      <c r="AN42" s="100">
        <f>'Weather Data'!Q198</f>
        <v>194.4</v>
      </c>
      <c r="AO42" s="100">
        <f>'Weather Data'!R198</f>
        <v>14.206451612903226</v>
      </c>
      <c r="AP42" s="5">
        <f>'Economic Data'!D68</f>
        <v>7066.7</v>
      </c>
      <c r="AQ42" s="5">
        <f>'Economic Data'!E68</f>
        <v>7033.4</v>
      </c>
      <c r="AR42" s="5">
        <f>'Economic Data'!F68</f>
        <v>158.5</v>
      </c>
      <c r="AS42" s="5">
        <f>'Economic Data'!G68</f>
        <v>156.9</v>
      </c>
      <c r="AT42" s="5">
        <f>'Economic Data'!H68</f>
        <v>764464.8</v>
      </c>
      <c r="AU42" s="5">
        <f>'Economic Data'!I68</f>
        <v>7291.3</v>
      </c>
      <c r="AV42" s="5">
        <f>'Economic Data'!J68</f>
        <v>6223.6</v>
      </c>
      <c r="AW42" s="5">
        <f>'Economic Data'!K68</f>
        <v>4582</v>
      </c>
      <c r="AX42" s="5">
        <f>'Economic Data'!L68</f>
        <v>921.1</v>
      </c>
      <c r="AY42" s="5">
        <f>'Economic Data'!M68</f>
        <v>586.70000000000005</v>
      </c>
      <c r="AZ42" s="5">
        <f>'Economic Data'!N68</f>
        <v>7685.1</v>
      </c>
      <c r="BA42" s="5">
        <f>'Economic Data'!O68</f>
        <v>124.8</v>
      </c>
      <c r="BB42" s="5">
        <f>'Economic Data'!P68</f>
        <v>103.7</v>
      </c>
      <c r="BC42" s="5">
        <f>'Economic Data'!Q68</f>
        <v>764644</v>
      </c>
      <c r="BD42" s="5">
        <f>'Economic Data'!R68</f>
        <v>7237</v>
      </c>
      <c r="BE42" s="5">
        <f>'Economic Data'!S68</f>
        <v>3572</v>
      </c>
      <c r="BF42" s="5">
        <f>'Economic Data'!T68</f>
        <v>13312</v>
      </c>
      <c r="BG42" s="5">
        <f>'EV Data'!V7</f>
        <v>2711.666666666667</v>
      </c>
      <c r="BH42" s="5">
        <f>'EV Data'!AB7</f>
        <v>16.666666666666668</v>
      </c>
      <c r="BI42" s="5">
        <f>'EV Data'!W7</f>
        <v>54.333333333333329</v>
      </c>
      <c r="BJ42" s="5">
        <f t="shared" si="38"/>
        <v>41</v>
      </c>
      <c r="BK42" s="70">
        <f t="shared" si="1"/>
        <v>1.6127838567197355</v>
      </c>
      <c r="BL42" s="5">
        <f t="shared" si="2"/>
        <v>1681</v>
      </c>
      <c r="BM42">
        <v>0</v>
      </c>
      <c r="BN42">
        <v>0</v>
      </c>
      <c r="BO42">
        <v>0</v>
      </c>
      <c r="BP42">
        <v>0</v>
      </c>
      <c r="BQ42">
        <v>1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f t="shared" si="69"/>
        <v>1</v>
      </c>
      <c r="BZ42">
        <f t="shared" si="69"/>
        <v>0</v>
      </c>
      <c r="CA42">
        <f t="shared" si="46"/>
        <v>1</v>
      </c>
      <c r="CB42">
        <v>31</v>
      </c>
      <c r="CC42">
        <v>22</v>
      </c>
      <c r="CD42">
        <v>0</v>
      </c>
      <c r="CE42">
        <v>0</v>
      </c>
      <c r="CF42">
        <f t="shared" si="39"/>
        <v>0</v>
      </c>
      <c r="CG42">
        <v>0</v>
      </c>
      <c r="CH42" s="64">
        <f t="shared" si="49"/>
        <v>0</v>
      </c>
      <c r="CI42" s="64">
        <f t="shared" si="50"/>
        <v>0</v>
      </c>
      <c r="CJ42" s="64">
        <f t="shared" si="51"/>
        <v>0</v>
      </c>
      <c r="CK42" s="64">
        <f t="shared" si="52"/>
        <v>0</v>
      </c>
      <c r="CL42" s="64">
        <f t="shared" si="53"/>
        <v>0</v>
      </c>
      <c r="CM42" s="64">
        <f t="shared" si="54"/>
        <v>0</v>
      </c>
      <c r="CN42" s="64">
        <f t="shared" si="55"/>
        <v>0</v>
      </c>
      <c r="CO42" s="64">
        <f t="shared" si="56"/>
        <v>0</v>
      </c>
      <c r="CP42" s="64">
        <f t="shared" si="57"/>
        <v>0</v>
      </c>
      <c r="CQ42" s="64">
        <f t="shared" si="58"/>
        <v>0</v>
      </c>
      <c r="CR42" s="64">
        <f t="shared" si="59"/>
        <v>0</v>
      </c>
      <c r="CS42" s="64">
        <f t="shared" si="60"/>
        <v>0</v>
      </c>
      <c r="CT42" s="64">
        <f t="shared" si="61"/>
        <v>0</v>
      </c>
      <c r="CU42" s="64">
        <f t="shared" si="62"/>
        <v>0</v>
      </c>
      <c r="CV42" s="69">
        <f t="shared" si="63"/>
        <v>20.020060910563807</v>
      </c>
      <c r="CW42" s="69">
        <f t="shared" si="64"/>
        <v>784.13966097530022</v>
      </c>
      <c r="CX42" s="69">
        <f t="shared" si="20"/>
        <v>2579.2866294340038</v>
      </c>
      <c r="CY42" s="69">
        <f t="shared" si="65"/>
        <v>29592.68181818182</v>
      </c>
      <c r="CZ42" s="64">
        <f t="shared" si="22"/>
        <v>1830.4614789531643</v>
      </c>
      <c r="DA42" s="64">
        <f t="shared" si="66"/>
        <v>21001.258064516129</v>
      </c>
      <c r="DB42" s="64">
        <f t="shared" si="24"/>
        <v>0</v>
      </c>
      <c r="DC42" s="64">
        <f t="shared" si="25"/>
        <v>0</v>
      </c>
      <c r="DD42" s="64">
        <f t="shared" si="26"/>
        <v>0</v>
      </c>
      <c r="DE42" s="64">
        <f t="shared" si="27"/>
        <v>0</v>
      </c>
      <c r="DF42" s="64">
        <f t="shared" si="28"/>
        <v>0</v>
      </c>
      <c r="DG42" s="64">
        <f t="shared" si="29"/>
        <v>0</v>
      </c>
      <c r="DH42" s="64">
        <f t="shared" si="30"/>
        <v>0</v>
      </c>
      <c r="DI42" s="64">
        <f t="shared" si="31"/>
        <v>0</v>
      </c>
      <c r="DJ42" s="64">
        <f t="shared" si="32"/>
        <v>0</v>
      </c>
      <c r="DK42" s="64">
        <f t="shared" si="33"/>
        <v>0</v>
      </c>
      <c r="DL42" s="64">
        <f t="shared" si="34"/>
        <v>0</v>
      </c>
      <c r="DM42" s="64">
        <f t="shared" si="35"/>
        <v>0</v>
      </c>
      <c r="DN42" s="64">
        <f t="shared" si="36"/>
        <v>0</v>
      </c>
      <c r="DO42" s="64">
        <f t="shared" si="37"/>
        <v>0</v>
      </c>
      <c r="DP42" s="2">
        <f t="shared" si="68"/>
        <v>17</v>
      </c>
      <c r="DQ42" s="2">
        <f t="shared" si="68"/>
        <v>5</v>
      </c>
      <c r="DR42" s="2">
        <v>0</v>
      </c>
      <c r="DS42" s="2">
        <v>0</v>
      </c>
      <c r="DT42" s="2">
        <v>0</v>
      </c>
      <c r="DU42" s="2">
        <f t="shared" si="40"/>
        <v>4</v>
      </c>
      <c r="DV42" s="2">
        <f t="shared" si="41"/>
        <v>21001.258064516129</v>
      </c>
      <c r="DW42" s="2">
        <f t="shared" si="67"/>
        <v>2604156</v>
      </c>
    </row>
    <row r="43" spans="1:127" s="2" customFormat="1">
      <c r="A43" s="3">
        <v>42887</v>
      </c>
      <c r="B43">
        <f t="shared" si="42"/>
        <v>2017</v>
      </c>
      <c r="C43" s="2">
        <v>23593375</v>
      </c>
      <c r="D43" s="2">
        <f>VLOOKUP(B43,'Historic CDM'!$B$135:$H$146,2,FALSE)/12</f>
        <v>931954.37951623613</v>
      </c>
      <c r="E43" s="2">
        <f t="shared" si="43"/>
        <v>24525329.379516236</v>
      </c>
      <c r="F43" s="6">
        <v>27302</v>
      </c>
      <c r="G43" s="219">
        <v>5763306</v>
      </c>
      <c r="H43" s="2">
        <f>VLOOKUP(B43,'Historic CDM'!$B$135:$H$147,3,FALSE)/12</f>
        <v>1008417.3725585771</v>
      </c>
      <c r="I43" s="2">
        <f t="shared" si="44"/>
        <v>6771723.372558577</v>
      </c>
      <c r="J43" s="6">
        <v>1966</v>
      </c>
      <c r="K43" s="219">
        <v>14461175</v>
      </c>
      <c r="L43" s="2">
        <f>VLOOKUP(B43,'Historic CDM'!$B$135:$H$146,4,FALSE)/12</f>
        <v>1082686.4618870232</v>
      </c>
      <c r="M43" s="2">
        <f t="shared" si="48"/>
        <v>15543861.461887022</v>
      </c>
      <c r="N43" s="222">
        <v>46506</v>
      </c>
      <c r="O43" s="220">
        <v>250</v>
      </c>
      <c r="P43" s="220">
        <v>169806</v>
      </c>
      <c r="Q43" s="2">
        <v>728</v>
      </c>
      <c r="R43" s="220">
        <v>2757</v>
      </c>
      <c r="S43" s="220">
        <v>25690</v>
      </c>
      <c r="T43" s="2">
        <v>72</v>
      </c>
      <c r="U43" s="220">
        <v>255</v>
      </c>
      <c r="V43" s="221">
        <v>129105</v>
      </c>
      <c r="W43" s="220">
        <v>132</v>
      </c>
      <c r="X43" s="2">
        <v>2874524</v>
      </c>
      <c r="Y43" s="2">
        <v>7849</v>
      </c>
      <c r="Z43" s="220">
        <v>4</v>
      </c>
      <c r="AA43" s="100">
        <f>'Weather Data'!D199</f>
        <v>31.899999999999995</v>
      </c>
      <c r="AB43" s="100">
        <f>'Weather Data'!E199</f>
        <v>65.199999999999989</v>
      </c>
      <c r="AC43" s="100">
        <f>'Weather Data'!F199</f>
        <v>9.1999999999999957</v>
      </c>
      <c r="AD43" s="100">
        <f>'Weather Data'!G199</f>
        <v>102.50000000000003</v>
      </c>
      <c r="AE43" s="100">
        <f>'Weather Data'!H199</f>
        <v>0</v>
      </c>
      <c r="AF43" s="100">
        <f>'Weather Data'!I199</f>
        <v>153.29999999999998</v>
      </c>
      <c r="AG43" s="100">
        <f>'Weather Data'!J199</f>
        <v>0</v>
      </c>
      <c r="AH43" s="100">
        <f>'Weather Data'!K199</f>
        <v>213.29999999999998</v>
      </c>
      <c r="AI43" s="100">
        <f>'Weather Data'!L199</f>
        <v>0</v>
      </c>
      <c r="AJ43" s="100">
        <f>'Weather Data'!M199</f>
        <v>273.3</v>
      </c>
      <c r="AK43" s="100">
        <f>'Weather Data'!N199</f>
        <v>0</v>
      </c>
      <c r="AL43" s="100">
        <f>'Weather Data'!O199</f>
        <v>333.30000000000007</v>
      </c>
      <c r="AM43" s="100">
        <f>'Weather Data'!P199</f>
        <v>0</v>
      </c>
      <c r="AN43" s="100">
        <f>'Weather Data'!Q199</f>
        <v>393.30000000000007</v>
      </c>
      <c r="AO43" s="100">
        <f>'Weather Data'!R199</f>
        <v>21.110000000000003</v>
      </c>
      <c r="AP43" s="5">
        <f>'Economic Data'!D69</f>
        <v>7079.8</v>
      </c>
      <c r="AQ43" s="5">
        <f>'Economic Data'!E69</f>
        <v>7123</v>
      </c>
      <c r="AR43" s="5">
        <f>'Economic Data'!F69</f>
        <v>160</v>
      </c>
      <c r="AS43" s="5">
        <f>'Economic Data'!G69</f>
        <v>160.30000000000001</v>
      </c>
      <c r="AT43" s="5">
        <f>'Economic Data'!H69</f>
        <v>764464.8</v>
      </c>
      <c r="AU43" s="5">
        <f>'Economic Data'!I69</f>
        <v>7291.3</v>
      </c>
      <c r="AV43" s="5">
        <f>'Economic Data'!J69</f>
        <v>6223.6</v>
      </c>
      <c r="AW43" s="5">
        <f>'Economic Data'!K69</f>
        <v>4582</v>
      </c>
      <c r="AX43" s="5">
        <f>'Economic Data'!L69</f>
        <v>921.1</v>
      </c>
      <c r="AY43" s="5">
        <f>'Economic Data'!M69</f>
        <v>586.70000000000005</v>
      </c>
      <c r="AZ43" s="5">
        <f>'Economic Data'!N69</f>
        <v>7685.1</v>
      </c>
      <c r="BA43" s="5">
        <f>'Economic Data'!O69</f>
        <v>124.8</v>
      </c>
      <c r="BB43" s="5">
        <f>'Economic Data'!P69</f>
        <v>103.7</v>
      </c>
      <c r="BC43" s="5">
        <f>'Economic Data'!Q69</f>
        <v>764644</v>
      </c>
      <c r="BD43" s="5">
        <f>'Economic Data'!R69</f>
        <v>7237</v>
      </c>
      <c r="BE43" s="5">
        <f>'Economic Data'!S69</f>
        <v>3572</v>
      </c>
      <c r="BF43" s="5">
        <f>'Economic Data'!T69</f>
        <v>13312</v>
      </c>
      <c r="BG43" s="5">
        <f>'EV Data'!V8</f>
        <v>3408.0000000000005</v>
      </c>
      <c r="BH43" s="5">
        <f>'EV Data'!AB8</f>
        <v>20</v>
      </c>
      <c r="BI43" s="5">
        <f>'EV Data'!W8</f>
        <v>68</v>
      </c>
      <c r="BJ43" s="5">
        <f t="shared" si="38"/>
        <v>42</v>
      </c>
      <c r="BK43" s="70">
        <f t="shared" si="1"/>
        <v>1.6232492903979006</v>
      </c>
      <c r="BL43" s="5">
        <f t="shared" si="2"/>
        <v>1764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1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f t="shared" si="69"/>
        <v>0</v>
      </c>
      <c r="BZ43">
        <f t="shared" si="69"/>
        <v>0</v>
      </c>
      <c r="CA43">
        <f t="shared" si="46"/>
        <v>0</v>
      </c>
      <c r="CB43">
        <v>30</v>
      </c>
      <c r="CC43">
        <v>22</v>
      </c>
      <c r="CD43">
        <v>0</v>
      </c>
      <c r="CE43">
        <v>0</v>
      </c>
      <c r="CF43">
        <f t="shared" si="39"/>
        <v>0</v>
      </c>
      <c r="CG43">
        <v>0</v>
      </c>
      <c r="CH43" s="64">
        <f t="shared" si="49"/>
        <v>0</v>
      </c>
      <c r="CI43" s="64">
        <f t="shared" si="50"/>
        <v>0</v>
      </c>
      <c r="CJ43" s="64">
        <f t="shared" si="51"/>
        <v>0</v>
      </c>
      <c r="CK43" s="64">
        <f t="shared" si="52"/>
        <v>0</v>
      </c>
      <c r="CL43" s="64">
        <f t="shared" si="53"/>
        <v>0</v>
      </c>
      <c r="CM43" s="64">
        <f t="shared" si="54"/>
        <v>0</v>
      </c>
      <c r="CN43" s="64">
        <f t="shared" si="55"/>
        <v>0</v>
      </c>
      <c r="CO43" s="64">
        <f t="shared" si="56"/>
        <v>0</v>
      </c>
      <c r="CP43" s="64">
        <f t="shared" si="57"/>
        <v>0</v>
      </c>
      <c r="CQ43" s="64">
        <f t="shared" si="58"/>
        <v>0</v>
      </c>
      <c r="CR43" s="64">
        <f t="shared" si="59"/>
        <v>0</v>
      </c>
      <c r="CS43" s="64">
        <f t="shared" si="60"/>
        <v>0</v>
      </c>
      <c r="CT43" s="64">
        <f t="shared" si="61"/>
        <v>0</v>
      </c>
      <c r="CU43" s="64">
        <f t="shared" si="62"/>
        <v>0</v>
      </c>
      <c r="CV43" s="69">
        <f t="shared" si="63"/>
        <v>29.943263472170827</v>
      </c>
      <c r="CW43" s="69">
        <f t="shared" si="64"/>
        <v>902.89644967447703</v>
      </c>
      <c r="CX43" s="69">
        <f t="shared" si="20"/>
        <v>2826.1566294340041</v>
      </c>
      <c r="CY43" s="69">
        <f t="shared" si="65"/>
        <v>32665.045454545456</v>
      </c>
      <c r="CZ43" s="64">
        <f t="shared" si="22"/>
        <v>2072.5148615849362</v>
      </c>
      <c r="DA43" s="64">
        <f t="shared" si="66"/>
        <v>23954.366666666665</v>
      </c>
      <c r="DB43" s="64">
        <f t="shared" si="24"/>
        <v>0</v>
      </c>
      <c r="DC43" s="64">
        <f t="shared" si="25"/>
        <v>0</v>
      </c>
      <c r="DD43" s="64">
        <f t="shared" si="26"/>
        <v>0</v>
      </c>
      <c r="DE43" s="64">
        <f t="shared" si="27"/>
        <v>0</v>
      </c>
      <c r="DF43" s="64">
        <f t="shared" si="28"/>
        <v>0</v>
      </c>
      <c r="DG43" s="64">
        <f t="shared" si="29"/>
        <v>0</v>
      </c>
      <c r="DH43" s="64">
        <f t="shared" si="30"/>
        <v>0</v>
      </c>
      <c r="DI43" s="64">
        <f t="shared" si="31"/>
        <v>0</v>
      </c>
      <c r="DJ43" s="64">
        <f t="shared" si="32"/>
        <v>0</v>
      </c>
      <c r="DK43" s="64">
        <f t="shared" si="33"/>
        <v>0</v>
      </c>
      <c r="DL43" s="64">
        <f t="shared" si="34"/>
        <v>0</v>
      </c>
      <c r="DM43" s="64">
        <f t="shared" si="35"/>
        <v>0</v>
      </c>
      <c r="DN43" s="64">
        <f t="shared" si="36"/>
        <v>0</v>
      </c>
      <c r="DO43" s="64">
        <f t="shared" si="37"/>
        <v>0</v>
      </c>
      <c r="DP43" s="2">
        <f t="shared" si="68"/>
        <v>18</v>
      </c>
      <c r="DQ43" s="2">
        <f t="shared" si="68"/>
        <v>6</v>
      </c>
      <c r="DR43" s="2">
        <v>0</v>
      </c>
      <c r="DS43" s="2">
        <v>0</v>
      </c>
      <c r="DT43" s="2">
        <v>0</v>
      </c>
      <c r="DU43" s="2">
        <f t="shared" si="40"/>
        <v>4</v>
      </c>
      <c r="DV43" s="2">
        <f t="shared" si="41"/>
        <v>23954.366666666665</v>
      </c>
      <c r="DW43" s="2">
        <f t="shared" si="67"/>
        <v>2874524</v>
      </c>
    </row>
    <row r="44" spans="1:127" s="2" customFormat="1">
      <c r="A44" s="3">
        <v>42917</v>
      </c>
      <c r="B44">
        <f t="shared" si="42"/>
        <v>2017</v>
      </c>
      <c r="C44" s="2">
        <v>28843148</v>
      </c>
      <c r="D44" s="2">
        <f>VLOOKUP(B44,'Historic CDM'!$B$135:$H$146,2,FALSE)/12</f>
        <v>931954.37951623613</v>
      </c>
      <c r="E44" s="2">
        <f t="shared" si="43"/>
        <v>29775102.379516236</v>
      </c>
      <c r="F44" s="6">
        <v>27321</v>
      </c>
      <c r="G44" s="219">
        <v>6403689</v>
      </c>
      <c r="H44" s="2">
        <f>VLOOKUP(B44,'Historic CDM'!$B$135:$H$147,3,FALSE)/12</f>
        <v>1008417.3725585771</v>
      </c>
      <c r="I44" s="2">
        <f t="shared" si="44"/>
        <v>7412106.372558577</v>
      </c>
      <c r="J44" s="6">
        <v>1968</v>
      </c>
      <c r="K44" s="219">
        <v>16282548</v>
      </c>
      <c r="L44" s="2">
        <f>VLOOKUP(B44,'Historic CDM'!$B$135:$H$146,4,FALSE)/12</f>
        <v>1082686.4618870232</v>
      </c>
      <c r="M44" s="2">
        <f t="shared" si="48"/>
        <v>17365234.461887024</v>
      </c>
      <c r="N44" s="222">
        <v>45911</v>
      </c>
      <c r="O44" s="220">
        <v>250</v>
      </c>
      <c r="P44" s="220">
        <v>180361</v>
      </c>
      <c r="Q44" s="2">
        <v>728</v>
      </c>
      <c r="R44" s="220">
        <v>2757</v>
      </c>
      <c r="S44" s="220">
        <v>25313</v>
      </c>
      <c r="T44" s="2">
        <v>71</v>
      </c>
      <c r="U44" s="220">
        <v>253</v>
      </c>
      <c r="V44" s="221">
        <v>129105</v>
      </c>
      <c r="W44" s="220">
        <v>132</v>
      </c>
      <c r="X44" s="2">
        <v>2922427</v>
      </c>
      <c r="Y44" s="2">
        <v>7469</v>
      </c>
      <c r="Z44" s="220">
        <v>4</v>
      </c>
      <c r="AA44" s="100">
        <f>'Weather Data'!D200</f>
        <v>1</v>
      </c>
      <c r="AB44" s="100">
        <f>'Weather Data'!E200</f>
        <v>76</v>
      </c>
      <c r="AC44" s="100">
        <f>'Weather Data'!F200</f>
        <v>0</v>
      </c>
      <c r="AD44" s="100">
        <f>'Weather Data'!G200</f>
        <v>137.00000000000003</v>
      </c>
      <c r="AE44" s="100">
        <f>'Weather Data'!H200</f>
        <v>0</v>
      </c>
      <c r="AF44" s="100">
        <f>'Weather Data'!I200</f>
        <v>198.99999999999997</v>
      </c>
      <c r="AG44" s="100">
        <f>'Weather Data'!J200</f>
        <v>0</v>
      </c>
      <c r="AH44" s="100">
        <f>'Weather Data'!K200</f>
        <v>260.99999999999994</v>
      </c>
      <c r="AI44" s="100">
        <f>'Weather Data'!L200</f>
        <v>0</v>
      </c>
      <c r="AJ44" s="100">
        <f>'Weather Data'!M200</f>
        <v>323</v>
      </c>
      <c r="AK44" s="100">
        <f>'Weather Data'!N200</f>
        <v>0</v>
      </c>
      <c r="AL44" s="100">
        <f>'Weather Data'!O200</f>
        <v>385</v>
      </c>
      <c r="AM44" s="100">
        <f>'Weather Data'!P200</f>
        <v>0</v>
      </c>
      <c r="AN44" s="100">
        <f>'Weather Data'!Q200</f>
        <v>447</v>
      </c>
      <c r="AO44" s="100">
        <f>'Weather Data'!R200</f>
        <v>22.41935483870968</v>
      </c>
      <c r="AP44" s="5">
        <f>'Economic Data'!D70</f>
        <v>7101.9</v>
      </c>
      <c r="AQ44" s="5">
        <f>'Economic Data'!E70</f>
        <v>7196</v>
      </c>
      <c r="AR44" s="5">
        <f>'Economic Data'!F70</f>
        <v>161.1</v>
      </c>
      <c r="AS44" s="5">
        <f>'Economic Data'!G70</f>
        <v>163.1</v>
      </c>
      <c r="AT44" s="5">
        <f>'Economic Data'!H70</f>
        <v>764464.8</v>
      </c>
      <c r="AU44" s="5">
        <f>'Economic Data'!I70</f>
        <v>7291.3</v>
      </c>
      <c r="AV44" s="5">
        <f>'Economic Data'!J70</f>
        <v>6223.6</v>
      </c>
      <c r="AW44" s="5">
        <f>'Economic Data'!K70</f>
        <v>4582</v>
      </c>
      <c r="AX44" s="5">
        <f>'Economic Data'!L70</f>
        <v>921.1</v>
      </c>
      <c r="AY44" s="5">
        <f>'Economic Data'!M70</f>
        <v>586.70000000000005</v>
      </c>
      <c r="AZ44" s="5">
        <f>'Economic Data'!N70</f>
        <v>7685.1</v>
      </c>
      <c r="BA44" s="5">
        <f>'Economic Data'!O70</f>
        <v>124.8</v>
      </c>
      <c r="BB44" s="5">
        <f>'Economic Data'!P70</f>
        <v>103.7</v>
      </c>
      <c r="BC44" s="5">
        <f>'Economic Data'!Q70</f>
        <v>765060</v>
      </c>
      <c r="BD44" s="5">
        <f>'Economic Data'!R70</f>
        <v>7358</v>
      </c>
      <c r="BE44" s="5">
        <f>'Economic Data'!S70</f>
        <v>3557</v>
      </c>
      <c r="BF44" s="5">
        <f>'Economic Data'!T70</f>
        <v>12831</v>
      </c>
      <c r="BG44" s="5">
        <f>'EV Data'!V9</f>
        <v>4118</v>
      </c>
      <c r="BH44" s="5">
        <f>'EV Data'!AB9</f>
        <v>25.666666666666668</v>
      </c>
      <c r="BI44" s="5">
        <f>'EV Data'!W9</f>
        <v>84.666666666666671</v>
      </c>
      <c r="BJ44" s="5">
        <f t="shared" si="38"/>
        <v>43</v>
      </c>
      <c r="BK44" s="70">
        <f t="shared" si="1"/>
        <v>1.6334684555795864</v>
      </c>
      <c r="BL44" s="5">
        <f t="shared" si="2"/>
        <v>1849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1</v>
      </c>
      <c r="BT44">
        <v>0</v>
      </c>
      <c r="BU44">
        <v>0</v>
      </c>
      <c r="BV44">
        <v>0</v>
      </c>
      <c r="BW44">
        <v>0</v>
      </c>
      <c r="BX44">
        <v>0</v>
      </c>
      <c r="BY44">
        <f t="shared" si="69"/>
        <v>0</v>
      </c>
      <c r="BZ44">
        <f t="shared" si="69"/>
        <v>0</v>
      </c>
      <c r="CA44">
        <f t="shared" si="46"/>
        <v>0</v>
      </c>
      <c r="CB44">
        <v>31</v>
      </c>
      <c r="CC44">
        <v>20</v>
      </c>
      <c r="CD44">
        <v>0</v>
      </c>
      <c r="CE44">
        <v>0</v>
      </c>
      <c r="CF44">
        <f t="shared" si="39"/>
        <v>0</v>
      </c>
      <c r="CG44">
        <v>0</v>
      </c>
      <c r="CH44" s="64">
        <f t="shared" si="49"/>
        <v>0</v>
      </c>
      <c r="CI44" s="64">
        <f t="shared" si="50"/>
        <v>0</v>
      </c>
      <c r="CJ44" s="64">
        <f t="shared" si="51"/>
        <v>0</v>
      </c>
      <c r="CK44" s="64">
        <f t="shared" si="52"/>
        <v>0</v>
      </c>
      <c r="CL44" s="64">
        <f t="shared" si="53"/>
        <v>0</v>
      </c>
      <c r="CM44" s="64">
        <f t="shared" si="54"/>
        <v>0</v>
      </c>
      <c r="CN44" s="64">
        <f t="shared" si="55"/>
        <v>0</v>
      </c>
      <c r="CO44" s="64">
        <f t="shared" si="56"/>
        <v>0</v>
      </c>
      <c r="CP44" s="64">
        <f t="shared" si="57"/>
        <v>0</v>
      </c>
      <c r="CQ44" s="64">
        <f t="shared" si="58"/>
        <v>0</v>
      </c>
      <c r="CR44" s="64">
        <f t="shared" si="59"/>
        <v>0</v>
      </c>
      <c r="CS44" s="64">
        <f t="shared" si="60"/>
        <v>0</v>
      </c>
      <c r="CT44" s="64">
        <f t="shared" si="61"/>
        <v>0</v>
      </c>
      <c r="CU44" s="64">
        <f t="shared" si="62"/>
        <v>0</v>
      </c>
      <c r="CV44" s="69">
        <f t="shared" si="63"/>
        <v>35.155637551069937</v>
      </c>
      <c r="CW44" s="69">
        <f t="shared" si="64"/>
        <v>956.40082226562276</v>
      </c>
      <c r="CX44" s="69">
        <f t="shared" si="20"/>
        <v>3473.0468923774051</v>
      </c>
      <c r="CY44" s="69">
        <f t="shared" si="65"/>
        <v>36530.337500000001</v>
      </c>
      <c r="CZ44" s="64">
        <f t="shared" si="22"/>
        <v>2240.6754144370357</v>
      </c>
      <c r="DA44" s="64">
        <f t="shared" si="66"/>
        <v>23567.959677419356</v>
      </c>
      <c r="DB44" s="64">
        <f t="shared" si="24"/>
        <v>0</v>
      </c>
      <c r="DC44" s="64">
        <f t="shared" si="25"/>
        <v>0</v>
      </c>
      <c r="DD44" s="64">
        <f t="shared" si="26"/>
        <v>0</v>
      </c>
      <c r="DE44" s="64">
        <f t="shared" si="27"/>
        <v>0</v>
      </c>
      <c r="DF44" s="64">
        <f t="shared" si="28"/>
        <v>0</v>
      </c>
      <c r="DG44" s="64">
        <f t="shared" si="29"/>
        <v>0</v>
      </c>
      <c r="DH44" s="64">
        <f t="shared" si="30"/>
        <v>0</v>
      </c>
      <c r="DI44" s="64">
        <f t="shared" si="31"/>
        <v>0</v>
      </c>
      <c r="DJ44" s="64">
        <f t="shared" si="32"/>
        <v>0</v>
      </c>
      <c r="DK44" s="64">
        <f t="shared" si="33"/>
        <v>0</v>
      </c>
      <c r="DL44" s="64">
        <f t="shared" si="34"/>
        <v>0</v>
      </c>
      <c r="DM44" s="64">
        <f t="shared" si="35"/>
        <v>0</v>
      </c>
      <c r="DN44" s="64">
        <f t="shared" si="36"/>
        <v>0</v>
      </c>
      <c r="DO44" s="64">
        <f t="shared" si="37"/>
        <v>0</v>
      </c>
      <c r="DP44" s="2">
        <f t="shared" ref="DP44:DR59" si="70">DP43+1</f>
        <v>19</v>
      </c>
      <c r="DQ44" s="2">
        <f t="shared" si="70"/>
        <v>7</v>
      </c>
      <c r="DR44" s="2">
        <v>0</v>
      </c>
      <c r="DS44" s="2">
        <v>0</v>
      </c>
      <c r="DT44" s="2">
        <v>0</v>
      </c>
      <c r="DU44" s="2">
        <f t="shared" si="40"/>
        <v>4</v>
      </c>
      <c r="DV44" s="2">
        <f t="shared" si="41"/>
        <v>23567.959677419356</v>
      </c>
      <c r="DW44" s="2">
        <f t="shared" si="67"/>
        <v>2922427</v>
      </c>
    </row>
    <row r="45" spans="1:127" s="2" customFormat="1">
      <c r="A45" s="3">
        <v>42948</v>
      </c>
      <c r="B45">
        <f t="shared" si="42"/>
        <v>2017</v>
      </c>
      <c r="C45" s="2">
        <v>26376096</v>
      </c>
      <c r="D45" s="2">
        <f>VLOOKUP(B45,'Historic CDM'!$B$135:$H$146,2,FALSE)/12</f>
        <v>931954.37951623613</v>
      </c>
      <c r="E45" s="2">
        <f t="shared" si="43"/>
        <v>27308050.379516236</v>
      </c>
      <c r="F45" s="6">
        <v>27377</v>
      </c>
      <c r="G45" s="219">
        <v>6031879</v>
      </c>
      <c r="H45" s="2">
        <f>VLOOKUP(B45,'Historic CDM'!$B$135:$H$147,3,FALSE)/12</f>
        <v>1008417.3725585771</v>
      </c>
      <c r="I45" s="2">
        <f t="shared" si="44"/>
        <v>7040296.372558577</v>
      </c>
      <c r="J45" s="6">
        <v>1973</v>
      </c>
      <c r="K45" s="219">
        <v>15859107</v>
      </c>
      <c r="L45" s="2">
        <f>VLOOKUP(B45,'Historic CDM'!$B$135:$H$146,4,FALSE)/12</f>
        <v>1082686.4618870232</v>
      </c>
      <c r="M45" s="2">
        <f t="shared" si="48"/>
        <v>16941793.461887024</v>
      </c>
      <c r="N45" s="222">
        <v>41560</v>
      </c>
      <c r="O45" s="220">
        <v>250</v>
      </c>
      <c r="P45" s="220">
        <v>202384</v>
      </c>
      <c r="Q45" s="2">
        <v>728</v>
      </c>
      <c r="R45" s="220">
        <v>2757</v>
      </c>
      <c r="S45" s="220">
        <v>24779</v>
      </c>
      <c r="T45" s="2">
        <v>69</v>
      </c>
      <c r="U45" s="220">
        <v>249</v>
      </c>
      <c r="V45" s="221">
        <v>129105</v>
      </c>
      <c r="W45" s="220">
        <v>132</v>
      </c>
      <c r="X45" s="2">
        <v>3048623</v>
      </c>
      <c r="Y45" s="2">
        <v>7933</v>
      </c>
      <c r="Z45" s="220">
        <v>4</v>
      </c>
      <c r="AA45" s="100">
        <f>'Weather Data'!D201</f>
        <v>22.899999999999995</v>
      </c>
      <c r="AB45" s="100">
        <f>'Weather Data'!E201</f>
        <v>34.800000000000011</v>
      </c>
      <c r="AC45" s="100">
        <f>'Weather Data'!F201</f>
        <v>6.6999999999999957</v>
      </c>
      <c r="AD45" s="100">
        <f>'Weather Data'!G201</f>
        <v>80.600000000000009</v>
      </c>
      <c r="AE45" s="100">
        <f>'Weather Data'!H201</f>
        <v>0.5</v>
      </c>
      <c r="AF45" s="100">
        <f>'Weather Data'!I201</f>
        <v>136.4</v>
      </c>
      <c r="AG45" s="100">
        <f>'Weather Data'!J201</f>
        <v>0</v>
      </c>
      <c r="AH45" s="100">
        <f>'Weather Data'!K201</f>
        <v>197.89999999999998</v>
      </c>
      <c r="AI45" s="100">
        <f>'Weather Data'!L201</f>
        <v>0</v>
      </c>
      <c r="AJ45" s="100">
        <f>'Weather Data'!M201</f>
        <v>259.89999999999998</v>
      </c>
      <c r="AK45" s="100">
        <f>'Weather Data'!N201</f>
        <v>0</v>
      </c>
      <c r="AL45" s="100">
        <f>'Weather Data'!O201</f>
        <v>321.90000000000009</v>
      </c>
      <c r="AM45" s="100">
        <f>'Weather Data'!P201</f>
        <v>0</v>
      </c>
      <c r="AN45" s="100">
        <f>'Weather Data'!Q201</f>
        <v>383.90000000000015</v>
      </c>
      <c r="AO45" s="100">
        <f>'Weather Data'!R201</f>
        <v>20.383870967741935</v>
      </c>
      <c r="AP45" s="5">
        <f>'Economic Data'!D71</f>
        <v>7121.1</v>
      </c>
      <c r="AQ45" s="5">
        <f>'Economic Data'!E71</f>
        <v>7216.7</v>
      </c>
      <c r="AR45" s="5">
        <f>'Economic Data'!F71</f>
        <v>165</v>
      </c>
      <c r="AS45" s="5">
        <f>'Economic Data'!G71</f>
        <v>167.9</v>
      </c>
      <c r="AT45" s="5">
        <f>'Economic Data'!H71</f>
        <v>764464.8</v>
      </c>
      <c r="AU45" s="5">
        <f>'Economic Data'!I71</f>
        <v>7291.3</v>
      </c>
      <c r="AV45" s="5">
        <f>'Economic Data'!J71</f>
        <v>6223.6</v>
      </c>
      <c r="AW45" s="5">
        <f>'Economic Data'!K71</f>
        <v>4582</v>
      </c>
      <c r="AX45" s="5">
        <f>'Economic Data'!L71</f>
        <v>921.1</v>
      </c>
      <c r="AY45" s="5">
        <f>'Economic Data'!M71</f>
        <v>586.70000000000005</v>
      </c>
      <c r="AZ45" s="5">
        <f>'Economic Data'!N71</f>
        <v>7685.1</v>
      </c>
      <c r="BA45" s="5">
        <f>'Economic Data'!O71</f>
        <v>124.8</v>
      </c>
      <c r="BB45" s="5">
        <f>'Economic Data'!P71</f>
        <v>103.7</v>
      </c>
      <c r="BC45" s="5">
        <f>'Economic Data'!Q71</f>
        <v>765060</v>
      </c>
      <c r="BD45" s="5">
        <f>'Economic Data'!R71</f>
        <v>7358</v>
      </c>
      <c r="BE45" s="5">
        <f>'Economic Data'!S71</f>
        <v>3557</v>
      </c>
      <c r="BF45" s="5">
        <f>'Economic Data'!T71</f>
        <v>12831</v>
      </c>
      <c r="BG45" s="5">
        <f>'EV Data'!V10</f>
        <v>4828</v>
      </c>
      <c r="BH45" s="5">
        <f>'EV Data'!AB10</f>
        <v>31.333333333333336</v>
      </c>
      <c r="BI45" s="5">
        <f>'EV Data'!W10</f>
        <v>101.33333333333334</v>
      </c>
      <c r="BJ45" s="5">
        <f t="shared" ref="BJ45:BJ108" si="71">BJ44+1</f>
        <v>44</v>
      </c>
      <c r="BK45" s="70">
        <f t="shared" si="1"/>
        <v>1.6434526764861874</v>
      </c>
      <c r="BL45" s="5">
        <f t="shared" si="2"/>
        <v>1936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1</v>
      </c>
      <c r="BU45">
        <v>0</v>
      </c>
      <c r="BV45">
        <v>0</v>
      </c>
      <c r="BW45">
        <v>0</v>
      </c>
      <c r="BX45">
        <v>0</v>
      </c>
      <c r="BY45">
        <f t="shared" si="69"/>
        <v>0</v>
      </c>
      <c r="BZ45">
        <f t="shared" si="69"/>
        <v>0</v>
      </c>
      <c r="CA45">
        <f t="shared" si="46"/>
        <v>0</v>
      </c>
      <c r="CB45">
        <v>31</v>
      </c>
      <c r="CC45">
        <v>22</v>
      </c>
      <c r="CD45">
        <v>0</v>
      </c>
      <c r="CE45">
        <v>0</v>
      </c>
      <c r="CF45">
        <f t="shared" si="39"/>
        <v>0</v>
      </c>
      <c r="CG45">
        <v>0</v>
      </c>
      <c r="CH45" s="64">
        <f t="shared" si="49"/>
        <v>0</v>
      </c>
      <c r="CI45" s="64">
        <f t="shared" si="50"/>
        <v>0</v>
      </c>
      <c r="CJ45" s="64">
        <f t="shared" si="51"/>
        <v>0</v>
      </c>
      <c r="CK45" s="64">
        <f t="shared" si="52"/>
        <v>0</v>
      </c>
      <c r="CL45" s="64">
        <f t="shared" si="53"/>
        <v>0</v>
      </c>
      <c r="CM45" s="64">
        <f t="shared" si="54"/>
        <v>0</v>
      </c>
      <c r="CN45" s="64">
        <f t="shared" si="55"/>
        <v>0</v>
      </c>
      <c r="CO45" s="64">
        <f t="shared" si="56"/>
        <v>0</v>
      </c>
      <c r="CP45" s="64">
        <f t="shared" si="57"/>
        <v>0</v>
      </c>
      <c r="CQ45" s="64">
        <f t="shared" si="58"/>
        <v>0</v>
      </c>
      <c r="CR45" s="64">
        <f t="shared" si="59"/>
        <v>0</v>
      </c>
      <c r="CS45" s="64">
        <f t="shared" si="60"/>
        <v>0</v>
      </c>
      <c r="CT45" s="64">
        <f t="shared" si="61"/>
        <v>0</v>
      </c>
      <c r="CU45" s="64">
        <f t="shared" si="62"/>
        <v>0</v>
      </c>
      <c r="CV45" s="69">
        <f t="shared" si="63"/>
        <v>32.176821819488502</v>
      </c>
      <c r="CW45" s="69">
        <f t="shared" si="64"/>
        <v>908.42533839465511</v>
      </c>
      <c r="CX45" s="69">
        <f t="shared" si="20"/>
        <v>3080.3260839794589</v>
      </c>
      <c r="CY45" s="69">
        <f t="shared" si="65"/>
        <v>34643.443181818184</v>
      </c>
      <c r="CZ45" s="64">
        <f t="shared" si="22"/>
        <v>2186.0378660499387</v>
      </c>
      <c r="DA45" s="64">
        <f t="shared" si="66"/>
        <v>24585.669354838708</v>
      </c>
      <c r="DB45" s="64">
        <f t="shared" si="24"/>
        <v>0</v>
      </c>
      <c r="DC45" s="64">
        <f t="shared" si="25"/>
        <v>0</v>
      </c>
      <c r="DD45" s="64">
        <f t="shared" si="26"/>
        <v>0</v>
      </c>
      <c r="DE45" s="64">
        <f t="shared" si="27"/>
        <v>0</v>
      </c>
      <c r="DF45" s="64">
        <f t="shared" si="28"/>
        <v>0</v>
      </c>
      <c r="DG45" s="64">
        <f t="shared" si="29"/>
        <v>0</v>
      </c>
      <c r="DH45" s="64">
        <f t="shared" si="30"/>
        <v>0</v>
      </c>
      <c r="DI45" s="64">
        <f t="shared" si="31"/>
        <v>0</v>
      </c>
      <c r="DJ45" s="64">
        <f t="shared" si="32"/>
        <v>0</v>
      </c>
      <c r="DK45" s="64">
        <f t="shared" si="33"/>
        <v>0</v>
      </c>
      <c r="DL45" s="64">
        <f t="shared" si="34"/>
        <v>0</v>
      </c>
      <c r="DM45" s="64">
        <f t="shared" si="35"/>
        <v>0</v>
      </c>
      <c r="DN45" s="64">
        <f t="shared" si="36"/>
        <v>0</v>
      </c>
      <c r="DO45" s="64">
        <f t="shared" si="37"/>
        <v>0</v>
      </c>
      <c r="DP45" s="2">
        <f t="shared" si="70"/>
        <v>20</v>
      </c>
      <c r="DQ45" s="2">
        <f t="shared" si="70"/>
        <v>8</v>
      </c>
      <c r="DR45" s="2">
        <v>0</v>
      </c>
      <c r="DS45" s="2">
        <v>0</v>
      </c>
      <c r="DT45" s="2">
        <v>0</v>
      </c>
      <c r="DU45" s="2">
        <f t="shared" si="40"/>
        <v>4</v>
      </c>
      <c r="DV45" s="2">
        <f t="shared" si="41"/>
        <v>24585.669354838708</v>
      </c>
      <c r="DW45" s="2">
        <f t="shared" si="67"/>
        <v>3048623</v>
      </c>
    </row>
    <row r="46" spans="1:127" s="2" customFormat="1">
      <c r="A46" s="3">
        <v>42979</v>
      </c>
      <c r="B46">
        <f t="shared" si="42"/>
        <v>2017</v>
      </c>
      <c r="C46" s="2">
        <v>21471274</v>
      </c>
      <c r="D46" s="2">
        <f>VLOOKUP(B46,'Historic CDM'!$B$135:$H$146,2,FALSE)/12</f>
        <v>931954.37951623613</v>
      </c>
      <c r="E46" s="2">
        <f t="shared" si="43"/>
        <v>22403228.379516236</v>
      </c>
      <c r="F46" s="6">
        <v>27411</v>
      </c>
      <c r="G46" s="219">
        <v>5598472</v>
      </c>
      <c r="H46" s="2">
        <f>VLOOKUP(B46,'Historic CDM'!$B$135:$H$147,3,FALSE)/12</f>
        <v>1008417.3725585771</v>
      </c>
      <c r="I46" s="2">
        <f t="shared" si="44"/>
        <v>6606889.372558577</v>
      </c>
      <c r="J46" s="6">
        <v>1974</v>
      </c>
      <c r="K46" s="219">
        <v>15961826</v>
      </c>
      <c r="L46" s="2">
        <f>VLOOKUP(B46,'Historic CDM'!$B$135:$H$146,4,FALSE)/12</f>
        <v>1082686.4618870232</v>
      </c>
      <c r="M46" s="2">
        <f t="shared" si="48"/>
        <v>17044512.461887024</v>
      </c>
      <c r="N46" s="222">
        <v>46502</v>
      </c>
      <c r="O46" s="220">
        <v>250</v>
      </c>
      <c r="P46" s="220">
        <v>228228</v>
      </c>
      <c r="Q46" s="2">
        <v>728</v>
      </c>
      <c r="R46" s="220">
        <v>2757</v>
      </c>
      <c r="S46" s="220">
        <v>25228</v>
      </c>
      <c r="T46" s="2">
        <v>70</v>
      </c>
      <c r="U46" s="220">
        <v>249</v>
      </c>
      <c r="V46" s="221">
        <v>129105</v>
      </c>
      <c r="W46" s="220">
        <v>132</v>
      </c>
      <c r="X46" s="2">
        <v>2734668</v>
      </c>
      <c r="Y46" s="2">
        <v>7481</v>
      </c>
      <c r="Z46" s="220">
        <v>4</v>
      </c>
      <c r="AA46" s="100">
        <f>'Weather Data'!D202</f>
        <v>79.399999999999991</v>
      </c>
      <c r="AB46" s="100">
        <f>'Weather Data'!E202</f>
        <v>28.3</v>
      </c>
      <c r="AC46" s="100">
        <f>'Weather Data'!F202</f>
        <v>47.5</v>
      </c>
      <c r="AD46" s="100">
        <f>'Weather Data'!G202</f>
        <v>56.400000000000006</v>
      </c>
      <c r="AE46" s="100">
        <f>'Weather Data'!H202</f>
        <v>22.1</v>
      </c>
      <c r="AF46" s="100">
        <f>'Weather Data'!I202</f>
        <v>90.999999999999986</v>
      </c>
      <c r="AG46" s="100">
        <f>'Weather Data'!J202</f>
        <v>4.8000000000000007</v>
      </c>
      <c r="AH46" s="100">
        <f>'Weather Data'!K202</f>
        <v>133.70000000000002</v>
      </c>
      <c r="AI46" s="100">
        <f>'Weather Data'!L202</f>
        <v>0.59999999999999964</v>
      </c>
      <c r="AJ46" s="100">
        <f>'Weather Data'!M202</f>
        <v>189.50000000000003</v>
      </c>
      <c r="AK46" s="100">
        <f>'Weather Data'!N202</f>
        <v>0</v>
      </c>
      <c r="AL46" s="100">
        <f>'Weather Data'!O202</f>
        <v>248.90000000000003</v>
      </c>
      <c r="AM46" s="100">
        <f>'Weather Data'!P202</f>
        <v>0</v>
      </c>
      <c r="AN46" s="100">
        <f>'Weather Data'!Q202</f>
        <v>308.89999999999992</v>
      </c>
      <c r="AO46" s="100">
        <f>'Weather Data'!R202</f>
        <v>18.296666666666667</v>
      </c>
      <c r="AP46" s="5">
        <f>'Economic Data'!D72</f>
        <v>7144.8</v>
      </c>
      <c r="AQ46" s="5">
        <f>'Economic Data'!E72</f>
        <v>7193.4</v>
      </c>
      <c r="AR46" s="5">
        <f>'Economic Data'!F72</f>
        <v>166</v>
      </c>
      <c r="AS46" s="5">
        <f>'Economic Data'!G72</f>
        <v>168.8</v>
      </c>
      <c r="AT46" s="5">
        <f>'Economic Data'!H72</f>
        <v>764464.8</v>
      </c>
      <c r="AU46" s="5">
        <f>'Economic Data'!I72</f>
        <v>7291.3</v>
      </c>
      <c r="AV46" s="5">
        <f>'Economic Data'!J72</f>
        <v>6223.6</v>
      </c>
      <c r="AW46" s="5">
        <f>'Economic Data'!K72</f>
        <v>4582</v>
      </c>
      <c r="AX46" s="5">
        <f>'Economic Data'!L72</f>
        <v>921.1</v>
      </c>
      <c r="AY46" s="5">
        <f>'Economic Data'!M72</f>
        <v>586.70000000000005</v>
      </c>
      <c r="AZ46" s="5">
        <f>'Economic Data'!N72</f>
        <v>7685.1</v>
      </c>
      <c r="BA46" s="5">
        <f>'Economic Data'!O72</f>
        <v>124.8</v>
      </c>
      <c r="BB46" s="5">
        <f>'Economic Data'!P72</f>
        <v>103.7</v>
      </c>
      <c r="BC46" s="5">
        <f>'Economic Data'!Q72</f>
        <v>765060</v>
      </c>
      <c r="BD46" s="5">
        <f>'Economic Data'!R72</f>
        <v>7358</v>
      </c>
      <c r="BE46" s="5">
        <f>'Economic Data'!S72</f>
        <v>3557</v>
      </c>
      <c r="BF46" s="5">
        <f>'Economic Data'!T72</f>
        <v>12831</v>
      </c>
      <c r="BG46" s="5">
        <f>'EV Data'!V11</f>
        <v>5538</v>
      </c>
      <c r="BH46" s="5">
        <f>'EV Data'!AB11</f>
        <v>37</v>
      </c>
      <c r="BI46" s="5">
        <f>'EV Data'!W11</f>
        <v>118.00000000000001</v>
      </c>
      <c r="BJ46" s="5">
        <f t="shared" si="71"/>
        <v>45</v>
      </c>
      <c r="BK46" s="70">
        <f t="shared" si="1"/>
        <v>1.6532125137753437</v>
      </c>
      <c r="BL46" s="5">
        <f t="shared" si="2"/>
        <v>2025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1</v>
      </c>
      <c r="BV46">
        <v>0</v>
      </c>
      <c r="BW46">
        <v>0</v>
      </c>
      <c r="BX46">
        <v>0</v>
      </c>
      <c r="BY46">
        <f t="shared" si="69"/>
        <v>0</v>
      </c>
      <c r="BZ46">
        <f t="shared" si="69"/>
        <v>0</v>
      </c>
      <c r="CA46">
        <f t="shared" si="46"/>
        <v>0</v>
      </c>
      <c r="CB46">
        <v>30</v>
      </c>
      <c r="CC46">
        <v>20</v>
      </c>
      <c r="CD46">
        <v>0</v>
      </c>
      <c r="CE46">
        <v>0</v>
      </c>
      <c r="CF46">
        <f t="shared" si="39"/>
        <v>0</v>
      </c>
      <c r="CG46">
        <v>0</v>
      </c>
      <c r="CH46" s="64">
        <f t="shared" si="49"/>
        <v>0</v>
      </c>
      <c r="CI46" s="64">
        <f t="shared" si="50"/>
        <v>0</v>
      </c>
      <c r="CJ46" s="64">
        <f t="shared" si="51"/>
        <v>0</v>
      </c>
      <c r="CK46" s="64">
        <f t="shared" si="52"/>
        <v>0</v>
      </c>
      <c r="CL46" s="64">
        <f t="shared" si="53"/>
        <v>0</v>
      </c>
      <c r="CM46" s="64">
        <f t="shared" si="54"/>
        <v>0</v>
      </c>
      <c r="CN46" s="64">
        <f t="shared" si="55"/>
        <v>0</v>
      </c>
      <c r="CO46" s="64">
        <f t="shared" si="56"/>
        <v>0</v>
      </c>
      <c r="CP46" s="64">
        <f t="shared" si="57"/>
        <v>0</v>
      </c>
      <c r="CQ46" s="64">
        <f t="shared" si="58"/>
        <v>0</v>
      </c>
      <c r="CR46" s="64">
        <f t="shared" si="59"/>
        <v>0</v>
      </c>
      <c r="CS46" s="64">
        <f t="shared" si="60"/>
        <v>0</v>
      </c>
      <c r="CT46" s="64">
        <f t="shared" si="61"/>
        <v>0</v>
      </c>
      <c r="CU46" s="64">
        <f t="shared" si="62"/>
        <v>0</v>
      </c>
      <c r="CV46" s="69">
        <f t="shared" si="63"/>
        <v>27.243598530415085</v>
      </c>
      <c r="CW46" s="69">
        <f t="shared" si="64"/>
        <v>880.9185830078103</v>
      </c>
      <c r="CX46" s="69">
        <f t="shared" si="20"/>
        <v>3408.902492377405</v>
      </c>
      <c r="CY46" s="69">
        <f t="shared" si="65"/>
        <v>34183.35</v>
      </c>
      <c r="CZ46" s="64">
        <f t="shared" si="22"/>
        <v>2272.6016615849367</v>
      </c>
      <c r="DA46" s="64">
        <f t="shared" si="66"/>
        <v>22788.9</v>
      </c>
      <c r="DB46" s="64">
        <f t="shared" si="24"/>
        <v>0</v>
      </c>
      <c r="DC46" s="64">
        <f t="shared" si="25"/>
        <v>0</v>
      </c>
      <c r="DD46" s="64">
        <f t="shared" si="26"/>
        <v>0</v>
      </c>
      <c r="DE46" s="64">
        <f t="shared" si="27"/>
        <v>0</v>
      </c>
      <c r="DF46" s="64">
        <f t="shared" si="28"/>
        <v>0</v>
      </c>
      <c r="DG46" s="64">
        <f t="shared" si="29"/>
        <v>0</v>
      </c>
      <c r="DH46" s="64">
        <f t="shared" si="30"/>
        <v>0</v>
      </c>
      <c r="DI46" s="64">
        <f t="shared" si="31"/>
        <v>0</v>
      </c>
      <c r="DJ46" s="64">
        <f t="shared" si="32"/>
        <v>0</v>
      </c>
      <c r="DK46" s="64">
        <f t="shared" si="33"/>
        <v>0</v>
      </c>
      <c r="DL46" s="64">
        <f t="shared" si="34"/>
        <v>0</v>
      </c>
      <c r="DM46" s="64">
        <f t="shared" si="35"/>
        <v>0</v>
      </c>
      <c r="DN46" s="64">
        <f t="shared" si="36"/>
        <v>0</v>
      </c>
      <c r="DO46" s="64">
        <f t="shared" si="37"/>
        <v>0</v>
      </c>
      <c r="DP46" s="2">
        <f t="shared" si="70"/>
        <v>21</v>
      </c>
      <c r="DQ46" s="2">
        <f t="shared" si="70"/>
        <v>9</v>
      </c>
      <c r="DR46" s="2">
        <v>0</v>
      </c>
      <c r="DS46" s="2">
        <v>0</v>
      </c>
      <c r="DT46" s="2">
        <v>0</v>
      </c>
      <c r="DU46" s="2">
        <f t="shared" si="40"/>
        <v>4</v>
      </c>
      <c r="DV46" s="2">
        <f t="shared" si="41"/>
        <v>22788.9</v>
      </c>
      <c r="DW46" s="2">
        <f t="shared" si="67"/>
        <v>2734668</v>
      </c>
    </row>
    <row r="47" spans="1:127" s="2" customFormat="1">
      <c r="A47" s="3">
        <v>43009</v>
      </c>
      <c r="B47">
        <f t="shared" si="42"/>
        <v>2017</v>
      </c>
      <c r="C47" s="2">
        <v>18195138</v>
      </c>
      <c r="D47" s="2">
        <f>VLOOKUP(B47,'Historic CDM'!$B$135:$H$146,2,FALSE)/12</f>
        <v>931954.37951623613</v>
      </c>
      <c r="E47" s="2">
        <f t="shared" si="43"/>
        <v>19127092.379516236</v>
      </c>
      <c r="F47" s="6">
        <v>27430</v>
      </c>
      <c r="G47" s="219">
        <v>5044085</v>
      </c>
      <c r="H47" s="2">
        <f>VLOOKUP(B47,'Historic CDM'!$B$135:$H$147,3,FALSE)/12</f>
        <v>1008417.3725585771</v>
      </c>
      <c r="I47" s="2">
        <f t="shared" si="44"/>
        <v>6052502.372558577</v>
      </c>
      <c r="J47" s="6">
        <v>1976</v>
      </c>
      <c r="K47" s="219">
        <v>14532249</v>
      </c>
      <c r="L47" s="2">
        <f>VLOOKUP(B47,'Historic CDM'!$B$135:$H$146,4,FALSE)/12</f>
        <v>1082686.4618870232</v>
      </c>
      <c r="M47" s="2">
        <f t="shared" si="48"/>
        <v>15614935.461887022</v>
      </c>
      <c r="N47" s="222">
        <v>42191</v>
      </c>
      <c r="O47" s="220">
        <v>250</v>
      </c>
      <c r="P47" s="220">
        <v>269724</v>
      </c>
      <c r="Q47" s="2">
        <v>728</v>
      </c>
      <c r="R47" s="220">
        <v>2757</v>
      </c>
      <c r="S47" s="220">
        <v>24883</v>
      </c>
      <c r="T47" s="2">
        <v>70</v>
      </c>
      <c r="U47" s="220">
        <v>248</v>
      </c>
      <c r="V47" s="221">
        <v>129105</v>
      </c>
      <c r="W47" s="220">
        <v>132</v>
      </c>
      <c r="X47" s="2">
        <v>2665747</v>
      </c>
      <c r="Y47" s="2">
        <v>7273</v>
      </c>
      <c r="Z47" s="220">
        <v>4</v>
      </c>
      <c r="AA47" s="100">
        <f>'Weather Data'!D203</f>
        <v>206</v>
      </c>
      <c r="AB47" s="100">
        <f>'Weather Data'!E203</f>
        <v>4.4000000000000021</v>
      </c>
      <c r="AC47" s="100">
        <f>'Weather Data'!F203</f>
        <v>151.59999999999997</v>
      </c>
      <c r="AD47" s="100">
        <f>'Weather Data'!G203</f>
        <v>12.000000000000004</v>
      </c>
      <c r="AE47" s="100">
        <f>'Weather Data'!H203</f>
        <v>105.10000000000001</v>
      </c>
      <c r="AF47" s="100">
        <f>'Weather Data'!I203</f>
        <v>27.5</v>
      </c>
      <c r="AG47" s="100">
        <f>'Weather Data'!J203</f>
        <v>71</v>
      </c>
      <c r="AH47" s="100">
        <f>'Weather Data'!K203</f>
        <v>55.4</v>
      </c>
      <c r="AI47" s="100">
        <f>'Weather Data'!L203</f>
        <v>45</v>
      </c>
      <c r="AJ47" s="100">
        <f>'Weather Data'!M203</f>
        <v>91.399999999999991</v>
      </c>
      <c r="AK47" s="100">
        <f>'Weather Data'!N203</f>
        <v>27.4</v>
      </c>
      <c r="AL47" s="100">
        <f>'Weather Data'!O203</f>
        <v>135.79999999999998</v>
      </c>
      <c r="AM47" s="100">
        <f>'Weather Data'!P203</f>
        <v>15.099999999999998</v>
      </c>
      <c r="AN47" s="100">
        <f>'Weather Data'!Q203</f>
        <v>185.49999999999997</v>
      </c>
      <c r="AO47" s="100">
        <f>'Weather Data'!R203</f>
        <v>13.496774193548386</v>
      </c>
      <c r="AP47" s="5">
        <f>'Economic Data'!D73</f>
        <v>7161</v>
      </c>
      <c r="AQ47" s="5">
        <f>'Economic Data'!E73</f>
        <v>7185.2</v>
      </c>
      <c r="AR47" s="5">
        <f>'Economic Data'!F73</f>
        <v>164</v>
      </c>
      <c r="AS47" s="5">
        <f>'Economic Data'!G73</f>
        <v>166.2</v>
      </c>
      <c r="AT47" s="5">
        <f>'Economic Data'!H73</f>
        <v>764464.8</v>
      </c>
      <c r="AU47" s="5">
        <f>'Economic Data'!I73</f>
        <v>7291.3</v>
      </c>
      <c r="AV47" s="5">
        <f>'Economic Data'!J73</f>
        <v>6223.6</v>
      </c>
      <c r="AW47" s="5">
        <f>'Economic Data'!K73</f>
        <v>4582</v>
      </c>
      <c r="AX47" s="5">
        <f>'Economic Data'!L73</f>
        <v>921.1</v>
      </c>
      <c r="AY47" s="5">
        <f>'Economic Data'!M73</f>
        <v>586.70000000000005</v>
      </c>
      <c r="AZ47" s="5">
        <f>'Economic Data'!N73</f>
        <v>7685.1</v>
      </c>
      <c r="BA47" s="5">
        <f>'Economic Data'!O73</f>
        <v>124.8</v>
      </c>
      <c r="BB47" s="5">
        <f>'Economic Data'!P73</f>
        <v>103.7</v>
      </c>
      <c r="BC47" s="5">
        <f>'Economic Data'!Q73</f>
        <v>771453</v>
      </c>
      <c r="BD47" s="5">
        <f>'Economic Data'!R73</f>
        <v>7463</v>
      </c>
      <c r="BE47" s="5">
        <f>'Economic Data'!S73</f>
        <v>3482</v>
      </c>
      <c r="BF47" s="5">
        <f>'Economic Data'!T73</f>
        <v>12811</v>
      </c>
      <c r="BG47" s="5">
        <f>'EV Data'!V12</f>
        <v>6418.666666666667</v>
      </c>
      <c r="BH47" s="5">
        <f>'EV Data'!AB12</f>
        <v>42</v>
      </c>
      <c r="BI47" s="5">
        <f>'EV Data'!W12</f>
        <v>140.33333333333334</v>
      </c>
      <c r="BJ47" s="5">
        <f t="shared" si="71"/>
        <v>46</v>
      </c>
      <c r="BK47" s="70">
        <f t="shared" si="1"/>
        <v>1.6627578316815741</v>
      </c>
      <c r="BL47" s="5">
        <f t="shared" si="2"/>
        <v>2116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1</v>
      </c>
      <c r="BW47">
        <v>0</v>
      </c>
      <c r="BX47">
        <v>0</v>
      </c>
      <c r="BY47">
        <f t="shared" si="69"/>
        <v>0</v>
      </c>
      <c r="BZ47">
        <f t="shared" si="69"/>
        <v>1</v>
      </c>
      <c r="CA47">
        <f t="shared" si="46"/>
        <v>1</v>
      </c>
      <c r="CB47">
        <v>31</v>
      </c>
      <c r="CC47">
        <v>21</v>
      </c>
      <c r="CD47">
        <v>0</v>
      </c>
      <c r="CE47">
        <v>0</v>
      </c>
      <c r="CF47">
        <f t="shared" si="39"/>
        <v>0</v>
      </c>
      <c r="CG47">
        <v>0</v>
      </c>
      <c r="CH47" s="64">
        <f t="shared" si="49"/>
        <v>0</v>
      </c>
      <c r="CI47" s="64">
        <f t="shared" si="50"/>
        <v>0</v>
      </c>
      <c r="CJ47" s="64">
        <f t="shared" si="51"/>
        <v>0</v>
      </c>
      <c r="CK47" s="64">
        <f t="shared" si="52"/>
        <v>0</v>
      </c>
      <c r="CL47" s="64">
        <f t="shared" si="53"/>
        <v>0</v>
      </c>
      <c r="CM47" s="64">
        <f t="shared" si="54"/>
        <v>0</v>
      </c>
      <c r="CN47" s="64">
        <f t="shared" si="55"/>
        <v>0</v>
      </c>
      <c r="CO47" s="64">
        <f t="shared" si="56"/>
        <v>0</v>
      </c>
      <c r="CP47" s="64">
        <f t="shared" si="57"/>
        <v>0</v>
      </c>
      <c r="CQ47" s="64">
        <f t="shared" si="58"/>
        <v>0</v>
      </c>
      <c r="CR47" s="64">
        <f t="shared" si="59"/>
        <v>0</v>
      </c>
      <c r="CS47" s="64">
        <f t="shared" si="60"/>
        <v>0</v>
      </c>
      <c r="CT47" s="64">
        <f t="shared" si="61"/>
        <v>0</v>
      </c>
      <c r="CU47" s="64">
        <f t="shared" si="62"/>
        <v>0</v>
      </c>
      <c r="CV47" s="69">
        <f t="shared" si="63"/>
        <v>22.493728763557957</v>
      </c>
      <c r="CW47" s="69">
        <f t="shared" si="64"/>
        <v>780.96804807207445</v>
      </c>
      <c r="CX47" s="69">
        <f t="shared" si="20"/>
        <v>2974.2734213118138</v>
      </c>
      <c r="CY47" s="69">
        <f t="shared" si="65"/>
        <v>31735.083333333332</v>
      </c>
      <c r="CZ47" s="64">
        <f t="shared" si="22"/>
        <v>2014.8303821789707</v>
      </c>
      <c r="DA47" s="64">
        <f t="shared" si="66"/>
        <v>21497.959677419356</v>
      </c>
      <c r="DB47" s="64">
        <f t="shared" si="24"/>
        <v>0</v>
      </c>
      <c r="DC47" s="64">
        <f t="shared" si="25"/>
        <v>0</v>
      </c>
      <c r="DD47" s="64">
        <f t="shared" si="26"/>
        <v>0</v>
      </c>
      <c r="DE47" s="64">
        <f t="shared" si="27"/>
        <v>0</v>
      </c>
      <c r="DF47" s="64">
        <f t="shared" si="28"/>
        <v>0</v>
      </c>
      <c r="DG47" s="64">
        <f t="shared" si="29"/>
        <v>0</v>
      </c>
      <c r="DH47" s="64">
        <f t="shared" si="30"/>
        <v>0</v>
      </c>
      <c r="DI47" s="64">
        <f t="shared" si="31"/>
        <v>0</v>
      </c>
      <c r="DJ47" s="64">
        <f t="shared" si="32"/>
        <v>0</v>
      </c>
      <c r="DK47" s="64">
        <f t="shared" si="33"/>
        <v>0</v>
      </c>
      <c r="DL47" s="64">
        <f t="shared" si="34"/>
        <v>0</v>
      </c>
      <c r="DM47" s="64">
        <f t="shared" si="35"/>
        <v>0</v>
      </c>
      <c r="DN47" s="64">
        <f t="shared" si="36"/>
        <v>0</v>
      </c>
      <c r="DO47" s="64">
        <f t="shared" si="37"/>
        <v>0</v>
      </c>
      <c r="DP47" s="2">
        <f t="shared" si="70"/>
        <v>22</v>
      </c>
      <c r="DQ47" s="2">
        <f t="shared" si="70"/>
        <v>10</v>
      </c>
      <c r="DR47" s="2">
        <v>0</v>
      </c>
      <c r="DS47" s="2">
        <v>0</v>
      </c>
      <c r="DT47" s="2">
        <v>0</v>
      </c>
      <c r="DU47" s="2">
        <f t="shared" si="40"/>
        <v>4</v>
      </c>
      <c r="DV47" s="2">
        <f t="shared" si="41"/>
        <v>21497.959677419356</v>
      </c>
      <c r="DW47" s="2">
        <f t="shared" si="67"/>
        <v>2665747</v>
      </c>
    </row>
    <row r="48" spans="1:127" s="2" customFormat="1">
      <c r="A48" s="3">
        <v>43040</v>
      </c>
      <c r="B48">
        <f t="shared" si="42"/>
        <v>2017</v>
      </c>
      <c r="C48" s="2">
        <v>17206368</v>
      </c>
      <c r="D48" s="2">
        <f>VLOOKUP(B48,'Historic CDM'!$B$135:$H$146,2,FALSE)/12</f>
        <v>931954.37951623613</v>
      </c>
      <c r="E48" s="2">
        <f t="shared" si="43"/>
        <v>18138322.379516236</v>
      </c>
      <c r="F48" s="6">
        <v>27479</v>
      </c>
      <c r="G48" s="219">
        <v>4967977</v>
      </c>
      <c r="H48" s="2">
        <f>VLOOKUP(B48,'Historic CDM'!$B$135:$H$147,3,FALSE)/12</f>
        <v>1008417.3725585771</v>
      </c>
      <c r="I48" s="2">
        <f t="shared" si="44"/>
        <v>5976394.372558577</v>
      </c>
      <c r="J48" s="6">
        <v>1977</v>
      </c>
      <c r="K48" s="219">
        <v>13877465</v>
      </c>
      <c r="L48" s="2">
        <f>VLOOKUP(B48,'Historic CDM'!$B$135:$H$146,4,FALSE)/12</f>
        <v>1082686.4618870232</v>
      </c>
      <c r="M48" s="2">
        <f t="shared" si="48"/>
        <v>14960151.461887022</v>
      </c>
      <c r="N48" s="222">
        <v>37003</v>
      </c>
      <c r="O48" s="220">
        <v>250</v>
      </c>
      <c r="P48" s="220">
        <v>276165</v>
      </c>
      <c r="Q48" s="2">
        <v>728</v>
      </c>
      <c r="R48" s="220">
        <v>2757</v>
      </c>
      <c r="S48" s="220">
        <v>24746</v>
      </c>
      <c r="T48" s="2">
        <v>69</v>
      </c>
      <c r="U48" s="220">
        <v>246</v>
      </c>
      <c r="V48" s="221">
        <v>129105</v>
      </c>
      <c r="W48" s="220">
        <v>132</v>
      </c>
      <c r="X48" s="2">
        <v>2738878</v>
      </c>
      <c r="Y48" s="2">
        <v>6829</v>
      </c>
      <c r="Z48" s="220">
        <v>4</v>
      </c>
      <c r="AA48" s="100">
        <f>'Weather Data'!D204</f>
        <v>474.93552299140981</v>
      </c>
      <c r="AB48" s="100">
        <f>'Weather Data'!E204</f>
        <v>0</v>
      </c>
      <c r="AC48" s="100">
        <f>'Weather Data'!F204</f>
        <v>414.93552299140981</v>
      </c>
      <c r="AD48" s="100">
        <f>'Weather Data'!G204</f>
        <v>0</v>
      </c>
      <c r="AE48" s="100">
        <f>'Weather Data'!H204</f>
        <v>354.93552299140981</v>
      </c>
      <c r="AF48" s="100">
        <f>'Weather Data'!I204</f>
        <v>0</v>
      </c>
      <c r="AG48" s="100">
        <f>'Weather Data'!J204</f>
        <v>294.93552299140987</v>
      </c>
      <c r="AH48" s="100">
        <f>'Weather Data'!K204</f>
        <v>0</v>
      </c>
      <c r="AI48" s="100">
        <f>'Weather Data'!L204</f>
        <v>235.33552299140985</v>
      </c>
      <c r="AJ48" s="100">
        <f>'Weather Data'!M204</f>
        <v>0.40000000000000036</v>
      </c>
      <c r="AK48" s="100">
        <f>'Weather Data'!N204</f>
        <v>179.03552299140983</v>
      </c>
      <c r="AL48" s="100">
        <f>'Weather Data'!O204</f>
        <v>4.1000000000000014</v>
      </c>
      <c r="AM48" s="100">
        <f>'Weather Data'!P204</f>
        <v>125.03552299140979</v>
      </c>
      <c r="AN48" s="100">
        <f>'Weather Data'!Q204</f>
        <v>10.100000000000001</v>
      </c>
      <c r="AO48" s="100">
        <f>'Weather Data'!R204</f>
        <v>4.1688159002863392</v>
      </c>
      <c r="AP48" s="5">
        <f>'Economic Data'!D74</f>
        <v>7184.7</v>
      </c>
      <c r="AQ48" s="5">
        <f>'Economic Data'!E74</f>
        <v>7186</v>
      </c>
      <c r="AR48" s="5">
        <f>'Economic Data'!F74</f>
        <v>165.3</v>
      </c>
      <c r="AS48" s="5">
        <f>'Economic Data'!G74</f>
        <v>167.1</v>
      </c>
      <c r="AT48" s="5">
        <f>'Economic Data'!H74</f>
        <v>764464.8</v>
      </c>
      <c r="AU48" s="5">
        <f>'Economic Data'!I74</f>
        <v>7291.3</v>
      </c>
      <c r="AV48" s="5">
        <f>'Economic Data'!J74</f>
        <v>6223.6</v>
      </c>
      <c r="AW48" s="5">
        <f>'Economic Data'!K74</f>
        <v>4582</v>
      </c>
      <c r="AX48" s="5">
        <f>'Economic Data'!L74</f>
        <v>921.1</v>
      </c>
      <c r="AY48" s="5">
        <f>'Economic Data'!M74</f>
        <v>586.70000000000005</v>
      </c>
      <c r="AZ48" s="5">
        <f>'Economic Data'!N74</f>
        <v>7685.1</v>
      </c>
      <c r="BA48" s="5">
        <f>'Economic Data'!O74</f>
        <v>124.8</v>
      </c>
      <c r="BB48" s="5">
        <f>'Economic Data'!P74</f>
        <v>103.7</v>
      </c>
      <c r="BC48" s="5">
        <f>'Economic Data'!Q74</f>
        <v>771453</v>
      </c>
      <c r="BD48" s="5">
        <f>'Economic Data'!R74</f>
        <v>7463</v>
      </c>
      <c r="BE48" s="5">
        <f>'Economic Data'!S74</f>
        <v>3482</v>
      </c>
      <c r="BF48" s="5">
        <f>'Economic Data'!T74</f>
        <v>12811</v>
      </c>
      <c r="BG48" s="5">
        <f>'EV Data'!V13</f>
        <v>7299.3333333333339</v>
      </c>
      <c r="BH48" s="5">
        <f>'EV Data'!AB13</f>
        <v>47</v>
      </c>
      <c r="BI48" s="5">
        <f>'EV Data'!W13</f>
        <v>162.66666666666669</v>
      </c>
      <c r="BJ48" s="5">
        <f t="shared" si="71"/>
        <v>47</v>
      </c>
      <c r="BK48" s="70">
        <f t="shared" si="1"/>
        <v>1.6720978579357175</v>
      </c>
      <c r="BL48" s="5">
        <f t="shared" si="2"/>
        <v>2209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1</v>
      </c>
      <c r="BX48">
        <v>0</v>
      </c>
      <c r="BY48">
        <f t="shared" si="69"/>
        <v>0</v>
      </c>
      <c r="BZ48">
        <f t="shared" si="69"/>
        <v>1</v>
      </c>
      <c r="CA48">
        <f t="shared" si="46"/>
        <v>1</v>
      </c>
      <c r="CB48">
        <v>30</v>
      </c>
      <c r="CC48">
        <v>22</v>
      </c>
      <c r="CD48">
        <v>0</v>
      </c>
      <c r="CE48">
        <v>0</v>
      </c>
      <c r="CF48">
        <f t="shared" si="39"/>
        <v>0</v>
      </c>
      <c r="CG48">
        <v>0</v>
      </c>
      <c r="CH48" s="64">
        <f t="shared" si="49"/>
        <v>0</v>
      </c>
      <c r="CI48" s="64">
        <f t="shared" si="50"/>
        <v>0</v>
      </c>
      <c r="CJ48" s="64">
        <f t="shared" si="51"/>
        <v>0</v>
      </c>
      <c r="CK48" s="64">
        <f t="shared" si="52"/>
        <v>0</v>
      </c>
      <c r="CL48" s="64">
        <f t="shared" si="53"/>
        <v>0</v>
      </c>
      <c r="CM48" s="64">
        <f t="shared" si="54"/>
        <v>0</v>
      </c>
      <c r="CN48" s="64">
        <f t="shared" si="55"/>
        <v>0</v>
      </c>
      <c r="CO48" s="64">
        <f t="shared" si="56"/>
        <v>0</v>
      </c>
      <c r="CP48" s="64">
        <f t="shared" si="57"/>
        <v>0</v>
      </c>
      <c r="CQ48" s="64">
        <f t="shared" si="58"/>
        <v>0</v>
      </c>
      <c r="CR48" s="64">
        <f t="shared" si="59"/>
        <v>0</v>
      </c>
      <c r="CS48" s="64">
        <f t="shared" si="60"/>
        <v>0</v>
      </c>
      <c r="CT48" s="64">
        <f t="shared" si="61"/>
        <v>0</v>
      </c>
      <c r="CU48" s="64">
        <f t="shared" si="62"/>
        <v>0</v>
      </c>
      <c r="CV48" s="69">
        <f t="shared" si="63"/>
        <v>22.002647330102061</v>
      </c>
      <c r="CW48" s="69">
        <f t="shared" si="64"/>
        <v>796.85258300781027</v>
      </c>
      <c r="CX48" s="69">
        <f t="shared" si="20"/>
        <v>2720.0275385249133</v>
      </c>
      <c r="CY48" s="69">
        <f t="shared" si="65"/>
        <v>31123.613636363636</v>
      </c>
      <c r="CZ48" s="64">
        <f t="shared" si="22"/>
        <v>1994.6868615849362</v>
      </c>
      <c r="DA48" s="64">
        <f t="shared" si="66"/>
        <v>22823.983333333334</v>
      </c>
      <c r="DB48" s="64">
        <f t="shared" si="24"/>
        <v>0</v>
      </c>
      <c r="DC48" s="64">
        <f t="shared" si="25"/>
        <v>0</v>
      </c>
      <c r="DD48" s="64">
        <f t="shared" si="26"/>
        <v>0</v>
      </c>
      <c r="DE48" s="64">
        <f t="shared" si="27"/>
        <v>0</v>
      </c>
      <c r="DF48" s="64">
        <f t="shared" si="28"/>
        <v>0</v>
      </c>
      <c r="DG48" s="64">
        <f t="shared" si="29"/>
        <v>0</v>
      </c>
      <c r="DH48" s="64">
        <f t="shared" si="30"/>
        <v>0</v>
      </c>
      <c r="DI48" s="64">
        <f t="shared" si="31"/>
        <v>0</v>
      </c>
      <c r="DJ48" s="64">
        <f t="shared" si="32"/>
        <v>0</v>
      </c>
      <c r="DK48" s="64">
        <f t="shared" si="33"/>
        <v>0</v>
      </c>
      <c r="DL48" s="64">
        <f t="shared" si="34"/>
        <v>0</v>
      </c>
      <c r="DM48" s="64">
        <f t="shared" si="35"/>
        <v>0</v>
      </c>
      <c r="DN48" s="64">
        <f t="shared" si="36"/>
        <v>0</v>
      </c>
      <c r="DO48" s="64">
        <f t="shared" si="37"/>
        <v>0</v>
      </c>
      <c r="DP48" s="2">
        <f t="shared" si="70"/>
        <v>23</v>
      </c>
      <c r="DQ48" s="2">
        <f t="shared" si="70"/>
        <v>11</v>
      </c>
      <c r="DR48" s="2">
        <v>0</v>
      </c>
      <c r="DS48" s="2">
        <v>0</v>
      </c>
      <c r="DT48" s="2">
        <v>0</v>
      </c>
      <c r="DU48" s="2">
        <f t="shared" si="40"/>
        <v>4</v>
      </c>
      <c r="DV48" s="2">
        <f t="shared" si="41"/>
        <v>22823.983333333334</v>
      </c>
      <c r="DW48" s="2">
        <f t="shared" si="67"/>
        <v>2738878</v>
      </c>
    </row>
    <row r="49" spans="1:127" s="2" customFormat="1">
      <c r="A49" s="3">
        <v>43070</v>
      </c>
      <c r="B49">
        <f t="shared" si="42"/>
        <v>2017</v>
      </c>
      <c r="C49" s="2">
        <v>20228375</v>
      </c>
      <c r="D49" s="2">
        <f>VLOOKUP(B49,'Historic CDM'!$B$135:$H$146,2,FALSE)/12</f>
        <v>931954.37951623613</v>
      </c>
      <c r="E49" s="2">
        <f t="shared" si="43"/>
        <v>21160329.379516236</v>
      </c>
      <c r="F49" s="6">
        <v>27523</v>
      </c>
      <c r="G49" s="219">
        <v>5540507</v>
      </c>
      <c r="H49" s="2">
        <f>VLOOKUP(B49,'Historic CDM'!$B$135:$H$147,3,FALSE)/12</f>
        <v>1008417.3725585771</v>
      </c>
      <c r="I49" s="2">
        <f t="shared" si="44"/>
        <v>6548924.372558577</v>
      </c>
      <c r="J49" s="6">
        <v>1978</v>
      </c>
      <c r="K49" s="219">
        <v>11998672</v>
      </c>
      <c r="L49" s="2">
        <f>VLOOKUP(B49,'Historic CDM'!$B$135:$H$146,4,FALSE)/12</f>
        <v>1082686.4618870232</v>
      </c>
      <c r="M49" s="2">
        <f t="shared" si="48"/>
        <v>13081358.461887022</v>
      </c>
      <c r="N49" s="222">
        <v>36767</v>
      </c>
      <c r="O49" s="220">
        <v>250</v>
      </c>
      <c r="P49" s="220">
        <v>309143</v>
      </c>
      <c r="Q49" s="2">
        <v>727</v>
      </c>
      <c r="R49" s="220">
        <v>2759</v>
      </c>
      <c r="S49" s="220">
        <v>24060</v>
      </c>
      <c r="T49" s="2">
        <v>67</v>
      </c>
      <c r="U49" s="220">
        <v>246</v>
      </c>
      <c r="V49" s="221">
        <v>129105</v>
      </c>
      <c r="W49" s="220">
        <v>132</v>
      </c>
      <c r="X49" s="2">
        <v>2623050</v>
      </c>
      <c r="Y49" s="2">
        <v>6916</v>
      </c>
      <c r="Z49" s="220">
        <v>5</v>
      </c>
      <c r="AA49" s="100">
        <f>'Weather Data'!D205</f>
        <v>734.00000000000011</v>
      </c>
      <c r="AB49" s="100">
        <f>'Weather Data'!E205</f>
        <v>0</v>
      </c>
      <c r="AC49" s="100">
        <f>'Weather Data'!F205</f>
        <v>672.00000000000011</v>
      </c>
      <c r="AD49" s="100">
        <f>'Weather Data'!G205</f>
        <v>0</v>
      </c>
      <c r="AE49" s="100">
        <f>'Weather Data'!H205</f>
        <v>610.00000000000011</v>
      </c>
      <c r="AF49" s="100">
        <f>'Weather Data'!I205</f>
        <v>0</v>
      </c>
      <c r="AG49" s="100">
        <f>'Weather Data'!J205</f>
        <v>548.00000000000011</v>
      </c>
      <c r="AH49" s="100">
        <f>'Weather Data'!K205</f>
        <v>0</v>
      </c>
      <c r="AI49" s="100">
        <f>'Weather Data'!L205</f>
        <v>486.00000000000006</v>
      </c>
      <c r="AJ49" s="100">
        <f>'Weather Data'!M205</f>
        <v>0</v>
      </c>
      <c r="AK49" s="100">
        <f>'Weather Data'!N205</f>
        <v>424.00000000000006</v>
      </c>
      <c r="AL49" s="100">
        <f>'Weather Data'!O205</f>
        <v>0</v>
      </c>
      <c r="AM49" s="100">
        <f>'Weather Data'!P205</f>
        <v>362.00000000000006</v>
      </c>
      <c r="AN49" s="100">
        <f>'Weather Data'!Q205</f>
        <v>0</v>
      </c>
      <c r="AO49" s="100">
        <f>'Weather Data'!R205</f>
        <v>-3.6774193548387095</v>
      </c>
      <c r="AP49" s="5">
        <f>'Economic Data'!D75</f>
        <v>7199.5</v>
      </c>
      <c r="AQ49" s="5">
        <f>'Economic Data'!E75</f>
        <v>7206.8</v>
      </c>
      <c r="AR49" s="5">
        <f>'Economic Data'!F75</f>
        <v>165.8</v>
      </c>
      <c r="AS49" s="5">
        <f>'Economic Data'!G75</f>
        <v>166.6</v>
      </c>
      <c r="AT49" s="5">
        <f>'Economic Data'!H75</f>
        <v>764464.8</v>
      </c>
      <c r="AU49" s="5">
        <f>'Economic Data'!I75</f>
        <v>7291.3</v>
      </c>
      <c r="AV49" s="5">
        <f>'Economic Data'!J75</f>
        <v>6223.6</v>
      </c>
      <c r="AW49" s="5">
        <f>'Economic Data'!K75</f>
        <v>4582</v>
      </c>
      <c r="AX49" s="5">
        <f>'Economic Data'!L75</f>
        <v>921.1</v>
      </c>
      <c r="AY49" s="5">
        <f>'Economic Data'!M75</f>
        <v>586.70000000000005</v>
      </c>
      <c r="AZ49" s="5">
        <f>'Economic Data'!N75</f>
        <v>7685.1</v>
      </c>
      <c r="BA49" s="5">
        <f>'Economic Data'!O75</f>
        <v>124.8</v>
      </c>
      <c r="BB49" s="5">
        <f>'Economic Data'!P75</f>
        <v>103.7</v>
      </c>
      <c r="BC49" s="5">
        <f>'Economic Data'!Q75</f>
        <v>771453</v>
      </c>
      <c r="BD49" s="5">
        <f>'Economic Data'!R75</f>
        <v>7463</v>
      </c>
      <c r="BE49" s="5">
        <f>'Economic Data'!S75</f>
        <v>3482</v>
      </c>
      <c r="BF49" s="5">
        <f>'Economic Data'!T75</f>
        <v>12811</v>
      </c>
      <c r="BG49" s="5">
        <f>'EV Data'!V14</f>
        <v>8180.0000000000009</v>
      </c>
      <c r="BH49" s="5">
        <f>'EV Data'!AB14</f>
        <v>52</v>
      </c>
      <c r="BI49" s="5">
        <f>'EV Data'!W14</f>
        <v>185.00000000000003</v>
      </c>
      <c r="BJ49" s="5">
        <f t="shared" si="71"/>
        <v>48</v>
      </c>
      <c r="BK49" s="70">
        <f t="shared" si="1"/>
        <v>1.6812412373755872</v>
      </c>
      <c r="BL49" s="5">
        <f t="shared" si="2"/>
        <v>2304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1</v>
      </c>
      <c r="BY49">
        <f t="shared" si="69"/>
        <v>0</v>
      </c>
      <c r="BZ49">
        <f t="shared" si="69"/>
        <v>0</v>
      </c>
      <c r="CA49">
        <f t="shared" si="46"/>
        <v>0</v>
      </c>
      <c r="CB49">
        <v>31</v>
      </c>
      <c r="CC49">
        <v>19</v>
      </c>
      <c r="CD49">
        <v>0</v>
      </c>
      <c r="CE49">
        <v>0</v>
      </c>
      <c r="CF49">
        <f t="shared" si="39"/>
        <v>0</v>
      </c>
      <c r="CG49">
        <v>0</v>
      </c>
      <c r="CH49" s="64">
        <f t="shared" si="49"/>
        <v>0</v>
      </c>
      <c r="CI49" s="64">
        <f t="shared" si="50"/>
        <v>0</v>
      </c>
      <c r="CJ49" s="64">
        <f t="shared" si="51"/>
        <v>0</v>
      </c>
      <c r="CK49" s="64">
        <f t="shared" si="52"/>
        <v>0</v>
      </c>
      <c r="CL49" s="64">
        <f t="shared" si="53"/>
        <v>0</v>
      </c>
      <c r="CM49" s="64">
        <f t="shared" si="54"/>
        <v>0</v>
      </c>
      <c r="CN49" s="64">
        <f t="shared" si="55"/>
        <v>0</v>
      </c>
      <c r="CO49" s="64">
        <f t="shared" si="56"/>
        <v>0</v>
      </c>
      <c r="CP49" s="64">
        <f t="shared" si="57"/>
        <v>0</v>
      </c>
      <c r="CQ49" s="64">
        <f t="shared" si="58"/>
        <v>0</v>
      </c>
      <c r="CR49" s="64">
        <f t="shared" si="59"/>
        <v>0</v>
      </c>
      <c r="CS49" s="64">
        <f t="shared" si="60"/>
        <v>0</v>
      </c>
      <c r="CT49" s="64">
        <f t="shared" si="61"/>
        <v>0</v>
      </c>
      <c r="CU49" s="64">
        <f t="shared" si="62"/>
        <v>0</v>
      </c>
      <c r="CV49" s="69">
        <f t="shared" si="63"/>
        <v>24.800758286050769</v>
      </c>
      <c r="CW49" s="69">
        <f t="shared" si="64"/>
        <v>845.02249968497767</v>
      </c>
      <c r="CX49" s="69">
        <f t="shared" si="20"/>
        <v>2753.9702025025308</v>
      </c>
      <c r="CY49" s="69">
        <f t="shared" si="65"/>
        <v>27611.05263157895</v>
      </c>
      <c r="CZ49" s="64">
        <f t="shared" si="22"/>
        <v>1687.917220888648</v>
      </c>
      <c r="DA49" s="64">
        <f t="shared" si="66"/>
        <v>16922.903225806451</v>
      </c>
      <c r="DB49" s="64">
        <f t="shared" si="24"/>
        <v>0</v>
      </c>
      <c r="DC49" s="64">
        <f t="shared" si="25"/>
        <v>0</v>
      </c>
      <c r="DD49" s="64">
        <f t="shared" si="26"/>
        <v>0</v>
      </c>
      <c r="DE49" s="64">
        <f t="shared" si="27"/>
        <v>0</v>
      </c>
      <c r="DF49" s="64">
        <f t="shared" si="28"/>
        <v>0</v>
      </c>
      <c r="DG49" s="64">
        <f t="shared" si="29"/>
        <v>0</v>
      </c>
      <c r="DH49" s="64">
        <f t="shared" si="30"/>
        <v>0</v>
      </c>
      <c r="DI49" s="64">
        <f t="shared" si="31"/>
        <v>0</v>
      </c>
      <c r="DJ49" s="64">
        <f t="shared" si="32"/>
        <v>0</v>
      </c>
      <c r="DK49" s="64">
        <f t="shared" si="33"/>
        <v>0</v>
      </c>
      <c r="DL49" s="64">
        <f t="shared" si="34"/>
        <v>0</v>
      </c>
      <c r="DM49" s="64">
        <f t="shared" si="35"/>
        <v>0</v>
      </c>
      <c r="DN49" s="64">
        <f t="shared" si="36"/>
        <v>0</v>
      </c>
      <c r="DO49" s="64">
        <f t="shared" si="37"/>
        <v>0</v>
      </c>
      <c r="DP49" s="2">
        <f t="shared" si="70"/>
        <v>24</v>
      </c>
      <c r="DQ49" s="2">
        <f t="shared" si="70"/>
        <v>12</v>
      </c>
      <c r="DR49" s="2">
        <v>0</v>
      </c>
      <c r="DS49" s="2">
        <v>0</v>
      </c>
      <c r="DT49" s="2">
        <v>0</v>
      </c>
      <c r="DU49" s="288">
        <v>4</v>
      </c>
      <c r="DV49" s="2">
        <f t="shared" si="41"/>
        <v>21153.629032258064</v>
      </c>
      <c r="DW49" s="2">
        <f t="shared" si="67"/>
        <v>2623050</v>
      </c>
    </row>
    <row r="50" spans="1:127" s="2" customFormat="1">
      <c r="A50" s="3">
        <v>43101</v>
      </c>
      <c r="B50">
        <f t="shared" si="42"/>
        <v>2018</v>
      </c>
      <c r="C50" s="2">
        <v>21195995</v>
      </c>
      <c r="D50" s="2">
        <f>VLOOKUP(B50,'Historic CDM'!$B$135:$H$146,2,FALSE)/12</f>
        <v>1140167.2458511787</v>
      </c>
      <c r="E50" s="2">
        <f t="shared" si="43"/>
        <v>22336162.245851178</v>
      </c>
      <c r="F50" s="6">
        <v>27548</v>
      </c>
      <c r="G50" s="219">
        <v>5852736</v>
      </c>
      <c r="H50" s="2">
        <f>VLOOKUP(B50,'Historic CDM'!$B$135:$H$147,3,FALSE)/12</f>
        <v>1108937.0655590973</v>
      </c>
      <c r="I50" s="2">
        <f t="shared" si="44"/>
        <v>6961673.0655590976</v>
      </c>
      <c r="J50" s="6">
        <v>1978</v>
      </c>
      <c r="K50" s="219">
        <v>14395468</v>
      </c>
      <c r="L50" s="2">
        <f>VLOOKUP(B50,'Historic CDM'!$B$135:$H$146,4,FALSE)/12</f>
        <v>1184612.1746571031</v>
      </c>
      <c r="M50" s="2">
        <f t="shared" si="48"/>
        <v>15580080.174657103</v>
      </c>
      <c r="N50" s="222">
        <v>40099</v>
      </c>
      <c r="O50" s="220">
        <v>250</v>
      </c>
      <c r="P50" s="219">
        <v>304057</v>
      </c>
      <c r="Q50" s="2">
        <v>727</v>
      </c>
      <c r="R50" s="220">
        <v>2758</v>
      </c>
      <c r="S50" s="220">
        <v>25855</v>
      </c>
      <c r="T50" s="2">
        <v>72</v>
      </c>
      <c r="U50" s="220">
        <v>246</v>
      </c>
      <c r="V50" s="221">
        <v>129105</v>
      </c>
      <c r="W50" s="220">
        <v>132</v>
      </c>
      <c r="X50" s="2">
        <v>2945901</v>
      </c>
      <c r="Y50" s="2">
        <v>7324</v>
      </c>
      <c r="Z50" s="220">
        <v>5</v>
      </c>
      <c r="AA50" s="100">
        <f>'Weather Data'!D206</f>
        <v>767.60000000000014</v>
      </c>
      <c r="AB50" s="100">
        <f>'Weather Data'!E206</f>
        <v>0</v>
      </c>
      <c r="AC50" s="100">
        <f>'Weather Data'!F206</f>
        <v>705.60000000000014</v>
      </c>
      <c r="AD50" s="100">
        <f>'Weather Data'!G206</f>
        <v>0</v>
      </c>
      <c r="AE50" s="100">
        <f>'Weather Data'!H206</f>
        <v>643.6</v>
      </c>
      <c r="AF50" s="100">
        <f>'Weather Data'!I206</f>
        <v>0</v>
      </c>
      <c r="AG50" s="100">
        <f>'Weather Data'!J206</f>
        <v>581.6</v>
      </c>
      <c r="AH50" s="100">
        <f>'Weather Data'!K206</f>
        <v>0</v>
      </c>
      <c r="AI50" s="100">
        <f>'Weather Data'!L206</f>
        <v>519.59999999999991</v>
      </c>
      <c r="AJ50" s="100">
        <f>'Weather Data'!M206</f>
        <v>0</v>
      </c>
      <c r="AK50" s="100">
        <f>'Weather Data'!N206</f>
        <v>457.59999999999985</v>
      </c>
      <c r="AL50" s="100">
        <f>'Weather Data'!O206</f>
        <v>0</v>
      </c>
      <c r="AM50" s="100">
        <f>'Weather Data'!P206</f>
        <v>396.89999999999986</v>
      </c>
      <c r="AN50" s="100">
        <f>'Weather Data'!Q206</f>
        <v>1.3000000000000007</v>
      </c>
      <c r="AO50" s="100">
        <f>'Weather Data'!R206</f>
        <v>-4.7612903225806438</v>
      </c>
      <c r="AP50" s="5">
        <f>'Economic Data'!D76</f>
        <v>7199.4</v>
      </c>
      <c r="AQ50" s="5">
        <f>'Economic Data'!E76</f>
        <v>7167.3</v>
      </c>
      <c r="AR50" s="5">
        <f>'Economic Data'!F76</f>
        <v>168.3</v>
      </c>
      <c r="AS50" s="5">
        <f>'Economic Data'!G76</f>
        <v>167.9</v>
      </c>
      <c r="AT50" s="5">
        <f>'Economic Data'!H76</f>
        <v>789531.6</v>
      </c>
      <c r="AU50" s="5">
        <f>'Economic Data'!I76</f>
        <v>7545.5</v>
      </c>
      <c r="AV50" s="5">
        <f>'Economic Data'!J76</f>
        <v>6450.3</v>
      </c>
      <c r="AW50" s="5">
        <f>'Economic Data'!K76</f>
        <v>4822.2</v>
      </c>
      <c r="AX50" s="5">
        <f>'Economic Data'!L76</f>
        <v>975.3</v>
      </c>
      <c r="AY50" s="5">
        <f>'Economic Data'!M76</f>
        <v>828.8</v>
      </c>
      <c r="AZ50" s="5">
        <f>'Economic Data'!N76</f>
        <v>7677.9</v>
      </c>
      <c r="BA50" s="5">
        <f>'Economic Data'!O76</f>
        <v>120.2</v>
      </c>
      <c r="BB50" s="5">
        <f>'Economic Data'!P76</f>
        <v>138.5</v>
      </c>
      <c r="BC50" s="5">
        <f>'Economic Data'!Q76</f>
        <v>779459</v>
      </c>
      <c r="BD50" s="5">
        <f>'Economic Data'!R76</f>
        <v>7503</v>
      </c>
      <c r="BE50" s="5">
        <f>'Economic Data'!S76</f>
        <v>3689</v>
      </c>
      <c r="BF50" s="5">
        <f>'Economic Data'!T76</f>
        <v>13681</v>
      </c>
      <c r="BG50" s="5">
        <f>'EV Data'!V15</f>
        <v>9096</v>
      </c>
      <c r="BH50" s="5">
        <f>'EV Data'!AB15</f>
        <v>55.666666666666664</v>
      </c>
      <c r="BI50" s="5">
        <f>'EV Data'!W15</f>
        <v>201.66666666666669</v>
      </c>
      <c r="BJ50" s="5">
        <f t="shared" si="71"/>
        <v>49</v>
      </c>
      <c r="BK50" s="70">
        <f t="shared" si="1"/>
        <v>1.6901960800285136</v>
      </c>
      <c r="BL50" s="5">
        <f t="shared" si="2"/>
        <v>2401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f t="shared" ref="BY50:BZ65" si="72">BY38</f>
        <v>0</v>
      </c>
      <c r="BZ50">
        <f t="shared" si="72"/>
        <v>0</v>
      </c>
      <c r="CA50">
        <f t="shared" si="46"/>
        <v>0</v>
      </c>
      <c r="CB50">
        <v>31</v>
      </c>
      <c r="CC50">
        <v>22</v>
      </c>
      <c r="CD50">
        <v>0</v>
      </c>
      <c r="CE50">
        <v>0</v>
      </c>
      <c r="CF50">
        <f t="shared" si="39"/>
        <v>0</v>
      </c>
      <c r="CG50">
        <v>0</v>
      </c>
      <c r="CH50" s="64">
        <f t="shared" si="49"/>
        <v>0</v>
      </c>
      <c r="CI50" s="64">
        <f t="shared" si="50"/>
        <v>0</v>
      </c>
      <c r="CJ50" s="64">
        <f t="shared" si="51"/>
        <v>0</v>
      </c>
      <c r="CK50" s="64">
        <f t="shared" si="52"/>
        <v>0</v>
      </c>
      <c r="CL50" s="64">
        <f t="shared" si="53"/>
        <v>0</v>
      </c>
      <c r="CM50" s="64">
        <f t="shared" si="54"/>
        <v>0</v>
      </c>
      <c r="CN50" s="64">
        <f t="shared" si="55"/>
        <v>0</v>
      </c>
      <c r="CO50" s="64">
        <f t="shared" si="56"/>
        <v>0</v>
      </c>
      <c r="CP50" s="64">
        <f t="shared" si="57"/>
        <v>0</v>
      </c>
      <c r="CQ50" s="64">
        <f t="shared" si="58"/>
        <v>0</v>
      </c>
      <c r="CR50" s="64">
        <f t="shared" si="59"/>
        <v>0</v>
      </c>
      <c r="CS50" s="64">
        <f t="shared" si="60"/>
        <v>0</v>
      </c>
      <c r="CT50" s="64">
        <f t="shared" si="61"/>
        <v>0</v>
      </c>
      <c r="CU50" s="64">
        <f t="shared" si="62"/>
        <v>0</v>
      </c>
      <c r="CV50" s="69">
        <f t="shared" si="63"/>
        <v>26.155124247473239</v>
      </c>
      <c r="CW50" s="69">
        <f t="shared" si="64"/>
        <v>898.28039555601265</v>
      </c>
      <c r="CX50" s="69">
        <f t="shared" si="20"/>
        <v>2832.7418499376549</v>
      </c>
      <c r="CY50" s="69">
        <f t="shared" si="65"/>
        <v>26780.918181818182</v>
      </c>
      <c r="CZ50" s="64">
        <f t="shared" si="22"/>
        <v>2010.3329257622067</v>
      </c>
      <c r="DA50" s="64">
        <f t="shared" si="66"/>
        <v>19005.812903225808</v>
      </c>
      <c r="DB50" s="64">
        <f t="shared" si="24"/>
        <v>0</v>
      </c>
      <c r="DC50" s="64">
        <f t="shared" si="25"/>
        <v>0</v>
      </c>
      <c r="DD50" s="64">
        <f t="shared" si="26"/>
        <v>0</v>
      </c>
      <c r="DE50" s="64">
        <f t="shared" si="27"/>
        <v>0</v>
      </c>
      <c r="DF50" s="64">
        <f t="shared" si="28"/>
        <v>0</v>
      </c>
      <c r="DG50" s="64">
        <f t="shared" si="29"/>
        <v>0</v>
      </c>
      <c r="DH50" s="64">
        <f t="shared" si="30"/>
        <v>0</v>
      </c>
      <c r="DI50" s="64">
        <f t="shared" si="31"/>
        <v>0</v>
      </c>
      <c r="DJ50" s="64">
        <f t="shared" si="32"/>
        <v>0</v>
      </c>
      <c r="DK50" s="64">
        <f t="shared" si="33"/>
        <v>0</v>
      </c>
      <c r="DL50" s="64">
        <f t="shared" si="34"/>
        <v>0</v>
      </c>
      <c r="DM50" s="64">
        <f t="shared" si="35"/>
        <v>0</v>
      </c>
      <c r="DN50" s="64">
        <f t="shared" si="36"/>
        <v>0</v>
      </c>
      <c r="DO50" s="64">
        <f t="shared" si="37"/>
        <v>0</v>
      </c>
      <c r="DP50" s="2">
        <f t="shared" si="70"/>
        <v>25</v>
      </c>
      <c r="DQ50" s="2">
        <f t="shared" si="70"/>
        <v>13</v>
      </c>
      <c r="DR50" s="2">
        <v>1</v>
      </c>
      <c r="DS50" s="2">
        <v>0</v>
      </c>
      <c r="DT50" s="2">
        <v>0</v>
      </c>
      <c r="DU50" s="288">
        <v>4</v>
      </c>
      <c r="DV50" s="2">
        <f t="shared" si="41"/>
        <v>23757.266129032258</v>
      </c>
      <c r="DW50" s="2">
        <f t="shared" si="67"/>
        <v>2945901</v>
      </c>
    </row>
    <row r="51" spans="1:127" s="2" customFormat="1">
      <c r="A51" s="3">
        <v>43132</v>
      </c>
      <c r="B51">
        <f t="shared" si="42"/>
        <v>2018</v>
      </c>
      <c r="C51" s="2">
        <v>18076152</v>
      </c>
      <c r="D51" s="2">
        <f>VLOOKUP(B51,'Historic CDM'!$B$135:$H$146,2,FALSE)/12</f>
        <v>1140167.2458511787</v>
      </c>
      <c r="E51" s="2">
        <f t="shared" si="43"/>
        <v>19216319.245851178</v>
      </c>
      <c r="F51" s="6">
        <v>27572</v>
      </c>
      <c r="G51" s="219">
        <v>5260455</v>
      </c>
      <c r="H51" s="2">
        <f>VLOOKUP(B51,'Historic CDM'!$B$135:$H$147,3,FALSE)/12</f>
        <v>1108937.0655590973</v>
      </c>
      <c r="I51" s="2">
        <f t="shared" si="44"/>
        <v>6369392.0655590976</v>
      </c>
      <c r="J51" s="6">
        <v>1974</v>
      </c>
      <c r="K51" s="219">
        <v>10395349</v>
      </c>
      <c r="L51" s="2">
        <f>VLOOKUP(B51,'Historic CDM'!$B$135:$H$146,4,FALSE)/12</f>
        <v>1184612.1746571031</v>
      </c>
      <c r="M51" s="2">
        <f t="shared" si="48"/>
        <v>11579961.174657103</v>
      </c>
      <c r="N51" s="222">
        <v>34813</v>
      </c>
      <c r="O51" s="220">
        <v>249</v>
      </c>
      <c r="P51" s="219">
        <v>274632</v>
      </c>
      <c r="Q51" s="2">
        <v>727</v>
      </c>
      <c r="R51" s="220">
        <v>2758</v>
      </c>
      <c r="S51" s="220">
        <v>24724</v>
      </c>
      <c r="T51" s="2">
        <v>69</v>
      </c>
      <c r="U51" s="220">
        <v>246</v>
      </c>
      <c r="V51" s="221">
        <v>129105</v>
      </c>
      <c r="W51" s="220">
        <v>132</v>
      </c>
      <c r="X51" s="2">
        <v>2641888</v>
      </c>
      <c r="Y51" s="2">
        <v>7081</v>
      </c>
      <c r="Z51" s="220">
        <v>5</v>
      </c>
      <c r="AA51" s="100">
        <f>'Weather Data'!D207</f>
        <v>600.5</v>
      </c>
      <c r="AB51" s="100">
        <f>'Weather Data'!E207</f>
        <v>0</v>
      </c>
      <c r="AC51" s="100">
        <f>'Weather Data'!F207</f>
        <v>544.49999999999989</v>
      </c>
      <c r="AD51" s="100">
        <f>'Weather Data'!G207</f>
        <v>0</v>
      </c>
      <c r="AE51" s="100">
        <f>'Weather Data'!H207</f>
        <v>488.49999999999994</v>
      </c>
      <c r="AF51" s="100">
        <f>'Weather Data'!I207</f>
        <v>0</v>
      </c>
      <c r="AG51" s="100">
        <f>'Weather Data'!J207</f>
        <v>432.49999999999994</v>
      </c>
      <c r="AH51" s="100">
        <f>'Weather Data'!K207</f>
        <v>0</v>
      </c>
      <c r="AI51" s="100">
        <f>'Weather Data'!L207</f>
        <v>377.5</v>
      </c>
      <c r="AJ51" s="100">
        <f>'Weather Data'!M207</f>
        <v>1</v>
      </c>
      <c r="AK51" s="100">
        <f>'Weather Data'!N207</f>
        <v>323.5</v>
      </c>
      <c r="AL51" s="100">
        <f>'Weather Data'!O207</f>
        <v>3</v>
      </c>
      <c r="AM51" s="100">
        <f>'Weather Data'!P207</f>
        <v>270.39999999999998</v>
      </c>
      <c r="AN51" s="100">
        <f>'Weather Data'!Q207</f>
        <v>5.9</v>
      </c>
      <c r="AO51" s="100">
        <f>'Weather Data'!R207</f>
        <v>-1.4464285714285716</v>
      </c>
      <c r="AP51" s="5">
        <f>'Economic Data'!D77</f>
        <v>7188.9</v>
      </c>
      <c r="AQ51" s="5">
        <f>'Economic Data'!E77</f>
        <v>7120.1</v>
      </c>
      <c r="AR51" s="5">
        <f>'Economic Data'!F77</f>
        <v>165.4</v>
      </c>
      <c r="AS51" s="5">
        <f>'Economic Data'!G77</f>
        <v>163.6</v>
      </c>
      <c r="AT51" s="5">
        <f>'Economic Data'!H77</f>
        <v>789531.6</v>
      </c>
      <c r="AU51" s="5">
        <f>'Economic Data'!I77</f>
        <v>7545.5</v>
      </c>
      <c r="AV51" s="5">
        <f>'Economic Data'!J77</f>
        <v>6450.3</v>
      </c>
      <c r="AW51" s="5">
        <f>'Economic Data'!K77</f>
        <v>4822.2</v>
      </c>
      <c r="AX51" s="5">
        <f>'Economic Data'!L77</f>
        <v>975.3</v>
      </c>
      <c r="AY51" s="5">
        <f>'Economic Data'!M77</f>
        <v>828.8</v>
      </c>
      <c r="AZ51" s="5">
        <f>'Economic Data'!N77</f>
        <v>7677.9</v>
      </c>
      <c r="BA51" s="5">
        <f>'Economic Data'!O77</f>
        <v>120.2</v>
      </c>
      <c r="BB51" s="5">
        <f>'Economic Data'!P77</f>
        <v>138.5</v>
      </c>
      <c r="BC51" s="5">
        <f>'Economic Data'!Q77</f>
        <v>779459</v>
      </c>
      <c r="BD51" s="5">
        <f>'Economic Data'!R77</f>
        <v>7503</v>
      </c>
      <c r="BE51" s="5">
        <f>'Economic Data'!S77</f>
        <v>3689</v>
      </c>
      <c r="BF51" s="5">
        <f>'Economic Data'!T77</f>
        <v>13681</v>
      </c>
      <c r="BG51" s="5">
        <f>'EV Data'!V16</f>
        <v>10012</v>
      </c>
      <c r="BH51" s="5">
        <f>'EV Data'!AB16</f>
        <v>59.333333333333329</v>
      </c>
      <c r="BI51" s="5">
        <f>'EV Data'!W16</f>
        <v>218.33333333333334</v>
      </c>
      <c r="BJ51" s="5">
        <f t="shared" si="71"/>
        <v>50</v>
      </c>
      <c r="BK51" s="70">
        <f t="shared" si="1"/>
        <v>1.6989700043360187</v>
      </c>
      <c r="BL51" s="5">
        <f t="shared" si="2"/>
        <v>2500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f t="shared" si="72"/>
        <v>0</v>
      </c>
      <c r="BZ51">
        <f t="shared" si="72"/>
        <v>0</v>
      </c>
      <c r="CA51">
        <f t="shared" si="46"/>
        <v>0</v>
      </c>
      <c r="CB51">
        <v>28</v>
      </c>
      <c r="CC51">
        <v>19</v>
      </c>
      <c r="CD51">
        <v>0</v>
      </c>
      <c r="CE51">
        <v>0</v>
      </c>
      <c r="CF51">
        <f t="shared" si="39"/>
        <v>0</v>
      </c>
      <c r="CG51">
        <v>0</v>
      </c>
      <c r="CH51" s="64">
        <f t="shared" si="49"/>
        <v>0</v>
      </c>
      <c r="CI51" s="64">
        <f t="shared" si="50"/>
        <v>0</v>
      </c>
      <c r="CJ51" s="64">
        <f t="shared" si="51"/>
        <v>0</v>
      </c>
      <c r="CK51" s="64">
        <f t="shared" si="52"/>
        <v>0</v>
      </c>
      <c r="CL51" s="64">
        <f t="shared" si="53"/>
        <v>0</v>
      </c>
      <c r="CM51" s="64">
        <f t="shared" si="54"/>
        <v>0</v>
      </c>
      <c r="CN51" s="64">
        <f t="shared" si="55"/>
        <v>0</v>
      </c>
      <c r="CO51" s="64">
        <f t="shared" si="56"/>
        <v>0</v>
      </c>
      <c r="CP51" s="64">
        <f t="shared" si="57"/>
        <v>0</v>
      </c>
      <c r="CQ51" s="64">
        <f t="shared" si="58"/>
        <v>0</v>
      </c>
      <c r="CR51" s="64">
        <f t="shared" si="59"/>
        <v>0</v>
      </c>
      <c r="CS51" s="64">
        <f t="shared" si="60"/>
        <v>0</v>
      </c>
      <c r="CT51" s="64">
        <f t="shared" si="61"/>
        <v>0</v>
      </c>
      <c r="CU51" s="64">
        <f t="shared" si="62"/>
        <v>0</v>
      </c>
      <c r="CV51" s="69">
        <f t="shared" si="63"/>
        <v>24.891089363240113</v>
      </c>
      <c r="CW51" s="69">
        <f t="shared" si="64"/>
        <v>913.56742191036972</v>
      </c>
      <c r="CX51" s="69">
        <f t="shared" si="20"/>
        <v>2447.6772721744037</v>
      </c>
      <c r="CY51" s="69">
        <f t="shared" si="65"/>
        <v>27809.347368421051</v>
      </c>
      <c r="CZ51" s="64">
        <f t="shared" si="22"/>
        <v>1660.9238632612025</v>
      </c>
      <c r="DA51" s="64">
        <f t="shared" si="66"/>
        <v>18870.62857142857</v>
      </c>
      <c r="DB51" s="64">
        <f t="shared" si="24"/>
        <v>0</v>
      </c>
      <c r="DC51" s="64">
        <f t="shared" si="25"/>
        <v>0</v>
      </c>
      <c r="DD51" s="64">
        <f t="shared" si="26"/>
        <v>0</v>
      </c>
      <c r="DE51" s="64">
        <f t="shared" si="27"/>
        <v>0</v>
      </c>
      <c r="DF51" s="64">
        <f t="shared" si="28"/>
        <v>0</v>
      </c>
      <c r="DG51" s="64">
        <f t="shared" si="29"/>
        <v>0</v>
      </c>
      <c r="DH51" s="64">
        <f t="shared" si="30"/>
        <v>0</v>
      </c>
      <c r="DI51" s="64">
        <f t="shared" si="31"/>
        <v>0</v>
      </c>
      <c r="DJ51" s="64">
        <f t="shared" si="32"/>
        <v>0</v>
      </c>
      <c r="DK51" s="64">
        <f t="shared" si="33"/>
        <v>0</v>
      </c>
      <c r="DL51" s="64">
        <f t="shared" si="34"/>
        <v>0</v>
      </c>
      <c r="DM51" s="64">
        <f t="shared" si="35"/>
        <v>0</v>
      </c>
      <c r="DN51" s="64">
        <f t="shared" si="36"/>
        <v>0</v>
      </c>
      <c r="DO51" s="64">
        <f t="shared" si="37"/>
        <v>0</v>
      </c>
      <c r="DP51" s="2">
        <f t="shared" si="70"/>
        <v>26</v>
      </c>
      <c r="DQ51" s="2">
        <f t="shared" si="70"/>
        <v>14</v>
      </c>
      <c r="DR51" s="2">
        <f>DR50+1</f>
        <v>2</v>
      </c>
      <c r="DS51" s="2">
        <v>0</v>
      </c>
      <c r="DT51" s="2">
        <v>0</v>
      </c>
      <c r="DU51" s="288">
        <v>4</v>
      </c>
      <c r="DV51" s="2">
        <f t="shared" si="41"/>
        <v>23588.285714285714</v>
      </c>
      <c r="DW51" s="2">
        <f t="shared" si="67"/>
        <v>2641888</v>
      </c>
    </row>
    <row r="52" spans="1:127" s="2" customFormat="1">
      <c r="A52" s="3">
        <v>43160</v>
      </c>
      <c r="B52">
        <f t="shared" si="42"/>
        <v>2018</v>
      </c>
      <c r="C52" s="2">
        <v>17181060</v>
      </c>
      <c r="D52" s="2">
        <f>VLOOKUP(B52,'Historic CDM'!$B$135:$H$146,2,FALSE)/12</f>
        <v>1140167.2458511787</v>
      </c>
      <c r="E52" s="2">
        <f t="shared" si="43"/>
        <v>18321227.245851178</v>
      </c>
      <c r="F52" s="6">
        <v>27579</v>
      </c>
      <c r="G52" s="219">
        <v>5178673</v>
      </c>
      <c r="H52" s="2">
        <f>VLOOKUP(B52,'Historic CDM'!$B$135:$H$147,3,FALSE)/12</f>
        <v>1108937.0655590973</v>
      </c>
      <c r="I52" s="2">
        <f t="shared" si="44"/>
        <v>6287610.0655590976</v>
      </c>
      <c r="J52" s="6">
        <v>1974</v>
      </c>
      <c r="K52" s="219">
        <v>13457060</v>
      </c>
      <c r="L52" s="2">
        <f>VLOOKUP(B52,'Historic CDM'!$B$135:$H$146,4,FALSE)/12</f>
        <v>1184612.1746571031</v>
      </c>
      <c r="M52" s="2">
        <f t="shared" si="48"/>
        <v>14641672.174657103</v>
      </c>
      <c r="N52" s="222">
        <v>41252</v>
      </c>
      <c r="O52" s="220">
        <v>249</v>
      </c>
      <c r="P52" s="219">
        <v>254288</v>
      </c>
      <c r="Q52" s="2">
        <v>727</v>
      </c>
      <c r="R52" s="220">
        <v>2758</v>
      </c>
      <c r="S52" s="220">
        <v>24513</v>
      </c>
      <c r="T52" s="2">
        <v>68</v>
      </c>
      <c r="U52" s="220">
        <v>245</v>
      </c>
      <c r="V52" s="221">
        <v>129105</v>
      </c>
      <c r="W52" s="220">
        <v>132</v>
      </c>
      <c r="X52" s="2">
        <v>2707092</v>
      </c>
      <c r="Y52" s="2">
        <v>6792</v>
      </c>
      <c r="Z52" s="220">
        <v>5</v>
      </c>
      <c r="AA52" s="100">
        <f>'Weather Data'!D208</f>
        <v>596.4</v>
      </c>
      <c r="AB52" s="100">
        <f>'Weather Data'!E208</f>
        <v>0</v>
      </c>
      <c r="AC52" s="100">
        <f>'Weather Data'!F208</f>
        <v>534.40000000000009</v>
      </c>
      <c r="AD52" s="100">
        <f>'Weather Data'!G208</f>
        <v>0</v>
      </c>
      <c r="AE52" s="100">
        <f>'Weather Data'!H208</f>
        <v>472.40000000000003</v>
      </c>
      <c r="AF52" s="100">
        <f>'Weather Data'!I208</f>
        <v>0</v>
      </c>
      <c r="AG52" s="100">
        <f>'Weather Data'!J208</f>
        <v>410.40000000000009</v>
      </c>
      <c r="AH52" s="100">
        <f>'Weather Data'!K208</f>
        <v>0</v>
      </c>
      <c r="AI52" s="100">
        <f>'Weather Data'!L208</f>
        <v>348.40000000000009</v>
      </c>
      <c r="AJ52" s="100">
        <f>'Weather Data'!M208</f>
        <v>0</v>
      </c>
      <c r="AK52" s="100">
        <f>'Weather Data'!N208</f>
        <v>286.40000000000003</v>
      </c>
      <c r="AL52" s="100">
        <f>'Weather Data'!O208</f>
        <v>0</v>
      </c>
      <c r="AM52" s="100">
        <f>'Weather Data'!P208</f>
        <v>224.4</v>
      </c>
      <c r="AN52" s="100">
        <f>'Weather Data'!Q208</f>
        <v>0</v>
      </c>
      <c r="AO52" s="100">
        <f>'Weather Data'!R208</f>
        <v>0.76129032258064511</v>
      </c>
      <c r="AP52" s="5">
        <f>'Economic Data'!D78</f>
        <v>7188.8</v>
      </c>
      <c r="AQ52" s="5">
        <f>'Economic Data'!E78</f>
        <v>7084.1</v>
      </c>
      <c r="AR52" s="5">
        <f>'Economic Data'!F78</f>
        <v>165.6</v>
      </c>
      <c r="AS52" s="5">
        <f>'Economic Data'!G78</f>
        <v>163.19999999999999</v>
      </c>
      <c r="AT52" s="5">
        <f>'Economic Data'!H78</f>
        <v>789531.6</v>
      </c>
      <c r="AU52" s="5">
        <f>'Economic Data'!I78</f>
        <v>7545.5</v>
      </c>
      <c r="AV52" s="5">
        <f>'Economic Data'!J78</f>
        <v>6450.3</v>
      </c>
      <c r="AW52" s="5">
        <f>'Economic Data'!K78</f>
        <v>4822.2</v>
      </c>
      <c r="AX52" s="5">
        <f>'Economic Data'!L78</f>
        <v>975.3</v>
      </c>
      <c r="AY52" s="5">
        <f>'Economic Data'!M78</f>
        <v>828.8</v>
      </c>
      <c r="AZ52" s="5">
        <f>'Economic Data'!N78</f>
        <v>7677.9</v>
      </c>
      <c r="BA52" s="5">
        <f>'Economic Data'!O78</f>
        <v>120.2</v>
      </c>
      <c r="BB52" s="5">
        <f>'Economic Data'!P78</f>
        <v>138.5</v>
      </c>
      <c r="BC52" s="5">
        <f>'Economic Data'!Q78</f>
        <v>779459</v>
      </c>
      <c r="BD52" s="5">
        <f>'Economic Data'!R78</f>
        <v>7503</v>
      </c>
      <c r="BE52" s="5">
        <f>'Economic Data'!S78</f>
        <v>3689</v>
      </c>
      <c r="BF52" s="5">
        <f>'Economic Data'!T78</f>
        <v>13681</v>
      </c>
      <c r="BG52" s="5">
        <f>'EV Data'!V17</f>
        <v>10928</v>
      </c>
      <c r="BH52" s="5">
        <f>'EV Data'!AB17</f>
        <v>62.999999999999993</v>
      </c>
      <c r="BI52" s="5">
        <f>'EV Data'!W17</f>
        <v>235</v>
      </c>
      <c r="BJ52" s="5">
        <f t="shared" si="71"/>
        <v>51</v>
      </c>
      <c r="BK52" s="70">
        <f t="shared" si="1"/>
        <v>1.7075701760979363</v>
      </c>
      <c r="BL52" s="5">
        <f t="shared" si="2"/>
        <v>2601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f t="shared" si="72"/>
        <v>1</v>
      </c>
      <c r="BZ52">
        <f t="shared" si="72"/>
        <v>0</v>
      </c>
      <c r="CA52">
        <f t="shared" si="46"/>
        <v>1</v>
      </c>
      <c r="CB52">
        <v>31</v>
      </c>
      <c r="CC52">
        <v>21</v>
      </c>
      <c r="CD52">
        <v>0</v>
      </c>
      <c r="CE52">
        <v>0</v>
      </c>
      <c r="CF52">
        <f t="shared" si="39"/>
        <v>0</v>
      </c>
      <c r="CG52">
        <v>0</v>
      </c>
      <c r="CH52" s="64">
        <f t="shared" si="49"/>
        <v>0</v>
      </c>
      <c r="CI52" s="64">
        <f t="shared" si="50"/>
        <v>0</v>
      </c>
      <c r="CJ52" s="64">
        <f t="shared" si="51"/>
        <v>0</v>
      </c>
      <c r="CK52" s="64">
        <f t="shared" si="52"/>
        <v>0</v>
      </c>
      <c r="CL52" s="64">
        <f t="shared" si="53"/>
        <v>0</v>
      </c>
      <c r="CM52" s="64">
        <f t="shared" si="54"/>
        <v>0</v>
      </c>
      <c r="CN52" s="64">
        <f t="shared" si="55"/>
        <v>0</v>
      </c>
      <c r="CO52" s="64">
        <f t="shared" si="56"/>
        <v>0</v>
      </c>
      <c r="CP52" s="64">
        <f t="shared" si="57"/>
        <v>0</v>
      </c>
      <c r="CQ52" s="64">
        <f t="shared" si="58"/>
        <v>0</v>
      </c>
      <c r="CR52" s="64">
        <f t="shared" si="59"/>
        <v>0</v>
      </c>
      <c r="CS52" s="64">
        <f t="shared" si="60"/>
        <v>0</v>
      </c>
      <c r="CT52" s="64">
        <f t="shared" si="61"/>
        <v>0</v>
      </c>
      <c r="CU52" s="64">
        <f t="shared" si="62"/>
        <v>0</v>
      </c>
      <c r="CV52" s="69">
        <f t="shared" si="63"/>
        <v>21.429614217750039</v>
      </c>
      <c r="CW52" s="69">
        <f t="shared" si="64"/>
        <v>814.56277569103486</v>
      </c>
      <c r="CX52" s="69">
        <f t="shared" si="20"/>
        <v>2800.0902992268316</v>
      </c>
      <c r="CY52" s="69">
        <f t="shared" si="65"/>
        <v>25781.82857142857</v>
      </c>
      <c r="CZ52" s="64">
        <f t="shared" si="22"/>
        <v>1896.8353639923698</v>
      </c>
      <c r="DA52" s="64">
        <f t="shared" si="66"/>
        <v>17465.109677419354</v>
      </c>
      <c r="DB52" s="64">
        <f t="shared" si="24"/>
        <v>0</v>
      </c>
      <c r="DC52" s="64">
        <f t="shared" si="25"/>
        <v>0</v>
      </c>
      <c r="DD52" s="64">
        <f t="shared" si="26"/>
        <v>0</v>
      </c>
      <c r="DE52" s="64">
        <f t="shared" si="27"/>
        <v>0</v>
      </c>
      <c r="DF52" s="64">
        <f t="shared" si="28"/>
        <v>0</v>
      </c>
      <c r="DG52" s="64">
        <f t="shared" si="29"/>
        <v>0</v>
      </c>
      <c r="DH52" s="64">
        <f t="shared" si="30"/>
        <v>0</v>
      </c>
      <c r="DI52" s="64">
        <f t="shared" si="31"/>
        <v>0</v>
      </c>
      <c r="DJ52" s="64">
        <f t="shared" si="32"/>
        <v>0</v>
      </c>
      <c r="DK52" s="64">
        <f t="shared" si="33"/>
        <v>0</v>
      </c>
      <c r="DL52" s="64">
        <f t="shared" si="34"/>
        <v>0</v>
      </c>
      <c r="DM52" s="64">
        <f t="shared" si="35"/>
        <v>0</v>
      </c>
      <c r="DN52" s="64">
        <f t="shared" si="36"/>
        <v>0</v>
      </c>
      <c r="DO52" s="64">
        <f t="shared" si="37"/>
        <v>0</v>
      </c>
      <c r="DP52" s="2">
        <f t="shared" si="70"/>
        <v>27</v>
      </c>
      <c r="DQ52" s="2">
        <f t="shared" si="70"/>
        <v>15</v>
      </c>
      <c r="DR52" s="2">
        <f t="shared" si="70"/>
        <v>3</v>
      </c>
      <c r="DS52" s="2">
        <v>0</v>
      </c>
      <c r="DT52" s="2">
        <v>0</v>
      </c>
      <c r="DU52" s="288">
        <v>4</v>
      </c>
      <c r="DV52" s="2">
        <f t="shared" si="41"/>
        <v>21831.387096774193</v>
      </c>
      <c r="DW52" s="2">
        <f t="shared" si="67"/>
        <v>2707092</v>
      </c>
    </row>
    <row r="53" spans="1:127" s="2" customFormat="1">
      <c r="A53" s="3">
        <v>43191</v>
      </c>
      <c r="B53">
        <f t="shared" si="42"/>
        <v>2018</v>
      </c>
      <c r="C53" s="2">
        <v>16307601</v>
      </c>
      <c r="D53" s="2">
        <f>VLOOKUP(B53,'Historic CDM'!$B$135:$H$146,2,FALSE)/12</f>
        <v>1140167.2458511787</v>
      </c>
      <c r="E53" s="2">
        <f t="shared" si="43"/>
        <v>17447768.245851178</v>
      </c>
      <c r="F53" s="6">
        <v>27607</v>
      </c>
      <c r="G53" s="219">
        <v>4816122</v>
      </c>
      <c r="H53" s="2">
        <f>VLOOKUP(B53,'Historic CDM'!$B$135:$H$147,3,FALSE)/12</f>
        <v>1108937.0655590973</v>
      </c>
      <c r="I53" s="2">
        <f t="shared" si="44"/>
        <v>5925059.0655590976</v>
      </c>
      <c r="J53" s="6">
        <v>1973</v>
      </c>
      <c r="K53" s="219">
        <v>12478886</v>
      </c>
      <c r="L53" s="2">
        <f>VLOOKUP(B53,'Historic CDM'!$B$135:$H$146,4,FALSE)/12</f>
        <v>1184612.1746571031</v>
      </c>
      <c r="M53" s="2">
        <f t="shared" si="48"/>
        <v>13663498.174657103</v>
      </c>
      <c r="N53" s="222">
        <v>39485</v>
      </c>
      <c r="O53" s="220">
        <v>249</v>
      </c>
      <c r="P53" s="219">
        <v>213603</v>
      </c>
      <c r="Q53" s="2">
        <v>727</v>
      </c>
      <c r="R53" s="220">
        <v>2758</v>
      </c>
      <c r="S53" s="220">
        <v>24616</v>
      </c>
      <c r="T53" s="2">
        <v>69</v>
      </c>
      <c r="U53" s="220">
        <v>243</v>
      </c>
      <c r="V53" s="221">
        <v>129105</v>
      </c>
      <c r="W53" s="220">
        <v>132</v>
      </c>
      <c r="X53" s="2">
        <v>2546244</v>
      </c>
      <c r="Y53" s="2">
        <v>12526</v>
      </c>
      <c r="Z53" s="220">
        <v>5</v>
      </c>
      <c r="AA53" s="100">
        <f>'Weather Data'!D209</f>
        <v>455.59999999999997</v>
      </c>
      <c r="AB53" s="100">
        <f>'Weather Data'!E209</f>
        <v>0</v>
      </c>
      <c r="AC53" s="100">
        <f>'Weather Data'!F209</f>
        <v>395.6</v>
      </c>
      <c r="AD53" s="100">
        <f>'Weather Data'!G209</f>
        <v>0</v>
      </c>
      <c r="AE53" s="100">
        <f>'Weather Data'!H209</f>
        <v>335.59999999999997</v>
      </c>
      <c r="AF53" s="100">
        <f>'Weather Data'!I209</f>
        <v>0</v>
      </c>
      <c r="AG53" s="100">
        <f>'Weather Data'!J209</f>
        <v>275.70000000000005</v>
      </c>
      <c r="AH53" s="100">
        <f>'Weather Data'!K209</f>
        <v>9.9999999999999645E-2</v>
      </c>
      <c r="AI53" s="100">
        <f>'Weather Data'!L209</f>
        <v>217.89999999999998</v>
      </c>
      <c r="AJ53" s="100">
        <f>'Weather Data'!M209</f>
        <v>2.2999999999999989</v>
      </c>
      <c r="AK53" s="100">
        <f>'Weather Data'!N209</f>
        <v>165</v>
      </c>
      <c r="AL53" s="100">
        <f>'Weather Data'!O209</f>
        <v>9.4</v>
      </c>
      <c r="AM53" s="100">
        <f>'Weather Data'!P209</f>
        <v>116.89999999999999</v>
      </c>
      <c r="AN53" s="100">
        <f>'Weather Data'!Q209</f>
        <v>21.3</v>
      </c>
      <c r="AO53" s="100">
        <f>'Weather Data'!R209</f>
        <v>4.8133333333333344</v>
      </c>
      <c r="AP53" s="5">
        <f>'Economic Data'!D79</f>
        <v>7201.1</v>
      </c>
      <c r="AQ53" s="5">
        <f>'Economic Data'!E79</f>
        <v>7111.6</v>
      </c>
      <c r="AR53" s="5">
        <f>'Economic Data'!F79</f>
        <v>166</v>
      </c>
      <c r="AS53" s="5">
        <f>'Economic Data'!G79</f>
        <v>165.1</v>
      </c>
      <c r="AT53" s="5">
        <f>'Economic Data'!H79</f>
        <v>789531.6</v>
      </c>
      <c r="AU53" s="5">
        <f>'Economic Data'!I79</f>
        <v>7545.5</v>
      </c>
      <c r="AV53" s="5">
        <f>'Economic Data'!J79</f>
        <v>6450.3</v>
      </c>
      <c r="AW53" s="5">
        <f>'Economic Data'!K79</f>
        <v>4822.2</v>
      </c>
      <c r="AX53" s="5">
        <f>'Economic Data'!L79</f>
        <v>975.3</v>
      </c>
      <c r="AY53" s="5">
        <f>'Economic Data'!M79</f>
        <v>828.8</v>
      </c>
      <c r="AZ53" s="5">
        <f>'Economic Data'!N79</f>
        <v>7677.9</v>
      </c>
      <c r="BA53" s="5">
        <f>'Economic Data'!O79</f>
        <v>120.2</v>
      </c>
      <c r="BB53" s="5">
        <f>'Economic Data'!P79</f>
        <v>138.5</v>
      </c>
      <c r="BC53" s="5">
        <f>'Economic Data'!Q79</f>
        <v>784896</v>
      </c>
      <c r="BD53" s="5">
        <f>'Economic Data'!R79</f>
        <v>7580</v>
      </c>
      <c r="BE53" s="5">
        <f>'Economic Data'!S79</f>
        <v>3756</v>
      </c>
      <c r="BF53" s="5">
        <f>'Economic Data'!T79</f>
        <v>13459</v>
      </c>
      <c r="BG53" s="5">
        <f>'EV Data'!V18</f>
        <v>13243.333333333334</v>
      </c>
      <c r="BH53" s="5">
        <f>'EV Data'!AB18</f>
        <v>73.333333333333329</v>
      </c>
      <c r="BI53" s="5">
        <f>'EV Data'!W18</f>
        <v>264.66666666666669</v>
      </c>
      <c r="BJ53" s="5">
        <f t="shared" si="71"/>
        <v>52</v>
      </c>
      <c r="BK53" s="70">
        <f t="shared" si="1"/>
        <v>1.7160033436347992</v>
      </c>
      <c r="BL53" s="5">
        <f t="shared" si="2"/>
        <v>2704</v>
      </c>
      <c r="BM53">
        <v>0</v>
      </c>
      <c r="BN53">
        <v>0</v>
      </c>
      <c r="BO53">
        <v>0</v>
      </c>
      <c r="BP53">
        <v>1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f t="shared" si="72"/>
        <v>1</v>
      </c>
      <c r="BZ53">
        <f t="shared" si="72"/>
        <v>0</v>
      </c>
      <c r="CA53">
        <f t="shared" si="46"/>
        <v>1</v>
      </c>
      <c r="CB53">
        <v>30</v>
      </c>
      <c r="CC53">
        <v>21</v>
      </c>
      <c r="CD53">
        <v>0</v>
      </c>
      <c r="CE53">
        <v>0</v>
      </c>
      <c r="CF53">
        <f t="shared" si="39"/>
        <v>0</v>
      </c>
      <c r="CG53">
        <v>0</v>
      </c>
      <c r="CH53" s="64">
        <f t="shared" si="49"/>
        <v>0</v>
      </c>
      <c r="CI53" s="64">
        <f t="shared" si="50"/>
        <v>0</v>
      </c>
      <c r="CJ53" s="64">
        <f t="shared" si="51"/>
        <v>0</v>
      </c>
      <c r="CK53" s="64">
        <f t="shared" si="52"/>
        <v>0</v>
      </c>
      <c r="CL53" s="64">
        <f t="shared" si="53"/>
        <v>0</v>
      </c>
      <c r="CM53" s="64">
        <f t="shared" si="54"/>
        <v>0</v>
      </c>
      <c r="CN53" s="64">
        <f t="shared" si="55"/>
        <v>0</v>
      </c>
      <c r="CO53" s="64">
        <f t="shared" si="56"/>
        <v>0</v>
      </c>
      <c r="CP53" s="64">
        <f t="shared" si="57"/>
        <v>0</v>
      </c>
      <c r="CQ53" s="64">
        <f t="shared" si="58"/>
        <v>0</v>
      </c>
      <c r="CR53" s="64">
        <f t="shared" si="59"/>
        <v>0</v>
      </c>
      <c r="CS53" s="64">
        <f t="shared" si="60"/>
        <v>0</v>
      </c>
      <c r="CT53" s="64">
        <f t="shared" si="61"/>
        <v>0</v>
      </c>
      <c r="CU53" s="64">
        <f t="shared" si="62"/>
        <v>0</v>
      </c>
      <c r="CV53" s="69">
        <f t="shared" si="63"/>
        <v>21.066840832459373</v>
      </c>
      <c r="CW53" s="69">
        <f t="shared" si="64"/>
        <v>793.18059779907605</v>
      </c>
      <c r="CX53" s="69">
        <f t="shared" si="20"/>
        <v>2613.0231735813927</v>
      </c>
      <c r="CY53" s="69">
        <f t="shared" si="65"/>
        <v>24249.942857142858</v>
      </c>
      <c r="CZ53" s="64">
        <f t="shared" si="22"/>
        <v>1829.1162215069749</v>
      </c>
      <c r="DA53" s="64">
        <f t="shared" si="66"/>
        <v>16974.96</v>
      </c>
      <c r="DB53" s="64">
        <f t="shared" si="24"/>
        <v>0</v>
      </c>
      <c r="DC53" s="64">
        <f t="shared" si="25"/>
        <v>0</v>
      </c>
      <c r="DD53" s="64">
        <f t="shared" si="26"/>
        <v>0</v>
      </c>
      <c r="DE53" s="64">
        <f t="shared" si="27"/>
        <v>0</v>
      </c>
      <c r="DF53" s="64">
        <f t="shared" si="28"/>
        <v>0</v>
      </c>
      <c r="DG53" s="64">
        <f t="shared" si="29"/>
        <v>0</v>
      </c>
      <c r="DH53" s="64">
        <f t="shared" si="30"/>
        <v>0</v>
      </c>
      <c r="DI53" s="64">
        <f t="shared" si="31"/>
        <v>0</v>
      </c>
      <c r="DJ53" s="64">
        <f t="shared" si="32"/>
        <v>0</v>
      </c>
      <c r="DK53" s="64">
        <f t="shared" si="33"/>
        <v>0</v>
      </c>
      <c r="DL53" s="64">
        <f t="shared" si="34"/>
        <v>0</v>
      </c>
      <c r="DM53" s="64">
        <f t="shared" si="35"/>
        <v>0</v>
      </c>
      <c r="DN53" s="64">
        <f t="shared" si="36"/>
        <v>0</v>
      </c>
      <c r="DO53" s="64">
        <f t="shared" si="37"/>
        <v>0</v>
      </c>
      <c r="DP53" s="2">
        <f t="shared" si="70"/>
        <v>28</v>
      </c>
      <c r="DQ53" s="2">
        <f t="shared" si="70"/>
        <v>16</v>
      </c>
      <c r="DR53" s="2">
        <f t="shared" si="70"/>
        <v>4</v>
      </c>
      <c r="DS53" s="2">
        <v>0</v>
      </c>
      <c r="DT53" s="2">
        <v>0</v>
      </c>
      <c r="DU53" s="288">
        <v>4</v>
      </c>
      <c r="DV53" s="2">
        <f t="shared" si="41"/>
        <v>21218.7</v>
      </c>
      <c r="DW53" s="2">
        <f t="shared" si="67"/>
        <v>2546244</v>
      </c>
    </row>
    <row r="54" spans="1:127" s="2" customFormat="1">
      <c r="A54" s="3">
        <v>43221</v>
      </c>
      <c r="B54">
        <f t="shared" si="42"/>
        <v>2018</v>
      </c>
      <c r="C54" s="2">
        <v>19314153</v>
      </c>
      <c r="D54" s="2">
        <f>VLOOKUP(B54,'Historic CDM'!$B$135:$H$146,2,FALSE)/12</f>
        <v>1140167.2458511787</v>
      </c>
      <c r="E54" s="2">
        <f t="shared" si="43"/>
        <v>20454320.245851178</v>
      </c>
      <c r="F54" s="6">
        <v>27616</v>
      </c>
      <c r="G54" s="219">
        <v>5418952</v>
      </c>
      <c r="H54" s="2">
        <f>VLOOKUP(B54,'Historic CDM'!$B$135:$H$147,3,FALSE)/12</f>
        <v>1108937.0655590973</v>
      </c>
      <c r="I54" s="2">
        <f t="shared" si="44"/>
        <v>6527889.0655590976</v>
      </c>
      <c r="J54" s="6">
        <v>1973</v>
      </c>
      <c r="K54" s="219">
        <v>13260231</v>
      </c>
      <c r="L54" s="2">
        <f>VLOOKUP(B54,'Historic CDM'!$B$135:$H$146,4,FALSE)/12</f>
        <v>1184612.1746571031</v>
      </c>
      <c r="M54" s="2">
        <f t="shared" ref="M54:M85" si="73">K54+L54</f>
        <v>14444843.174657103</v>
      </c>
      <c r="N54" s="222">
        <v>45424</v>
      </c>
      <c r="O54" s="220">
        <v>249</v>
      </c>
      <c r="P54" s="219">
        <v>192351</v>
      </c>
      <c r="Q54" s="2">
        <v>727</v>
      </c>
      <c r="R54" s="220">
        <v>2758</v>
      </c>
      <c r="S54" s="220">
        <v>24477</v>
      </c>
      <c r="T54" s="2">
        <v>68</v>
      </c>
      <c r="U54" s="220">
        <v>243</v>
      </c>
      <c r="V54" s="221">
        <v>129105</v>
      </c>
      <c r="W54" s="220">
        <v>132</v>
      </c>
      <c r="X54" s="2">
        <v>2646635</v>
      </c>
      <c r="Y54" s="2">
        <v>7812</v>
      </c>
      <c r="Z54" s="220">
        <v>5</v>
      </c>
      <c r="AA54" s="100">
        <f>'Weather Data'!D210</f>
        <v>105.4</v>
      </c>
      <c r="AB54" s="100">
        <f>'Weather Data'!E210</f>
        <v>30.400000000000006</v>
      </c>
      <c r="AC54" s="100">
        <f>'Weather Data'!F210</f>
        <v>62.900000000000006</v>
      </c>
      <c r="AD54" s="100">
        <f>'Weather Data'!G210</f>
        <v>49.900000000000006</v>
      </c>
      <c r="AE54" s="100">
        <f>'Weather Data'!H210</f>
        <v>33.099999999999994</v>
      </c>
      <c r="AF54" s="100">
        <f>'Weather Data'!I210</f>
        <v>82.1</v>
      </c>
      <c r="AG54" s="100">
        <f>'Weather Data'!J210</f>
        <v>16.699999999999996</v>
      </c>
      <c r="AH54" s="100">
        <f>'Weather Data'!K210</f>
        <v>127.69999999999999</v>
      </c>
      <c r="AI54" s="100">
        <f>'Weather Data'!L210</f>
        <v>9.1</v>
      </c>
      <c r="AJ54" s="100">
        <f>'Weather Data'!M210</f>
        <v>182.1</v>
      </c>
      <c r="AK54" s="100">
        <f>'Weather Data'!N210</f>
        <v>4.7</v>
      </c>
      <c r="AL54" s="100">
        <f>'Weather Data'!O210</f>
        <v>239.70000000000002</v>
      </c>
      <c r="AM54" s="100">
        <f>'Weather Data'!P210</f>
        <v>1.2000000000000002</v>
      </c>
      <c r="AN54" s="100">
        <f>'Weather Data'!Q210</f>
        <v>298.20000000000005</v>
      </c>
      <c r="AO54" s="100">
        <f>'Weather Data'!R210</f>
        <v>17.580645161290327</v>
      </c>
      <c r="AP54" s="5">
        <f>'Economic Data'!D80</f>
        <v>7208.5</v>
      </c>
      <c r="AQ54" s="5">
        <f>'Economic Data'!E80</f>
        <v>7176</v>
      </c>
      <c r="AR54" s="5">
        <f>'Economic Data'!F80</f>
        <v>166.1</v>
      </c>
      <c r="AS54" s="5">
        <f>'Economic Data'!G80</f>
        <v>166.2</v>
      </c>
      <c r="AT54" s="5">
        <f>'Economic Data'!H80</f>
        <v>789531.6</v>
      </c>
      <c r="AU54" s="5">
        <f>'Economic Data'!I80</f>
        <v>7545.5</v>
      </c>
      <c r="AV54" s="5">
        <f>'Economic Data'!J80</f>
        <v>6450.3</v>
      </c>
      <c r="AW54" s="5">
        <f>'Economic Data'!K80</f>
        <v>4822.2</v>
      </c>
      <c r="AX54" s="5">
        <f>'Economic Data'!L80</f>
        <v>975.3</v>
      </c>
      <c r="AY54" s="5">
        <f>'Economic Data'!M80</f>
        <v>828.8</v>
      </c>
      <c r="AZ54" s="5">
        <f>'Economic Data'!N80</f>
        <v>7677.9</v>
      </c>
      <c r="BA54" s="5">
        <f>'Economic Data'!O80</f>
        <v>120.2</v>
      </c>
      <c r="BB54" s="5">
        <f>'Economic Data'!P80</f>
        <v>138.5</v>
      </c>
      <c r="BC54" s="5">
        <f>'Economic Data'!Q80</f>
        <v>784896</v>
      </c>
      <c r="BD54" s="5">
        <f>'Economic Data'!R80</f>
        <v>7580</v>
      </c>
      <c r="BE54" s="5">
        <f>'Economic Data'!S80</f>
        <v>3756</v>
      </c>
      <c r="BF54" s="5">
        <f>'Economic Data'!T80</f>
        <v>13459</v>
      </c>
      <c r="BG54" s="5">
        <f>'EV Data'!V19</f>
        <v>15558.666666666668</v>
      </c>
      <c r="BH54" s="5">
        <f>'EV Data'!AB19</f>
        <v>83.666666666666657</v>
      </c>
      <c r="BI54" s="5">
        <f>'EV Data'!W19</f>
        <v>294.33333333333337</v>
      </c>
      <c r="BJ54" s="5">
        <f t="shared" si="71"/>
        <v>53</v>
      </c>
      <c r="BK54" s="70">
        <f t="shared" si="1"/>
        <v>1.7242758696007889</v>
      </c>
      <c r="BL54" s="5">
        <f t="shared" si="2"/>
        <v>2809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f t="shared" si="72"/>
        <v>1</v>
      </c>
      <c r="BZ54">
        <f t="shared" si="72"/>
        <v>0</v>
      </c>
      <c r="CA54">
        <f t="shared" ref="CA54:CA73" si="74">BY54+BZ54</f>
        <v>1</v>
      </c>
      <c r="CB54">
        <v>31</v>
      </c>
      <c r="CC54">
        <v>22</v>
      </c>
      <c r="CD54">
        <v>0</v>
      </c>
      <c r="CE54">
        <v>0</v>
      </c>
      <c r="CF54">
        <f t="shared" si="39"/>
        <v>0</v>
      </c>
      <c r="CG54">
        <v>0</v>
      </c>
      <c r="CH54" s="64">
        <f t="shared" ref="CH54:CH85" si="75">AA54*$CD54</f>
        <v>0</v>
      </c>
      <c r="CI54" s="64">
        <f t="shared" ref="CI54:CI85" si="76">AB54*$CD54</f>
        <v>0</v>
      </c>
      <c r="CJ54" s="64">
        <f t="shared" ref="CJ54:CJ85" si="77">AC54*$CD54</f>
        <v>0</v>
      </c>
      <c r="CK54" s="64">
        <f t="shared" ref="CK54:CK85" si="78">AD54*$CD54</f>
        <v>0</v>
      </c>
      <c r="CL54" s="64">
        <f t="shared" ref="CL54:CL85" si="79">AE54*$CD54</f>
        <v>0</v>
      </c>
      <c r="CM54" s="64">
        <f t="shared" ref="CM54:CM85" si="80">AF54*$CD54</f>
        <v>0</v>
      </c>
      <c r="CN54" s="64">
        <f t="shared" ref="CN54:CN85" si="81">AG54*$CD54</f>
        <v>0</v>
      </c>
      <c r="CO54" s="64">
        <f t="shared" ref="CO54:CO85" si="82">AH54*$CD54</f>
        <v>0</v>
      </c>
      <c r="CP54" s="64">
        <f t="shared" ref="CP54:CP85" si="83">AI54*$CD54</f>
        <v>0</v>
      </c>
      <c r="CQ54" s="64">
        <f t="shared" ref="CQ54:CQ85" si="84">AJ54*$CD54</f>
        <v>0</v>
      </c>
      <c r="CR54" s="64">
        <f t="shared" ref="CR54:CR85" si="85">AK54*$CD54</f>
        <v>0</v>
      </c>
      <c r="CS54" s="64">
        <f t="shared" ref="CS54:CS85" si="86">AL54*$CD54</f>
        <v>0</v>
      </c>
      <c r="CT54" s="64">
        <f t="shared" ref="CT54:CT85" si="87">AM54*$CD54</f>
        <v>0</v>
      </c>
      <c r="CU54" s="64">
        <f t="shared" ref="CU54:CU85" si="88">AN54*$CD54</f>
        <v>0</v>
      </c>
      <c r="CV54" s="69">
        <f t="shared" ref="CV54:CV85" si="89">E54/$CB54/F54</f>
        <v>23.892554393258674</v>
      </c>
      <c r="CW54" s="69">
        <f t="shared" ref="CW54:CW85" si="90">I54/$CB54/O54</f>
        <v>845.69103064633998</v>
      </c>
      <c r="CX54" s="69">
        <f t="shared" si="20"/>
        <v>2636.8826532780399</v>
      </c>
      <c r="CY54" s="69">
        <f t="shared" ref="CY54:CY85" si="91">X54/$CC54/Z54</f>
        <v>24060.318181818184</v>
      </c>
      <c r="CZ54" s="64">
        <f t="shared" si="22"/>
        <v>1871.3360765198993</v>
      </c>
      <c r="DA54" s="64">
        <f t="shared" ref="DA54:DA85" si="92">X54/$CB54/Z54</f>
        <v>17075.064516129034</v>
      </c>
      <c r="DB54" s="64">
        <f t="shared" si="24"/>
        <v>0</v>
      </c>
      <c r="DC54" s="64">
        <f t="shared" si="25"/>
        <v>0</v>
      </c>
      <c r="DD54" s="64">
        <f t="shared" si="26"/>
        <v>0</v>
      </c>
      <c r="DE54" s="64">
        <f t="shared" si="27"/>
        <v>0</v>
      </c>
      <c r="DF54" s="64">
        <f t="shared" si="28"/>
        <v>0</v>
      </c>
      <c r="DG54" s="64">
        <f t="shared" si="29"/>
        <v>0</v>
      </c>
      <c r="DH54" s="64">
        <f t="shared" si="30"/>
        <v>0</v>
      </c>
      <c r="DI54" s="64">
        <f t="shared" si="31"/>
        <v>0</v>
      </c>
      <c r="DJ54" s="64">
        <f t="shared" si="32"/>
        <v>0</v>
      </c>
      <c r="DK54" s="64">
        <f t="shared" si="33"/>
        <v>0</v>
      </c>
      <c r="DL54" s="64">
        <f t="shared" si="34"/>
        <v>0</v>
      </c>
      <c r="DM54" s="64">
        <f t="shared" si="35"/>
        <v>0</v>
      </c>
      <c r="DN54" s="64">
        <f t="shared" si="36"/>
        <v>0</v>
      </c>
      <c r="DO54" s="64">
        <f t="shared" si="37"/>
        <v>0</v>
      </c>
      <c r="DP54" s="2">
        <f t="shared" si="70"/>
        <v>29</v>
      </c>
      <c r="DQ54" s="2">
        <f t="shared" si="70"/>
        <v>17</v>
      </c>
      <c r="DR54" s="2">
        <f t="shared" si="70"/>
        <v>5</v>
      </c>
      <c r="DS54" s="2">
        <v>0</v>
      </c>
      <c r="DT54" s="2">
        <v>0</v>
      </c>
      <c r="DU54" s="288">
        <v>4</v>
      </c>
      <c r="DV54" s="2">
        <f>X54/CB54/DU54</f>
        <v>21343.830645161292</v>
      </c>
      <c r="DW54" s="2">
        <f t="shared" si="67"/>
        <v>2646635</v>
      </c>
    </row>
    <row r="55" spans="1:127" s="2" customFormat="1">
      <c r="A55" s="3">
        <v>43252</v>
      </c>
      <c r="B55">
        <f t="shared" si="42"/>
        <v>2018</v>
      </c>
      <c r="C55" s="2">
        <v>24809417</v>
      </c>
      <c r="D55" s="2">
        <f>VLOOKUP(B55,'Historic CDM'!$B$135:$H$146,2,FALSE)/12</f>
        <v>1140167.2458511787</v>
      </c>
      <c r="E55" s="2">
        <f t="shared" si="43"/>
        <v>25949584.245851178</v>
      </c>
      <c r="F55" s="6">
        <v>27618</v>
      </c>
      <c r="G55" s="219">
        <v>5852245</v>
      </c>
      <c r="H55" s="2">
        <f>VLOOKUP(B55,'Historic CDM'!$B$135:$H$147,3,FALSE)/12</f>
        <v>1108937.0655590973</v>
      </c>
      <c r="I55" s="2">
        <f t="shared" si="44"/>
        <v>6961182.0655590976</v>
      </c>
      <c r="J55" s="6">
        <v>1985</v>
      </c>
      <c r="K55" s="219">
        <v>14440952</v>
      </c>
      <c r="L55" s="2">
        <f>VLOOKUP(B55,'Historic CDM'!$B$135:$H$146,4,FALSE)/12</f>
        <v>1184612.1746571031</v>
      </c>
      <c r="M55" s="2">
        <f t="shared" si="73"/>
        <v>15625564.174657103</v>
      </c>
      <c r="N55" s="222">
        <v>50010</v>
      </c>
      <c r="O55" s="220">
        <v>244</v>
      </c>
      <c r="P55" s="219">
        <v>170340</v>
      </c>
      <c r="Q55" s="2">
        <v>731</v>
      </c>
      <c r="R55" s="220">
        <v>2760</v>
      </c>
      <c r="S55" s="220">
        <v>24591</v>
      </c>
      <c r="T55" s="2">
        <v>69</v>
      </c>
      <c r="U55" s="220">
        <v>243</v>
      </c>
      <c r="V55" s="221">
        <v>129105</v>
      </c>
      <c r="W55" s="220">
        <v>132</v>
      </c>
      <c r="X55" s="2">
        <v>2755014</v>
      </c>
      <c r="Y55" s="2">
        <v>11130</v>
      </c>
      <c r="Z55" s="220">
        <v>5</v>
      </c>
      <c r="AA55" s="100">
        <f>'Weather Data'!D211</f>
        <v>25.500000000000004</v>
      </c>
      <c r="AB55" s="100">
        <f>'Weather Data'!E211</f>
        <v>51.8</v>
      </c>
      <c r="AC55" s="100">
        <f>'Weather Data'!F211</f>
        <v>7.6000000000000014</v>
      </c>
      <c r="AD55" s="100">
        <f>'Weather Data'!G211</f>
        <v>93.9</v>
      </c>
      <c r="AE55" s="100">
        <f>'Weather Data'!H211</f>
        <v>2.5</v>
      </c>
      <c r="AF55" s="100">
        <f>'Weather Data'!I211</f>
        <v>148.80000000000001</v>
      </c>
      <c r="AG55" s="100">
        <f>'Weather Data'!J211</f>
        <v>0</v>
      </c>
      <c r="AH55" s="100">
        <f>'Weather Data'!K211</f>
        <v>206.29999999999998</v>
      </c>
      <c r="AI55" s="100">
        <f>'Weather Data'!L211</f>
        <v>0</v>
      </c>
      <c r="AJ55" s="100">
        <f>'Weather Data'!M211</f>
        <v>266.29999999999995</v>
      </c>
      <c r="AK55" s="100">
        <f>'Weather Data'!N211</f>
        <v>0</v>
      </c>
      <c r="AL55" s="100">
        <f>'Weather Data'!O211</f>
        <v>326.29999999999995</v>
      </c>
      <c r="AM55" s="100">
        <f>'Weather Data'!P211</f>
        <v>0</v>
      </c>
      <c r="AN55" s="100">
        <f>'Weather Data'!Q211</f>
        <v>386.29999999999995</v>
      </c>
      <c r="AO55" s="100">
        <f>'Weather Data'!R211</f>
        <v>20.876666666666669</v>
      </c>
      <c r="AP55" s="5">
        <f>'Economic Data'!D81</f>
        <v>7221.1</v>
      </c>
      <c r="AQ55" s="5">
        <f>'Economic Data'!E81</f>
        <v>7264.3</v>
      </c>
      <c r="AR55" s="5">
        <f>'Economic Data'!F81</f>
        <v>164.3</v>
      </c>
      <c r="AS55" s="5">
        <f>'Economic Data'!G81</f>
        <v>165.8</v>
      </c>
      <c r="AT55" s="5">
        <f>'Economic Data'!H81</f>
        <v>789531.6</v>
      </c>
      <c r="AU55" s="5">
        <f>'Economic Data'!I81</f>
        <v>7545.5</v>
      </c>
      <c r="AV55" s="5">
        <f>'Economic Data'!J81</f>
        <v>6450.3</v>
      </c>
      <c r="AW55" s="5">
        <f>'Economic Data'!K81</f>
        <v>4822.2</v>
      </c>
      <c r="AX55" s="5">
        <f>'Economic Data'!L81</f>
        <v>975.3</v>
      </c>
      <c r="AY55" s="5">
        <f>'Economic Data'!M81</f>
        <v>828.8</v>
      </c>
      <c r="AZ55" s="5">
        <f>'Economic Data'!N81</f>
        <v>7677.9</v>
      </c>
      <c r="BA55" s="5">
        <f>'Economic Data'!O81</f>
        <v>120.2</v>
      </c>
      <c r="BB55" s="5">
        <f>'Economic Data'!P81</f>
        <v>138.5</v>
      </c>
      <c r="BC55" s="5">
        <f>'Economic Data'!Q81</f>
        <v>784896</v>
      </c>
      <c r="BD55" s="5">
        <f>'Economic Data'!R81</f>
        <v>7580</v>
      </c>
      <c r="BE55" s="5">
        <f>'Economic Data'!S81</f>
        <v>3756</v>
      </c>
      <c r="BF55" s="5">
        <f>'Economic Data'!T81</f>
        <v>13459</v>
      </c>
      <c r="BG55" s="5">
        <f>'EV Data'!V20</f>
        <v>17874</v>
      </c>
      <c r="BH55" s="5">
        <f>'EV Data'!AB20</f>
        <v>93.999999999999986</v>
      </c>
      <c r="BI55" s="5">
        <f>'EV Data'!W20</f>
        <v>324.00000000000006</v>
      </c>
      <c r="BJ55" s="5">
        <f t="shared" si="71"/>
        <v>54</v>
      </c>
      <c r="BK55" s="70">
        <f t="shared" ref="BK55:BK115" si="93">LOG(BJ55)</f>
        <v>1.7323937598229686</v>
      </c>
      <c r="BL55" s="5">
        <f t="shared" ref="BL55:BL115" si="94">BJ55^2</f>
        <v>2916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f t="shared" si="72"/>
        <v>0</v>
      </c>
      <c r="BZ55">
        <f t="shared" si="72"/>
        <v>0</v>
      </c>
      <c r="CA55">
        <f t="shared" si="74"/>
        <v>0</v>
      </c>
      <c r="CB55">
        <v>30</v>
      </c>
      <c r="CC55">
        <v>21</v>
      </c>
      <c r="CD55">
        <v>0</v>
      </c>
      <c r="CE55">
        <v>0</v>
      </c>
      <c r="CF55">
        <f t="shared" si="39"/>
        <v>0</v>
      </c>
      <c r="CG55">
        <v>0</v>
      </c>
      <c r="CH55" s="64">
        <f t="shared" si="75"/>
        <v>0</v>
      </c>
      <c r="CI55" s="64">
        <f t="shared" si="76"/>
        <v>0</v>
      </c>
      <c r="CJ55" s="64">
        <f t="shared" si="77"/>
        <v>0</v>
      </c>
      <c r="CK55" s="64">
        <f t="shared" si="78"/>
        <v>0</v>
      </c>
      <c r="CL55" s="64">
        <f t="shared" si="79"/>
        <v>0</v>
      </c>
      <c r="CM55" s="64">
        <f t="shared" si="80"/>
        <v>0</v>
      </c>
      <c r="CN55" s="64">
        <f t="shared" si="81"/>
        <v>0</v>
      </c>
      <c r="CO55" s="64">
        <f t="shared" si="82"/>
        <v>0</v>
      </c>
      <c r="CP55" s="64">
        <f t="shared" si="83"/>
        <v>0</v>
      </c>
      <c r="CQ55" s="64">
        <f t="shared" si="84"/>
        <v>0</v>
      </c>
      <c r="CR55" s="64">
        <f t="shared" si="85"/>
        <v>0</v>
      </c>
      <c r="CS55" s="64">
        <f t="shared" si="86"/>
        <v>0</v>
      </c>
      <c r="CT55" s="64">
        <f t="shared" si="87"/>
        <v>0</v>
      </c>
      <c r="CU55" s="64">
        <f t="shared" si="88"/>
        <v>0</v>
      </c>
      <c r="CV55" s="69">
        <f t="shared" si="89"/>
        <v>31.319651731782624</v>
      </c>
      <c r="CW55" s="69">
        <f t="shared" si="90"/>
        <v>950.98115649714441</v>
      </c>
      <c r="CX55" s="69">
        <f t="shared" ref="CX55:CX115" si="95">M55/$CC55/O55</f>
        <v>3049.485592243775</v>
      </c>
      <c r="CY55" s="69">
        <f t="shared" si="91"/>
        <v>26238.228571428575</v>
      </c>
      <c r="CZ55" s="64">
        <f t="shared" ref="CZ55:CZ115" si="96">M55/$CB55/O55</f>
        <v>2134.6399145706423</v>
      </c>
      <c r="DA55" s="64">
        <f t="shared" si="92"/>
        <v>18366.760000000002</v>
      </c>
      <c r="DB55" s="64">
        <f t="shared" ref="DB55:DB115" si="97">$CF55*AA55</f>
        <v>0</v>
      </c>
      <c r="DC55" s="64">
        <f t="shared" ref="DC55:DC115" si="98">$CF55*AB55</f>
        <v>0</v>
      </c>
      <c r="DD55" s="64">
        <f t="shared" ref="DD55:DD115" si="99">$CF55*AC55</f>
        <v>0</v>
      </c>
      <c r="DE55" s="64">
        <f t="shared" ref="DE55:DE115" si="100">$CF55*AD55</f>
        <v>0</v>
      </c>
      <c r="DF55" s="64">
        <f t="shared" ref="DF55:DF115" si="101">$CF55*AE55</f>
        <v>0</v>
      </c>
      <c r="DG55" s="64">
        <f t="shared" ref="DG55:DG115" si="102">$CF55*AF55</f>
        <v>0</v>
      </c>
      <c r="DH55" s="64">
        <f t="shared" ref="DH55:DH115" si="103">$CF55*AG55</f>
        <v>0</v>
      </c>
      <c r="DI55" s="64">
        <f t="shared" ref="DI55:DI115" si="104">$CF55*AH55</f>
        <v>0</v>
      </c>
      <c r="DJ55" s="64">
        <f t="shared" ref="DJ55:DJ115" si="105">$CF55*AI55</f>
        <v>0</v>
      </c>
      <c r="DK55" s="64">
        <f t="shared" ref="DK55:DK115" si="106">$CF55*AJ55</f>
        <v>0</v>
      </c>
      <c r="DL55" s="64">
        <f t="shared" ref="DL55:DL115" si="107">$CF55*AK55</f>
        <v>0</v>
      </c>
      <c r="DM55" s="64">
        <f t="shared" ref="DM55:DM115" si="108">$CF55*AL55</f>
        <v>0</v>
      </c>
      <c r="DN55" s="64">
        <f t="shared" ref="DN55:DN115" si="109">$CF55*AM55</f>
        <v>0</v>
      </c>
      <c r="DO55" s="64">
        <f t="shared" ref="DO55:DO115" si="110">$CF55*AN55</f>
        <v>0</v>
      </c>
      <c r="DP55" s="2">
        <f t="shared" si="70"/>
        <v>30</v>
      </c>
      <c r="DQ55" s="2">
        <f t="shared" si="70"/>
        <v>18</v>
      </c>
      <c r="DR55" s="2">
        <f t="shared" si="70"/>
        <v>6</v>
      </c>
      <c r="DS55" s="2">
        <v>0</v>
      </c>
      <c r="DT55" s="2">
        <v>0</v>
      </c>
      <c r="DU55" s="288">
        <v>4</v>
      </c>
      <c r="DV55" s="2">
        <f t="shared" si="41"/>
        <v>22958.45</v>
      </c>
      <c r="DW55" s="2">
        <f t="shared" si="67"/>
        <v>2755014</v>
      </c>
    </row>
    <row r="56" spans="1:127" s="2" customFormat="1">
      <c r="A56" s="3">
        <v>43282</v>
      </c>
      <c r="B56">
        <f t="shared" si="42"/>
        <v>2018</v>
      </c>
      <c r="C56" s="2">
        <v>31910072</v>
      </c>
      <c r="D56" s="2">
        <f>VLOOKUP(B56,'Historic CDM'!$B$135:$H$146,2,FALSE)/12</f>
        <v>1140167.2458511787</v>
      </c>
      <c r="E56" s="2">
        <f t="shared" si="43"/>
        <v>33050239.245851178</v>
      </c>
      <c r="F56" s="6">
        <v>27622</v>
      </c>
      <c r="G56" s="219">
        <v>6741791</v>
      </c>
      <c r="H56" s="2">
        <f>VLOOKUP(B56,'Historic CDM'!$B$135:$H$147,3,FALSE)/12</f>
        <v>1108937.0655590973</v>
      </c>
      <c r="I56" s="2">
        <f t="shared" si="44"/>
        <v>7850728.0655590976</v>
      </c>
      <c r="J56" s="6">
        <v>1989</v>
      </c>
      <c r="K56" s="219">
        <v>15904896</v>
      </c>
      <c r="L56" s="2">
        <f>VLOOKUP(B56,'Historic CDM'!$B$135:$H$146,4,FALSE)/12</f>
        <v>1184612.1746571031</v>
      </c>
      <c r="M56" s="2">
        <f t="shared" si="73"/>
        <v>17089508.174657103</v>
      </c>
      <c r="N56" s="222">
        <v>46992</v>
      </c>
      <c r="O56" s="220">
        <v>240</v>
      </c>
      <c r="P56" s="219">
        <v>180929</v>
      </c>
      <c r="Q56" s="2">
        <v>730</v>
      </c>
      <c r="R56" s="220">
        <v>2762</v>
      </c>
      <c r="S56" s="220">
        <v>24136</v>
      </c>
      <c r="T56" s="2">
        <v>67</v>
      </c>
      <c r="U56" s="220">
        <v>243</v>
      </c>
      <c r="V56" s="221">
        <v>129487</v>
      </c>
      <c r="W56" s="220">
        <v>131</v>
      </c>
      <c r="X56" s="2">
        <v>2895706</v>
      </c>
      <c r="Y56" s="2">
        <v>8050</v>
      </c>
      <c r="Z56" s="220">
        <v>5</v>
      </c>
      <c r="AA56" s="100">
        <f>'Weather Data'!D212</f>
        <v>2.5</v>
      </c>
      <c r="AB56" s="100">
        <f>'Weather Data'!E212</f>
        <v>103.60000000000002</v>
      </c>
      <c r="AC56" s="100">
        <f>'Weather Data'!F212</f>
        <v>0.19999999999999929</v>
      </c>
      <c r="AD56" s="100">
        <f>'Weather Data'!G212</f>
        <v>163.30000000000001</v>
      </c>
      <c r="AE56" s="100">
        <f>'Weather Data'!H212</f>
        <v>0</v>
      </c>
      <c r="AF56" s="100">
        <f>'Weather Data'!I212</f>
        <v>225.1</v>
      </c>
      <c r="AG56" s="100">
        <f>'Weather Data'!J212</f>
        <v>0</v>
      </c>
      <c r="AH56" s="100">
        <f>'Weather Data'!K212</f>
        <v>287.10000000000008</v>
      </c>
      <c r="AI56" s="100">
        <f>'Weather Data'!L212</f>
        <v>0</v>
      </c>
      <c r="AJ56" s="100">
        <f>'Weather Data'!M212</f>
        <v>349.10000000000008</v>
      </c>
      <c r="AK56" s="100">
        <f>'Weather Data'!N212</f>
        <v>0</v>
      </c>
      <c r="AL56" s="100">
        <f>'Weather Data'!O212</f>
        <v>411.10000000000014</v>
      </c>
      <c r="AM56" s="100">
        <f>'Weather Data'!P212</f>
        <v>0</v>
      </c>
      <c r="AN56" s="100">
        <f>'Weather Data'!Q212</f>
        <v>473.10000000000014</v>
      </c>
      <c r="AO56" s="100">
        <f>'Weather Data'!R212</f>
        <v>23.261290322580646</v>
      </c>
      <c r="AP56" s="5">
        <f>'Economic Data'!D82</f>
        <v>7255</v>
      </c>
      <c r="AQ56" s="5">
        <f>'Economic Data'!E82</f>
        <v>7345.7</v>
      </c>
      <c r="AR56" s="5">
        <f>'Economic Data'!F82</f>
        <v>164.1</v>
      </c>
      <c r="AS56" s="5">
        <f>'Economic Data'!G82</f>
        <v>164.3</v>
      </c>
      <c r="AT56" s="5">
        <f>'Economic Data'!H82</f>
        <v>789531.6</v>
      </c>
      <c r="AU56" s="5">
        <f>'Economic Data'!I82</f>
        <v>7545.5</v>
      </c>
      <c r="AV56" s="5">
        <f>'Economic Data'!J82</f>
        <v>6450.3</v>
      </c>
      <c r="AW56" s="5">
        <f>'Economic Data'!K82</f>
        <v>4822.2</v>
      </c>
      <c r="AX56" s="5">
        <f>'Economic Data'!L82</f>
        <v>975.3</v>
      </c>
      <c r="AY56" s="5">
        <f>'Economic Data'!M82</f>
        <v>828.8</v>
      </c>
      <c r="AZ56" s="5">
        <f>'Economic Data'!N82</f>
        <v>7677.9</v>
      </c>
      <c r="BA56" s="5">
        <f>'Economic Data'!O82</f>
        <v>120.2</v>
      </c>
      <c r="BB56" s="5">
        <f>'Economic Data'!P82</f>
        <v>138.5</v>
      </c>
      <c r="BC56" s="5">
        <f>'Economic Data'!Q82</f>
        <v>794140</v>
      </c>
      <c r="BD56" s="5">
        <f>'Economic Data'!R82</f>
        <v>7572</v>
      </c>
      <c r="BE56" s="5">
        <f>'Economic Data'!S82</f>
        <v>3851</v>
      </c>
      <c r="BF56" s="5">
        <f>'Economic Data'!T82</f>
        <v>14848</v>
      </c>
      <c r="BG56" s="5">
        <f>'EV Data'!V21</f>
        <v>19626.666666666668</v>
      </c>
      <c r="BH56" s="5">
        <f>'EV Data'!AB21</f>
        <v>99.333333333333314</v>
      </c>
      <c r="BI56" s="5">
        <f>'EV Data'!W21</f>
        <v>343.00000000000006</v>
      </c>
      <c r="BJ56" s="5">
        <f t="shared" si="71"/>
        <v>55</v>
      </c>
      <c r="BK56" s="70">
        <f t="shared" si="93"/>
        <v>1.7403626894942439</v>
      </c>
      <c r="BL56" s="5">
        <f t="shared" si="94"/>
        <v>3025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f t="shared" si="72"/>
        <v>0</v>
      </c>
      <c r="BZ56">
        <f t="shared" si="72"/>
        <v>0</v>
      </c>
      <c r="CA56">
        <f t="shared" si="74"/>
        <v>0</v>
      </c>
      <c r="CB56">
        <v>31</v>
      </c>
      <c r="CC56">
        <v>21</v>
      </c>
      <c r="CD56">
        <v>0</v>
      </c>
      <c r="CE56">
        <v>0</v>
      </c>
      <c r="CF56">
        <f t="shared" ref="CF56:CF107" si="111">CF55</f>
        <v>0</v>
      </c>
      <c r="CG56">
        <v>0</v>
      </c>
      <c r="CH56" s="64">
        <f t="shared" si="75"/>
        <v>0</v>
      </c>
      <c r="CI56" s="64">
        <f t="shared" si="76"/>
        <v>0</v>
      </c>
      <c r="CJ56" s="64">
        <f t="shared" si="77"/>
        <v>0</v>
      </c>
      <c r="CK56" s="64">
        <f t="shared" si="78"/>
        <v>0</v>
      </c>
      <c r="CL56" s="64">
        <f t="shared" si="79"/>
        <v>0</v>
      </c>
      <c r="CM56" s="64">
        <f t="shared" si="80"/>
        <v>0</v>
      </c>
      <c r="CN56" s="64">
        <f t="shared" si="81"/>
        <v>0</v>
      </c>
      <c r="CO56" s="64">
        <f t="shared" si="82"/>
        <v>0</v>
      </c>
      <c r="CP56" s="64">
        <f t="shared" si="83"/>
        <v>0</v>
      </c>
      <c r="CQ56" s="64">
        <f t="shared" si="84"/>
        <v>0</v>
      </c>
      <c r="CR56" s="64">
        <f t="shared" si="85"/>
        <v>0</v>
      </c>
      <c r="CS56" s="64">
        <f t="shared" si="86"/>
        <v>0</v>
      </c>
      <c r="CT56" s="64">
        <f t="shared" si="87"/>
        <v>0</v>
      </c>
      <c r="CU56" s="64">
        <f t="shared" si="88"/>
        <v>0</v>
      </c>
      <c r="CV56" s="69">
        <f t="shared" si="89"/>
        <v>38.597377085879629</v>
      </c>
      <c r="CW56" s="69">
        <f t="shared" si="90"/>
        <v>1055.2053851557928</v>
      </c>
      <c r="CX56" s="69">
        <f t="shared" si="95"/>
        <v>3390.7754314795839</v>
      </c>
      <c r="CY56" s="69">
        <f t="shared" si="91"/>
        <v>27578.152380952379</v>
      </c>
      <c r="CZ56" s="64">
        <f t="shared" si="96"/>
        <v>2296.9769051958474</v>
      </c>
      <c r="DA56" s="64">
        <f t="shared" si="92"/>
        <v>18681.974193548387</v>
      </c>
      <c r="DB56" s="64">
        <f t="shared" si="97"/>
        <v>0</v>
      </c>
      <c r="DC56" s="64">
        <f t="shared" si="98"/>
        <v>0</v>
      </c>
      <c r="DD56" s="64">
        <f t="shared" si="99"/>
        <v>0</v>
      </c>
      <c r="DE56" s="64">
        <f t="shared" si="100"/>
        <v>0</v>
      </c>
      <c r="DF56" s="64">
        <f t="shared" si="101"/>
        <v>0</v>
      </c>
      <c r="DG56" s="64">
        <f t="shared" si="102"/>
        <v>0</v>
      </c>
      <c r="DH56" s="64">
        <f t="shared" si="103"/>
        <v>0</v>
      </c>
      <c r="DI56" s="64">
        <f t="shared" si="104"/>
        <v>0</v>
      </c>
      <c r="DJ56" s="64">
        <f t="shared" si="105"/>
        <v>0</v>
      </c>
      <c r="DK56" s="64">
        <f t="shared" si="106"/>
        <v>0</v>
      </c>
      <c r="DL56" s="64">
        <f t="shared" si="107"/>
        <v>0</v>
      </c>
      <c r="DM56" s="64">
        <f t="shared" si="108"/>
        <v>0</v>
      </c>
      <c r="DN56" s="64">
        <f t="shared" si="109"/>
        <v>0</v>
      </c>
      <c r="DO56" s="64">
        <f t="shared" si="110"/>
        <v>0</v>
      </c>
      <c r="DP56" s="2">
        <f t="shared" si="70"/>
        <v>31</v>
      </c>
      <c r="DQ56" s="2">
        <f t="shared" si="70"/>
        <v>19</v>
      </c>
      <c r="DR56" s="2">
        <f t="shared" si="70"/>
        <v>7</v>
      </c>
      <c r="DS56" s="2">
        <v>0</v>
      </c>
      <c r="DT56" s="2">
        <v>0</v>
      </c>
      <c r="DU56" s="288">
        <v>4</v>
      </c>
      <c r="DV56" s="2">
        <f t="shared" si="41"/>
        <v>23352.467741935485</v>
      </c>
      <c r="DW56" s="2">
        <f t="shared" si="67"/>
        <v>2895706</v>
      </c>
    </row>
    <row r="57" spans="1:127" s="2" customFormat="1">
      <c r="A57" s="3">
        <v>43313</v>
      </c>
      <c r="B57">
        <f t="shared" si="42"/>
        <v>2018</v>
      </c>
      <c r="C57" s="2">
        <v>31720398</v>
      </c>
      <c r="D57" s="2">
        <f>VLOOKUP(B57,'Historic CDM'!$B$135:$H$146,2,FALSE)/12</f>
        <v>1140167.2458511787</v>
      </c>
      <c r="E57" s="2">
        <f t="shared" si="43"/>
        <v>32860565.245851178</v>
      </c>
      <c r="F57" s="6">
        <v>27655</v>
      </c>
      <c r="G57" s="219">
        <v>6691648</v>
      </c>
      <c r="H57" s="2">
        <f>VLOOKUP(B57,'Historic CDM'!$B$135:$H$147,3,FALSE)/12</f>
        <v>1108937.0655590973</v>
      </c>
      <c r="I57" s="2">
        <f t="shared" si="44"/>
        <v>7800585.0655590976</v>
      </c>
      <c r="J57" s="6">
        <v>1989</v>
      </c>
      <c r="K57" s="219">
        <v>16785104</v>
      </c>
      <c r="L57" s="2">
        <f>VLOOKUP(B57,'Historic CDM'!$B$135:$H$146,4,FALSE)/12</f>
        <v>1184612.1746571031</v>
      </c>
      <c r="M57" s="2">
        <f t="shared" si="73"/>
        <v>17969716.174657103</v>
      </c>
      <c r="N57" s="222">
        <v>47423</v>
      </c>
      <c r="O57" s="220">
        <v>239</v>
      </c>
      <c r="P57" s="219">
        <v>203020</v>
      </c>
      <c r="Q57" s="2">
        <v>730</v>
      </c>
      <c r="R57" s="220">
        <v>2762</v>
      </c>
      <c r="S57" s="220">
        <v>24109</v>
      </c>
      <c r="T57" s="2">
        <v>67</v>
      </c>
      <c r="U57" s="220">
        <v>241</v>
      </c>
      <c r="V57" s="221">
        <v>128623</v>
      </c>
      <c r="W57" s="220">
        <v>130</v>
      </c>
      <c r="X57" s="2">
        <v>2972667</v>
      </c>
      <c r="Y57" s="2">
        <v>7786</v>
      </c>
      <c r="Z57" s="220">
        <v>5</v>
      </c>
      <c r="AA57" s="100">
        <f>'Weather Data'!D213</f>
        <v>2.8999999999999986</v>
      </c>
      <c r="AB57" s="100">
        <f>'Weather Data'!E213</f>
        <v>100.7</v>
      </c>
      <c r="AC57" s="100">
        <f>'Weather Data'!F213</f>
        <v>0</v>
      </c>
      <c r="AD57" s="100">
        <f>'Weather Data'!G213</f>
        <v>159.80000000000001</v>
      </c>
      <c r="AE57" s="100">
        <f>'Weather Data'!H213</f>
        <v>0</v>
      </c>
      <c r="AF57" s="100">
        <f>'Weather Data'!I213</f>
        <v>221.79999999999995</v>
      </c>
      <c r="AG57" s="100">
        <f>'Weather Data'!J213</f>
        <v>0</v>
      </c>
      <c r="AH57" s="100">
        <f>'Weather Data'!K213</f>
        <v>283.79999999999995</v>
      </c>
      <c r="AI57" s="100">
        <f>'Weather Data'!L213</f>
        <v>0</v>
      </c>
      <c r="AJ57" s="100">
        <f>'Weather Data'!M213</f>
        <v>345.79999999999995</v>
      </c>
      <c r="AK57" s="100">
        <f>'Weather Data'!N213</f>
        <v>0</v>
      </c>
      <c r="AL57" s="100">
        <f>'Weather Data'!O213</f>
        <v>407.8</v>
      </c>
      <c r="AM57" s="100">
        <f>'Weather Data'!P213</f>
        <v>0</v>
      </c>
      <c r="AN57" s="100">
        <f>'Weather Data'!Q213</f>
        <v>469.8</v>
      </c>
      <c r="AO57" s="100">
        <f>'Weather Data'!R213</f>
        <v>23.154838709677417</v>
      </c>
      <c r="AP57" s="5">
        <f>'Economic Data'!D83</f>
        <v>7266.2</v>
      </c>
      <c r="AQ57" s="5">
        <f>'Economic Data'!E83</f>
        <v>7359.5</v>
      </c>
      <c r="AR57" s="5">
        <f>'Economic Data'!F83</f>
        <v>163.9</v>
      </c>
      <c r="AS57" s="5">
        <f>'Economic Data'!G83</f>
        <v>164.6</v>
      </c>
      <c r="AT57" s="5">
        <f>'Economic Data'!H83</f>
        <v>789531.6</v>
      </c>
      <c r="AU57" s="5">
        <f>'Economic Data'!I83</f>
        <v>7545.5</v>
      </c>
      <c r="AV57" s="5">
        <f>'Economic Data'!J83</f>
        <v>6450.3</v>
      </c>
      <c r="AW57" s="5">
        <f>'Economic Data'!K83</f>
        <v>4822.2</v>
      </c>
      <c r="AX57" s="5">
        <f>'Economic Data'!L83</f>
        <v>975.3</v>
      </c>
      <c r="AY57" s="5">
        <f>'Economic Data'!M83</f>
        <v>828.8</v>
      </c>
      <c r="AZ57" s="5">
        <f>'Economic Data'!N83</f>
        <v>7677.9</v>
      </c>
      <c r="BA57" s="5">
        <f>'Economic Data'!O83</f>
        <v>120.2</v>
      </c>
      <c r="BB57" s="5">
        <f>'Economic Data'!P83</f>
        <v>138.5</v>
      </c>
      <c r="BC57" s="5">
        <f>'Economic Data'!Q83</f>
        <v>794140</v>
      </c>
      <c r="BD57" s="5">
        <f>'Economic Data'!R83</f>
        <v>7572</v>
      </c>
      <c r="BE57" s="5">
        <f>'Economic Data'!S83</f>
        <v>3851</v>
      </c>
      <c r="BF57" s="5">
        <f>'Economic Data'!T83</f>
        <v>14848</v>
      </c>
      <c r="BG57" s="5">
        <f>'EV Data'!V22</f>
        <v>21379.333333333336</v>
      </c>
      <c r="BH57" s="5">
        <f>'EV Data'!AB22</f>
        <v>104.66666666666664</v>
      </c>
      <c r="BI57" s="5">
        <f>'EV Data'!W22</f>
        <v>362.00000000000006</v>
      </c>
      <c r="BJ57" s="5">
        <f t="shared" si="71"/>
        <v>56</v>
      </c>
      <c r="BK57" s="70">
        <f t="shared" si="93"/>
        <v>1.7481880270062005</v>
      </c>
      <c r="BL57" s="5">
        <f t="shared" si="94"/>
        <v>3136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BU57">
        <v>0</v>
      </c>
      <c r="BV57">
        <v>0</v>
      </c>
      <c r="BW57">
        <v>0</v>
      </c>
      <c r="BX57">
        <v>0</v>
      </c>
      <c r="BY57">
        <f t="shared" si="72"/>
        <v>0</v>
      </c>
      <c r="BZ57">
        <f t="shared" si="72"/>
        <v>0</v>
      </c>
      <c r="CA57">
        <f t="shared" si="74"/>
        <v>0</v>
      </c>
      <c r="CB57">
        <v>31</v>
      </c>
      <c r="CC57">
        <v>22</v>
      </c>
      <c r="CD57">
        <v>0</v>
      </c>
      <c r="CE57">
        <v>0</v>
      </c>
      <c r="CF57">
        <f t="shared" si="111"/>
        <v>0</v>
      </c>
      <c r="CG57">
        <v>0</v>
      </c>
      <c r="CH57" s="64">
        <f t="shared" si="75"/>
        <v>0</v>
      </c>
      <c r="CI57" s="64">
        <f t="shared" si="76"/>
        <v>0</v>
      </c>
      <c r="CJ57" s="64">
        <f t="shared" si="77"/>
        <v>0</v>
      </c>
      <c r="CK57" s="64">
        <f t="shared" si="78"/>
        <v>0</v>
      </c>
      <c r="CL57" s="64">
        <f t="shared" si="79"/>
        <v>0</v>
      </c>
      <c r="CM57" s="64">
        <f t="shared" si="80"/>
        <v>0</v>
      </c>
      <c r="CN57" s="64">
        <f t="shared" si="81"/>
        <v>0</v>
      </c>
      <c r="CO57" s="64">
        <f t="shared" si="82"/>
        <v>0</v>
      </c>
      <c r="CP57" s="64">
        <f t="shared" si="83"/>
        <v>0</v>
      </c>
      <c r="CQ57" s="64">
        <f t="shared" si="84"/>
        <v>0</v>
      </c>
      <c r="CR57" s="64">
        <f t="shared" si="85"/>
        <v>0</v>
      </c>
      <c r="CS57" s="64">
        <f t="shared" si="86"/>
        <v>0</v>
      </c>
      <c r="CT57" s="64">
        <f t="shared" si="87"/>
        <v>0</v>
      </c>
      <c r="CU57" s="64">
        <f t="shared" si="88"/>
        <v>0</v>
      </c>
      <c r="CV57" s="69">
        <f t="shared" si="89"/>
        <v>38.330075347573128</v>
      </c>
      <c r="CW57" s="69">
        <f t="shared" si="90"/>
        <v>1052.8526205370626</v>
      </c>
      <c r="CX57" s="69">
        <f t="shared" si="95"/>
        <v>3417.5953165951128</v>
      </c>
      <c r="CY57" s="69">
        <f t="shared" si="91"/>
        <v>27024.245454545453</v>
      </c>
      <c r="CZ57" s="64">
        <f t="shared" si="96"/>
        <v>2425.3902246804023</v>
      </c>
      <c r="DA57" s="64">
        <f t="shared" si="92"/>
        <v>19178.496774193547</v>
      </c>
      <c r="DB57" s="64">
        <f t="shared" si="97"/>
        <v>0</v>
      </c>
      <c r="DC57" s="64">
        <f t="shared" si="98"/>
        <v>0</v>
      </c>
      <c r="DD57" s="64">
        <f t="shared" si="99"/>
        <v>0</v>
      </c>
      <c r="DE57" s="64">
        <f t="shared" si="100"/>
        <v>0</v>
      </c>
      <c r="DF57" s="64">
        <f t="shared" si="101"/>
        <v>0</v>
      </c>
      <c r="DG57" s="64">
        <f t="shared" si="102"/>
        <v>0</v>
      </c>
      <c r="DH57" s="64">
        <f t="shared" si="103"/>
        <v>0</v>
      </c>
      <c r="DI57" s="64">
        <f t="shared" si="104"/>
        <v>0</v>
      </c>
      <c r="DJ57" s="64">
        <f t="shared" si="105"/>
        <v>0</v>
      </c>
      <c r="DK57" s="64">
        <f t="shared" si="106"/>
        <v>0</v>
      </c>
      <c r="DL57" s="64">
        <f t="shared" si="107"/>
        <v>0</v>
      </c>
      <c r="DM57" s="64">
        <f t="shared" si="108"/>
        <v>0</v>
      </c>
      <c r="DN57" s="64">
        <f t="shared" si="109"/>
        <v>0</v>
      </c>
      <c r="DO57" s="64">
        <f t="shared" si="110"/>
        <v>0</v>
      </c>
      <c r="DP57" s="2">
        <f t="shared" si="70"/>
        <v>32</v>
      </c>
      <c r="DQ57" s="2">
        <f t="shared" si="70"/>
        <v>20</v>
      </c>
      <c r="DR57" s="2">
        <f t="shared" si="70"/>
        <v>8</v>
      </c>
      <c r="DS57" s="2">
        <v>0</v>
      </c>
      <c r="DT57" s="2">
        <v>0</v>
      </c>
      <c r="DU57" s="288">
        <v>4</v>
      </c>
      <c r="DV57" s="2">
        <f t="shared" si="41"/>
        <v>23973.120967741936</v>
      </c>
      <c r="DW57" s="2">
        <f t="shared" si="67"/>
        <v>2972667</v>
      </c>
    </row>
    <row r="58" spans="1:127" s="2" customFormat="1">
      <c r="A58" s="3">
        <v>43344</v>
      </c>
      <c r="B58">
        <f t="shared" si="42"/>
        <v>2018</v>
      </c>
      <c r="C58" s="2">
        <v>23742943</v>
      </c>
      <c r="D58" s="2">
        <f>VLOOKUP(B58,'Historic CDM'!$B$135:$H$146,2,FALSE)/12</f>
        <v>1140167.2458511787</v>
      </c>
      <c r="E58" s="2">
        <f t="shared" si="43"/>
        <v>24883110.245851178</v>
      </c>
      <c r="F58" s="6">
        <v>27668</v>
      </c>
      <c r="G58" s="219">
        <v>5733511</v>
      </c>
      <c r="H58" s="2">
        <f>VLOOKUP(B58,'Historic CDM'!$B$135:$H$147,3,FALSE)/12</f>
        <v>1108937.0655590973</v>
      </c>
      <c r="I58" s="2">
        <f t="shared" si="44"/>
        <v>6842448.0655590976</v>
      </c>
      <c r="J58" s="6">
        <v>1978</v>
      </c>
      <c r="K58" s="219">
        <v>16919056</v>
      </c>
      <c r="L58" s="2">
        <f>VLOOKUP(B58,'Historic CDM'!$B$135:$H$146,4,FALSE)/12</f>
        <v>1184612.1746571031</v>
      </c>
      <c r="M58" s="2">
        <f t="shared" si="73"/>
        <v>18103668.174657103</v>
      </c>
      <c r="N58" s="222">
        <v>50580</v>
      </c>
      <c r="O58" s="220">
        <v>240</v>
      </c>
      <c r="P58" s="219">
        <v>228945</v>
      </c>
      <c r="Q58" s="2">
        <v>730</v>
      </c>
      <c r="R58" s="220">
        <v>2762</v>
      </c>
      <c r="S58" s="220">
        <v>24037</v>
      </c>
      <c r="T58" s="2">
        <v>67</v>
      </c>
      <c r="U58" s="220">
        <v>241</v>
      </c>
      <c r="V58" s="221">
        <v>128623</v>
      </c>
      <c r="W58" s="220">
        <v>130</v>
      </c>
      <c r="X58" s="2">
        <v>2476319</v>
      </c>
      <c r="Y58" s="2">
        <v>7226</v>
      </c>
      <c r="Z58" s="220">
        <v>5</v>
      </c>
      <c r="AA58" s="100">
        <f>'Weather Data'!D214</f>
        <v>69.3</v>
      </c>
      <c r="AB58" s="100">
        <f>'Weather Data'!E214</f>
        <v>53.199999999999996</v>
      </c>
      <c r="AC58" s="100">
        <f>'Weather Data'!F214</f>
        <v>41.400000000000006</v>
      </c>
      <c r="AD58" s="100">
        <f>'Weather Data'!G214</f>
        <v>85.300000000000011</v>
      </c>
      <c r="AE58" s="100">
        <f>'Weather Data'!H214</f>
        <v>21.2</v>
      </c>
      <c r="AF58" s="100">
        <f>'Weather Data'!I214</f>
        <v>125.1</v>
      </c>
      <c r="AG58" s="100">
        <f>'Weather Data'!J214</f>
        <v>7.4000000000000021</v>
      </c>
      <c r="AH58" s="100">
        <f>'Weather Data'!K214</f>
        <v>171.29999999999995</v>
      </c>
      <c r="AI58" s="100">
        <f>'Weather Data'!L214</f>
        <v>0.30000000000000071</v>
      </c>
      <c r="AJ58" s="100">
        <f>'Weather Data'!M214</f>
        <v>224.19999999999996</v>
      </c>
      <c r="AK58" s="100">
        <f>'Weather Data'!N214</f>
        <v>0</v>
      </c>
      <c r="AL58" s="100">
        <f>'Weather Data'!O214</f>
        <v>283.89999999999992</v>
      </c>
      <c r="AM58" s="100">
        <f>'Weather Data'!P214</f>
        <v>0</v>
      </c>
      <c r="AN58" s="100">
        <f>'Weather Data'!Q214</f>
        <v>343.9</v>
      </c>
      <c r="AO58" s="100">
        <f>'Weather Data'!R214</f>
        <v>19.463333333333335</v>
      </c>
      <c r="AP58" s="5">
        <f>'Economic Data'!D84</f>
        <v>7279.6</v>
      </c>
      <c r="AQ58" s="5">
        <f>'Economic Data'!E84</f>
        <v>7324.4</v>
      </c>
      <c r="AR58" s="5">
        <f>'Economic Data'!F84</f>
        <v>164.4</v>
      </c>
      <c r="AS58" s="5">
        <f>'Economic Data'!G84</f>
        <v>165.6</v>
      </c>
      <c r="AT58" s="5">
        <f>'Economic Data'!H84</f>
        <v>789531.6</v>
      </c>
      <c r="AU58" s="5">
        <f>'Economic Data'!I84</f>
        <v>7545.5</v>
      </c>
      <c r="AV58" s="5">
        <f>'Economic Data'!J84</f>
        <v>6450.3</v>
      </c>
      <c r="AW58" s="5">
        <f>'Economic Data'!K84</f>
        <v>4822.2</v>
      </c>
      <c r="AX58" s="5">
        <f>'Economic Data'!L84</f>
        <v>975.3</v>
      </c>
      <c r="AY58" s="5">
        <f>'Economic Data'!M84</f>
        <v>828.8</v>
      </c>
      <c r="AZ58" s="5">
        <f>'Economic Data'!N84</f>
        <v>7677.9</v>
      </c>
      <c r="BA58" s="5">
        <f>'Economic Data'!O84</f>
        <v>120.2</v>
      </c>
      <c r="BB58" s="5">
        <f>'Economic Data'!P84</f>
        <v>138.5</v>
      </c>
      <c r="BC58" s="5">
        <f>'Economic Data'!Q84</f>
        <v>794140</v>
      </c>
      <c r="BD58" s="5">
        <f>'Economic Data'!R84</f>
        <v>7572</v>
      </c>
      <c r="BE58" s="5">
        <f>'Economic Data'!S84</f>
        <v>3851</v>
      </c>
      <c r="BF58" s="5">
        <f>'Economic Data'!T84</f>
        <v>14848</v>
      </c>
      <c r="BG58" s="5">
        <f>'EV Data'!V23</f>
        <v>23132.000000000004</v>
      </c>
      <c r="BH58" s="5">
        <f>'EV Data'!AB23</f>
        <v>109.99999999999997</v>
      </c>
      <c r="BI58" s="5">
        <f>'EV Data'!W23</f>
        <v>381.00000000000006</v>
      </c>
      <c r="BJ58" s="5">
        <f t="shared" si="71"/>
        <v>57</v>
      </c>
      <c r="BK58" s="70">
        <f t="shared" si="93"/>
        <v>1.7558748556724915</v>
      </c>
      <c r="BL58" s="5">
        <f t="shared" si="94"/>
        <v>3249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0</v>
      </c>
      <c r="BX58">
        <v>0</v>
      </c>
      <c r="BY58">
        <f t="shared" si="72"/>
        <v>0</v>
      </c>
      <c r="BZ58">
        <f t="shared" si="72"/>
        <v>0</v>
      </c>
      <c r="CA58">
        <f t="shared" si="74"/>
        <v>0</v>
      </c>
      <c r="CB58">
        <v>30</v>
      </c>
      <c r="CC58">
        <v>19</v>
      </c>
      <c r="CD58">
        <v>0</v>
      </c>
      <c r="CE58">
        <v>0</v>
      </c>
      <c r="CF58">
        <f t="shared" si="111"/>
        <v>0</v>
      </c>
      <c r="CG58">
        <v>0</v>
      </c>
      <c r="CH58" s="64">
        <f t="shared" si="75"/>
        <v>0</v>
      </c>
      <c r="CI58" s="64">
        <f t="shared" si="76"/>
        <v>0</v>
      </c>
      <c r="CJ58" s="64">
        <f t="shared" si="77"/>
        <v>0</v>
      </c>
      <c r="CK58" s="64">
        <f t="shared" si="78"/>
        <v>0</v>
      </c>
      <c r="CL58" s="64">
        <f t="shared" si="79"/>
        <v>0</v>
      </c>
      <c r="CM58" s="64">
        <f t="shared" si="80"/>
        <v>0</v>
      </c>
      <c r="CN58" s="64">
        <f t="shared" si="81"/>
        <v>0</v>
      </c>
      <c r="CO58" s="64">
        <f t="shared" si="82"/>
        <v>0</v>
      </c>
      <c r="CP58" s="64">
        <f t="shared" si="83"/>
        <v>0</v>
      </c>
      <c r="CQ58" s="64">
        <f t="shared" si="84"/>
        <v>0</v>
      </c>
      <c r="CR58" s="64">
        <f t="shared" si="85"/>
        <v>0</v>
      </c>
      <c r="CS58" s="64">
        <f t="shared" si="86"/>
        <v>0</v>
      </c>
      <c r="CT58" s="64">
        <f t="shared" si="87"/>
        <v>0</v>
      </c>
      <c r="CU58" s="64">
        <f t="shared" si="88"/>
        <v>0</v>
      </c>
      <c r="CV58" s="69">
        <f t="shared" si="89"/>
        <v>29.97820616578861</v>
      </c>
      <c r="CW58" s="69">
        <f t="shared" si="90"/>
        <v>950.34000910543023</v>
      </c>
      <c r="CX58" s="69">
        <f t="shared" si="95"/>
        <v>3970.1026698809437</v>
      </c>
      <c r="CY58" s="69">
        <f t="shared" si="91"/>
        <v>26066.515789473684</v>
      </c>
      <c r="CZ58" s="64">
        <f t="shared" si="96"/>
        <v>2514.3983575912644</v>
      </c>
      <c r="DA58" s="64">
        <f t="shared" si="92"/>
        <v>16508.793333333331</v>
      </c>
      <c r="DB58" s="64">
        <f t="shared" si="97"/>
        <v>0</v>
      </c>
      <c r="DC58" s="64">
        <f t="shared" si="98"/>
        <v>0</v>
      </c>
      <c r="DD58" s="64">
        <f t="shared" si="99"/>
        <v>0</v>
      </c>
      <c r="DE58" s="64">
        <f t="shared" si="100"/>
        <v>0</v>
      </c>
      <c r="DF58" s="64">
        <f t="shared" si="101"/>
        <v>0</v>
      </c>
      <c r="DG58" s="64">
        <f t="shared" si="102"/>
        <v>0</v>
      </c>
      <c r="DH58" s="64">
        <f t="shared" si="103"/>
        <v>0</v>
      </c>
      <c r="DI58" s="64">
        <f t="shared" si="104"/>
        <v>0</v>
      </c>
      <c r="DJ58" s="64">
        <f t="shared" si="105"/>
        <v>0</v>
      </c>
      <c r="DK58" s="64">
        <f t="shared" si="106"/>
        <v>0</v>
      </c>
      <c r="DL58" s="64">
        <f t="shared" si="107"/>
        <v>0</v>
      </c>
      <c r="DM58" s="64">
        <f t="shared" si="108"/>
        <v>0</v>
      </c>
      <c r="DN58" s="64">
        <f t="shared" si="109"/>
        <v>0</v>
      </c>
      <c r="DO58" s="64">
        <f t="shared" si="110"/>
        <v>0</v>
      </c>
      <c r="DP58" s="2">
        <f t="shared" si="70"/>
        <v>33</v>
      </c>
      <c r="DQ58" s="2">
        <f t="shared" si="70"/>
        <v>21</v>
      </c>
      <c r="DR58" s="2">
        <f t="shared" si="70"/>
        <v>9</v>
      </c>
      <c r="DS58" s="2">
        <v>0</v>
      </c>
      <c r="DT58" s="2">
        <v>0</v>
      </c>
      <c r="DU58" s="288">
        <v>4</v>
      </c>
      <c r="DV58" s="2">
        <f t="shared" si="41"/>
        <v>20635.991666666665</v>
      </c>
      <c r="DW58" s="2">
        <f t="shared" si="67"/>
        <v>2476319</v>
      </c>
    </row>
    <row r="59" spans="1:127" s="2" customFormat="1">
      <c r="A59" s="3">
        <v>43374</v>
      </c>
      <c r="B59">
        <f t="shared" si="42"/>
        <v>2018</v>
      </c>
      <c r="C59" s="2">
        <v>17631713</v>
      </c>
      <c r="D59" s="2">
        <f>VLOOKUP(B59,'Historic CDM'!$B$135:$H$146,2,FALSE)/12</f>
        <v>1140167.2458511787</v>
      </c>
      <c r="E59" s="2">
        <f t="shared" si="43"/>
        <v>18771880.245851178</v>
      </c>
      <c r="F59" s="6">
        <v>27710</v>
      </c>
      <c r="G59" s="219">
        <v>4795685</v>
      </c>
      <c r="H59" s="2">
        <f>VLOOKUP(B59,'Historic CDM'!$B$135:$H$147,3,FALSE)/12</f>
        <v>1108937.0655590973</v>
      </c>
      <c r="I59" s="2">
        <f t="shared" si="44"/>
        <v>5904622.0655590976</v>
      </c>
      <c r="J59" s="6">
        <v>1970</v>
      </c>
      <c r="K59" s="219">
        <v>15053713</v>
      </c>
      <c r="L59" s="2">
        <f>VLOOKUP(B59,'Historic CDM'!$B$135:$H$146,4,FALSE)/12</f>
        <v>1184612.1746571031</v>
      </c>
      <c r="M59" s="2">
        <f t="shared" si="73"/>
        <v>16238325.174657103</v>
      </c>
      <c r="N59" s="222">
        <v>51414</v>
      </c>
      <c r="O59" s="220">
        <v>259</v>
      </c>
      <c r="P59" s="219">
        <v>270572</v>
      </c>
      <c r="Q59" s="2">
        <v>730</v>
      </c>
      <c r="R59" s="220">
        <v>2764</v>
      </c>
      <c r="S59" s="220">
        <v>24488</v>
      </c>
      <c r="T59" s="2">
        <v>67</v>
      </c>
      <c r="U59" s="220">
        <v>240</v>
      </c>
      <c r="V59" s="221">
        <v>128627</v>
      </c>
      <c r="W59" s="220">
        <v>130</v>
      </c>
      <c r="X59" s="2">
        <v>2237779</v>
      </c>
      <c r="Y59" s="2">
        <v>6521</v>
      </c>
      <c r="Z59" s="220">
        <v>4</v>
      </c>
      <c r="AA59" s="100">
        <f>'Weather Data'!D215</f>
        <v>294.60000000000002</v>
      </c>
      <c r="AB59" s="100">
        <f>'Weather Data'!E215</f>
        <v>9.8999999999999986</v>
      </c>
      <c r="AC59" s="100">
        <f>'Weather Data'!F215</f>
        <v>242.29999999999998</v>
      </c>
      <c r="AD59" s="100">
        <f>'Weather Data'!G215</f>
        <v>19.600000000000001</v>
      </c>
      <c r="AE59" s="100">
        <f>'Weather Data'!H215</f>
        <v>192.49999999999997</v>
      </c>
      <c r="AF59" s="100">
        <f>'Weather Data'!I215</f>
        <v>31.8</v>
      </c>
      <c r="AG59" s="100">
        <f>'Weather Data'!J215</f>
        <v>145.99999999999997</v>
      </c>
      <c r="AH59" s="100">
        <f>'Weather Data'!K215</f>
        <v>47.3</v>
      </c>
      <c r="AI59" s="100">
        <f>'Weather Data'!L215</f>
        <v>104.00000000000001</v>
      </c>
      <c r="AJ59" s="100">
        <f>'Weather Data'!M215</f>
        <v>67.3</v>
      </c>
      <c r="AK59" s="100">
        <f>'Weather Data'!N215</f>
        <v>64</v>
      </c>
      <c r="AL59" s="100">
        <f>'Weather Data'!O215</f>
        <v>89.3</v>
      </c>
      <c r="AM59" s="100">
        <f>'Weather Data'!P215</f>
        <v>29.499999999999996</v>
      </c>
      <c r="AN59" s="100">
        <f>'Weather Data'!Q215</f>
        <v>116.79999999999998</v>
      </c>
      <c r="AO59" s="100">
        <f>'Weather Data'!R215</f>
        <v>10.816129032258065</v>
      </c>
      <c r="AP59" s="5">
        <f>'Economic Data'!D85</f>
        <v>7270.3</v>
      </c>
      <c r="AQ59" s="5">
        <f>'Economic Data'!E85</f>
        <v>7290.6</v>
      </c>
      <c r="AR59" s="5">
        <f>'Economic Data'!F85</f>
        <v>164.9</v>
      </c>
      <c r="AS59" s="5">
        <f>'Economic Data'!G85</f>
        <v>167.1</v>
      </c>
      <c r="AT59" s="5">
        <f>'Economic Data'!H85</f>
        <v>789531.6</v>
      </c>
      <c r="AU59" s="5">
        <f>'Economic Data'!I85</f>
        <v>7545.5</v>
      </c>
      <c r="AV59" s="5">
        <f>'Economic Data'!J85</f>
        <v>6450.3</v>
      </c>
      <c r="AW59" s="5">
        <f>'Economic Data'!K85</f>
        <v>4822.2</v>
      </c>
      <c r="AX59" s="5">
        <f>'Economic Data'!L85</f>
        <v>975.3</v>
      </c>
      <c r="AY59" s="5">
        <f>'Economic Data'!M85</f>
        <v>828.8</v>
      </c>
      <c r="AZ59" s="5">
        <f>'Economic Data'!N85</f>
        <v>7677.9</v>
      </c>
      <c r="BA59" s="5">
        <f>'Economic Data'!O85</f>
        <v>120.2</v>
      </c>
      <c r="BB59" s="5">
        <f>'Economic Data'!P85</f>
        <v>138.5</v>
      </c>
      <c r="BC59" s="5">
        <f>'Economic Data'!Q85</f>
        <v>799632</v>
      </c>
      <c r="BD59" s="5">
        <f>'Economic Data'!R85</f>
        <v>7527</v>
      </c>
      <c r="BE59" s="5">
        <f>'Economic Data'!S85</f>
        <v>3885</v>
      </c>
      <c r="BF59" s="5">
        <f>'Economic Data'!T85</f>
        <v>15040</v>
      </c>
      <c r="BG59" s="5">
        <f>'EV Data'!V24</f>
        <v>23734.000000000004</v>
      </c>
      <c r="BH59" s="5">
        <f>'EV Data'!AB24</f>
        <v>113.66666666666664</v>
      </c>
      <c r="BI59" s="5">
        <f>'EV Data'!W24</f>
        <v>391.66666666666674</v>
      </c>
      <c r="BJ59" s="5">
        <f t="shared" si="71"/>
        <v>58</v>
      </c>
      <c r="BK59" s="70">
        <f t="shared" si="93"/>
        <v>1.7634279935629373</v>
      </c>
      <c r="BL59" s="5">
        <f t="shared" si="94"/>
        <v>3364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f t="shared" si="72"/>
        <v>0</v>
      </c>
      <c r="BZ59">
        <f t="shared" si="72"/>
        <v>1</v>
      </c>
      <c r="CA59">
        <f t="shared" si="74"/>
        <v>1</v>
      </c>
      <c r="CB59">
        <v>31</v>
      </c>
      <c r="CC59">
        <v>22</v>
      </c>
      <c r="CD59">
        <v>0</v>
      </c>
      <c r="CE59">
        <v>0</v>
      </c>
      <c r="CF59">
        <f t="shared" si="111"/>
        <v>0</v>
      </c>
      <c r="CG59">
        <v>0</v>
      </c>
      <c r="CH59" s="64">
        <f t="shared" si="75"/>
        <v>0</v>
      </c>
      <c r="CI59" s="64">
        <f t="shared" si="76"/>
        <v>0</v>
      </c>
      <c r="CJ59" s="64">
        <f t="shared" si="77"/>
        <v>0</v>
      </c>
      <c r="CK59" s="64">
        <f t="shared" si="78"/>
        <v>0</v>
      </c>
      <c r="CL59" s="64">
        <f t="shared" si="79"/>
        <v>0</v>
      </c>
      <c r="CM59" s="64">
        <f t="shared" si="80"/>
        <v>0</v>
      </c>
      <c r="CN59" s="64">
        <f t="shared" si="81"/>
        <v>0</v>
      </c>
      <c r="CO59" s="64">
        <f t="shared" si="82"/>
        <v>0</v>
      </c>
      <c r="CP59" s="64">
        <f t="shared" si="83"/>
        <v>0</v>
      </c>
      <c r="CQ59" s="64">
        <f t="shared" si="84"/>
        <v>0</v>
      </c>
      <c r="CR59" s="64">
        <f t="shared" si="85"/>
        <v>0</v>
      </c>
      <c r="CS59" s="64">
        <f t="shared" si="86"/>
        <v>0</v>
      </c>
      <c r="CT59" s="64">
        <f t="shared" si="87"/>
        <v>0</v>
      </c>
      <c r="CU59" s="64">
        <f t="shared" si="88"/>
        <v>0</v>
      </c>
      <c r="CV59" s="69">
        <f t="shared" si="89"/>
        <v>21.852924000711493</v>
      </c>
      <c r="CW59" s="69">
        <f t="shared" si="90"/>
        <v>735.41189009329901</v>
      </c>
      <c r="CX59" s="69">
        <f t="shared" si="95"/>
        <v>2849.8289179812396</v>
      </c>
      <c r="CY59" s="69">
        <f t="shared" si="91"/>
        <v>25429.30681818182</v>
      </c>
      <c r="CZ59" s="64">
        <f t="shared" si="96"/>
        <v>2022.4592321157184</v>
      </c>
      <c r="DA59" s="64">
        <f t="shared" si="92"/>
        <v>18046.604838709678</v>
      </c>
      <c r="DB59" s="64">
        <f t="shared" si="97"/>
        <v>0</v>
      </c>
      <c r="DC59" s="64">
        <f t="shared" si="98"/>
        <v>0</v>
      </c>
      <c r="DD59" s="64">
        <f t="shared" si="99"/>
        <v>0</v>
      </c>
      <c r="DE59" s="64">
        <f t="shared" si="100"/>
        <v>0</v>
      </c>
      <c r="DF59" s="64">
        <f t="shared" si="101"/>
        <v>0</v>
      </c>
      <c r="DG59" s="64">
        <f t="shared" si="102"/>
        <v>0</v>
      </c>
      <c r="DH59" s="64">
        <f t="shared" si="103"/>
        <v>0</v>
      </c>
      <c r="DI59" s="64">
        <f t="shared" si="104"/>
        <v>0</v>
      </c>
      <c r="DJ59" s="64">
        <f t="shared" si="105"/>
        <v>0</v>
      </c>
      <c r="DK59" s="64">
        <f t="shared" si="106"/>
        <v>0</v>
      </c>
      <c r="DL59" s="64">
        <f t="shared" si="107"/>
        <v>0</v>
      </c>
      <c r="DM59" s="64">
        <f t="shared" si="108"/>
        <v>0</v>
      </c>
      <c r="DN59" s="64">
        <f t="shared" si="109"/>
        <v>0</v>
      </c>
      <c r="DO59" s="64">
        <f t="shared" si="110"/>
        <v>0</v>
      </c>
      <c r="DP59" s="2">
        <f t="shared" si="70"/>
        <v>34</v>
      </c>
      <c r="DQ59" s="2">
        <f t="shared" si="70"/>
        <v>22</v>
      </c>
      <c r="DR59" s="2">
        <f t="shared" si="70"/>
        <v>10</v>
      </c>
      <c r="DS59" s="2">
        <v>0</v>
      </c>
      <c r="DT59" s="2">
        <v>0</v>
      </c>
      <c r="DU59" s="2">
        <f t="shared" si="40"/>
        <v>4</v>
      </c>
      <c r="DV59" s="2">
        <f t="shared" si="41"/>
        <v>18046.604838709678</v>
      </c>
      <c r="DW59" s="2">
        <f t="shared" si="67"/>
        <v>2237779</v>
      </c>
    </row>
    <row r="60" spans="1:127" s="2" customFormat="1">
      <c r="A60" s="3">
        <v>43405</v>
      </c>
      <c r="B60">
        <f t="shared" si="42"/>
        <v>2018</v>
      </c>
      <c r="C60" s="2">
        <v>17842216</v>
      </c>
      <c r="D60" s="2">
        <f>VLOOKUP(B60,'Historic CDM'!$B$135:$H$146,2,FALSE)/12</f>
        <v>1140167.2458511787</v>
      </c>
      <c r="E60" s="2">
        <f t="shared" si="43"/>
        <v>18982383.245851178</v>
      </c>
      <c r="F60" s="6">
        <v>27734</v>
      </c>
      <c r="G60" s="219">
        <v>4901621</v>
      </c>
      <c r="H60" s="2">
        <f>VLOOKUP(B60,'Historic CDM'!$B$135:$H$147,3,FALSE)/12</f>
        <v>1108937.0655590973</v>
      </c>
      <c r="I60" s="2">
        <f t="shared" si="44"/>
        <v>6010558.0655590976</v>
      </c>
      <c r="J60" s="6">
        <v>1969</v>
      </c>
      <c r="K60" s="219">
        <v>14526740</v>
      </c>
      <c r="L60" s="2">
        <f>VLOOKUP(B60,'Historic CDM'!$B$135:$H$146,4,FALSE)/12</f>
        <v>1184612.1746571031</v>
      </c>
      <c r="M60" s="2">
        <f t="shared" si="73"/>
        <v>15711352.174657103</v>
      </c>
      <c r="N60" s="222">
        <v>43807</v>
      </c>
      <c r="O60" s="220">
        <v>261</v>
      </c>
      <c r="P60" s="219">
        <v>284080</v>
      </c>
      <c r="Q60" s="2">
        <v>730</v>
      </c>
      <c r="R60" s="220">
        <v>2765</v>
      </c>
      <c r="S60" s="220">
        <v>23820</v>
      </c>
      <c r="T60" s="2">
        <v>65</v>
      </c>
      <c r="U60" s="220">
        <v>240</v>
      </c>
      <c r="V60" s="221">
        <v>128623</v>
      </c>
      <c r="W60" s="220">
        <v>130</v>
      </c>
      <c r="X60" s="2">
        <v>2748670</v>
      </c>
      <c r="Y60" s="2">
        <v>6013</v>
      </c>
      <c r="Z60" s="220">
        <v>4</v>
      </c>
      <c r="AA60" s="100">
        <f>'Weather Data'!D216</f>
        <v>545.73552299140988</v>
      </c>
      <c r="AB60" s="100">
        <f>'Weather Data'!E216</f>
        <v>0</v>
      </c>
      <c r="AC60" s="100">
        <f>'Weather Data'!F216</f>
        <v>485.73552299140988</v>
      </c>
      <c r="AD60" s="100">
        <f>'Weather Data'!G216</f>
        <v>0</v>
      </c>
      <c r="AE60" s="100">
        <f>'Weather Data'!H216</f>
        <v>425.73552299140994</v>
      </c>
      <c r="AF60" s="100">
        <f>'Weather Data'!I216</f>
        <v>0</v>
      </c>
      <c r="AG60" s="100">
        <f>'Weather Data'!J216</f>
        <v>365.73552299140988</v>
      </c>
      <c r="AH60" s="100">
        <f>'Weather Data'!K216</f>
        <v>0</v>
      </c>
      <c r="AI60" s="100">
        <f>'Weather Data'!L216</f>
        <v>305.73552299140982</v>
      </c>
      <c r="AJ60" s="100">
        <f>'Weather Data'!M216</f>
        <v>0</v>
      </c>
      <c r="AK60" s="100">
        <f>'Weather Data'!N216</f>
        <v>246.23552299140979</v>
      </c>
      <c r="AL60" s="100">
        <f>'Weather Data'!O216</f>
        <v>0.5</v>
      </c>
      <c r="AM60" s="100">
        <f>'Weather Data'!P216</f>
        <v>190.23552299140979</v>
      </c>
      <c r="AN60" s="100">
        <f>'Weather Data'!Q216</f>
        <v>4.5</v>
      </c>
      <c r="AO60" s="100">
        <f>'Weather Data'!R216</f>
        <v>1.80881590028634</v>
      </c>
      <c r="AP60" s="5">
        <f>'Economic Data'!D86</f>
        <v>7290</v>
      </c>
      <c r="AQ60" s="5">
        <f>'Economic Data'!E86</f>
        <v>7288.9</v>
      </c>
      <c r="AR60" s="5">
        <f>'Economic Data'!F86</f>
        <v>168.2</v>
      </c>
      <c r="AS60" s="5">
        <f>'Economic Data'!G86</f>
        <v>170.4</v>
      </c>
      <c r="AT60" s="5">
        <f>'Economic Data'!H86</f>
        <v>789531.6</v>
      </c>
      <c r="AU60" s="5">
        <f>'Economic Data'!I86</f>
        <v>7545.5</v>
      </c>
      <c r="AV60" s="5">
        <f>'Economic Data'!J86</f>
        <v>6450.3</v>
      </c>
      <c r="AW60" s="5">
        <f>'Economic Data'!K86</f>
        <v>4822.2</v>
      </c>
      <c r="AX60" s="5">
        <f>'Economic Data'!L86</f>
        <v>975.3</v>
      </c>
      <c r="AY60" s="5">
        <f>'Economic Data'!M86</f>
        <v>828.8</v>
      </c>
      <c r="AZ60" s="5">
        <f>'Economic Data'!N86</f>
        <v>7677.9</v>
      </c>
      <c r="BA60" s="5">
        <f>'Economic Data'!O86</f>
        <v>120.2</v>
      </c>
      <c r="BB60" s="5">
        <f>'Economic Data'!P86</f>
        <v>138.5</v>
      </c>
      <c r="BC60" s="5">
        <f>'Economic Data'!Q86</f>
        <v>799632</v>
      </c>
      <c r="BD60" s="5">
        <f>'Economic Data'!R86</f>
        <v>7527</v>
      </c>
      <c r="BE60" s="5">
        <f>'Economic Data'!S86</f>
        <v>3885</v>
      </c>
      <c r="BF60" s="5">
        <f>'Economic Data'!T86</f>
        <v>15040</v>
      </c>
      <c r="BG60" s="5">
        <f>'EV Data'!V25</f>
        <v>24336.000000000004</v>
      </c>
      <c r="BH60" s="5">
        <f>'EV Data'!AB25</f>
        <v>117.33333333333331</v>
      </c>
      <c r="BI60" s="5">
        <f>'EV Data'!W25</f>
        <v>402.33333333333343</v>
      </c>
      <c r="BJ60" s="5">
        <f t="shared" si="71"/>
        <v>59</v>
      </c>
      <c r="BK60" s="70">
        <f t="shared" si="93"/>
        <v>1.7708520116421442</v>
      </c>
      <c r="BL60" s="5">
        <f t="shared" si="94"/>
        <v>3481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</v>
      </c>
      <c r="BX60">
        <v>0</v>
      </c>
      <c r="BY60">
        <f t="shared" si="72"/>
        <v>0</v>
      </c>
      <c r="BZ60">
        <f t="shared" si="72"/>
        <v>1</v>
      </c>
      <c r="CA60">
        <f t="shared" si="74"/>
        <v>1</v>
      </c>
      <c r="CB60">
        <v>30</v>
      </c>
      <c r="CC60">
        <v>22</v>
      </c>
      <c r="CD60">
        <v>0</v>
      </c>
      <c r="CE60">
        <v>0</v>
      </c>
      <c r="CF60">
        <f t="shared" si="111"/>
        <v>0</v>
      </c>
      <c r="CG60">
        <v>0</v>
      </c>
      <c r="CH60" s="64">
        <f t="shared" si="75"/>
        <v>0</v>
      </c>
      <c r="CI60" s="64">
        <f t="shared" si="76"/>
        <v>0</v>
      </c>
      <c r="CJ60" s="64">
        <f t="shared" si="77"/>
        <v>0</v>
      </c>
      <c r="CK60" s="64">
        <f t="shared" si="78"/>
        <v>0</v>
      </c>
      <c r="CL60" s="64">
        <f t="shared" si="79"/>
        <v>0</v>
      </c>
      <c r="CM60" s="64">
        <f t="shared" si="80"/>
        <v>0</v>
      </c>
      <c r="CN60" s="64">
        <f t="shared" si="81"/>
        <v>0</v>
      </c>
      <c r="CO60" s="64">
        <f t="shared" si="82"/>
        <v>0</v>
      </c>
      <c r="CP60" s="64">
        <f t="shared" si="83"/>
        <v>0</v>
      </c>
      <c r="CQ60" s="64">
        <f t="shared" si="84"/>
        <v>0</v>
      </c>
      <c r="CR60" s="64">
        <f t="shared" si="85"/>
        <v>0</v>
      </c>
      <c r="CS60" s="64">
        <f t="shared" si="86"/>
        <v>0</v>
      </c>
      <c r="CT60" s="64">
        <f t="shared" si="87"/>
        <v>0</v>
      </c>
      <c r="CU60" s="64">
        <f t="shared" si="88"/>
        <v>0</v>
      </c>
      <c r="CV60" s="69">
        <f t="shared" si="89"/>
        <v>22.814816045108504</v>
      </c>
      <c r="CW60" s="69">
        <f t="shared" si="90"/>
        <v>767.63193685301371</v>
      </c>
      <c r="CX60" s="69">
        <f t="shared" si="95"/>
        <v>2736.2159830472137</v>
      </c>
      <c r="CY60" s="69">
        <f t="shared" si="91"/>
        <v>31234.886363636364</v>
      </c>
      <c r="CZ60" s="64">
        <f t="shared" si="96"/>
        <v>2006.558387567957</v>
      </c>
      <c r="DA60" s="64">
        <f t="shared" si="92"/>
        <v>22905.583333333332</v>
      </c>
      <c r="DB60" s="64">
        <f t="shared" si="97"/>
        <v>0</v>
      </c>
      <c r="DC60" s="64">
        <f t="shared" si="98"/>
        <v>0</v>
      </c>
      <c r="DD60" s="64">
        <f t="shared" si="99"/>
        <v>0</v>
      </c>
      <c r="DE60" s="64">
        <f t="shared" si="100"/>
        <v>0</v>
      </c>
      <c r="DF60" s="64">
        <f t="shared" si="101"/>
        <v>0</v>
      </c>
      <c r="DG60" s="64">
        <f t="shared" si="102"/>
        <v>0</v>
      </c>
      <c r="DH60" s="64">
        <f t="shared" si="103"/>
        <v>0</v>
      </c>
      <c r="DI60" s="64">
        <f t="shared" si="104"/>
        <v>0</v>
      </c>
      <c r="DJ60" s="64">
        <f t="shared" si="105"/>
        <v>0</v>
      </c>
      <c r="DK60" s="64">
        <f t="shared" si="106"/>
        <v>0</v>
      </c>
      <c r="DL60" s="64">
        <f t="shared" si="107"/>
        <v>0</v>
      </c>
      <c r="DM60" s="64">
        <f t="shared" si="108"/>
        <v>0</v>
      </c>
      <c r="DN60" s="64">
        <f t="shared" si="109"/>
        <v>0</v>
      </c>
      <c r="DO60" s="64">
        <f t="shared" si="110"/>
        <v>0</v>
      </c>
      <c r="DP60" s="2">
        <f t="shared" ref="DP60:DS75" si="112">DP59+1</f>
        <v>35</v>
      </c>
      <c r="DQ60" s="2">
        <f t="shared" si="112"/>
        <v>23</v>
      </c>
      <c r="DR60" s="2">
        <f t="shared" si="112"/>
        <v>11</v>
      </c>
      <c r="DS60" s="2">
        <v>0</v>
      </c>
      <c r="DT60" s="2">
        <v>0</v>
      </c>
      <c r="DU60" s="2">
        <f t="shared" si="40"/>
        <v>4</v>
      </c>
      <c r="DV60" s="2">
        <f t="shared" si="41"/>
        <v>22905.583333333332</v>
      </c>
      <c r="DW60" s="2">
        <f t="shared" si="67"/>
        <v>2748670</v>
      </c>
    </row>
    <row r="61" spans="1:127" s="2" customFormat="1">
      <c r="A61" s="3">
        <v>43435</v>
      </c>
      <c r="B61">
        <f t="shared" si="42"/>
        <v>2018</v>
      </c>
      <c r="C61" s="2">
        <v>20242400</v>
      </c>
      <c r="D61" s="2">
        <f>VLOOKUP(B61,'Historic CDM'!$B$135:$H$146,2,FALSE)/12</f>
        <v>1140167.2458511787</v>
      </c>
      <c r="E61" s="2">
        <f t="shared" si="43"/>
        <v>21382567.245851178</v>
      </c>
      <c r="F61" s="6">
        <v>27756</v>
      </c>
      <c r="G61" s="219">
        <v>5078227</v>
      </c>
      <c r="H61" s="2">
        <f>VLOOKUP(B61,'Historic CDM'!$B$135:$H$147,3,FALSE)/12</f>
        <v>1108937.0655590973</v>
      </c>
      <c r="I61" s="2">
        <f t="shared" si="44"/>
        <v>6187164.0655590976</v>
      </c>
      <c r="J61" s="6">
        <v>1994</v>
      </c>
      <c r="K61" s="219">
        <v>13472330</v>
      </c>
      <c r="L61" s="2">
        <f>VLOOKUP(B61,'Historic CDM'!$B$135:$H$146,4,FALSE)/12</f>
        <v>1184612.1746571031</v>
      </c>
      <c r="M61" s="2">
        <f t="shared" si="73"/>
        <v>14656942.174657103</v>
      </c>
      <c r="N61" s="222">
        <v>45524</v>
      </c>
      <c r="O61" s="220">
        <v>262</v>
      </c>
      <c r="P61" s="219">
        <v>310734</v>
      </c>
      <c r="Q61" s="2">
        <v>730</v>
      </c>
      <c r="R61" s="220">
        <v>2765</v>
      </c>
      <c r="S61" s="220">
        <v>24389</v>
      </c>
      <c r="T61" s="2">
        <v>67</v>
      </c>
      <c r="U61" s="220">
        <v>240</v>
      </c>
      <c r="V61" s="221">
        <v>128623</v>
      </c>
      <c r="W61" s="220">
        <v>130</v>
      </c>
      <c r="X61" s="2">
        <v>2349326</v>
      </c>
      <c r="Y61" s="2">
        <v>8600</v>
      </c>
      <c r="Z61" s="220">
        <v>4</v>
      </c>
      <c r="AA61" s="100">
        <f>'Weather Data'!D217</f>
        <v>595.80000000000007</v>
      </c>
      <c r="AB61" s="100">
        <f>'Weather Data'!E217</f>
        <v>0</v>
      </c>
      <c r="AC61" s="100">
        <f>'Weather Data'!F217</f>
        <v>533.80000000000007</v>
      </c>
      <c r="AD61" s="100">
        <f>'Weather Data'!G217</f>
        <v>0</v>
      </c>
      <c r="AE61" s="100">
        <f>'Weather Data'!H217</f>
        <v>471.79999999999995</v>
      </c>
      <c r="AF61" s="100">
        <f>'Weather Data'!I217</f>
        <v>0</v>
      </c>
      <c r="AG61" s="100">
        <f>'Weather Data'!J217</f>
        <v>409.79999999999995</v>
      </c>
      <c r="AH61" s="100">
        <f>'Weather Data'!K217</f>
        <v>0</v>
      </c>
      <c r="AI61" s="100">
        <f>'Weather Data'!L217</f>
        <v>347.7999999999999</v>
      </c>
      <c r="AJ61" s="100">
        <f>'Weather Data'!M217</f>
        <v>0</v>
      </c>
      <c r="AK61" s="100">
        <f>'Weather Data'!N217</f>
        <v>285.8</v>
      </c>
      <c r="AL61" s="100">
        <f>'Weather Data'!O217</f>
        <v>0</v>
      </c>
      <c r="AM61" s="100">
        <f>'Weather Data'!P217</f>
        <v>225.20000000000002</v>
      </c>
      <c r="AN61" s="100">
        <f>'Weather Data'!Q217</f>
        <v>1.4000000000000004</v>
      </c>
      <c r="AO61" s="100">
        <f>'Weather Data'!R217</f>
        <v>0.78064516129032258</v>
      </c>
      <c r="AP61" s="5">
        <f>'Economic Data'!D87</f>
        <v>7300.1</v>
      </c>
      <c r="AQ61" s="5">
        <f>'Economic Data'!E87</f>
        <v>7310.7</v>
      </c>
      <c r="AR61" s="5">
        <f>'Economic Data'!F87</f>
        <v>170.2</v>
      </c>
      <c r="AS61" s="5">
        <f>'Economic Data'!G87</f>
        <v>171.3</v>
      </c>
      <c r="AT61" s="5">
        <f>'Economic Data'!H87</f>
        <v>789531.6</v>
      </c>
      <c r="AU61" s="5">
        <f>'Economic Data'!I87</f>
        <v>7545.5</v>
      </c>
      <c r="AV61" s="5">
        <f>'Economic Data'!J87</f>
        <v>6450.3</v>
      </c>
      <c r="AW61" s="5">
        <f>'Economic Data'!K87</f>
        <v>4822.2</v>
      </c>
      <c r="AX61" s="5">
        <f>'Economic Data'!L87</f>
        <v>975.3</v>
      </c>
      <c r="AY61" s="5">
        <f>'Economic Data'!M87</f>
        <v>828.8</v>
      </c>
      <c r="AZ61" s="5">
        <f>'Economic Data'!N87</f>
        <v>7677.9</v>
      </c>
      <c r="BA61" s="5">
        <f>'Economic Data'!O87</f>
        <v>120.2</v>
      </c>
      <c r="BB61" s="5">
        <f>'Economic Data'!P87</f>
        <v>138.5</v>
      </c>
      <c r="BC61" s="5">
        <f>'Economic Data'!Q87</f>
        <v>799632</v>
      </c>
      <c r="BD61" s="5">
        <f>'Economic Data'!R87</f>
        <v>7527</v>
      </c>
      <c r="BE61" s="5">
        <f>'Economic Data'!S87</f>
        <v>3885</v>
      </c>
      <c r="BF61" s="5">
        <f>'Economic Data'!T87</f>
        <v>15040</v>
      </c>
      <c r="BG61" s="5">
        <f>'EV Data'!V26</f>
        <v>24938.000000000004</v>
      </c>
      <c r="BH61" s="5">
        <f>'EV Data'!AB26</f>
        <v>120.99999999999999</v>
      </c>
      <c r="BI61" s="5">
        <f>'EV Data'!W26</f>
        <v>413.00000000000011</v>
      </c>
      <c r="BJ61" s="5">
        <f t="shared" si="71"/>
        <v>60</v>
      </c>
      <c r="BK61" s="70">
        <f t="shared" si="93"/>
        <v>1.7781512503836436</v>
      </c>
      <c r="BL61" s="5">
        <f t="shared" si="94"/>
        <v>3600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1</v>
      </c>
      <c r="BY61">
        <f t="shared" si="72"/>
        <v>0</v>
      </c>
      <c r="BZ61">
        <f t="shared" si="72"/>
        <v>0</v>
      </c>
      <c r="CA61">
        <f t="shared" si="74"/>
        <v>0</v>
      </c>
      <c r="CB61">
        <v>31</v>
      </c>
      <c r="CC61">
        <v>19</v>
      </c>
      <c r="CD61">
        <v>0</v>
      </c>
      <c r="CE61">
        <v>0</v>
      </c>
      <c r="CF61">
        <f t="shared" si="111"/>
        <v>0</v>
      </c>
      <c r="CG61">
        <v>0</v>
      </c>
      <c r="CH61" s="64">
        <f t="shared" si="75"/>
        <v>0</v>
      </c>
      <c r="CI61" s="64">
        <f t="shared" si="76"/>
        <v>0</v>
      </c>
      <c r="CJ61" s="64">
        <f t="shared" si="77"/>
        <v>0</v>
      </c>
      <c r="CK61" s="64">
        <f t="shared" si="78"/>
        <v>0</v>
      </c>
      <c r="CL61" s="64">
        <f t="shared" si="79"/>
        <v>0</v>
      </c>
      <c r="CM61" s="64">
        <f t="shared" si="80"/>
        <v>0</v>
      </c>
      <c r="CN61" s="64">
        <f t="shared" si="81"/>
        <v>0</v>
      </c>
      <c r="CO61" s="64">
        <f t="shared" si="82"/>
        <v>0</v>
      </c>
      <c r="CP61" s="64">
        <f t="shared" si="83"/>
        <v>0</v>
      </c>
      <c r="CQ61" s="64">
        <f t="shared" si="84"/>
        <v>0</v>
      </c>
      <c r="CR61" s="64">
        <f t="shared" si="85"/>
        <v>0</v>
      </c>
      <c r="CS61" s="64">
        <f t="shared" si="86"/>
        <v>0</v>
      </c>
      <c r="CT61" s="64">
        <f t="shared" si="87"/>
        <v>0</v>
      </c>
      <c r="CU61" s="64">
        <f t="shared" si="88"/>
        <v>0</v>
      </c>
      <c r="CV61" s="69">
        <f t="shared" si="89"/>
        <v>24.850851482098815</v>
      </c>
      <c r="CW61" s="69">
        <f t="shared" si="90"/>
        <v>761.7783877812235</v>
      </c>
      <c r="CX61" s="69">
        <f t="shared" si="95"/>
        <v>2944.3435465361795</v>
      </c>
      <c r="CY61" s="69">
        <f t="shared" si="91"/>
        <v>30912.184210526317</v>
      </c>
      <c r="CZ61" s="64">
        <f t="shared" si="96"/>
        <v>1804.5976575544328</v>
      </c>
      <c r="DA61" s="64">
        <f t="shared" si="92"/>
        <v>18946.177419354837</v>
      </c>
      <c r="DB61" s="64">
        <f t="shared" si="97"/>
        <v>0</v>
      </c>
      <c r="DC61" s="64">
        <f t="shared" si="98"/>
        <v>0</v>
      </c>
      <c r="DD61" s="64">
        <f t="shared" si="99"/>
        <v>0</v>
      </c>
      <c r="DE61" s="64">
        <f t="shared" si="100"/>
        <v>0</v>
      </c>
      <c r="DF61" s="64">
        <f t="shared" si="101"/>
        <v>0</v>
      </c>
      <c r="DG61" s="64">
        <f t="shared" si="102"/>
        <v>0</v>
      </c>
      <c r="DH61" s="64">
        <f t="shared" si="103"/>
        <v>0</v>
      </c>
      <c r="DI61" s="64">
        <f t="shared" si="104"/>
        <v>0</v>
      </c>
      <c r="DJ61" s="64">
        <f t="shared" si="105"/>
        <v>0</v>
      </c>
      <c r="DK61" s="64">
        <f t="shared" si="106"/>
        <v>0</v>
      </c>
      <c r="DL61" s="64">
        <f t="shared" si="107"/>
        <v>0</v>
      </c>
      <c r="DM61" s="64">
        <f t="shared" si="108"/>
        <v>0</v>
      </c>
      <c r="DN61" s="64">
        <f t="shared" si="109"/>
        <v>0</v>
      </c>
      <c r="DO61" s="64">
        <f t="shared" si="110"/>
        <v>0</v>
      </c>
      <c r="DP61" s="2">
        <f t="shared" si="112"/>
        <v>36</v>
      </c>
      <c r="DQ61" s="2">
        <f t="shared" si="112"/>
        <v>24</v>
      </c>
      <c r="DR61" s="2">
        <f t="shared" si="112"/>
        <v>12</v>
      </c>
      <c r="DS61" s="2">
        <v>0</v>
      </c>
      <c r="DT61" s="2">
        <v>0</v>
      </c>
      <c r="DU61" s="2">
        <f t="shared" si="40"/>
        <v>4</v>
      </c>
      <c r="DV61" s="2">
        <f t="shared" si="41"/>
        <v>18946.177419354837</v>
      </c>
      <c r="DW61" s="2">
        <f t="shared" si="67"/>
        <v>2349326</v>
      </c>
    </row>
    <row r="62" spans="1:127">
      <c r="A62" s="3">
        <v>43466</v>
      </c>
      <c r="B62">
        <f t="shared" si="42"/>
        <v>2019</v>
      </c>
      <c r="C62" s="2">
        <v>20513076</v>
      </c>
      <c r="D62" s="2">
        <f>VLOOKUP(B62,'Historic CDM'!$B$135:$H$146,2,FALSE)/12</f>
        <v>1203025.8182968786</v>
      </c>
      <c r="E62" s="2">
        <f t="shared" si="43"/>
        <v>21716101.81829688</v>
      </c>
      <c r="F62" s="6">
        <v>27781</v>
      </c>
      <c r="G62" s="219">
        <v>5567139</v>
      </c>
      <c r="H62" s="2">
        <f>VLOOKUP(B62,'Historic CDM'!$B$135:$H$147,3,FALSE)/12</f>
        <v>1137811.0149666101</v>
      </c>
      <c r="I62" s="2">
        <f t="shared" si="44"/>
        <v>6704950.0149666099</v>
      </c>
      <c r="J62" s="6">
        <v>1995</v>
      </c>
      <c r="K62" s="219">
        <v>14873192</v>
      </c>
      <c r="L62" s="2">
        <f>VLOOKUP(B62,'Historic CDM'!$B$135:$H$146,4,FALSE)/12</f>
        <v>1206809.3744726346</v>
      </c>
      <c r="M62" s="2">
        <f t="shared" si="73"/>
        <v>16080001.374472635</v>
      </c>
      <c r="N62" s="222">
        <v>45525</v>
      </c>
      <c r="O62" s="220">
        <v>262</v>
      </c>
      <c r="P62" s="219">
        <v>305626</v>
      </c>
      <c r="Q62" s="2">
        <v>730</v>
      </c>
      <c r="R62" s="220">
        <v>2765</v>
      </c>
      <c r="S62" s="220">
        <v>24458</v>
      </c>
      <c r="T62" s="2">
        <v>67</v>
      </c>
      <c r="U62" s="220">
        <v>240</v>
      </c>
      <c r="V62" s="221">
        <v>128623</v>
      </c>
      <c r="W62" s="220">
        <v>130</v>
      </c>
      <c r="X62" s="2">
        <v>2994820</v>
      </c>
      <c r="Y62" s="2">
        <v>7485</v>
      </c>
      <c r="Z62" s="220">
        <v>4</v>
      </c>
      <c r="AA62" s="100">
        <f>'Weather Data'!D218</f>
        <v>773.8</v>
      </c>
      <c r="AB62" s="100">
        <f>'Weather Data'!E218</f>
        <v>0</v>
      </c>
      <c r="AC62" s="100">
        <f>'Weather Data'!F218</f>
        <v>711.8</v>
      </c>
      <c r="AD62" s="100">
        <f>'Weather Data'!G218</f>
        <v>0</v>
      </c>
      <c r="AE62" s="100">
        <f>'Weather Data'!H218</f>
        <v>649.79999999999995</v>
      </c>
      <c r="AF62" s="100">
        <f>'Weather Data'!I218</f>
        <v>0</v>
      </c>
      <c r="AG62" s="100">
        <f>'Weather Data'!J218</f>
        <v>587.79999999999995</v>
      </c>
      <c r="AH62" s="100">
        <f>'Weather Data'!K218</f>
        <v>0</v>
      </c>
      <c r="AI62" s="100">
        <f>'Weather Data'!L218</f>
        <v>525.79999999999995</v>
      </c>
      <c r="AJ62" s="100">
        <f>'Weather Data'!M218</f>
        <v>0</v>
      </c>
      <c r="AK62" s="100">
        <f>'Weather Data'!N218</f>
        <v>463.8</v>
      </c>
      <c r="AL62" s="100">
        <f>'Weather Data'!O218</f>
        <v>0</v>
      </c>
      <c r="AM62" s="100">
        <f>'Weather Data'!P218</f>
        <v>401.8</v>
      </c>
      <c r="AN62" s="100">
        <f>'Weather Data'!Q218</f>
        <v>0</v>
      </c>
      <c r="AO62" s="100">
        <f>'Weather Data'!R218</f>
        <v>-4.9612903225806457</v>
      </c>
      <c r="AP62" s="5">
        <f>'Economic Data'!D88</f>
        <v>7318</v>
      </c>
      <c r="AQ62" s="5">
        <f>'Economic Data'!E88</f>
        <v>7289.4</v>
      </c>
      <c r="AR62" s="5">
        <f>'Economic Data'!F88</f>
        <v>172.7</v>
      </c>
      <c r="AS62" s="5">
        <f>'Economic Data'!G88</f>
        <v>172.2</v>
      </c>
      <c r="AT62" s="5">
        <f>'Economic Data'!H88</f>
        <v>807274.5</v>
      </c>
      <c r="AU62" s="5">
        <f>'Economic Data'!I88</f>
        <v>7827.1</v>
      </c>
      <c r="AV62" s="5">
        <f>'Economic Data'!J88</f>
        <v>6758.1</v>
      </c>
      <c r="AW62" s="5">
        <f>'Economic Data'!K88</f>
        <v>5005</v>
      </c>
      <c r="AX62" s="5">
        <f>'Economic Data'!L88</f>
        <v>1092.3</v>
      </c>
      <c r="AY62" s="5">
        <f>'Economic Data'!M88</f>
        <v>1343.6</v>
      </c>
      <c r="AZ62" s="5">
        <f>'Economic Data'!N88</f>
        <v>7405</v>
      </c>
      <c r="BA62" s="5">
        <f>'Economic Data'!O88</f>
        <v>118.8</v>
      </c>
      <c r="BB62" s="5">
        <f>'Economic Data'!P88</f>
        <v>129.6</v>
      </c>
      <c r="BC62" s="5">
        <f>'Economic Data'!Q88</f>
        <v>800724</v>
      </c>
      <c r="BD62" s="5">
        <f>'Economic Data'!R88</f>
        <v>7595</v>
      </c>
      <c r="BE62" s="5">
        <f>'Economic Data'!S88</f>
        <v>3864</v>
      </c>
      <c r="BF62" s="5">
        <f>'Economic Data'!T88</f>
        <v>14057</v>
      </c>
      <c r="BG62" s="5">
        <f>'EV Data'!V27</f>
        <v>25385.333333333336</v>
      </c>
      <c r="BH62" s="5">
        <f>'EV Data'!AB27</f>
        <v>122.33333333333331</v>
      </c>
      <c r="BI62" s="5">
        <f>'EV Data'!W27</f>
        <v>418.6666666666668</v>
      </c>
      <c r="BJ62" s="5">
        <f t="shared" si="71"/>
        <v>61</v>
      </c>
      <c r="BK62" s="70">
        <f t="shared" si="93"/>
        <v>1.7853298350107671</v>
      </c>
      <c r="BL62" s="5">
        <f t="shared" si="94"/>
        <v>3721</v>
      </c>
      <c r="BM62">
        <v>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f t="shared" si="72"/>
        <v>0</v>
      </c>
      <c r="BZ62">
        <f t="shared" si="72"/>
        <v>0</v>
      </c>
      <c r="CA62">
        <f t="shared" si="74"/>
        <v>0</v>
      </c>
      <c r="CB62">
        <f>CB14</f>
        <v>31</v>
      </c>
      <c r="CC62">
        <v>22</v>
      </c>
      <c r="CD62">
        <v>0</v>
      </c>
      <c r="CE62">
        <v>0</v>
      </c>
      <c r="CF62">
        <f t="shared" si="111"/>
        <v>0</v>
      </c>
      <c r="CG62">
        <v>0</v>
      </c>
      <c r="CH62" s="64">
        <f t="shared" si="75"/>
        <v>0</v>
      </c>
      <c r="CI62" s="64">
        <f t="shared" si="76"/>
        <v>0</v>
      </c>
      <c r="CJ62" s="64">
        <f t="shared" si="77"/>
        <v>0</v>
      </c>
      <c r="CK62" s="64">
        <f t="shared" si="78"/>
        <v>0</v>
      </c>
      <c r="CL62" s="64">
        <f t="shared" si="79"/>
        <v>0</v>
      </c>
      <c r="CM62" s="64">
        <f t="shared" si="80"/>
        <v>0</v>
      </c>
      <c r="CN62" s="64">
        <f t="shared" si="81"/>
        <v>0</v>
      </c>
      <c r="CO62" s="64">
        <f t="shared" si="82"/>
        <v>0</v>
      </c>
      <c r="CP62" s="64">
        <f t="shared" si="83"/>
        <v>0</v>
      </c>
      <c r="CQ62" s="64">
        <f t="shared" si="84"/>
        <v>0</v>
      </c>
      <c r="CR62" s="64">
        <f t="shared" si="85"/>
        <v>0</v>
      </c>
      <c r="CS62" s="64">
        <f t="shared" si="86"/>
        <v>0</v>
      </c>
      <c r="CT62" s="64">
        <f t="shared" si="87"/>
        <v>0</v>
      </c>
      <c r="CU62" s="64">
        <f t="shared" si="88"/>
        <v>0</v>
      </c>
      <c r="CV62" s="69">
        <f t="shared" si="89"/>
        <v>25.215773855996822</v>
      </c>
      <c r="CW62" s="69">
        <f t="shared" si="90"/>
        <v>825.52942809241688</v>
      </c>
      <c r="CX62" s="69">
        <f t="shared" si="95"/>
        <v>2789.7295930729761</v>
      </c>
      <c r="CY62" s="69">
        <f t="shared" si="91"/>
        <v>34032.045454545456</v>
      </c>
      <c r="CZ62" s="64">
        <f t="shared" si="96"/>
        <v>1979.8080983098539</v>
      </c>
      <c r="DA62" s="64">
        <f t="shared" si="92"/>
        <v>24151.774193548386</v>
      </c>
      <c r="DB62" s="64">
        <f t="shared" si="97"/>
        <v>0</v>
      </c>
      <c r="DC62" s="64">
        <f t="shared" si="98"/>
        <v>0</v>
      </c>
      <c r="DD62" s="64">
        <f t="shared" si="99"/>
        <v>0</v>
      </c>
      <c r="DE62" s="64">
        <f t="shared" si="100"/>
        <v>0</v>
      </c>
      <c r="DF62" s="64">
        <f t="shared" si="101"/>
        <v>0</v>
      </c>
      <c r="DG62" s="64">
        <f t="shared" si="102"/>
        <v>0</v>
      </c>
      <c r="DH62" s="64">
        <f t="shared" si="103"/>
        <v>0</v>
      </c>
      <c r="DI62" s="64">
        <f t="shared" si="104"/>
        <v>0</v>
      </c>
      <c r="DJ62" s="64">
        <f t="shared" si="105"/>
        <v>0</v>
      </c>
      <c r="DK62" s="64">
        <f t="shared" si="106"/>
        <v>0</v>
      </c>
      <c r="DL62" s="64">
        <f t="shared" si="107"/>
        <v>0</v>
      </c>
      <c r="DM62" s="64">
        <f t="shared" si="108"/>
        <v>0</v>
      </c>
      <c r="DN62" s="64">
        <f t="shared" si="109"/>
        <v>0</v>
      </c>
      <c r="DO62" s="64">
        <f t="shared" si="110"/>
        <v>0</v>
      </c>
      <c r="DP62" s="2">
        <f t="shared" si="112"/>
        <v>37</v>
      </c>
      <c r="DQ62" s="2">
        <f t="shared" si="112"/>
        <v>25</v>
      </c>
      <c r="DR62" s="2">
        <f t="shared" si="112"/>
        <v>13</v>
      </c>
      <c r="DS62" s="2">
        <v>1</v>
      </c>
      <c r="DT62" s="2">
        <v>0</v>
      </c>
      <c r="DU62" s="2">
        <f t="shared" si="40"/>
        <v>4</v>
      </c>
      <c r="DV62" s="2">
        <f t="shared" si="41"/>
        <v>24151.774193548386</v>
      </c>
      <c r="DW62" s="2">
        <f t="shared" si="67"/>
        <v>2994820</v>
      </c>
    </row>
    <row r="63" spans="1:127">
      <c r="A63" s="3">
        <v>43497</v>
      </c>
      <c r="B63">
        <f t="shared" si="42"/>
        <v>2019</v>
      </c>
      <c r="C63" s="2">
        <v>18010778</v>
      </c>
      <c r="D63" s="2">
        <f>VLOOKUP(B63,'Historic CDM'!$B$135:$H$146,2,FALSE)/12</f>
        <v>1203025.8182968786</v>
      </c>
      <c r="E63" s="2">
        <f t="shared" si="43"/>
        <v>19213803.81829688</v>
      </c>
      <c r="F63" s="6">
        <v>27832</v>
      </c>
      <c r="G63" s="219">
        <v>5017730</v>
      </c>
      <c r="H63" s="2">
        <f>VLOOKUP(B63,'Historic CDM'!$B$135:$H$147,3,FALSE)/12</f>
        <v>1137811.0149666101</v>
      </c>
      <c r="I63" s="2">
        <f t="shared" si="44"/>
        <v>6155541.0149666099</v>
      </c>
      <c r="J63" s="6">
        <v>1995</v>
      </c>
      <c r="K63" s="219">
        <v>13631191</v>
      </c>
      <c r="L63" s="2">
        <f>VLOOKUP(B63,'Historic CDM'!$B$135:$H$146,4,FALSE)/12</f>
        <v>1206809.3744726346</v>
      </c>
      <c r="M63" s="2">
        <f t="shared" si="73"/>
        <v>14838000.374472635</v>
      </c>
      <c r="N63" s="222">
        <v>44118</v>
      </c>
      <c r="O63" s="220">
        <v>262</v>
      </c>
      <c r="P63" s="219">
        <v>276049</v>
      </c>
      <c r="Q63" s="2">
        <v>730</v>
      </c>
      <c r="R63" s="220">
        <v>2770</v>
      </c>
      <c r="S63" s="220">
        <v>23338</v>
      </c>
      <c r="T63" s="2">
        <v>64</v>
      </c>
      <c r="U63" s="220">
        <v>240</v>
      </c>
      <c r="V63" s="221">
        <v>128623</v>
      </c>
      <c r="W63" s="220">
        <v>130</v>
      </c>
      <c r="X63" s="2">
        <v>2804290</v>
      </c>
      <c r="Y63" s="2">
        <v>7592</v>
      </c>
      <c r="Z63" s="220">
        <v>4</v>
      </c>
      <c r="AA63" s="100">
        <f>'Weather Data'!D219</f>
        <v>636.9000000000002</v>
      </c>
      <c r="AB63" s="100">
        <f>'Weather Data'!E219</f>
        <v>0</v>
      </c>
      <c r="AC63" s="100">
        <f>'Weather Data'!F219</f>
        <v>580.90000000000009</v>
      </c>
      <c r="AD63" s="100">
        <f>'Weather Data'!G219</f>
        <v>0</v>
      </c>
      <c r="AE63" s="100">
        <f>'Weather Data'!H219</f>
        <v>524.90000000000009</v>
      </c>
      <c r="AF63" s="100">
        <f>'Weather Data'!I219</f>
        <v>0</v>
      </c>
      <c r="AG63" s="100">
        <f>'Weather Data'!J219</f>
        <v>468.9</v>
      </c>
      <c r="AH63" s="100">
        <f>'Weather Data'!K219</f>
        <v>0</v>
      </c>
      <c r="AI63" s="100">
        <f>'Weather Data'!L219</f>
        <v>412.90000000000003</v>
      </c>
      <c r="AJ63" s="100">
        <f>'Weather Data'!M219</f>
        <v>0</v>
      </c>
      <c r="AK63" s="100">
        <f>'Weather Data'!N219</f>
        <v>356.90000000000003</v>
      </c>
      <c r="AL63" s="100">
        <f>'Weather Data'!O219</f>
        <v>0</v>
      </c>
      <c r="AM63" s="100">
        <f>'Weather Data'!P219</f>
        <v>300.90000000000003</v>
      </c>
      <c r="AN63" s="100">
        <f>'Weather Data'!Q219</f>
        <v>0</v>
      </c>
      <c r="AO63" s="100">
        <f>'Weather Data'!R219</f>
        <v>-2.7464285714285714</v>
      </c>
      <c r="AP63" s="5">
        <f>'Economic Data'!D89</f>
        <v>7345.4</v>
      </c>
      <c r="AQ63" s="5">
        <f>'Economic Data'!E89</f>
        <v>7278.4</v>
      </c>
      <c r="AR63" s="5">
        <f>'Economic Data'!F89</f>
        <v>173.5</v>
      </c>
      <c r="AS63" s="5">
        <f>'Economic Data'!G89</f>
        <v>171.9</v>
      </c>
      <c r="AT63" s="5">
        <f>'Economic Data'!H89</f>
        <v>807274.5</v>
      </c>
      <c r="AU63" s="5">
        <f>'Economic Data'!I89</f>
        <v>7827.1</v>
      </c>
      <c r="AV63" s="5">
        <f>'Economic Data'!J89</f>
        <v>6758.1</v>
      </c>
      <c r="AW63" s="5">
        <f>'Economic Data'!K89</f>
        <v>5005</v>
      </c>
      <c r="AX63" s="5">
        <f>'Economic Data'!L89</f>
        <v>1092.3</v>
      </c>
      <c r="AY63" s="5">
        <f>'Economic Data'!M89</f>
        <v>1343.6</v>
      </c>
      <c r="AZ63" s="5">
        <f>'Economic Data'!N89</f>
        <v>7405</v>
      </c>
      <c r="BA63" s="5">
        <f>'Economic Data'!O89</f>
        <v>118.8</v>
      </c>
      <c r="BB63" s="5">
        <f>'Economic Data'!P89</f>
        <v>129.6</v>
      </c>
      <c r="BC63" s="5">
        <f>'Economic Data'!Q89</f>
        <v>800724</v>
      </c>
      <c r="BD63" s="5">
        <f>'Economic Data'!R89</f>
        <v>7595</v>
      </c>
      <c r="BE63" s="5">
        <f>'Economic Data'!S89</f>
        <v>3864</v>
      </c>
      <c r="BF63" s="5">
        <f>'Economic Data'!T89</f>
        <v>14057</v>
      </c>
      <c r="BG63" s="5">
        <f>'EV Data'!V28</f>
        <v>25832.666666666668</v>
      </c>
      <c r="BH63" s="5">
        <f>'EV Data'!AB28</f>
        <v>123.66666666666664</v>
      </c>
      <c r="BI63" s="5">
        <f>'EV Data'!W28</f>
        <v>424.33333333333348</v>
      </c>
      <c r="BJ63" s="5">
        <f t="shared" si="71"/>
        <v>62</v>
      </c>
      <c r="BK63" s="70">
        <f t="shared" si="93"/>
        <v>1.7923916894982539</v>
      </c>
      <c r="BL63" s="5">
        <f t="shared" si="94"/>
        <v>3844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f t="shared" si="72"/>
        <v>0</v>
      </c>
      <c r="BZ63">
        <f t="shared" si="72"/>
        <v>0</v>
      </c>
      <c r="CA63">
        <f t="shared" si="74"/>
        <v>0</v>
      </c>
      <c r="CB63">
        <f t="shared" ref="CB63:CB121" si="113">CB15</f>
        <v>28</v>
      </c>
      <c r="CC63">
        <v>19</v>
      </c>
      <c r="CD63">
        <v>0</v>
      </c>
      <c r="CE63">
        <v>0</v>
      </c>
      <c r="CF63">
        <f t="shared" si="111"/>
        <v>0</v>
      </c>
      <c r="CG63">
        <v>0</v>
      </c>
      <c r="CH63" s="64">
        <f t="shared" si="75"/>
        <v>0</v>
      </c>
      <c r="CI63" s="64">
        <f t="shared" si="76"/>
        <v>0</v>
      </c>
      <c r="CJ63" s="64">
        <f t="shared" si="77"/>
        <v>0</v>
      </c>
      <c r="CK63" s="64">
        <f t="shared" si="78"/>
        <v>0</v>
      </c>
      <c r="CL63" s="64">
        <f t="shared" si="79"/>
        <v>0</v>
      </c>
      <c r="CM63" s="64">
        <f t="shared" si="80"/>
        <v>0</v>
      </c>
      <c r="CN63" s="64">
        <f t="shared" si="81"/>
        <v>0</v>
      </c>
      <c r="CO63" s="64">
        <f t="shared" si="82"/>
        <v>0</v>
      </c>
      <c r="CP63" s="64">
        <f t="shared" si="83"/>
        <v>0</v>
      </c>
      <c r="CQ63" s="64">
        <f t="shared" si="84"/>
        <v>0</v>
      </c>
      <c r="CR63" s="64">
        <f t="shared" si="85"/>
        <v>0</v>
      </c>
      <c r="CS63" s="64">
        <f t="shared" si="86"/>
        <v>0</v>
      </c>
      <c r="CT63" s="64">
        <f t="shared" si="87"/>
        <v>0</v>
      </c>
      <c r="CU63" s="64">
        <f t="shared" si="88"/>
        <v>0</v>
      </c>
      <c r="CV63" s="69">
        <f t="shared" si="89"/>
        <v>24.655334838491253</v>
      </c>
      <c r="CW63" s="69">
        <f t="shared" si="90"/>
        <v>839.08683410122819</v>
      </c>
      <c r="CX63" s="69">
        <f t="shared" si="95"/>
        <v>2980.7152218707583</v>
      </c>
      <c r="CY63" s="69">
        <f t="shared" si="91"/>
        <v>36898.552631578947</v>
      </c>
      <c r="CZ63" s="64">
        <f t="shared" si="96"/>
        <v>2022.6281862694434</v>
      </c>
      <c r="DA63" s="64">
        <f t="shared" si="92"/>
        <v>25038.303571428572</v>
      </c>
      <c r="DB63" s="64">
        <f t="shared" si="97"/>
        <v>0</v>
      </c>
      <c r="DC63" s="64">
        <f t="shared" si="98"/>
        <v>0</v>
      </c>
      <c r="DD63" s="64">
        <f t="shared" si="99"/>
        <v>0</v>
      </c>
      <c r="DE63" s="64">
        <f t="shared" si="100"/>
        <v>0</v>
      </c>
      <c r="DF63" s="64">
        <f t="shared" si="101"/>
        <v>0</v>
      </c>
      <c r="DG63" s="64">
        <f t="shared" si="102"/>
        <v>0</v>
      </c>
      <c r="DH63" s="64">
        <f t="shared" si="103"/>
        <v>0</v>
      </c>
      <c r="DI63" s="64">
        <f t="shared" si="104"/>
        <v>0</v>
      </c>
      <c r="DJ63" s="64">
        <f t="shared" si="105"/>
        <v>0</v>
      </c>
      <c r="DK63" s="64">
        <f t="shared" si="106"/>
        <v>0</v>
      </c>
      <c r="DL63" s="64">
        <f t="shared" si="107"/>
        <v>0</v>
      </c>
      <c r="DM63" s="64">
        <f t="shared" si="108"/>
        <v>0</v>
      </c>
      <c r="DN63" s="64">
        <f t="shared" si="109"/>
        <v>0</v>
      </c>
      <c r="DO63" s="64">
        <f t="shared" si="110"/>
        <v>0</v>
      </c>
      <c r="DP63" s="2">
        <f t="shared" si="112"/>
        <v>38</v>
      </c>
      <c r="DQ63" s="2">
        <f t="shared" si="112"/>
        <v>26</v>
      </c>
      <c r="DR63" s="2">
        <f t="shared" si="112"/>
        <v>14</v>
      </c>
      <c r="DS63" s="2">
        <f>DS62+1</f>
        <v>2</v>
      </c>
      <c r="DT63" s="2">
        <v>0</v>
      </c>
      <c r="DU63" s="2">
        <f t="shared" si="40"/>
        <v>4</v>
      </c>
      <c r="DV63" s="2">
        <f t="shared" si="41"/>
        <v>25038.303571428572</v>
      </c>
      <c r="DW63" s="2">
        <f t="shared" si="67"/>
        <v>2804290</v>
      </c>
    </row>
    <row r="64" spans="1:127">
      <c r="A64" s="3">
        <v>43525</v>
      </c>
      <c r="B64">
        <f t="shared" si="42"/>
        <v>2019</v>
      </c>
      <c r="C64" s="2">
        <v>18420789</v>
      </c>
      <c r="D64" s="2">
        <f>VLOOKUP(B64,'Historic CDM'!$B$135:$H$146,2,FALSE)/12</f>
        <v>1203025.8182968786</v>
      </c>
      <c r="E64" s="2">
        <f t="shared" si="43"/>
        <v>19623814.81829688</v>
      </c>
      <c r="F64" s="6">
        <v>27848</v>
      </c>
      <c r="G64" s="219">
        <v>5260175</v>
      </c>
      <c r="H64" s="2">
        <f>VLOOKUP(B64,'Historic CDM'!$B$135:$H$147,3,FALSE)/12</f>
        <v>1137811.0149666101</v>
      </c>
      <c r="I64" s="2">
        <f t="shared" si="44"/>
        <v>6397986.0149666099</v>
      </c>
      <c r="J64" s="6">
        <v>1995</v>
      </c>
      <c r="K64" s="219">
        <v>14487402</v>
      </c>
      <c r="L64" s="2">
        <f>VLOOKUP(B64,'Historic CDM'!$B$135:$H$146,4,FALSE)/12</f>
        <v>1206809.3744726346</v>
      </c>
      <c r="M64" s="2">
        <f t="shared" si="73"/>
        <v>15694211.374472635</v>
      </c>
      <c r="N64" s="222">
        <v>43609</v>
      </c>
      <c r="O64" s="220">
        <v>262</v>
      </c>
      <c r="P64" s="219">
        <v>256669</v>
      </c>
      <c r="Q64" s="2">
        <v>733</v>
      </c>
      <c r="R64" s="220">
        <v>2772</v>
      </c>
      <c r="S64" s="220">
        <v>23873</v>
      </c>
      <c r="T64" s="2">
        <v>65</v>
      </c>
      <c r="U64" s="220">
        <v>238</v>
      </c>
      <c r="V64" s="221">
        <v>128623</v>
      </c>
      <c r="W64" s="220">
        <v>130</v>
      </c>
      <c r="X64" s="2">
        <v>2876384</v>
      </c>
      <c r="Y64" s="2">
        <v>7485</v>
      </c>
      <c r="Z64" s="220">
        <v>4</v>
      </c>
      <c r="AA64" s="100">
        <f>'Weather Data'!D220</f>
        <v>611.39999999999986</v>
      </c>
      <c r="AB64" s="100">
        <f>'Weather Data'!E220</f>
        <v>0</v>
      </c>
      <c r="AC64" s="100">
        <f>'Weather Data'!F220</f>
        <v>549.4</v>
      </c>
      <c r="AD64" s="100">
        <f>'Weather Data'!G220</f>
        <v>0</v>
      </c>
      <c r="AE64" s="100">
        <f>'Weather Data'!H220</f>
        <v>487.4</v>
      </c>
      <c r="AF64" s="100">
        <f>'Weather Data'!I220</f>
        <v>0</v>
      </c>
      <c r="AG64" s="100">
        <f>'Weather Data'!J220</f>
        <v>425.39999999999992</v>
      </c>
      <c r="AH64" s="100">
        <f>'Weather Data'!K220</f>
        <v>0</v>
      </c>
      <c r="AI64" s="100">
        <f>'Weather Data'!L220</f>
        <v>363.4</v>
      </c>
      <c r="AJ64" s="100">
        <f>'Weather Data'!M220</f>
        <v>0</v>
      </c>
      <c r="AK64" s="100">
        <f>'Weather Data'!N220</f>
        <v>302.7</v>
      </c>
      <c r="AL64" s="100">
        <f>'Weather Data'!O220</f>
        <v>1.3000000000000007</v>
      </c>
      <c r="AM64" s="100">
        <f>'Weather Data'!P220</f>
        <v>244.70000000000002</v>
      </c>
      <c r="AN64" s="100">
        <f>'Weather Data'!Q220</f>
        <v>5.3000000000000007</v>
      </c>
      <c r="AO64" s="100">
        <f>'Weather Data'!R220</f>
        <v>0.27741935483871</v>
      </c>
      <c r="AP64" s="5">
        <f>'Economic Data'!D90</f>
        <v>7361.3</v>
      </c>
      <c r="AQ64" s="5">
        <f>'Economic Data'!E90</f>
        <v>7256.9</v>
      </c>
      <c r="AR64" s="5">
        <f>'Economic Data'!F90</f>
        <v>175.2</v>
      </c>
      <c r="AS64" s="5">
        <f>'Economic Data'!G90</f>
        <v>173.1</v>
      </c>
      <c r="AT64" s="5">
        <f>'Economic Data'!H90</f>
        <v>807274.5</v>
      </c>
      <c r="AU64" s="5">
        <f>'Economic Data'!I90</f>
        <v>7827.1</v>
      </c>
      <c r="AV64" s="5">
        <f>'Economic Data'!J90</f>
        <v>6758.1</v>
      </c>
      <c r="AW64" s="5">
        <f>'Economic Data'!K90</f>
        <v>5005</v>
      </c>
      <c r="AX64" s="5">
        <f>'Economic Data'!L90</f>
        <v>1092.3</v>
      </c>
      <c r="AY64" s="5">
        <f>'Economic Data'!M90</f>
        <v>1343.6</v>
      </c>
      <c r="AZ64" s="5">
        <f>'Economic Data'!N90</f>
        <v>7405</v>
      </c>
      <c r="BA64" s="5">
        <f>'Economic Data'!O90</f>
        <v>118.8</v>
      </c>
      <c r="BB64" s="5">
        <f>'Economic Data'!P90</f>
        <v>129.6</v>
      </c>
      <c r="BC64" s="5">
        <f>'Economic Data'!Q90</f>
        <v>800724</v>
      </c>
      <c r="BD64" s="5">
        <f>'Economic Data'!R90</f>
        <v>7595</v>
      </c>
      <c r="BE64" s="5">
        <f>'Economic Data'!S90</f>
        <v>3864</v>
      </c>
      <c r="BF64" s="5">
        <f>'Economic Data'!T90</f>
        <v>14057</v>
      </c>
      <c r="BG64" s="5">
        <f>'EV Data'!V29</f>
        <v>26280</v>
      </c>
      <c r="BH64" s="5">
        <f>'EV Data'!AB29</f>
        <v>124.99999999999997</v>
      </c>
      <c r="BI64" s="5">
        <f>'EV Data'!W29</f>
        <v>430.00000000000017</v>
      </c>
      <c r="BJ64" s="5">
        <f t="shared" si="71"/>
        <v>63</v>
      </c>
      <c r="BK64" s="70">
        <f t="shared" si="93"/>
        <v>1.7993405494535817</v>
      </c>
      <c r="BL64" s="5">
        <f t="shared" si="94"/>
        <v>3969</v>
      </c>
      <c r="BM64"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f t="shared" si="72"/>
        <v>1</v>
      </c>
      <c r="BZ64">
        <f t="shared" si="72"/>
        <v>0</v>
      </c>
      <c r="CA64">
        <f t="shared" si="74"/>
        <v>1</v>
      </c>
      <c r="CB64">
        <f t="shared" si="113"/>
        <v>31</v>
      </c>
      <c r="CC64">
        <v>22</v>
      </c>
      <c r="CD64">
        <v>0</v>
      </c>
      <c r="CE64">
        <v>0</v>
      </c>
      <c r="CF64">
        <f t="shared" si="111"/>
        <v>0</v>
      </c>
      <c r="CG64">
        <v>0</v>
      </c>
      <c r="CH64" s="64">
        <f t="shared" si="75"/>
        <v>0</v>
      </c>
      <c r="CI64" s="64">
        <f t="shared" si="76"/>
        <v>0</v>
      </c>
      <c r="CJ64" s="64">
        <f t="shared" si="77"/>
        <v>0</v>
      </c>
      <c r="CK64" s="64">
        <f t="shared" si="78"/>
        <v>0</v>
      </c>
      <c r="CL64" s="64">
        <f t="shared" si="79"/>
        <v>0</v>
      </c>
      <c r="CM64" s="64">
        <f t="shared" si="80"/>
        <v>0</v>
      </c>
      <c r="CN64" s="64">
        <f t="shared" si="81"/>
        <v>0</v>
      </c>
      <c r="CO64" s="64">
        <f t="shared" si="82"/>
        <v>0</v>
      </c>
      <c r="CP64" s="64">
        <f t="shared" si="83"/>
        <v>0</v>
      </c>
      <c r="CQ64" s="64">
        <f t="shared" si="84"/>
        <v>0</v>
      </c>
      <c r="CR64" s="64">
        <f t="shared" si="85"/>
        <v>0</v>
      </c>
      <c r="CS64" s="64">
        <f t="shared" si="86"/>
        <v>0</v>
      </c>
      <c r="CT64" s="64">
        <f t="shared" si="87"/>
        <v>0</v>
      </c>
      <c r="CU64" s="64">
        <f t="shared" si="88"/>
        <v>0</v>
      </c>
      <c r="CV64" s="69">
        <f t="shared" si="89"/>
        <v>22.731481056492015</v>
      </c>
      <c r="CW64" s="69">
        <f t="shared" si="90"/>
        <v>787.73528871787857</v>
      </c>
      <c r="CX64" s="69">
        <f t="shared" si="95"/>
        <v>2722.7986423443158</v>
      </c>
      <c r="CY64" s="69">
        <f t="shared" si="91"/>
        <v>32686.18181818182</v>
      </c>
      <c r="CZ64" s="64">
        <f t="shared" si="96"/>
        <v>1932.3087139217723</v>
      </c>
      <c r="DA64" s="64">
        <f t="shared" si="92"/>
        <v>23196.645161290322</v>
      </c>
      <c r="DB64" s="64">
        <f t="shared" si="97"/>
        <v>0</v>
      </c>
      <c r="DC64" s="64">
        <f t="shared" si="98"/>
        <v>0</v>
      </c>
      <c r="DD64" s="64">
        <f t="shared" si="99"/>
        <v>0</v>
      </c>
      <c r="DE64" s="64">
        <f t="shared" si="100"/>
        <v>0</v>
      </c>
      <c r="DF64" s="64">
        <f t="shared" si="101"/>
        <v>0</v>
      </c>
      <c r="DG64" s="64">
        <f t="shared" si="102"/>
        <v>0</v>
      </c>
      <c r="DH64" s="64">
        <f t="shared" si="103"/>
        <v>0</v>
      </c>
      <c r="DI64" s="64">
        <f t="shared" si="104"/>
        <v>0</v>
      </c>
      <c r="DJ64" s="64">
        <f t="shared" si="105"/>
        <v>0</v>
      </c>
      <c r="DK64" s="64">
        <f t="shared" si="106"/>
        <v>0</v>
      </c>
      <c r="DL64" s="64">
        <f t="shared" si="107"/>
        <v>0</v>
      </c>
      <c r="DM64" s="64">
        <f t="shared" si="108"/>
        <v>0</v>
      </c>
      <c r="DN64" s="64">
        <f t="shared" si="109"/>
        <v>0</v>
      </c>
      <c r="DO64" s="64">
        <f t="shared" si="110"/>
        <v>0</v>
      </c>
      <c r="DP64" s="2">
        <f t="shared" si="112"/>
        <v>39</v>
      </c>
      <c r="DQ64" s="2">
        <f t="shared" si="112"/>
        <v>27</v>
      </c>
      <c r="DR64" s="2">
        <f t="shared" si="112"/>
        <v>15</v>
      </c>
      <c r="DS64" s="2">
        <f t="shared" si="112"/>
        <v>3</v>
      </c>
      <c r="DT64" s="2">
        <v>0</v>
      </c>
      <c r="DU64" s="2">
        <f t="shared" si="40"/>
        <v>4</v>
      </c>
      <c r="DV64" s="2">
        <f t="shared" si="41"/>
        <v>23196.645161290322</v>
      </c>
      <c r="DW64" s="2">
        <f t="shared" si="67"/>
        <v>2876384</v>
      </c>
    </row>
    <row r="65" spans="1:127">
      <c r="A65" s="3">
        <v>43556</v>
      </c>
      <c r="B65">
        <f t="shared" si="42"/>
        <v>2019</v>
      </c>
      <c r="C65" s="2">
        <v>15725326</v>
      </c>
      <c r="D65" s="2">
        <f>VLOOKUP(B65,'Historic CDM'!$B$135:$H$146,2,FALSE)/12</f>
        <v>1203025.8182968786</v>
      </c>
      <c r="E65" s="2">
        <f t="shared" si="43"/>
        <v>16928351.81829688</v>
      </c>
      <c r="F65" s="6">
        <v>27862</v>
      </c>
      <c r="G65" s="219">
        <v>4722271</v>
      </c>
      <c r="H65" s="2">
        <f>VLOOKUP(B65,'Historic CDM'!$B$135:$H$147,3,FALSE)/12</f>
        <v>1137811.0149666101</v>
      </c>
      <c r="I65" s="2">
        <f t="shared" si="44"/>
        <v>5860082.0149666099</v>
      </c>
      <c r="J65" s="6">
        <v>1996</v>
      </c>
      <c r="K65" s="219">
        <v>13216553</v>
      </c>
      <c r="L65" s="2">
        <f>VLOOKUP(B65,'Historic CDM'!$B$135:$H$146,4,FALSE)/12</f>
        <v>1206809.3744726346</v>
      </c>
      <c r="M65" s="2">
        <f t="shared" si="73"/>
        <v>14423362.374472635</v>
      </c>
      <c r="N65" s="222">
        <v>45411</v>
      </c>
      <c r="O65" s="220">
        <v>262</v>
      </c>
      <c r="P65" s="219">
        <v>183524</v>
      </c>
      <c r="Q65" s="2">
        <v>709</v>
      </c>
      <c r="R65" s="220">
        <v>2772</v>
      </c>
      <c r="S65" s="220">
        <v>24089</v>
      </c>
      <c r="T65" s="2">
        <v>66</v>
      </c>
      <c r="U65" s="220">
        <v>238</v>
      </c>
      <c r="V65" s="221">
        <v>128623</v>
      </c>
      <c r="W65" s="220">
        <v>130</v>
      </c>
      <c r="X65" s="2">
        <v>2696906</v>
      </c>
      <c r="Y65" s="2">
        <v>7154</v>
      </c>
      <c r="Z65" s="220">
        <v>4</v>
      </c>
      <c r="AA65" s="100">
        <f>'Weather Data'!D221</f>
        <v>338.39999999999992</v>
      </c>
      <c r="AB65" s="100">
        <f>'Weather Data'!E221</f>
        <v>0</v>
      </c>
      <c r="AC65" s="100">
        <f>'Weather Data'!F221</f>
        <v>278.40000000000003</v>
      </c>
      <c r="AD65" s="100">
        <f>'Weather Data'!G221</f>
        <v>0</v>
      </c>
      <c r="AE65" s="100">
        <f>'Weather Data'!H221</f>
        <v>218.8</v>
      </c>
      <c r="AF65" s="100">
        <f>'Weather Data'!I221</f>
        <v>0.39999999999999858</v>
      </c>
      <c r="AG65" s="100">
        <f>'Weather Data'!J221</f>
        <v>162.30000000000001</v>
      </c>
      <c r="AH65" s="100">
        <f>'Weather Data'!K221</f>
        <v>3.8999999999999986</v>
      </c>
      <c r="AI65" s="100">
        <f>'Weather Data'!L221</f>
        <v>109.80000000000001</v>
      </c>
      <c r="AJ65" s="100">
        <f>'Weather Data'!M221</f>
        <v>11.399999999999999</v>
      </c>
      <c r="AK65" s="100">
        <f>'Weather Data'!N221</f>
        <v>69.2</v>
      </c>
      <c r="AL65" s="100">
        <f>'Weather Data'!O221</f>
        <v>30.799999999999997</v>
      </c>
      <c r="AM65" s="100">
        <f>'Weather Data'!P221</f>
        <v>38.5</v>
      </c>
      <c r="AN65" s="100">
        <f>'Weather Data'!Q221</f>
        <v>60.100000000000009</v>
      </c>
      <c r="AO65" s="100">
        <f>'Weather Data'!R221</f>
        <v>8.7199999999999989</v>
      </c>
      <c r="AP65" s="5">
        <f>'Economic Data'!D91</f>
        <v>7382.3</v>
      </c>
      <c r="AQ65" s="5">
        <f>'Economic Data'!E91</f>
        <v>7294</v>
      </c>
      <c r="AR65" s="5">
        <f>'Economic Data'!F91</f>
        <v>175.5</v>
      </c>
      <c r="AS65" s="5">
        <f>'Economic Data'!G91</f>
        <v>175.3</v>
      </c>
      <c r="AT65" s="5">
        <f>'Economic Data'!H91</f>
        <v>807274.5</v>
      </c>
      <c r="AU65" s="5">
        <f>'Economic Data'!I91</f>
        <v>7827.1</v>
      </c>
      <c r="AV65" s="5">
        <f>'Economic Data'!J91</f>
        <v>6758.1</v>
      </c>
      <c r="AW65" s="5">
        <f>'Economic Data'!K91</f>
        <v>5005</v>
      </c>
      <c r="AX65" s="5">
        <f>'Economic Data'!L91</f>
        <v>1092.3</v>
      </c>
      <c r="AY65" s="5">
        <f>'Economic Data'!M91</f>
        <v>1343.6</v>
      </c>
      <c r="AZ65" s="5">
        <f>'Economic Data'!N91</f>
        <v>7405</v>
      </c>
      <c r="BA65" s="5">
        <f>'Economic Data'!O91</f>
        <v>118.8</v>
      </c>
      <c r="BB65" s="5">
        <f>'Economic Data'!P91</f>
        <v>129.6</v>
      </c>
      <c r="BC65" s="5">
        <f>'Economic Data'!Q91</f>
        <v>806630</v>
      </c>
      <c r="BD65" s="5">
        <f>'Economic Data'!R91</f>
        <v>7794</v>
      </c>
      <c r="BE65" s="5">
        <f>'Economic Data'!S91</f>
        <v>4028</v>
      </c>
      <c r="BF65" s="5">
        <f>'Economic Data'!T91</f>
        <v>13951</v>
      </c>
      <c r="BG65" s="5">
        <f>'EV Data'!V30</f>
        <v>27239.333333333332</v>
      </c>
      <c r="BH65" s="5">
        <f>'EV Data'!AB30</f>
        <v>128.99999999999997</v>
      </c>
      <c r="BI65" s="5">
        <f>'EV Data'!W30</f>
        <v>442.00000000000017</v>
      </c>
      <c r="BJ65" s="5">
        <f t="shared" si="71"/>
        <v>64</v>
      </c>
      <c r="BK65" s="70">
        <f t="shared" si="93"/>
        <v>1.8061799739838871</v>
      </c>
      <c r="BL65" s="5">
        <f t="shared" si="94"/>
        <v>4096</v>
      </c>
      <c r="BM65">
        <v>0</v>
      </c>
      <c r="BN65">
        <v>0</v>
      </c>
      <c r="BO65">
        <v>0</v>
      </c>
      <c r="BP65">
        <v>1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f t="shared" si="72"/>
        <v>1</v>
      </c>
      <c r="BZ65">
        <f t="shared" si="72"/>
        <v>0</v>
      </c>
      <c r="CA65">
        <f t="shared" si="74"/>
        <v>1</v>
      </c>
      <c r="CB65">
        <f t="shared" si="113"/>
        <v>30</v>
      </c>
      <c r="CC65">
        <v>21</v>
      </c>
      <c r="CD65">
        <v>0</v>
      </c>
      <c r="CE65">
        <v>0</v>
      </c>
      <c r="CF65">
        <f t="shared" si="111"/>
        <v>0</v>
      </c>
      <c r="CG65">
        <v>0</v>
      </c>
      <c r="CH65" s="64">
        <f t="shared" si="75"/>
        <v>0</v>
      </c>
      <c r="CI65" s="64">
        <f t="shared" si="76"/>
        <v>0</v>
      </c>
      <c r="CJ65" s="64">
        <f t="shared" si="77"/>
        <v>0</v>
      </c>
      <c r="CK65" s="64">
        <f t="shared" si="78"/>
        <v>0</v>
      </c>
      <c r="CL65" s="64">
        <f t="shared" si="79"/>
        <v>0</v>
      </c>
      <c r="CM65" s="64">
        <f t="shared" si="80"/>
        <v>0</v>
      </c>
      <c r="CN65" s="64">
        <f t="shared" si="81"/>
        <v>0</v>
      </c>
      <c r="CO65" s="64">
        <f t="shared" si="82"/>
        <v>0</v>
      </c>
      <c r="CP65" s="64">
        <f t="shared" si="83"/>
        <v>0</v>
      </c>
      <c r="CQ65" s="64">
        <f t="shared" si="84"/>
        <v>0</v>
      </c>
      <c r="CR65" s="64">
        <f t="shared" si="85"/>
        <v>0</v>
      </c>
      <c r="CS65" s="64">
        <f t="shared" si="86"/>
        <v>0</v>
      </c>
      <c r="CT65" s="64">
        <f t="shared" si="87"/>
        <v>0</v>
      </c>
      <c r="CU65" s="64">
        <f t="shared" si="88"/>
        <v>0</v>
      </c>
      <c r="CV65" s="69">
        <f t="shared" si="89"/>
        <v>20.252616249487808</v>
      </c>
      <c r="CW65" s="69">
        <f t="shared" si="90"/>
        <v>745.55750826547194</v>
      </c>
      <c r="CX65" s="69">
        <f t="shared" si="95"/>
        <v>2621.4762585373742</v>
      </c>
      <c r="CY65" s="69">
        <f t="shared" si="91"/>
        <v>32106.023809523809</v>
      </c>
      <c r="CZ65" s="64">
        <f t="shared" si="96"/>
        <v>1835.0333809761623</v>
      </c>
      <c r="DA65" s="64">
        <f t="shared" si="92"/>
        <v>22474.216666666667</v>
      </c>
      <c r="DB65" s="64">
        <f t="shared" si="97"/>
        <v>0</v>
      </c>
      <c r="DC65" s="64">
        <f t="shared" si="98"/>
        <v>0</v>
      </c>
      <c r="DD65" s="64">
        <f t="shared" si="99"/>
        <v>0</v>
      </c>
      <c r="DE65" s="64">
        <f t="shared" si="100"/>
        <v>0</v>
      </c>
      <c r="DF65" s="64">
        <f t="shared" si="101"/>
        <v>0</v>
      </c>
      <c r="DG65" s="64">
        <f t="shared" si="102"/>
        <v>0</v>
      </c>
      <c r="DH65" s="64">
        <f t="shared" si="103"/>
        <v>0</v>
      </c>
      <c r="DI65" s="64">
        <f t="shared" si="104"/>
        <v>0</v>
      </c>
      <c r="DJ65" s="64">
        <f t="shared" si="105"/>
        <v>0</v>
      </c>
      <c r="DK65" s="64">
        <f t="shared" si="106"/>
        <v>0</v>
      </c>
      <c r="DL65" s="64">
        <f t="shared" si="107"/>
        <v>0</v>
      </c>
      <c r="DM65" s="64">
        <f t="shared" si="108"/>
        <v>0</v>
      </c>
      <c r="DN65" s="64">
        <f t="shared" si="109"/>
        <v>0</v>
      </c>
      <c r="DO65" s="64">
        <f t="shared" si="110"/>
        <v>0</v>
      </c>
      <c r="DP65" s="2">
        <f t="shared" si="112"/>
        <v>40</v>
      </c>
      <c r="DQ65" s="2">
        <f t="shared" si="112"/>
        <v>28</v>
      </c>
      <c r="DR65" s="2">
        <f t="shared" si="112"/>
        <v>16</v>
      </c>
      <c r="DS65" s="2">
        <f t="shared" si="112"/>
        <v>4</v>
      </c>
      <c r="DT65" s="2">
        <v>0</v>
      </c>
      <c r="DU65" s="2">
        <f t="shared" si="40"/>
        <v>4</v>
      </c>
      <c r="DV65" s="2">
        <f t="shared" si="41"/>
        <v>22474.216666666667</v>
      </c>
      <c r="DW65" s="2">
        <f t="shared" si="67"/>
        <v>2696906</v>
      </c>
    </row>
    <row r="66" spans="1:127">
      <c r="A66" s="3">
        <v>43586</v>
      </c>
      <c r="B66">
        <f t="shared" si="42"/>
        <v>2019</v>
      </c>
      <c r="C66" s="2">
        <v>16632537</v>
      </c>
      <c r="D66" s="2">
        <f>VLOOKUP(B66,'Historic CDM'!$B$135:$H$146,2,FALSE)/12</f>
        <v>1203025.8182968786</v>
      </c>
      <c r="E66" s="2">
        <f t="shared" si="43"/>
        <v>17835562.81829688</v>
      </c>
      <c r="F66" s="6">
        <v>27874</v>
      </c>
      <c r="G66" s="219">
        <v>4907527</v>
      </c>
      <c r="H66" s="2">
        <f>VLOOKUP(B66,'Historic CDM'!$B$135:$H$147,3,FALSE)/12</f>
        <v>1137811.0149666101</v>
      </c>
      <c r="I66" s="2">
        <f t="shared" si="44"/>
        <v>6045338.0149666099</v>
      </c>
      <c r="J66" s="6">
        <v>1996</v>
      </c>
      <c r="K66" s="219">
        <v>13601625</v>
      </c>
      <c r="L66" s="2">
        <f>VLOOKUP(B66,'Historic CDM'!$B$135:$H$146,4,FALSE)/12</f>
        <v>1206809.3744726346</v>
      </c>
      <c r="M66" s="2">
        <f t="shared" si="73"/>
        <v>14808434.374472635</v>
      </c>
      <c r="N66" s="222">
        <v>46068</v>
      </c>
      <c r="O66" s="220">
        <v>262</v>
      </c>
      <c r="P66" s="219">
        <v>165265</v>
      </c>
      <c r="Q66" s="2">
        <v>624</v>
      </c>
      <c r="R66" s="220">
        <v>2772</v>
      </c>
      <c r="S66" s="220">
        <v>23389</v>
      </c>
      <c r="T66" s="2">
        <v>64</v>
      </c>
      <c r="U66" s="220">
        <v>238</v>
      </c>
      <c r="V66" s="221">
        <v>128409</v>
      </c>
      <c r="W66" s="220">
        <v>130</v>
      </c>
      <c r="X66" s="2">
        <v>2767778</v>
      </c>
      <c r="Y66" s="2">
        <v>7032</v>
      </c>
      <c r="Z66" s="220">
        <v>4</v>
      </c>
      <c r="AA66" s="100">
        <f>'Weather Data'!D222</f>
        <v>194.20000000000002</v>
      </c>
      <c r="AB66" s="100">
        <f>'Weather Data'!E222</f>
        <v>3.1000000000000014</v>
      </c>
      <c r="AC66" s="100">
        <f>'Weather Data'!F222</f>
        <v>139.50000000000006</v>
      </c>
      <c r="AD66" s="100">
        <f>'Weather Data'!G222</f>
        <v>10.400000000000002</v>
      </c>
      <c r="AE66" s="100">
        <f>'Weather Data'!H222</f>
        <v>89.4</v>
      </c>
      <c r="AF66" s="100">
        <f>'Weather Data'!I222</f>
        <v>22.3</v>
      </c>
      <c r="AG66" s="100">
        <f>'Weather Data'!J222</f>
        <v>52.599999999999994</v>
      </c>
      <c r="AH66" s="100">
        <f>'Weather Data'!K222</f>
        <v>47.5</v>
      </c>
      <c r="AI66" s="100">
        <f>'Weather Data'!L222</f>
        <v>26.499999999999996</v>
      </c>
      <c r="AJ66" s="100">
        <f>'Weather Data'!M222</f>
        <v>83.399999999999991</v>
      </c>
      <c r="AK66" s="100">
        <f>'Weather Data'!N222</f>
        <v>9.5</v>
      </c>
      <c r="AL66" s="100">
        <f>'Weather Data'!O222</f>
        <v>128.39999999999998</v>
      </c>
      <c r="AM66" s="100">
        <f>'Weather Data'!P222</f>
        <v>1.6000000000000005</v>
      </c>
      <c r="AN66" s="100">
        <f>'Weather Data'!Q222</f>
        <v>182.50000000000003</v>
      </c>
      <c r="AO66" s="100">
        <f>'Weather Data'!R222</f>
        <v>13.835483870967741</v>
      </c>
      <c r="AP66" s="5">
        <f>'Economic Data'!D92</f>
        <v>7398.9</v>
      </c>
      <c r="AQ66" s="5">
        <f>'Economic Data'!E92</f>
        <v>7366.8</v>
      </c>
      <c r="AR66" s="5">
        <f>'Economic Data'!F92</f>
        <v>176.6</v>
      </c>
      <c r="AS66" s="5">
        <f>'Economic Data'!G92</f>
        <v>177.2</v>
      </c>
      <c r="AT66" s="5">
        <f>'Economic Data'!H92</f>
        <v>807274.5</v>
      </c>
      <c r="AU66" s="5">
        <f>'Economic Data'!I92</f>
        <v>7827.1</v>
      </c>
      <c r="AV66" s="5">
        <f>'Economic Data'!J92</f>
        <v>6758.1</v>
      </c>
      <c r="AW66" s="5">
        <f>'Economic Data'!K92</f>
        <v>5005</v>
      </c>
      <c r="AX66" s="5">
        <f>'Economic Data'!L92</f>
        <v>1092.3</v>
      </c>
      <c r="AY66" s="5">
        <f>'Economic Data'!M92</f>
        <v>1343.6</v>
      </c>
      <c r="AZ66" s="5">
        <f>'Economic Data'!N92</f>
        <v>7405</v>
      </c>
      <c r="BA66" s="5">
        <f>'Economic Data'!O92</f>
        <v>118.8</v>
      </c>
      <c r="BB66" s="5">
        <f>'Economic Data'!P92</f>
        <v>129.6</v>
      </c>
      <c r="BC66" s="5">
        <f>'Economic Data'!Q92</f>
        <v>806630</v>
      </c>
      <c r="BD66" s="5">
        <f>'Economic Data'!R92</f>
        <v>7794</v>
      </c>
      <c r="BE66" s="5">
        <f>'Economic Data'!S92</f>
        <v>4028</v>
      </c>
      <c r="BF66" s="5">
        <f>'Economic Data'!T92</f>
        <v>13951</v>
      </c>
      <c r="BG66" s="5">
        <f>'EV Data'!V31</f>
        <v>28198.666666666664</v>
      </c>
      <c r="BH66" s="5">
        <f>'EV Data'!AB31</f>
        <v>132.99999999999997</v>
      </c>
      <c r="BI66" s="5">
        <f>'EV Data'!W31</f>
        <v>454.00000000000017</v>
      </c>
      <c r="BJ66" s="5">
        <f t="shared" si="71"/>
        <v>65</v>
      </c>
      <c r="BK66" s="70">
        <f t="shared" si="93"/>
        <v>1.8129133566428555</v>
      </c>
      <c r="BL66" s="5">
        <f t="shared" si="94"/>
        <v>4225</v>
      </c>
      <c r="BM66">
        <v>0</v>
      </c>
      <c r="BN66">
        <v>0</v>
      </c>
      <c r="BO66">
        <v>0</v>
      </c>
      <c r="BP66">
        <v>0</v>
      </c>
      <c r="BQ66">
        <v>1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f t="shared" ref="BY66:BZ73" si="114">BY54</f>
        <v>1</v>
      </c>
      <c r="BZ66">
        <f t="shared" si="114"/>
        <v>0</v>
      </c>
      <c r="CA66">
        <f t="shared" si="74"/>
        <v>1</v>
      </c>
      <c r="CB66">
        <f t="shared" si="113"/>
        <v>31</v>
      </c>
      <c r="CC66">
        <v>20</v>
      </c>
      <c r="CD66">
        <v>0</v>
      </c>
      <c r="CE66">
        <v>0</v>
      </c>
      <c r="CF66">
        <f t="shared" si="111"/>
        <v>0</v>
      </c>
      <c r="CG66">
        <v>0</v>
      </c>
      <c r="CH66" s="64">
        <f t="shared" si="75"/>
        <v>0</v>
      </c>
      <c r="CI66" s="64">
        <f t="shared" si="76"/>
        <v>0</v>
      </c>
      <c r="CJ66" s="64">
        <f t="shared" si="77"/>
        <v>0</v>
      </c>
      <c r="CK66" s="64">
        <f t="shared" si="78"/>
        <v>0</v>
      </c>
      <c r="CL66" s="64">
        <f t="shared" si="79"/>
        <v>0</v>
      </c>
      <c r="CM66" s="64">
        <f t="shared" si="80"/>
        <v>0</v>
      </c>
      <c r="CN66" s="64">
        <f t="shared" si="81"/>
        <v>0</v>
      </c>
      <c r="CO66" s="64">
        <f t="shared" si="82"/>
        <v>0</v>
      </c>
      <c r="CP66" s="64">
        <f t="shared" si="83"/>
        <v>0</v>
      </c>
      <c r="CQ66" s="64">
        <f t="shared" si="84"/>
        <v>0</v>
      </c>
      <c r="CR66" s="64">
        <f t="shared" si="85"/>
        <v>0</v>
      </c>
      <c r="CS66" s="64">
        <f t="shared" si="86"/>
        <v>0</v>
      </c>
      <c r="CT66" s="64">
        <f t="shared" si="87"/>
        <v>0</v>
      </c>
      <c r="CU66" s="64">
        <f t="shared" si="88"/>
        <v>0</v>
      </c>
      <c r="CV66" s="69">
        <f t="shared" si="89"/>
        <v>20.640766882187446</v>
      </c>
      <c r="CW66" s="69">
        <f t="shared" si="90"/>
        <v>744.31642636870356</v>
      </c>
      <c r="CX66" s="69">
        <f t="shared" si="95"/>
        <v>2826.0370943650064</v>
      </c>
      <c r="CY66" s="69">
        <f t="shared" si="91"/>
        <v>34597.224999999999</v>
      </c>
      <c r="CZ66" s="64">
        <f t="shared" si="96"/>
        <v>1823.2497383000043</v>
      </c>
      <c r="DA66" s="64">
        <f t="shared" si="92"/>
        <v>22320.790322580644</v>
      </c>
      <c r="DB66" s="64">
        <f t="shared" si="97"/>
        <v>0</v>
      </c>
      <c r="DC66" s="64">
        <f t="shared" si="98"/>
        <v>0</v>
      </c>
      <c r="DD66" s="64">
        <f t="shared" si="99"/>
        <v>0</v>
      </c>
      <c r="DE66" s="64">
        <f t="shared" si="100"/>
        <v>0</v>
      </c>
      <c r="DF66" s="64">
        <f t="shared" si="101"/>
        <v>0</v>
      </c>
      <c r="DG66" s="64">
        <f t="shared" si="102"/>
        <v>0</v>
      </c>
      <c r="DH66" s="64">
        <f t="shared" si="103"/>
        <v>0</v>
      </c>
      <c r="DI66" s="64">
        <f t="shared" si="104"/>
        <v>0</v>
      </c>
      <c r="DJ66" s="64">
        <f t="shared" si="105"/>
        <v>0</v>
      </c>
      <c r="DK66" s="64">
        <f t="shared" si="106"/>
        <v>0</v>
      </c>
      <c r="DL66" s="64">
        <f t="shared" si="107"/>
        <v>0</v>
      </c>
      <c r="DM66" s="64">
        <f t="shared" si="108"/>
        <v>0</v>
      </c>
      <c r="DN66" s="64">
        <f t="shared" si="109"/>
        <v>0</v>
      </c>
      <c r="DO66" s="64">
        <f t="shared" si="110"/>
        <v>0</v>
      </c>
      <c r="DP66" s="2">
        <f t="shared" si="112"/>
        <v>41</v>
      </c>
      <c r="DQ66" s="2">
        <f t="shared" si="112"/>
        <v>29</v>
      </c>
      <c r="DR66" s="2">
        <f t="shared" si="112"/>
        <v>17</v>
      </c>
      <c r="DS66" s="2">
        <f t="shared" si="112"/>
        <v>5</v>
      </c>
      <c r="DT66" s="2">
        <v>0</v>
      </c>
      <c r="DU66" s="2">
        <f t="shared" si="40"/>
        <v>4</v>
      </c>
      <c r="DV66" s="2">
        <f t="shared" si="41"/>
        <v>22320.790322580644</v>
      </c>
      <c r="DW66" s="2">
        <f t="shared" si="67"/>
        <v>2767778</v>
      </c>
    </row>
    <row r="67" spans="1:127">
      <c r="A67" s="3">
        <v>43617</v>
      </c>
      <c r="B67">
        <f t="shared" si="42"/>
        <v>2019</v>
      </c>
      <c r="C67" s="2">
        <v>22311093</v>
      </c>
      <c r="D67" s="2">
        <f>VLOOKUP(B67,'Historic CDM'!$B$135:$H$146,2,FALSE)/12</f>
        <v>1203025.8182968786</v>
      </c>
      <c r="E67" s="2">
        <f t="shared" si="43"/>
        <v>23514118.81829688</v>
      </c>
      <c r="F67" s="6">
        <v>27903</v>
      </c>
      <c r="G67" s="219">
        <v>5470647</v>
      </c>
      <c r="H67" s="2">
        <f>VLOOKUP(B67,'Historic CDM'!$B$135:$H$147,3,FALSE)/12</f>
        <v>1137811.0149666101</v>
      </c>
      <c r="I67" s="2">
        <f t="shared" si="44"/>
        <v>6608458.0149666099</v>
      </c>
      <c r="J67" s="6">
        <v>1996</v>
      </c>
      <c r="K67" s="219">
        <v>14208924</v>
      </c>
      <c r="L67" s="2">
        <f>VLOOKUP(B67,'Historic CDM'!$B$135:$H$146,4,FALSE)/12</f>
        <v>1206809.3744726346</v>
      </c>
      <c r="M67" s="2">
        <f t="shared" si="73"/>
        <v>15415733.374472635</v>
      </c>
      <c r="N67" s="222">
        <v>51019</v>
      </c>
      <c r="O67" s="220">
        <v>262</v>
      </c>
      <c r="P67" s="219">
        <v>143701</v>
      </c>
      <c r="Q67" s="2">
        <v>623</v>
      </c>
      <c r="R67" s="220">
        <v>2774</v>
      </c>
      <c r="S67" s="220">
        <v>23000</v>
      </c>
      <c r="T67" s="2">
        <v>63</v>
      </c>
      <c r="U67" s="220">
        <v>238</v>
      </c>
      <c r="V67" s="221">
        <v>128409</v>
      </c>
      <c r="W67" s="220">
        <v>130</v>
      </c>
      <c r="X67" s="2">
        <v>2804829</v>
      </c>
      <c r="Y67" s="2">
        <v>7975</v>
      </c>
      <c r="Z67" s="220">
        <v>4</v>
      </c>
      <c r="AA67" s="100">
        <f>'Weather Data'!D223</f>
        <v>56.1</v>
      </c>
      <c r="AB67" s="100">
        <f>'Weather Data'!E223</f>
        <v>32.099999999999994</v>
      </c>
      <c r="AC67" s="100">
        <f>'Weather Data'!F223</f>
        <v>23.9</v>
      </c>
      <c r="AD67" s="100">
        <f>'Weather Data'!G223</f>
        <v>59.899999999999991</v>
      </c>
      <c r="AE67" s="100">
        <f>'Weather Data'!H223</f>
        <v>7.1</v>
      </c>
      <c r="AF67" s="100">
        <f>'Weather Data'!I223</f>
        <v>103.1</v>
      </c>
      <c r="AG67" s="100">
        <f>'Weather Data'!J223</f>
        <v>1.4000000000000004</v>
      </c>
      <c r="AH67" s="100">
        <f>'Weather Data'!K223</f>
        <v>157.4</v>
      </c>
      <c r="AI67" s="100">
        <f>'Weather Data'!L223</f>
        <v>0</v>
      </c>
      <c r="AJ67" s="100">
        <f>'Weather Data'!M223</f>
        <v>216.00000000000003</v>
      </c>
      <c r="AK67" s="100">
        <f>'Weather Data'!N223</f>
        <v>0</v>
      </c>
      <c r="AL67" s="100">
        <f>'Weather Data'!O223</f>
        <v>275.99999999999994</v>
      </c>
      <c r="AM67" s="100">
        <f>'Weather Data'!P223</f>
        <v>0</v>
      </c>
      <c r="AN67" s="100">
        <f>'Weather Data'!Q223</f>
        <v>335.99999999999989</v>
      </c>
      <c r="AO67" s="100">
        <f>'Weather Data'!R223</f>
        <v>19.200000000000003</v>
      </c>
      <c r="AP67" s="5">
        <f>'Economic Data'!D93</f>
        <v>7420.3</v>
      </c>
      <c r="AQ67" s="5">
        <f>'Economic Data'!E93</f>
        <v>7460.9</v>
      </c>
      <c r="AR67" s="5">
        <f>'Economic Data'!F93</f>
        <v>174.6</v>
      </c>
      <c r="AS67" s="5">
        <f>'Economic Data'!G93</f>
        <v>176.1</v>
      </c>
      <c r="AT67" s="5">
        <f>'Economic Data'!H93</f>
        <v>807274.5</v>
      </c>
      <c r="AU67" s="5">
        <f>'Economic Data'!I93</f>
        <v>7827.1</v>
      </c>
      <c r="AV67" s="5">
        <f>'Economic Data'!J93</f>
        <v>6758.1</v>
      </c>
      <c r="AW67" s="5">
        <f>'Economic Data'!K93</f>
        <v>5005</v>
      </c>
      <c r="AX67" s="5">
        <f>'Economic Data'!L93</f>
        <v>1092.3</v>
      </c>
      <c r="AY67" s="5">
        <f>'Economic Data'!M93</f>
        <v>1343.6</v>
      </c>
      <c r="AZ67" s="5">
        <f>'Economic Data'!N93</f>
        <v>7405</v>
      </c>
      <c r="BA67" s="5">
        <f>'Economic Data'!O93</f>
        <v>118.8</v>
      </c>
      <c r="BB67" s="5">
        <f>'Economic Data'!P93</f>
        <v>129.6</v>
      </c>
      <c r="BC67" s="5">
        <f>'Economic Data'!Q93</f>
        <v>806630</v>
      </c>
      <c r="BD67" s="5">
        <f>'Economic Data'!R93</f>
        <v>7794</v>
      </c>
      <c r="BE67" s="5">
        <f>'Economic Data'!S93</f>
        <v>4028</v>
      </c>
      <c r="BF67" s="5">
        <f>'Economic Data'!T93</f>
        <v>13951</v>
      </c>
      <c r="BG67" s="5">
        <f>'EV Data'!V32</f>
        <v>29157.999999999996</v>
      </c>
      <c r="BH67" s="5">
        <f>'EV Data'!AB32</f>
        <v>136.99999999999997</v>
      </c>
      <c r="BI67" s="5">
        <f>'EV Data'!W32</f>
        <v>466.00000000000017</v>
      </c>
      <c r="BJ67" s="5">
        <f t="shared" si="71"/>
        <v>66</v>
      </c>
      <c r="BK67" s="70">
        <f t="shared" si="93"/>
        <v>1.8195439355418688</v>
      </c>
      <c r="BL67" s="5">
        <f t="shared" si="94"/>
        <v>4356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f t="shared" si="114"/>
        <v>0</v>
      </c>
      <c r="BZ67">
        <f t="shared" si="114"/>
        <v>0</v>
      </c>
      <c r="CA67">
        <f t="shared" si="74"/>
        <v>0</v>
      </c>
      <c r="CB67">
        <f t="shared" si="113"/>
        <v>30</v>
      </c>
      <c r="CC67">
        <v>22</v>
      </c>
      <c r="CD67">
        <v>0</v>
      </c>
      <c r="CE67">
        <v>0</v>
      </c>
      <c r="CF67">
        <f t="shared" si="111"/>
        <v>0</v>
      </c>
      <c r="CG67">
        <v>0</v>
      </c>
      <c r="CH67" s="64">
        <f t="shared" si="75"/>
        <v>0</v>
      </c>
      <c r="CI67" s="64">
        <f t="shared" si="76"/>
        <v>0</v>
      </c>
      <c r="CJ67" s="64">
        <f t="shared" si="77"/>
        <v>0</v>
      </c>
      <c r="CK67" s="64">
        <f t="shared" si="78"/>
        <v>0</v>
      </c>
      <c r="CL67" s="64">
        <f t="shared" si="79"/>
        <v>0</v>
      </c>
      <c r="CM67" s="64">
        <f t="shared" si="80"/>
        <v>0</v>
      </c>
      <c r="CN67" s="64">
        <f t="shared" si="81"/>
        <v>0</v>
      </c>
      <c r="CO67" s="64">
        <f t="shared" si="82"/>
        <v>0</v>
      </c>
      <c r="CP67" s="64">
        <f t="shared" si="83"/>
        <v>0</v>
      </c>
      <c r="CQ67" s="64">
        <f t="shared" si="84"/>
        <v>0</v>
      </c>
      <c r="CR67" s="64">
        <f t="shared" si="85"/>
        <v>0</v>
      </c>
      <c r="CS67" s="64">
        <f t="shared" si="86"/>
        <v>0</v>
      </c>
      <c r="CT67" s="64">
        <f t="shared" si="87"/>
        <v>0</v>
      </c>
      <c r="CU67" s="64">
        <f t="shared" si="88"/>
        <v>0</v>
      </c>
      <c r="CV67" s="69">
        <f t="shared" si="89"/>
        <v>28.090311457904026</v>
      </c>
      <c r="CW67" s="69">
        <f t="shared" si="90"/>
        <v>840.77073981763488</v>
      </c>
      <c r="CX67" s="69">
        <f t="shared" si="95"/>
        <v>2674.4853182638158</v>
      </c>
      <c r="CY67" s="69">
        <f t="shared" si="91"/>
        <v>31873.05681818182</v>
      </c>
      <c r="CZ67" s="64">
        <f t="shared" si="96"/>
        <v>1961.2892333934651</v>
      </c>
      <c r="DA67" s="64">
        <f t="shared" si="92"/>
        <v>23373.575000000001</v>
      </c>
      <c r="DB67" s="64">
        <f t="shared" si="97"/>
        <v>0</v>
      </c>
      <c r="DC67" s="64">
        <f t="shared" si="98"/>
        <v>0</v>
      </c>
      <c r="DD67" s="64">
        <f t="shared" si="99"/>
        <v>0</v>
      </c>
      <c r="DE67" s="64">
        <f t="shared" si="100"/>
        <v>0</v>
      </c>
      <c r="DF67" s="64">
        <f t="shared" si="101"/>
        <v>0</v>
      </c>
      <c r="DG67" s="64">
        <f t="shared" si="102"/>
        <v>0</v>
      </c>
      <c r="DH67" s="64">
        <f t="shared" si="103"/>
        <v>0</v>
      </c>
      <c r="DI67" s="64">
        <f t="shared" si="104"/>
        <v>0</v>
      </c>
      <c r="DJ67" s="64">
        <f t="shared" si="105"/>
        <v>0</v>
      </c>
      <c r="DK67" s="64">
        <f t="shared" si="106"/>
        <v>0</v>
      </c>
      <c r="DL67" s="64">
        <f t="shared" si="107"/>
        <v>0</v>
      </c>
      <c r="DM67" s="64">
        <f t="shared" si="108"/>
        <v>0</v>
      </c>
      <c r="DN67" s="64">
        <f t="shared" si="109"/>
        <v>0</v>
      </c>
      <c r="DO67" s="64">
        <f t="shared" si="110"/>
        <v>0</v>
      </c>
      <c r="DP67" s="2">
        <f t="shared" si="112"/>
        <v>42</v>
      </c>
      <c r="DQ67" s="2">
        <f t="shared" si="112"/>
        <v>30</v>
      </c>
      <c r="DR67" s="2">
        <f t="shared" si="112"/>
        <v>18</v>
      </c>
      <c r="DS67" s="2">
        <f t="shared" si="112"/>
        <v>6</v>
      </c>
      <c r="DT67" s="2">
        <v>0</v>
      </c>
      <c r="DU67" s="2">
        <f t="shared" ref="DU67:DU121" si="115">Z67</f>
        <v>4</v>
      </c>
      <c r="DV67" s="2">
        <f t="shared" ref="DV67:DV121" si="116">X67/CB67/DU67</f>
        <v>23373.575000000001</v>
      </c>
      <c r="DW67" s="2">
        <f t="shared" si="67"/>
        <v>2804829</v>
      </c>
    </row>
    <row r="68" spans="1:127">
      <c r="A68" s="3">
        <v>43647</v>
      </c>
      <c r="B68">
        <f t="shared" si="42"/>
        <v>2019</v>
      </c>
      <c r="C68" s="2">
        <v>33676819</v>
      </c>
      <c r="D68" s="2">
        <f>VLOOKUP(B68,'Historic CDM'!$B$135:$H$146,2,FALSE)/12</f>
        <v>1203025.8182968786</v>
      </c>
      <c r="E68" s="2">
        <f t="shared" si="43"/>
        <v>34879844.81829688</v>
      </c>
      <c r="F68" s="6">
        <v>27914</v>
      </c>
      <c r="G68" s="219">
        <v>6752502</v>
      </c>
      <c r="H68" s="2">
        <f>VLOOKUP(B68,'Historic CDM'!$B$135:$H$147,3,FALSE)/12</f>
        <v>1137811.0149666101</v>
      </c>
      <c r="I68" s="2">
        <f t="shared" si="44"/>
        <v>7890313.0149666099</v>
      </c>
      <c r="J68" s="6">
        <v>1997</v>
      </c>
      <c r="K68" s="219">
        <v>17374852</v>
      </c>
      <c r="L68" s="2">
        <f>VLOOKUP(B68,'Historic CDM'!$B$135:$H$146,4,FALSE)/12</f>
        <v>1206809.3744726346</v>
      </c>
      <c r="M68" s="2">
        <f t="shared" si="73"/>
        <v>18581661.374472633</v>
      </c>
      <c r="N68" s="222">
        <v>54570</v>
      </c>
      <c r="O68" s="220">
        <v>261</v>
      </c>
      <c r="P68" s="219">
        <v>152440</v>
      </c>
      <c r="Q68" s="2">
        <v>622</v>
      </c>
      <c r="R68" s="220">
        <v>2772</v>
      </c>
      <c r="S68" s="220">
        <v>23164</v>
      </c>
      <c r="T68" s="2">
        <v>63</v>
      </c>
      <c r="U68" s="220">
        <v>238</v>
      </c>
      <c r="V68" s="221">
        <v>128623</v>
      </c>
      <c r="W68" s="220">
        <v>130</v>
      </c>
      <c r="X68" s="2">
        <v>3303632</v>
      </c>
      <c r="Y68" s="2">
        <v>8232</v>
      </c>
      <c r="Z68" s="220">
        <v>4</v>
      </c>
      <c r="AA68" s="100">
        <f>'Weather Data'!D224</f>
        <v>0</v>
      </c>
      <c r="AB68" s="100">
        <f>'Weather Data'!E224</f>
        <v>128.46447700859017</v>
      </c>
      <c r="AC68" s="100">
        <f>'Weather Data'!F224</f>
        <v>0</v>
      </c>
      <c r="AD68" s="100">
        <f>'Weather Data'!G224</f>
        <v>190.46447700859019</v>
      </c>
      <c r="AE68" s="100">
        <f>'Weather Data'!H224</f>
        <v>0</v>
      </c>
      <c r="AF68" s="100">
        <f>'Weather Data'!I224</f>
        <v>252.46447700859022</v>
      </c>
      <c r="AG68" s="100">
        <f>'Weather Data'!J224</f>
        <v>0</v>
      </c>
      <c r="AH68" s="100">
        <f>'Weather Data'!K224</f>
        <v>314.46447700859017</v>
      </c>
      <c r="AI68" s="100">
        <f>'Weather Data'!L224</f>
        <v>0</v>
      </c>
      <c r="AJ68" s="100">
        <f>'Weather Data'!M224</f>
        <v>376.46447700859022</v>
      </c>
      <c r="AK68" s="100">
        <f>'Weather Data'!N224</f>
        <v>0</v>
      </c>
      <c r="AL68" s="100">
        <f>'Weather Data'!O224</f>
        <v>438.46447700859022</v>
      </c>
      <c r="AM68" s="100">
        <f>'Weather Data'!P224</f>
        <v>0</v>
      </c>
      <c r="AN68" s="100">
        <f>'Weather Data'!Q224</f>
        <v>500.46447700859022</v>
      </c>
      <c r="AO68" s="100">
        <f>'Weather Data'!R224</f>
        <v>24.144015387373877</v>
      </c>
      <c r="AP68" s="5">
        <f>'Economic Data'!D94</f>
        <v>7423.6</v>
      </c>
      <c r="AQ68" s="5">
        <f>'Economic Data'!E94</f>
        <v>7509.9</v>
      </c>
      <c r="AR68" s="5">
        <f>'Economic Data'!F94</f>
        <v>171.5</v>
      </c>
      <c r="AS68" s="5">
        <f>'Economic Data'!G94</f>
        <v>171.7</v>
      </c>
      <c r="AT68" s="5">
        <f>'Economic Data'!H94</f>
        <v>807274.5</v>
      </c>
      <c r="AU68" s="5">
        <f>'Economic Data'!I94</f>
        <v>7827.1</v>
      </c>
      <c r="AV68" s="5">
        <f>'Economic Data'!J94</f>
        <v>6758.1</v>
      </c>
      <c r="AW68" s="5">
        <f>'Economic Data'!K94</f>
        <v>5005</v>
      </c>
      <c r="AX68" s="5">
        <f>'Economic Data'!L94</f>
        <v>1092.3</v>
      </c>
      <c r="AY68" s="5">
        <f>'Economic Data'!M94</f>
        <v>1343.6</v>
      </c>
      <c r="AZ68" s="5">
        <f>'Economic Data'!N94</f>
        <v>7405</v>
      </c>
      <c r="BA68" s="5">
        <f>'Economic Data'!O94</f>
        <v>118.8</v>
      </c>
      <c r="BB68" s="5">
        <f>'Economic Data'!P94</f>
        <v>129.6</v>
      </c>
      <c r="BC68" s="5">
        <f>'Economic Data'!Q94</f>
        <v>810347</v>
      </c>
      <c r="BD68" s="5">
        <f>'Economic Data'!R94</f>
        <v>7923</v>
      </c>
      <c r="BE68" s="5">
        <f>'Economic Data'!S94</f>
        <v>3983</v>
      </c>
      <c r="BF68" s="5">
        <f>'Economic Data'!T94</f>
        <v>13947</v>
      </c>
      <c r="BG68" s="5">
        <f>'EV Data'!V33</f>
        <v>30207.333333333328</v>
      </c>
      <c r="BH68" s="5">
        <f>'EV Data'!AB33</f>
        <v>140.33333333333331</v>
      </c>
      <c r="BI68" s="5">
        <f>'EV Data'!W33</f>
        <v>478.33333333333348</v>
      </c>
      <c r="BJ68" s="5">
        <f t="shared" si="71"/>
        <v>67</v>
      </c>
      <c r="BK68" s="70">
        <f t="shared" si="93"/>
        <v>1.8260748027008264</v>
      </c>
      <c r="BL68" s="5">
        <f t="shared" si="94"/>
        <v>4489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f t="shared" si="114"/>
        <v>0</v>
      </c>
      <c r="BZ68">
        <f t="shared" si="114"/>
        <v>0</v>
      </c>
      <c r="CA68">
        <f t="shared" si="74"/>
        <v>0</v>
      </c>
      <c r="CB68">
        <f t="shared" si="113"/>
        <v>31</v>
      </c>
      <c r="CC68">
        <v>22</v>
      </c>
      <c r="CD68">
        <v>0</v>
      </c>
      <c r="CE68">
        <v>0</v>
      </c>
      <c r="CF68">
        <f t="shared" si="111"/>
        <v>0</v>
      </c>
      <c r="CG68">
        <v>0</v>
      </c>
      <c r="CH68" s="64">
        <f t="shared" si="75"/>
        <v>0</v>
      </c>
      <c r="CI68" s="64">
        <f t="shared" si="76"/>
        <v>0</v>
      </c>
      <c r="CJ68" s="64">
        <f t="shared" si="77"/>
        <v>0</v>
      </c>
      <c r="CK68" s="64">
        <f t="shared" si="78"/>
        <v>0</v>
      </c>
      <c r="CL68" s="64">
        <f t="shared" si="79"/>
        <v>0</v>
      </c>
      <c r="CM68" s="64">
        <f t="shared" si="80"/>
        <v>0</v>
      </c>
      <c r="CN68" s="64">
        <f t="shared" si="81"/>
        <v>0</v>
      </c>
      <c r="CO68" s="64">
        <f t="shared" si="82"/>
        <v>0</v>
      </c>
      <c r="CP68" s="64">
        <f t="shared" si="83"/>
        <v>0</v>
      </c>
      <c r="CQ68" s="64">
        <f t="shared" si="84"/>
        <v>0</v>
      </c>
      <c r="CR68" s="64">
        <f t="shared" si="85"/>
        <v>0</v>
      </c>
      <c r="CS68" s="64">
        <f t="shared" si="86"/>
        <v>0</v>
      </c>
      <c r="CT68" s="64">
        <f t="shared" si="87"/>
        <v>0</v>
      </c>
      <c r="CU68" s="64">
        <f t="shared" si="88"/>
        <v>0</v>
      </c>
      <c r="CV68" s="69">
        <f t="shared" si="89"/>
        <v>40.307956024259859</v>
      </c>
      <c r="CW68" s="69">
        <f t="shared" si="90"/>
        <v>975.19626930745392</v>
      </c>
      <c r="CX68" s="69">
        <f t="shared" si="95"/>
        <v>3236.0956765016776</v>
      </c>
      <c r="CY68" s="69">
        <f t="shared" si="91"/>
        <v>37541.272727272728</v>
      </c>
      <c r="CZ68" s="64">
        <f t="shared" si="96"/>
        <v>2296.5840284850615</v>
      </c>
      <c r="DA68" s="64">
        <f t="shared" si="92"/>
        <v>26642.193548387098</v>
      </c>
      <c r="DB68" s="64">
        <f t="shared" si="97"/>
        <v>0</v>
      </c>
      <c r="DC68" s="64">
        <f t="shared" si="98"/>
        <v>0</v>
      </c>
      <c r="DD68" s="64">
        <f t="shared" si="99"/>
        <v>0</v>
      </c>
      <c r="DE68" s="64">
        <f t="shared" si="100"/>
        <v>0</v>
      </c>
      <c r="DF68" s="64">
        <f t="shared" si="101"/>
        <v>0</v>
      </c>
      <c r="DG68" s="64">
        <f t="shared" si="102"/>
        <v>0</v>
      </c>
      <c r="DH68" s="64">
        <f t="shared" si="103"/>
        <v>0</v>
      </c>
      <c r="DI68" s="64">
        <f t="shared" si="104"/>
        <v>0</v>
      </c>
      <c r="DJ68" s="64">
        <f t="shared" si="105"/>
        <v>0</v>
      </c>
      <c r="DK68" s="64">
        <f t="shared" si="106"/>
        <v>0</v>
      </c>
      <c r="DL68" s="64">
        <f t="shared" si="107"/>
        <v>0</v>
      </c>
      <c r="DM68" s="64">
        <f t="shared" si="108"/>
        <v>0</v>
      </c>
      <c r="DN68" s="64">
        <f t="shared" si="109"/>
        <v>0</v>
      </c>
      <c r="DO68" s="64">
        <f t="shared" si="110"/>
        <v>0</v>
      </c>
      <c r="DP68" s="2">
        <f t="shared" si="112"/>
        <v>43</v>
      </c>
      <c r="DQ68" s="2">
        <f t="shared" si="112"/>
        <v>31</v>
      </c>
      <c r="DR68" s="2">
        <f t="shared" si="112"/>
        <v>19</v>
      </c>
      <c r="DS68" s="2">
        <f t="shared" si="112"/>
        <v>7</v>
      </c>
      <c r="DT68" s="2">
        <v>0</v>
      </c>
      <c r="DU68" s="2">
        <f t="shared" si="115"/>
        <v>4</v>
      </c>
      <c r="DV68" s="2">
        <f t="shared" si="116"/>
        <v>26642.193548387098</v>
      </c>
      <c r="DW68" s="2">
        <f t="shared" si="67"/>
        <v>3303632</v>
      </c>
    </row>
    <row r="69" spans="1:127">
      <c r="A69" s="3">
        <v>43678</v>
      </c>
      <c r="B69">
        <f t="shared" si="42"/>
        <v>2019</v>
      </c>
      <c r="C69" s="2">
        <v>29552759</v>
      </c>
      <c r="D69" s="2">
        <f>VLOOKUP(B69,'Historic CDM'!$B$135:$H$146,2,FALSE)/12</f>
        <v>1203025.8182968786</v>
      </c>
      <c r="E69" s="2">
        <f t="shared" si="43"/>
        <v>30755784.81829688</v>
      </c>
      <c r="F69" s="6">
        <v>27957</v>
      </c>
      <c r="G69" s="219">
        <v>6379423</v>
      </c>
      <c r="H69" s="2">
        <f>VLOOKUP(B69,'Historic CDM'!$B$135:$H$147,3,FALSE)/12</f>
        <v>1137811.0149666101</v>
      </c>
      <c r="I69" s="2">
        <f t="shared" si="44"/>
        <v>7517234.0149666099</v>
      </c>
      <c r="J69" s="6">
        <v>1997</v>
      </c>
      <c r="K69" s="219">
        <v>17464776</v>
      </c>
      <c r="L69" s="2">
        <f>VLOOKUP(B69,'Historic CDM'!$B$135:$H$146,4,FALSE)/12</f>
        <v>1206809.3744726346</v>
      </c>
      <c r="M69" s="2">
        <f t="shared" si="73"/>
        <v>18671585.374472633</v>
      </c>
      <c r="N69" s="222">
        <v>56058</v>
      </c>
      <c r="O69" s="220">
        <v>261</v>
      </c>
      <c r="P69" s="219">
        <v>171054</v>
      </c>
      <c r="Q69" s="2">
        <v>615</v>
      </c>
      <c r="R69" s="220">
        <v>2772</v>
      </c>
      <c r="S69" s="220">
        <v>23821</v>
      </c>
      <c r="T69" s="2">
        <v>65</v>
      </c>
      <c r="U69" s="220">
        <v>233</v>
      </c>
      <c r="V69" s="221">
        <v>128409</v>
      </c>
      <c r="W69" s="220">
        <v>129</v>
      </c>
      <c r="X69" s="2">
        <v>3098231</v>
      </c>
      <c r="Y69" s="2">
        <v>8418</v>
      </c>
      <c r="Z69" s="220">
        <v>4</v>
      </c>
      <c r="AA69" s="100">
        <f>'Weather Data'!D225</f>
        <v>8.0999999999999979</v>
      </c>
      <c r="AB69" s="100">
        <f>'Weather Data'!E225</f>
        <v>70.064477008590202</v>
      </c>
      <c r="AC69" s="100">
        <f>'Weather Data'!F225</f>
        <v>0.39999999999999858</v>
      </c>
      <c r="AD69" s="100">
        <f>'Weather Data'!G225</f>
        <v>124.36447700859021</v>
      </c>
      <c r="AE69" s="100">
        <f>'Weather Data'!H225</f>
        <v>0</v>
      </c>
      <c r="AF69" s="100">
        <f>'Weather Data'!I225</f>
        <v>185.96447700859014</v>
      </c>
      <c r="AG69" s="100">
        <f>'Weather Data'!J225</f>
        <v>0</v>
      </c>
      <c r="AH69" s="100">
        <f>'Weather Data'!K225</f>
        <v>247.96447700859014</v>
      </c>
      <c r="AI69" s="100">
        <f>'Weather Data'!L225</f>
        <v>0</v>
      </c>
      <c r="AJ69" s="100">
        <f>'Weather Data'!M225</f>
        <v>309.96447700859011</v>
      </c>
      <c r="AK69" s="100">
        <f>'Weather Data'!N225</f>
        <v>0</v>
      </c>
      <c r="AL69" s="100">
        <f>'Weather Data'!O225</f>
        <v>371.96447700859017</v>
      </c>
      <c r="AM69" s="100">
        <f>'Weather Data'!P225</f>
        <v>0</v>
      </c>
      <c r="AN69" s="100">
        <f>'Weather Data'!Q225</f>
        <v>433.96447700859011</v>
      </c>
      <c r="AO69" s="100">
        <f>'Weather Data'!R225</f>
        <v>21.998854097051296</v>
      </c>
      <c r="AP69" s="5">
        <f>'Economic Data'!D95</f>
        <v>7433.8</v>
      </c>
      <c r="AQ69" s="5">
        <f>'Economic Data'!E95</f>
        <v>7523.3</v>
      </c>
      <c r="AR69" s="5">
        <f>'Economic Data'!F95</f>
        <v>169.3</v>
      </c>
      <c r="AS69" s="5">
        <f>'Economic Data'!G95</f>
        <v>169.6</v>
      </c>
      <c r="AT69" s="5">
        <f>'Economic Data'!H95</f>
        <v>807274.5</v>
      </c>
      <c r="AU69" s="5">
        <f>'Economic Data'!I95</f>
        <v>7827.1</v>
      </c>
      <c r="AV69" s="5">
        <f>'Economic Data'!J95</f>
        <v>6758.1</v>
      </c>
      <c r="AW69" s="5">
        <f>'Economic Data'!K95</f>
        <v>5005</v>
      </c>
      <c r="AX69" s="5">
        <f>'Economic Data'!L95</f>
        <v>1092.3</v>
      </c>
      <c r="AY69" s="5">
        <f>'Economic Data'!M95</f>
        <v>1343.6</v>
      </c>
      <c r="AZ69" s="5">
        <f>'Economic Data'!N95</f>
        <v>7405</v>
      </c>
      <c r="BA69" s="5">
        <f>'Economic Data'!O95</f>
        <v>118.8</v>
      </c>
      <c r="BB69" s="5">
        <f>'Economic Data'!P95</f>
        <v>129.6</v>
      </c>
      <c r="BC69" s="5">
        <f>'Economic Data'!Q95</f>
        <v>810347</v>
      </c>
      <c r="BD69" s="5">
        <f>'Economic Data'!R95</f>
        <v>7923</v>
      </c>
      <c r="BE69" s="5">
        <f>'Economic Data'!S95</f>
        <v>3983</v>
      </c>
      <c r="BF69" s="5">
        <f>'Economic Data'!T95</f>
        <v>13947</v>
      </c>
      <c r="BG69" s="5">
        <f>'EV Data'!V34</f>
        <v>31256.666666666661</v>
      </c>
      <c r="BH69" s="5">
        <f>'EV Data'!AB34</f>
        <v>143.66666666666666</v>
      </c>
      <c r="BI69" s="5">
        <f>'EV Data'!W34</f>
        <v>490.6666666666668</v>
      </c>
      <c r="BJ69" s="5">
        <f t="shared" si="71"/>
        <v>68</v>
      </c>
      <c r="BK69" s="70">
        <f t="shared" si="93"/>
        <v>1.8325089127062364</v>
      </c>
      <c r="BL69" s="5">
        <f t="shared" si="94"/>
        <v>4624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0</v>
      </c>
      <c r="BY69">
        <f t="shared" si="114"/>
        <v>0</v>
      </c>
      <c r="BZ69">
        <f t="shared" si="114"/>
        <v>0</v>
      </c>
      <c r="CA69">
        <f t="shared" si="74"/>
        <v>0</v>
      </c>
      <c r="CB69">
        <f t="shared" si="113"/>
        <v>31</v>
      </c>
      <c r="CC69">
        <v>20</v>
      </c>
      <c r="CD69">
        <v>0</v>
      </c>
      <c r="CE69">
        <v>0</v>
      </c>
      <c r="CF69">
        <f t="shared" si="111"/>
        <v>0</v>
      </c>
      <c r="CG69">
        <v>0</v>
      </c>
      <c r="CH69" s="64">
        <f t="shared" si="75"/>
        <v>0</v>
      </c>
      <c r="CI69" s="64">
        <f t="shared" si="76"/>
        <v>0</v>
      </c>
      <c r="CJ69" s="64">
        <f t="shared" si="77"/>
        <v>0</v>
      </c>
      <c r="CK69" s="64">
        <f t="shared" si="78"/>
        <v>0</v>
      </c>
      <c r="CL69" s="64">
        <f t="shared" si="79"/>
        <v>0</v>
      </c>
      <c r="CM69" s="64">
        <f t="shared" si="80"/>
        <v>0</v>
      </c>
      <c r="CN69" s="64">
        <f t="shared" si="81"/>
        <v>0</v>
      </c>
      <c r="CO69" s="64">
        <f t="shared" si="82"/>
        <v>0</v>
      </c>
      <c r="CP69" s="64">
        <f t="shared" si="83"/>
        <v>0</v>
      </c>
      <c r="CQ69" s="64">
        <f t="shared" si="84"/>
        <v>0</v>
      </c>
      <c r="CR69" s="64">
        <f t="shared" si="85"/>
        <v>0</v>
      </c>
      <c r="CS69" s="64">
        <f t="shared" si="86"/>
        <v>0</v>
      </c>
      <c r="CT69" s="64">
        <f t="shared" si="87"/>
        <v>0</v>
      </c>
      <c r="CU69" s="64">
        <f t="shared" si="88"/>
        <v>0</v>
      </c>
      <c r="CV69" s="69">
        <f t="shared" si="89"/>
        <v>35.487430372100107</v>
      </c>
      <c r="CW69" s="69">
        <f t="shared" si="90"/>
        <v>929.08589976104429</v>
      </c>
      <c r="CX69" s="69">
        <f t="shared" si="95"/>
        <v>3576.9320640752171</v>
      </c>
      <c r="CY69" s="69">
        <f t="shared" si="91"/>
        <v>38727.887499999997</v>
      </c>
      <c r="CZ69" s="64">
        <f t="shared" si="96"/>
        <v>2307.6981058549786</v>
      </c>
      <c r="DA69" s="64">
        <f t="shared" si="92"/>
        <v>24985.733870967742</v>
      </c>
      <c r="DB69" s="64">
        <f t="shared" si="97"/>
        <v>0</v>
      </c>
      <c r="DC69" s="64">
        <f t="shared" si="98"/>
        <v>0</v>
      </c>
      <c r="DD69" s="64">
        <f t="shared" si="99"/>
        <v>0</v>
      </c>
      <c r="DE69" s="64">
        <f t="shared" si="100"/>
        <v>0</v>
      </c>
      <c r="DF69" s="64">
        <f t="shared" si="101"/>
        <v>0</v>
      </c>
      <c r="DG69" s="64">
        <f t="shared" si="102"/>
        <v>0</v>
      </c>
      <c r="DH69" s="64">
        <f t="shared" si="103"/>
        <v>0</v>
      </c>
      <c r="DI69" s="64">
        <f t="shared" si="104"/>
        <v>0</v>
      </c>
      <c r="DJ69" s="64">
        <f t="shared" si="105"/>
        <v>0</v>
      </c>
      <c r="DK69" s="64">
        <f t="shared" si="106"/>
        <v>0</v>
      </c>
      <c r="DL69" s="64">
        <f t="shared" si="107"/>
        <v>0</v>
      </c>
      <c r="DM69" s="64">
        <f t="shared" si="108"/>
        <v>0</v>
      </c>
      <c r="DN69" s="64">
        <f t="shared" si="109"/>
        <v>0</v>
      </c>
      <c r="DO69" s="64">
        <f t="shared" si="110"/>
        <v>0</v>
      </c>
      <c r="DP69" s="2">
        <f t="shared" si="112"/>
        <v>44</v>
      </c>
      <c r="DQ69" s="2">
        <f t="shared" si="112"/>
        <v>32</v>
      </c>
      <c r="DR69" s="2">
        <f t="shared" si="112"/>
        <v>20</v>
      </c>
      <c r="DS69" s="2">
        <f t="shared" si="112"/>
        <v>8</v>
      </c>
      <c r="DT69" s="2">
        <v>0</v>
      </c>
      <c r="DU69" s="2">
        <f t="shared" si="115"/>
        <v>4</v>
      </c>
      <c r="DV69" s="2">
        <f t="shared" si="116"/>
        <v>24985.733870967742</v>
      </c>
      <c r="DW69" s="2">
        <f t="shared" si="67"/>
        <v>3098231</v>
      </c>
    </row>
    <row r="70" spans="1:127">
      <c r="A70" s="3">
        <v>43709</v>
      </c>
      <c r="B70">
        <f t="shared" ref="B70:B121" si="117">YEAR(A70)</f>
        <v>2019</v>
      </c>
      <c r="C70" s="2">
        <v>22627602</v>
      </c>
      <c r="D70" s="2">
        <f>VLOOKUP(B70,'Historic CDM'!$B$135:$H$146,2,FALSE)/12</f>
        <v>1203025.8182968786</v>
      </c>
      <c r="E70" s="2">
        <f t="shared" si="43"/>
        <v>23830627.81829688</v>
      </c>
      <c r="F70" s="6">
        <v>27967</v>
      </c>
      <c r="G70" s="219">
        <v>5521105</v>
      </c>
      <c r="H70" s="2">
        <f>VLOOKUP(B70,'Historic CDM'!$B$135:$H$147,3,FALSE)/12</f>
        <v>1137811.0149666101</v>
      </c>
      <c r="I70" s="2">
        <f t="shared" si="44"/>
        <v>6658916.0149666099</v>
      </c>
      <c r="J70" s="6">
        <v>1997</v>
      </c>
      <c r="K70" s="219">
        <v>17396822</v>
      </c>
      <c r="L70" s="2">
        <f>VLOOKUP(B70,'Historic CDM'!$B$135:$H$146,4,FALSE)/12</f>
        <v>1206809.3744726346</v>
      </c>
      <c r="M70" s="2">
        <f t="shared" si="73"/>
        <v>18603631.374472633</v>
      </c>
      <c r="N70" s="222">
        <v>57058</v>
      </c>
      <c r="O70" s="220">
        <v>261</v>
      </c>
      <c r="P70" s="219">
        <v>192896</v>
      </c>
      <c r="Q70" s="2">
        <v>615</v>
      </c>
      <c r="R70" s="220">
        <v>2770</v>
      </c>
      <c r="S70" s="220">
        <v>23802</v>
      </c>
      <c r="T70" s="2">
        <v>65</v>
      </c>
      <c r="U70" s="220">
        <v>232</v>
      </c>
      <c r="V70" s="221">
        <v>128409</v>
      </c>
      <c r="W70" s="220">
        <v>129</v>
      </c>
      <c r="X70" s="2">
        <v>2896036</v>
      </c>
      <c r="Y70" s="2">
        <v>8496</v>
      </c>
      <c r="Z70" s="220">
        <v>4</v>
      </c>
      <c r="AA70" s="100">
        <f>'Weather Data'!D226</f>
        <v>46.099999999999994</v>
      </c>
      <c r="AB70" s="100">
        <f>'Weather Data'!E226</f>
        <v>22.3</v>
      </c>
      <c r="AC70" s="100">
        <f>'Weather Data'!F226</f>
        <v>14.699999999999998</v>
      </c>
      <c r="AD70" s="100">
        <f>'Weather Data'!G226</f>
        <v>50.9</v>
      </c>
      <c r="AE70" s="100">
        <f>'Weather Data'!H226</f>
        <v>2.0999999999999996</v>
      </c>
      <c r="AF70" s="100">
        <f>'Weather Data'!I226</f>
        <v>98.300000000000011</v>
      </c>
      <c r="AG70" s="100">
        <f>'Weather Data'!J226</f>
        <v>0</v>
      </c>
      <c r="AH70" s="100">
        <f>'Weather Data'!K226</f>
        <v>156.19999999999999</v>
      </c>
      <c r="AI70" s="100">
        <f>'Weather Data'!L226</f>
        <v>0</v>
      </c>
      <c r="AJ70" s="100">
        <f>'Weather Data'!M226</f>
        <v>216.19999999999996</v>
      </c>
      <c r="AK70" s="100">
        <f>'Weather Data'!N226</f>
        <v>0</v>
      </c>
      <c r="AL70" s="100">
        <f>'Weather Data'!O226</f>
        <v>276.2</v>
      </c>
      <c r="AM70" s="100">
        <f>'Weather Data'!P226</f>
        <v>0</v>
      </c>
      <c r="AN70" s="100">
        <f>'Weather Data'!Q226</f>
        <v>336.20000000000005</v>
      </c>
      <c r="AO70" s="100">
        <f>'Weather Data'!R226</f>
        <v>19.206666666666667</v>
      </c>
      <c r="AP70" s="5">
        <f>'Economic Data'!D96</f>
        <v>7448.5</v>
      </c>
      <c r="AQ70" s="5">
        <f>'Economic Data'!E96</f>
        <v>7505.1</v>
      </c>
      <c r="AR70" s="5">
        <f>'Economic Data'!F96</f>
        <v>169.1</v>
      </c>
      <c r="AS70" s="5">
        <f>'Economic Data'!G96</f>
        <v>169.3</v>
      </c>
      <c r="AT70" s="5">
        <f>'Economic Data'!H96</f>
        <v>807274.5</v>
      </c>
      <c r="AU70" s="5">
        <f>'Economic Data'!I96</f>
        <v>7827.1</v>
      </c>
      <c r="AV70" s="5">
        <f>'Economic Data'!J96</f>
        <v>6758.1</v>
      </c>
      <c r="AW70" s="5">
        <f>'Economic Data'!K96</f>
        <v>5005</v>
      </c>
      <c r="AX70" s="5">
        <f>'Economic Data'!L96</f>
        <v>1092.3</v>
      </c>
      <c r="AY70" s="5">
        <f>'Economic Data'!M96</f>
        <v>1343.6</v>
      </c>
      <c r="AZ70" s="5">
        <f>'Economic Data'!N96</f>
        <v>7405</v>
      </c>
      <c r="BA70" s="5">
        <f>'Economic Data'!O96</f>
        <v>118.8</v>
      </c>
      <c r="BB70" s="5">
        <f>'Economic Data'!P96</f>
        <v>129.6</v>
      </c>
      <c r="BC70" s="5">
        <f>'Economic Data'!Q96</f>
        <v>810347</v>
      </c>
      <c r="BD70" s="5">
        <f>'Economic Data'!R96</f>
        <v>7923</v>
      </c>
      <c r="BE70" s="5">
        <f>'Economic Data'!S96</f>
        <v>3983</v>
      </c>
      <c r="BF70" s="5">
        <f>'Economic Data'!T96</f>
        <v>13947</v>
      </c>
      <c r="BG70" s="5">
        <f>'EV Data'!V35</f>
        <v>32305.999999999993</v>
      </c>
      <c r="BH70" s="5">
        <f>'EV Data'!AB35</f>
        <v>147</v>
      </c>
      <c r="BI70" s="5">
        <f>'EV Data'!W35</f>
        <v>503.00000000000011</v>
      </c>
      <c r="BJ70" s="5">
        <f t="shared" si="71"/>
        <v>69</v>
      </c>
      <c r="BK70" s="70">
        <f t="shared" si="93"/>
        <v>1.8388490907372552</v>
      </c>
      <c r="BL70" s="5">
        <f t="shared" si="94"/>
        <v>4761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</v>
      </c>
      <c r="BV70">
        <v>0</v>
      </c>
      <c r="BW70">
        <v>0</v>
      </c>
      <c r="BX70">
        <v>0</v>
      </c>
      <c r="BY70">
        <f t="shared" si="114"/>
        <v>0</v>
      </c>
      <c r="BZ70">
        <f t="shared" si="114"/>
        <v>0</v>
      </c>
      <c r="CA70">
        <f t="shared" si="74"/>
        <v>0</v>
      </c>
      <c r="CB70">
        <f t="shared" si="113"/>
        <v>30</v>
      </c>
      <c r="CC70">
        <v>21</v>
      </c>
      <c r="CD70">
        <v>0</v>
      </c>
      <c r="CE70">
        <v>0</v>
      </c>
      <c r="CF70">
        <f t="shared" si="111"/>
        <v>0</v>
      </c>
      <c r="CG70">
        <v>0</v>
      </c>
      <c r="CH70" s="64">
        <f t="shared" si="75"/>
        <v>0</v>
      </c>
      <c r="CI70" s="64">
        <f t="shared" si="76"/>
        <v>0</v>
      </c>
      <c r="CJ70" s="64">
        <f t="shared" si="77"/>
        <v>0</v>
      </c>
      <c r="CK70" s="64">
        <f t="shared" si="78"/>
        <v>0</v>
      </c>
      <c r="CL70" s="64">
        <f t="shared" si="79"/>
        <v>0</v>
      </c>
      <c r="CM70" s="64">
        <f t="shared" si="80"/>
        <v>0</v>
      </c>
      <c r="CN70" s="64">
        <f t="shared" si="81"/>
        <v>0</v>
      </c>
      <c r="CO70" s="64">
        <f t="shared" si="82"/>
        <v>0</v>
      </c>
      <c r="CP70" s="64">
        <f t="shared" si="83"/>
        <v>0</v>
      </c>
      <c r="CQ70" s="64">
        <f t="shared" si="84"/>
        <v>0</v>
      </c>
      <c r="CR70" s="64">
        <f t="shared" si="85"/>
        <v>0</v>
      </c>
      <c r="CS70" s="64">
        <f t="shared" si="86"/>
        <v>0</v>
      </c>
      <c r="CT70" s="64">
        <f t="shared" si="87"/>
        <v>0</v>
      </c>
      <c r="CU70" s="64">
        <f t="shared" si="88"/>
        <v>0</v>
      </c>
      <c r="CV70" s="69">
        <f t="shared" si="89"/>
        <v>28.403270304641044</v>
      </c>
      <c r="CW70" s="69">
        <f t="shared" si="90"/>
        <v>850.43627266495662</v>
      </c>
      <c r="CX70" s="69">
        <f t="shared" si="95"/>
        <v>3394.2038632498875</v>
      </c>
      <c r="CY70" s="69">
        <f t="shared" si="91"/>
        <v>34476.619047619046</v>
      </c>
      <c r="CZ70" s="64">
        <f t="shared" si="96"/>
        <v>2375.9427042749212</v>
      </c>
      <c r="DA70" s="64">
        <f t="shared" si="92"/>
        <v>24133.633333333335</v>
      </c>
      <c r="DB70" s="64">
        <f t="shared" si="97"/>
        <v>0</v>
      </c>
      <c r="DC70" s="64">
        <f t="shared" si="98"/>
        <v>0</v>
      </c>
      <c r="DD70" s="64">
        <f t="shared" si="99"/>
        <v>0</v>
      </c>
      <c r="DE70" s="64">
        <f t="shared" si="100"/>
        <v>0</v>
      </c>
      <c r="DF70" s="64">
        <f t="shared" si="101"/>
        <v>0</v>
      </c>
      <c r="DG70" s="64">
        <f t="shared" si="102"/>
        <v>0</v>
      </c>
      <c r="DH70" s="64">
        <f t="shared" si="103"/>
        <v>0</v>
      </c>
      <c r="DI70" s="64">
        <f t="shared" si="104"/>
        <v>0</v>
      </c>
      <c r="DJ70" s="64">
        <f t="shared" si="105"/>
        <v>0</v>
      </c>
      <c r="DK70" s="64">
        <f t="shared" si="106"/>
        <v>0</v>
      </c>
      <c r="DL70" s="64">
        <f t="shared" si="107"/>
        <v>0</v>
      </c>
      <c r="DM70" s="64">
        <f t="shared" si="108"/>
        <v>0</v>
      </c>
      <c r="DN70" s="64">
        <f t="shared" si="109"/>
        <v>0</v>
      </c>
      <c r="DO70" s="64">
        <f t="shared" si="110"/>
        <v>0</v>
      </c>
      <c r="DP70" s="2">
        <f t="shared" si="112"/>
        <v>45</v>
      </c>
      <c r="DQ70" s="2">
        <f t="shared" si="112"/>
        <v>33</v>
      </c>
      <c r="DR70" s="2">
        <f t="shared" si="112"/>
        <v>21</v>
      </c>
      <c r="DS70" s="2">
        <f t="shared" si="112"/>
        <v>9</v>
      </c>
      <c r="DT70" s="2">
        <v>0</v>
      </c>
      <c r="DU70" s="2">
        <f t="shared" si="115"/>
        <v>4</v>
      </c>
      <c r="DV70" s="2">
        <f t="shared" si="116"/>
        <v>24133.633333333335</v>
      </c>
      <c r="DW70" s="2">
        <f t="shared" si="67"/>
        <v>2896036</v>
      </c>
    </row>
    <row r="71" spans="1:127">
      <c r="A71" s="3">
        <v>43739</v>
      </c>
      <c r="B71">
        <f t="shared" si="117"/>
        <v>2019</v>
      </c>
      <c r="C71" s="2">
        <v>16874813</v>
      </c>
      <c r="D71" s="2">
        <f>VLOOKUP(B71,'Historic CDM'!$B$135:$H$146,2,FALSE)/12</f>
        <v>1203025.8182968786</v>
      </c>
      <c r="E71" s="2">
        <f t="shared" ref="E71:E121" si="118">C71+D71</f>
        <v>18077838.81829688</v>
      </c>
      <c r="F71" s="6">
        <v>28025</v>
      </c>
      <c r="G71" s="219">
        <v>4914703</v>
      </c>
      <c r="H71" s="2">
        <f>VLOOKUP(B71,'Historic CDM'!$B$135:$H$147,3,FALSE)/12</f>
        <v>1137811.0149666101</v>
      </c>
      <c r="I71" s="2">
        <f t="shared" ref="I71:I121" si="119">G71+H71</f>
        <v>6052514.0149666099</v>
      </c>
      <c r="J71" s="6">
        <v>1997</v>
      </c>
      <c r="K71" s="219">
        <v>15762472</v>
      </c>
      <c r="L71" s="2">
        <f>VLOOKUP(B71,'Historic CDM'!$B$135:$H$146,4,FALSE)/12</f>
        <v>1206809.3744726346</v>
      </c>
      <c r="M71" s="2">
        <f t="shared" si="73"/>
        <v>16969281.374472633</v>
      </c>
      <c r="N71" s="222">
        <v>53900</v>
      </c>
      <c r="O71" s="220">
        <v>261</v>
      </c>
      <c r="P71" s="219">
        <v>227969</v>
      </c>
      <c r="Q71" s="2">
        <v>615</v>
      </c>
      <c r="R71" s="220">
        <v>2767</v>
      </c>
      <c r="S71" s="220">
        <v>26105</v>
      </c>
      <c r="T71" s="2">
        <v>71</v>
      </c>
      <c r="U71" s="220">
        <v>230</v>
      </c>
      <c r="V71" s="221">
        <v>128409</v>
      </c>
      <c r="W71" s="220">
        <v>129</v>
      </c>
      <c r="X71" s="2">
        <v>2797177</v>
      </c>
      <c r="Y71" s="2">
        <v>7370</v>
      </c>
      <c r="Z71" s="220">
        <v>4</v>
      </c>
      <c r="AA71" s="100">
        <f>'Weather Data'!D227</f>
        <v>263.40000000000003</v>
      </c>
      <c r="AB71" s="100">
        <f>'Weather Data'!E227</f>
        <v>5</v>
      </c>
      <c r="AC71" s="100">
        <f>'Weather Data'!F227</f>
        <v>204.10000000000002</v>
      </c>
      <c r="AD71" s="100">
        <f>'Weather Data'!G227</f>
        <v>7.6999999999999993</v>
      </c>
      <c r="AE71" s="100">
        <f>'Weather Data'!H227</f>
        <v>147.70000000000002</v>
      </c>
      <c r="AF71" s="100">
        <f>'Weather Data'!I227</f>
        <v>13.3</v>
      </c>
      <c r="AG71" s="100">
        <f>'Weather Data'!J227</f>
        <v>96.199999999999989</v>
      </c>
      <c r="AH71" s="100">
        <f>'Weather Data'!K227</f>
        <v>23.799999999999997</v>
      </c>
      <c r="AI71" s="100">
        <f>'Weather Data'!L227</f>
        <v>55.199999999999989</v>
      </c>
      <c r="AJ71" s="100">
        <f>'Weather Data'!M227</f>
        <v>44.8</v>
      </c>
      <c r="AK71" s="100">
        <f>'Weather Data'!N227</f>
        <v>26.900000000000006</v>
      </c>
      <c r="AL71" s="100">
        <f>'Weather Data'!O227</f>
        <v>78.499999999999986</v>
      </c>
      <c r="AM71" s="100">
        <f>'Weather Data'!P227</f>
        <v>10.199999999999999</v>
      </c>
      <c r="AN71" s="100">
        <f>'Weather Data'!Q227</f>
        <v>123.79999999999998</v>
      </c>
      <c r="AO71" s="100">
        <f>'Weather Data'!R227</f>
        <v>11.664516129032259</v>
      </c>
      <c r="AP71" s="5">
        <f>'Economic Data'!D97</f>
        <v>7462.2</v>
      </c>
      <c r="AQ71" s="5">
        <f>'Economic Data'!E97</f>
        <v>7501.2</v>
      </c>
      <c r="AR71" s="5">
        <f>'Economic Data'!F97</f>
        <v>170.3</v>
      </c>
      <c r="AS71" s="5">
        <f>'Economic Data'!G97</f>
        <v>171.6</v>
      </c>
      <c r="AT71" s="5">
        <f>'Economic Data'!H97</f>
        <v>807274.5</v>
      </c>
      <c r="AU71" s="5">
        <f>'Economic Data'!I97</f>
        <v>7827.1</v>
      </c>
      <c r="AV71" s="5">
        <f>'Economic Data'!J97</f>
        <v>6758.1</v>
      </c>
      <c r="AW71" s="5">
        <f>'Economic Data'!K97</f>
        <v>5005</v>
      </c>
      <c r="AX71" s="5">
        <f>'Economic Data'!L97</f>
        <v>1092.3</v>
      </c>
      <c r="AY71" s="5">
        <f>'Economic Data'!M97</f>
        <v>1343.6</v>
      </c>
      <c r="AZ71" s="5">
        <f>'Economic Data'!N97</f>
        <v>7405</v>
      </c>
      <c r="BA71" s="5">
        <f>'Economic Data'!O97</f>
        <v>118.8</v>
      </c>
      <c r="BB71" s="5">
        <f>'Economic Data'!P97</f>
        <v>129.6</v>
      </c>
      <c r="BC71" s="5">
        <f>'Economic Data'!Q97</f>
        <v>811397</v>
      </c>
      <c r="BD71" s="5">
        <f>'Economic Data'!R97</f>
        <v>7996</v>
      </c>
      <c r="BE71" s="5">
        <f>'Economic Data'!S97</f>
        <v>3799</v>
      </c>
      <c r="BF71" s="5">
        <f>'Economic Data'!T97</f>
        <v>13298</v>
      </c>
      <c r="BG71" s="5">
        <f>'EV Data'!V36</f>
        <v>33103.999999999993</v>
      </c>
      <c r="BH71" s="5">
        <f>'EV Data'!AB36</f>
        <v>150.33333333333334</v>
      </c>
      <c r="BI71" s="5">
        <f>'EV Data'!W36</f>
        <v>512.00000000000011</v>
      </c>
      <c r="BJ71" s="5">
        <f t="shared" si="71"/>
        <v>70</v>
      </c>
      <c r="BK71" s="70">
        <f t="shared" si="93"/>
        <v>1.8450980400142569</v>
      </c>
      <c r="BL71" s="5">
        <f t="shared" si="94"/>
        <v>4900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0</v>
      </c>
      <c r="BY71">
        <f t="shared" si="114"/>
        <v>0</v>
      </c>
      <c r="BZ71">
        <f t="shared" si="114"/>
        <v>1</v>
      </c>
      <c r="CA71">
        <f t="shared" si="74"/>
        <v>1</v>
      </c>
      <c r="CB71">
        <f t="shared" si="113"/>
        <v>31</v>
      </c>
      <c r="CC71">
        <v>21</v>
      </c>
      <c r="CD71">
        <v>0</v>
      </c>
      <c r="CE71">
        <v>0</v>
      </c>
      <c r="CF71">
        <f t="shared" si="111"/>
        <v>0</v>
      </c>
      <c r="CG71">
        <v>0</v>
      </c>
      <c r="CH71" s="64">
        <f t="shared" si="75"/>
        <v>0</v>
      </c>
      <c r="CI71" s="64">
        <f t="shared" si="76"/>
        <v>0</v>
      </c>
      <c r="CJ71" s="64">
        <f t="shared" si="77"/>
        <v>0</v>
      </c>
      <c r="CK71" s="64">
        <f t="shared" si="78"/>
        <v>0</v>
      </c>
      <c r="CL71" s="64">
        <f t="shared" si="79"/>
        <v>0</v>
      </c>
      <c r="CM71" s="64">
        <f t="shared" si="80"/>
        <v>0</v>
      </c>
      <c r="CN71" s="64">
        <f t="shared" si="81"/>
        <v>0</v>
      </c>
      <c r="CO71" s="64">
        <f t="shared" si="82"/>
        <v>0</v>
      </c>
      <c r="CP71" s="64">
        <f t="shared" si="83"/>
        <v>0</v>
      </c>
      <c r="CQ71" s="64">
        <f t="shared" si="84"/>
        <v>0</v>
      </c>
      <c r="CR71" s="64">
        <f t="shared" si="85"/>
        <v>0</v>
      </c>
      <c r="CS71" s="64">
        <f t="shared" si="86"/>
        <v>0</v>
      </c>
      <c r="CT71" s="64">
        <f t="shared" si="87"/>
        <v>0</v>
      </c>
      <c r="CU71" s="64">
        <f t="shared" si="88"/>
        <v>0</v>
      </c>
      <c r="CV71" s="69">
        <f t="shared" si="89"/>
        <v>20.808424296620966</v>
      </c>
      <c r="CW71" s="69">
        <f t="shared" si="90"/>
        <v>748.05512482593122</v>
      </c>
      <c r="CX71" s="69">
        <f t="shared" si="95"/>
        <v>3096.0192254100775</v>
      </c>
      <c r="CY71" s="69">
        <f t="shared" si="91"/>
        <v>33299.726190476191</v>
      </c>
      <c r="CZ71" s="64">
        <f t="shared" si="96"/>
        <v>2097.3033462455364</v>
      </c>
      <c r="DA71" s="64">
        <f t="shared" si="92"/>
        <v>22557.879032258064</v>
      </c>
      <c r="DB71" s="64">
        <f t="shared" si="97"/>
        <v>0</v>
      </c>
      <c r="DC71" s="64">
        <f t="shared" si="98"/>
        <v>0</v>
      </c>
      <c r="DD71" s="64">
        <f t="shared" si="99"/>
        <v>0</v>
      </c>
      <c r="DE71" s="64">
        <f t="shared" si="100"/>
        <v>0</v>
      </c>
      <c r="DF71" s="64">
        <f t="shared" si="101"/>
        <v>0</v>
      </c>
      <c r="DG71" s="64">
        <f t="shared" si="102"/>
        <v>0</v>
      </c>
      <c r="DH71" s="64">
        <f t="shared" si="103"/>
        <v>0</v>
      </c>
      <c r="DI71" s="64">
        <f t="shared" si="104"/>
        <v>0</v>
      </c>
      <c r="DJ71" s="64">
        <f t="shared" si="105"/>
        <v>0</v>
      </c>
      <c r="DK71" s="64">
        <f t="shared" si="106"/>
        <v>0</v>
      </c>
      <c r="DL71" s="64">
        <f t="shared" si="107"/>
        <v>0</v>
      </c>
      <c r="DM71" s="64">
        <f t="shared" si="108"/>
        <v>0</v>
      </c>
      <c r="DN71" s="64">
        <f t="shared" si="109"/>
        <v>0</v>
      </c>
      <c r="DO71" s="64">
        <f t="shared" si="110"/>
        <v>0</v>
      </c>
      <c r="DP71" s="2">
        <f t="shared" si="112"/>
        <v>46</v>
      </c>
      <c r="DQ71" s="2">
        <f t="shared" si="112"/>
        <v>34</v>
      </c>
      <c r="DR71" s="2">
        <f t="shared" si="112"/>
        <v>22</v>
      </c>
      <c r="DS71" s="2">
        <f t="shared" si="112"/>
        <v>10</v>
      </c>
      <c r="DT71" s="2">
        <v>0</v>
      </c>
      <c r="DU71" s="2">
        <f t="shared" si="115"/>
        <v>4</v>
      </c>
      <c r="DV71" s="2">
        <f t="shared" si="116"/>
        <v>22557.879032258064</v>
      </c>
      <c r="DW71" s="2">
        <f t="shared" si="67"/>
        <v>2797177</v>
      </c>
    </row>
    <row r="72" spans="1:127">
      <c r="A72" s="3">
        <v>43770</v>
      </c>
      <c r="B72">
        <f t="shared" si="117"/>
        <v>2019</v>
      </c>
      <c r="C72" s="2">
        <v>18080609</v>
      </c>
      <c r="D72" s="2">
        <f>VLOOKUP(B72,'Historic CDM'!$B$135:$H$146,2,FALSE)/12</f>
        <v>1203025.8182968786</v>
      </c>
      <c r="E72" s="2">
        <f t="shared" si="118"/>
        <v>19283634.81829688</v>
      </c>
      <c r="F72" s="6">
        <v>28085</v>
      </c>
      <c r="G72" s="219">
        <v>5170055</v>
      </c>
      <c r="H72" s="2">
        <f>VLOOKUP(B72,'Historic CDM'!$B$135:$H$147,3,FALSE)/12</f>
        <v>1137811.0149666101</v>
      </c>
      <c r="I72" s="2">
        <f t="shared" si="119"/>
        <v>6307866.0149666099</v>
      </c>
      <c r="J72" s="6">
        <v>1997</v>
      </c>
      <c r="K72" s="219">
        <v>15009141</v>
      </c>
      <c r="L72" s="2">
        <f>VLOOKUP(B72,'Historic CDM'!$B$135:$H$146,4,FALSE)/12</f>
        <v>1206809.3744726346</v>
      </c>
      <c r="M72" s="2">
        <f t="shared" si="73"/>
        <v>16215950.374472635</v>
      </c>
      <c r="N72" s="222">
        <v>48649</v>
      </c>
      <c r="O72" s="220">
        <v>261</v>
      </c>
      <c r="P72" s="219">
        <v>239352</v>
      </c>
      <c r="Q72" s="2">
        <v>615</v>
      </c>
      <c r="R72" s="220">
        <v>2767</v>
      </c>
      <c r="S72" s="220">
        <v>23357</v>
      </c>
      <c r="T72" s="2">
        <v>64</v>
      </c>
      <c r="U72" s="220">
        <v>230</v>
      </c>
      <c r="V72" s="221">
        <v>128409</v>
      </c>
      <c r="W72" s="220">
        <v>129</v>
      </c>
      <c r="X72" s="2">
        <v>2901691</v>
      </c>
      <c r="Y72" s="2">
        <v>9603</v>
      </c>
      <c r="Z72" s="220">
        <v>4</v>
      </c>
      <c r="AA72" s="100">
        <f>'Weather Data'!D228</f>
        <v>555.19999999999982</v>
      </c>
      <c r="AB72" s="100">
        <f>'Weather Data'!E228</f>
        <v>0</v>
      </c>
      <c r="AC72" s="100">
        <f>'Weather Data'!F228</f>
        <v>495.19999999999993</v>
      </c>
      <c r="AD72" s="100">
        <f>'Weather Data'!G228</f>
        <v>0</v>
      </c>
      <c r="AE72" s="100">
        <f>'Weather Data'!H228</f>
        <v>435.2</v>
      </c>
      <c r="AF72" s="100">
        <f>'Weather Data'!I228</f>
        <v>0</v>
      </c>
      <c r="AG72" s="100">
        <f>'Weather Data'!J228</f>
        <v>375.2</v>
      </c>
      <c r="AH72" s="100">
        <f>'Weather Data'!K228</f>
        <v>0</v>
      </c>
      <c r="AI72" s="100">
        <f>'Weather Data'!L228</f>
        <v>315.20000000000005</v>
      </c>
      <c r="AJ72" s="100">
        <f>'Weather Data'!M228</f>
        <v>0</v>
      </c>
      <c r="AK72" s="100">
        <f>'Weather Data'!N228</f>
        <v>255.20000000000007</v>
      </c>
      <c r="AL72" s="100">
        <f>'Weather Data'!O228</f>
        <v>0</v>
      </c>
      <c r="AM72" s="100">
        <f>'Weather Data'!P228</f>
        <v>195.80000000000007</v>
      </c>
      <c r="AN72" s="100">
        <f>'Weather Data'!Q228</f>
        <v>0.59999999999999964</v>
      </c>
      <c r="AO72" s="100">
        <f>'Weather Data'!R228</f>
        <v>1.4933333333333334</v>
      </c>
      <c r="AP72" s="5">
        <f>'Economic Data'!D98</f>
        <v>7470.1</v>
      </c>
      <c r="AQ72" s="5">
        <f>'Economic Data'!E98</f>
        <v>7488.3</v>
      </c>
      <c r="AR72" s="5">
        <f>'Economic Data'!F98</f>
        <v>168.5</v>
      </c>
      <c r="AS72" s="5">
        <f>'Economic Data'!G98</f>
        <v>169</v>
      </c>
      <c r="AT72" s="5">
        <f>'Economic Data'!H98</f>
        <v>807274.5</v>
      </c>
      <c r="AU72" s="5">
        <f>'Economic Data'!I98</f>
        <v>7827.1</v>
      </c>
      <c r="AV72" s="5">
        <f>'Economic Data'!J98</f>
        <v>6758.1</v>
      </c>
      <c r="AW72" s="5">
        <f>'Economic Data'!K98</f>
        <v>5005</v>
      </c>
      <c r="AX72" s="5">
        <f>'Economic Data'!L98</f>
        <v>1092.3</v>
      </c>
      <c r="AY72" s="5">
        <f>'Economic Data'!M98</f>
        <v>1343.6</v>
      </c>
      <c r="AZ72" s="5">
        <f>'Economic Data'!N98</f>
        <v>7405</v>
      </c>
      <c r="BA72" s="5">
        <f>'Economic Data'!O98</f>
        <v>118.8</v>
      </c>
      <c r="BB72" s="5">
        <f>'Economic Data'!P98</f>
        <v>129.6</v>
      </c>
      <c r="BC72" s="5">
        <f>'Economic Data'!Q98</f>
        <v>811397</v>
      </c>
      <c r="BD72" s="5">
        <f>'Economic Data'!R98</f>
        <v>7996</v>
      </c>
      <c r="BE72" s="5">
        <f>'Economic Data'!S98</f>
        <v>3799</v>
      </c>
      <c r="BF72" s="5">
        <f>'Economic Data'!T98</f>
        <v>13298</v>
      </c>
      <c r="BG72" s="5">
        <f>'EV Data'!V37</f>
        <v>33901.999999999993</v>
      </c>
      <c r="BH72" s="5">
        <f>'EV Data'!AB37</f>
        <v>153.66666666666669</v>
      </c>
      <c r="BI72" s="5">
        <f>'EV Data'!W37</f>
        <v>521.00000000000011</v>
      </c>
      <c r="BJ72" s="5">
        <f t="shared" si="71"/>
        <v>71</v>
      </c>
      <c r="BK72" s="70">
        <f t="shared" si="93"/>
        <v>1.8512583487190752</v>
      </c>
      <c r="BL72" s="5">
        <f t="shared" si="94"/>
        <v>5041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0</v>
      </c>
      <c r="BY72">
        <f t="shared" si="114"/>
        <v>0</v>
      </c>
      <c r="BZ72">
        <f t="shared" si="114"/>
        <v>1</v>
      </c>
      <c r="CA72">
        <f t="shared" si="74"/>
        <v>1</v>
      </c>
      <c r="CB72">
        <f t="shared" si="113"/>
        <v>30</v>
      </c>
      <c r="CC72">
        <v>21</v>
      </c>
      <c r="CD72">
        <v>0</v>
      </c>
      <c r="CE72">
        <v>0</v>
      </c>
      <c r="CF72">
        <f t="shared" si="111"/>
        <v>0</v>
      </c>
      <c r="CG72">
        <v>0</v>
      </c>
      <c r="CH72" s="64">
        <f t="shared" si="75"/>
        <v>0</v>
      </c>
      <c r="CI72" s="64">
        <f t="shared" si="76"/>
        <v>0</v>
      </c>
      <c r="CJ72" s="64">
        <f t="shared" si="77"/>
        <v>0</v>
      </c>
      <c r="CK72" s="64">
        <f t="shared" si="78"/>
        <v>0</v>
      </c>
      <c r="CL72" s="64">
        <f t="shared" si="79"/>
        <v>0</v>
      </c>
      <c r="CM72" s="64">
        <f t="shared" si="80"/>
        <v>0</v>
      </c>
      <c r="CN72" s="64">
        <f t="shared" si="81"/>
        <v>0</v>
      </c>
      <c r="CO72" s="64">
        <f t="shared" si="82"/>
        <v>0</v>
      </c>
      <c r="CP72" s="64">
        <f t="shared" si="83"/>
        <v>0</v>
      </c>
      <c r="CQ72" s="64">
        <f t="shared" si="84"/>
        <v>0</v>
      </c>
      <c r="CR72" s="64">
        <f t="shared" si="85"/>
        <v>0</v>
      </c>
      <c r="CS72" s="64">
        <f t="shared" si="86"/>
        <v>0</v>
      </c>
      <c r="CT72" s="64">
        <f t="shared" si="87"/>
        <v>0</v>
      </c>
      <c r="CU72" s="64">
        <f t="shared" si="88"/>
        <v>0</v>
      </c>
      <c r="CV72" s="69">
        <f t="shared" si="89"/>
        <v>22.887229028896659</v>
      </c>
      <c r="CW72" s="69">
        <f t="shared" si="90"/>
        <v>805.60230076201913</v>
      </c>
      <c r="CX72" s="69">
        <f t="shared" si="95"/>
        <v>2958.5751458625496</v>
      </c>
      <c r="CY72" s="69">
        <f t="shared" si="91"/>
        <v>34543.940476190473</v>
      </c>
      <c r="CZ72" s="64">
        <f t="shared" si="96"/>
        <v>2071.0026021037847</v>
      </c>
      <c r="DA72" s="64">
        <f t="shared" si="92"/>
        <v>24180.758333333335</v>
      </c>
      <c r="DB72" s="64">
        <f t="shared" si="97"/>
        <v>0</v>
      </c>
      <c r="DC72" s="64">
        <f t="shared" si="98"/>
        <v>0</v>
      </c>
      <c r="DD72" s="64">
        <f t="shared" si="99"/>
        <v>0</v>
      </c>
      <c r="DE72" s="64">
        <f t="shared" si="100"/>
        <v>0</v>
      </c>
      <c r="DF72" s="64">
        <f t="shared" si="101"/>
        <v>0</v>
      </c>
      <c r="DG72" s="64">
        <f t="shared" si="102"/>
        <v>0</v>
      </c>
      <c r="DH72" s="64">
        <f t="shared" si="103"/>
        <v>0</v>
      </c>
      <c r="DI72" s="64">
        <f t="shared" si="104"/>
        <v>0</v>
      </c>
      <c r="DJ72" s="64">
        <f t="shared" si="105"/>
        <v>0</v>
      </c>
      <c r="DK72" s="64">
        <f t="shared" si="106"/>
        <v>0</v>
      </c>
      <c r="DL72" s="64">
        <f t="shared" si="107"/>
        <v>0</v>
      </c>
      <c r="DM72" s="64">
        <f t="shared" si="108"/>
        <v>0</v>
      </c>
      <c r="DN72" s="64">
        <f t="shared" si="109"/>
        <v>0</v>
      </c>
      <c r="DO72" s="64">
        <f t="shared" si="110"/>
        <v>0</v>
      </c>
      <c r="DP72" s="2">
        <f t="shared" si="112"/>
        <v>47</v>
      </c>
      <c r="DQ72" s="2">
        <f t="shared" si="112"/>
        <v>35</v>
      </c>
      <c r="DR72" s="2">
        <f t="shared" si="112"/>
        <v>23</v>
      </c>
      <c r="DS72" s="2">
        <f t="shared" si="112"/>
        <v>11</v>
      </c>
      <c r="DT72" s="2">
        <v>0</v>
      </c>
      <c r="DU72" s="2">
        <f t="shared" si="115"/>
        <v>4</v>
      </c>
      <c r="DV72" s="2">
        <f t="shared" si="116"/>
        <v>24180.758333333335</v>
      </c>
      <c r="DW72" s="2">
        <f t="shared" si="67"/>
        <v>2901691</v>
      </c>
    </row>
    <row r="73" spans="1:127">
      <c r="A73" s="3">
        <v>43800</v>
      </c>
      <c r="B73">
        <f t="shared" si="117"/>
        <v>2019</v>
      </c>
      <c r="C73" s="2">
        <v>20382893</v>
      </c>
      <c r="D73" s="2">
        <f>VLOOKUP(B73,'Historic CDM'!$B$135:$H$146,2,FALSE)/12</f>
        <v>1203025.8182968786</v>
      </c>
      <c r="E73" s="2">
        <f t="shared" si="118"/>
        <v>21585918.81829688</v>
      </c>
      <c r="F73" s="6">
        <v>28134</v>
      </c>
      <c r="G73" s="219">
        <v>5375710</v>
      </c>
      <c r="H73" s="2">
        <f>VLOOKUP(B73,'Historic CDM'!$B$135:$H$147,3,FALSE)/12</f>
        <v>1137811.0149666101</v>
      </c>
      <c r="I73" s="2">
        <f t="shared" si="119"/>
        <v>6513521.0149666099</v>
      </c>
      <c r="J73" s="6">
        <v>1997</v>
      </c>
      <c r="K73" s="219">
        <v>13891709</v>
      </c>
      <c r="L73" s="2">
        <f>VLOOKUP(B73,'Historic CDM'!$B$135:$H$146,4,FALSE)/12</f>
        <v>1206809.3744726346</v>
      </c>
      <c r="M73" s="2">
        <f t="shared" si="73"/>
        <v>15098518.374472635</v>
      </c>
      <c r="N73" s="222">
        <v>46812</v>
      </c>
      <c r="O73" s="220">
        <v>261</v>
      </c>
      <c r="P73" s="219">
        <v>261810</v>
      </c>
      <c r="Q73" s="2">
        <v>615</v>
      </c>
      <c r="R73" s="220">
        <v>2767</v>
      </c>
      <c r="S73" s="220">
        <v>23589</v>
      </c>
      <c r="T73" s="2">
        <v>64</v>
      </c>
      <c r="U73" s="220">
        <v>230</v>
      </c>
      <c r="V73" s="221">
        <v>128409</v>
      </c>
      <c r="W73" s="220">
        <v>129</v>
      </c>
      <c r="X73" s="2">
        <v>2584611</v>
      </c>
      <c r="Y73" s="2">
        <v>7300</v>
      </c>
      <c r="Z73" s="220">
        <v>4</v>
      </c>
      <c r="AA73" s="100">
        <f>'Weather Data'!D229</f>
        <v>589.90000000000009</v>
      </c>
      <c r="AB73" s="100">
        <f>'Weather Data'!E229</f>
        <v>0</v>
      </c>
      <c r="AC73" s="100">
        <f>'Weather Data'!F229</f>
        <v>527.90000000000009</v>
      </c>
      <c r="AD73" s="100">
        <f>'Weather Data'!G229</f>
        <v>0</v>
      </c>
      <c r="AE73" s="100">
        <f>'Weather Data'!H229</f>
        <v>465.90000000000009</v>
      </c>
      <c r="AF73" s="100">
        <f>'Weather Data'!I229</f>
        <v>0</v>
      </c>
      <c r="AG73" s="100">
        <f>'Weather Data'!J229</f>
        <v>403.90000000000009</v>
      </c>
      <c r="AH73" s="100">
        <f>'Weather Data'!K229</f>
        <v>0</v>
      </c>
      <c r="AI73" s="100">
        <f>'Weather Data'!L229</f>
        <v>341.90000000000009</v>
      </c>
      <c r="AJ73" s="100">
        <f>'Weather Data'!M229</f>
        <v>0</v>
      </c>
      <c r="AK73" s="100">
        <f>'Weather Data'!N229</f>
        <v>279.90000000000009</v>
      </c>
      <c r="AL73" s="100">
        <f>'Weather Data'!O229</f>
        <v>0</v>
      </c>
      <c r="AM73" s="100">
        <f>'Weather Data'!P229</f>
        <v>218.60000000000002</v>
      </c>
      <c r="AN73" s="100">
        <f>'Weather Data'!Q229</f>
        <v>0.69999999999999929</v>
      </c>
      <c r="AO73" s="100">
        <f>'Weather Data'!R229</f>
        <v>0.97096774193548374</v>
      </c>
      <c r="AP73" s="5">
        <f>'Economic Data'!D99</f>
        <v>7482.6</v>
      </c>
      <c r="AQ73" s="5">
        <f>'Economic Data'!E99</f>
        <v>7493.8</v>
      </c>
      <c r="AR73" s="5">
        <f>'Economic Data'!F99</f>
        <v>167.7</v>
      </c>
      <c r="AS73" s="5">
        <f>'Economic Data'!G99</f>
        <v>167.9</v>
      </c>
      <c r="AT73" s="5">
        <f>'Economic Data'!H99</f>
        <v>807274.5</v>
      </c>
      <c r="AU73" s="5">
        <f>'Economic Data'!I99</f>
        <v>7827.1</v>
      </c>
      <c r="AV73" s="5">
        <f>'Economic Data'!J99</f>
        <v>6758.1</v>
      </c>
      <c r="AW73" s="5">
        <f>'Economic Data'!K99</f>
        <v>5005</v>
      </c>
      <c r="AX73" s="5">
        <f>'Economic Data'!L99</f>
        <v>1092.3</v>
      </c>
      <c r="AY73" s="5">
        <f>'Economic Data'!M99</f>
        <v>1343.6</v>
      </c>
      <c r="AZ73" s="5">
        <f>'Economic Data'!N99</f>
        <v>7405</v>
      </c>
      <c r="BA73" s="5">
        <f>'Economic Data'!O99</f>
        <v>118.8</v>
      </c>
      <c r="BB73" s="5">
        <f>'Economic Data'!P99</f>
        <v>129.6</v>
      </c>
      <c r="BC73" s="5">
        <f>'Economic Data'!Q99</f>
        <v>811397</v>
      </c>
      <c r="BD73" s="5">
        <f>'Economic Data'!R99</f>
        <v>7996</v>
      </c>
      <c r="BE73" s="5">
        <f>'Economic Data'!S99</f>
        <v>3799</v>
      </c>
      <c r="BF73" s="5">
        <f>'Economic Data'!T99</f>
        <v>13298</v>
      </c>
      <c r="BG73" s="5">
        <f>'EV Data'!V38</f>
        <v>34699.999999999993</v>
      </c>
      <c r="BH73" s="5">
        <f>'EV Data'!AB38</f>
        <v>157.00000000000003</v>
      </c>
      <c r="BI73" s="5">
        <f>'EV Data'!W38</f>
        <v>530.00000000000011</v>
      </c>
      <c r="BJ73" s="5">
        <f t="shared" si="71"/>
        <v>72</v>
      </c>
      <c r="BK73" s="70">
        <f t="shared" si="93"/>
        <v>1.8573324964312685</v>
      </c>
      <c r="BL73" s="5">
        <f t="shared" si="94"/>
        <v>5184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1</v>
      </c>
      <c r="BY73">
        <f t="shared" si="114"/>
        <v>0</v>
      </c>
      <c r="BZ73">
        <f t="shared" si="114"/>
        <v>0</v>
      </c>
      <c r="CA73">
        <f t="shared" si="74"/>
        <v>0</v>
      </c>
      <c r="CB73">
        <f t="shared" si="113"/>
        <v>31</v>
      </c>
      <c r="CC73">
        <v>21</v>
      </c>
      <c r="CD73">
        <v>0</v>
      </c>
      <c r="CE73">
        <v>0</v>
      </c>
      <c r="CF73">
        <f t="shared" si="111"/>
        <v>0</v>
      </c>
      <c r="CG73">
        <v>0</v>
      </c>
      <c r="CH73" s="64">
        <f t="shared" si="75"/>
        <v>0</v>
      </c>
      <c r="CI73" s="64">
        <f t="shared" si="76"/>
        <v>0</v>
      </c>
      <c r="CJ73" s="64">
        <f t="shared" si="77"/>
        <v>0</v>
      </c>
      <c r="CK73" s="64">
        <f t="shared" si="78"/>
        <v>0</v>
      </c>
      <c r="CL73" s="64">
        <f t="shared" si="79"/>
        <v>0</v>
      </c>
      <c r="CM73" s="64">
        <f t="shared" si="80"/>
        <v>0</v>
      </c>
      <c r="CN73" s="64">
        <f t="shared" si="81"/>
        <v>0</v>
      </c>
      <c r="CO73" s="64">
        <f t="shared" si="82"/>
        <v>0</v>
      </c>
      <c r="CP73" s="64">
        <f t="shared" si="83"/>
        <v>0</v>
      </c>
      <c r="CQ73" s="64">
        <f t="shared" si="84"/>
        <v>0</v>
      </c>
      <c r="CR73" s="64">
        <f t="shared" si="85"/>
        <v>0</v>
      </c>
      <c r="CS73" s="64">
        <f t="shared" si="86"/>
        <v>0</v>
      </c>
      <c r="CT73" s="64">
        <f t="shared" si="87"/>
        <v>0</v>
      </c>
      <c r="CU73" s="64">
        <f t="shared" si="88"/>
        <v>0</v>
      </c>
      <c r="CV73" s="69">
        <f t="shared" si="89"/>
        <v>24.750123049710123</v>
      </c>
      <c r="CW73" s="69">
        <f t="shared" si="90"/>
        <v>805.03287788488569</v>
      </c>
      <c r="CX73" s="69">
        <f t="shared" si="95"/>
        <v>2754.7014001957009</v>
      </c>
      <c r="CY73" s="69">
        <f t="shared" si="91"/>
        <v>30769.178571428572</v>
      </c>
      <c r="CZ73" s="64">
        <f t="shared" si="96"/>
        <v>1866.0880452938618</v>
      </c>
      <c r="DA73" s="64">
        <f t="shared" si="92"/>
        <v>20843.637096774193</v>
      </c>
      <c r="DB73" s="64">
        <f t="shared" si="97"/>
        <v>0</v>
      </c>
      <c r="DC73" s="64">
        <f t="shared" si="98"/>
        <v>0</v>
      </c>
      <c r="DD73" s="64">
        <f t="shared" si="99"/>
        <v>0</v>
      </c>
      <c r="DE73" s="64">
        <f t="shared" si="100"/>
        <v>0</v>
      </c>
      <c r="DF73" s="64">
        <f t="shared" si="101"/>
        <v>0</v>
      </c>
      <c r="DG73" s="64">
        <f t="shared" si="102"/>
        <v>0</v>
      </c>
      <c r="DH73" s="64">
        <f t="shared" si="103"/>
        <v>0</v>
      </c>
      <c r="DI73" s="64">
        <f t="shared" si="104"/>
        <v>0</v>
      </c>
      <c r="DJ73" s="64">
        <f t="shared" si="105"/>
        <v>0</v>
      </c>
      <c r="DK73" s="64">
        <f t="shared" si="106"/>
        <v>0</v>
      </c>
      <c r="DL73" s="64">
        <f t="shared" si="107"/>
        <v>0</v>
      </c>
      <c r="DM73" s="64">
        <f t="shared" si="108"/>
        <v>0</v>
      </c>
      <c r="DN73" s="64">
        <f t="shared" si="109"/>
        <v>0</v>
      </c>
      <c r="DO73" s="64">
        <f t="shared" si="110"/>
        <v>0</v>
      </c>
      <c r="DP73" s="2">
        <f t="shared" si="112"/>
        <v>48</v>
      </c>
      <c r="DQ73" s="2">
        <f t="shared" si="112"/>
        <v>36</v>
      </c>
      <c r="DR73" s="2">
        <f t="shared" si="112"/>
        <v>24</v>
      </c>
      <c r="DS73" s="2">
        <f t="shared" si="112"/>
        <v>12</v>
      </c>
      <c r="DT73" s="2">
        <v>0</v>
      </c>
      <c r="DU73" s="2">
        <f t="shared" si="115"/>
        <v>4</v>
      </c>
      <c r="DV73" s="2">
        <f t="shared" si="116"/>
        <v>20843.637096774193</v>
      </c>
      <c r="DW73" s="2">
        <f t="shared" si="67"/>
        <v>2584611</v>
      </c>
    </row>
    <row r="74" spans="1:127">
      <c r="A74" s="3">
        <v>43831</v>
      </c>
      <c r="B74">
        <f t="shared" si="117"/>
        <v>2020</v>
      </c>
      <c r="C74" s="2">
        <v>19631002</v>
      </c>
      <c r="D74" s="2">
        <f>VLOOKUP(B74,'Historic CDM'!$B$135:$H$146,2,FALSE)/12</f>
        <v>1183895.730626733</v>
      </c>
      <c r="E74" s="2">
        <f t="shared" si="118"/>
        <v>20814897.730626732</v>
      </c>
      <c r="F74" s="6">
        <v>28150</v>
      </c>
      <c r="G74" s="219">
        <v>5539029</v>
      </c>
      <c r="H74" s="2">
        <f>VLOOKUP(B74,'Historic CDM'!$B$135:$H$147,3,FALSE)/12</f>
        <v>1133474.2109814028</v>
      </c>
      <c r="I74" s="2">
        <f t="shared" si="119"/>
        <v>6672503.2109814025</v>
      </c>
      <c r="J74" s="6">
        <v>1997</v>
      </c>
      <c r="K74" s="219">
        <v>14069590</v>
      </c>
      <c r="L74" s="2">
        <f>VLOOKUP(B74,'Historic CDM'!$B$135:$H$146,4,FALSE)/12</f>
        <v>1202218.3759527351</v>
      </c>
      <c r="M74" s="2">
        <f t="shared" si="73"/>
        <v>15271808.375952736</v>
      </c>
      <c r="N74" s="222">
        <v>46248</v>
      </c>
      <c r="O74" s="220">
        <v>261</v>
      </c>
      <c r="P74" s="219">
        <v>257503</v>
      </c>
      <c r="Q74" s="2">
        <v>615</v>
      </c>
      <c r="R74" s="220">
        <v>2772</v>
      </c>
      <c r="S74" s="220">
        <v>23915</v>
      </c>
      <c r="T74" s="2">
        <v>65</v>
      </c>
      <c r="U74" s="220">
        <v>229</v>
      </c>
      <c r="V74" s="221">
        <v>128409</v>
      </c>
      <c r="W74" s="220">
        <v>129</v>
      </c>
      <c r="X74" s="2">
        <v>2683483</v>
      </c>
      <c r="Y74" s="2">
        <v>6799</v>
      </c>
      <c r="Z74" s="220">
        <v>4</v>
      </c>
      <c r="AA74" s="100">
        <f>'Weather Data'!D230</f>
        <v>623.20000000000016</v>
      </c>
      <c r="AB74" s="100">
        <f>'Weather Data'!E230</f>
        <v>0</v>
      </c>
      <c r="AC74" s="100">
        <f>'Weather Data'!F230</f>
        <v>561.20000000000016</v>
      </c>
      <c r="AD74" s="100">
        <f>'Weather Data'!G230</f>
        <v>0</v>
      </c>
      <c r="AE74" s="100">
        <f>'Weather Data'!H230</f>
        <v>499.2000000000001</v>
      </c>
      <c r="AF74" s="100">
        <f>'Weather Data'!I230</f>
        <v>0</v>
      </c>
      <c r="AG74" s="100">
        <f>'Weather Data'!J230</f>
        <v>437.2000000000001</v>
      </c>
      <c r="AH74" s="100">
        <f>'Weather Data'!K230</f>
        <v>0</v>
      </c>
      <c r="AI74" s="100">
        <f>'Weather Data'!L230</f>
        <v>375.2000000000001</v>
      </c>
      <c r="AJ74" s="100">
        <f>'Weather Data'!M230</f>
        <v>0</v>
      </c>
      <c r="AK74" s="100">
        <f>'Weather Data'!N230</f>
        <v>313.2000000000001</v>
      </c>
      <c r="AL74" s="100">
        <f>'Weather Data'!O230</f>
        <v>0</v>
      </c>
      <c r="AM74" s="100">
        <f>'Weather Data'!P230</f>
        <v>251.2</v>
      </c>
      <c r="AN74" s="100">
        <f>'Weather Data'!Q230</f>
        <v>0</v>
      </c>
      <c r="AO74" s="100">
        <f>'Weather Data'!R230</f>
        <v>-0.1032258064516129</v>
      </c>
      <c r="AP74" s="5">
        <f>'Economic Data'!D100</f>
        <v>7504.9</v>
      </c>
      <c r="AQ74" s="5">
        <f>'Economic Data'!E100</f>
        <v>7471.6</v>
      </c>
      <c r="AR74" s="5">
        <f>'Economic Data'!F100</f>
        <v>166.2</v>
      </c>
      <c r="AS74" s="5">
        <f>'Economic Data'!G100</f>
        <v>164.5</v>
      </c>
      <c r="AT74" s="5">
        <f>'Economic Data'!H100</f>
        <v>769942</v>
      </c>
      <c r="AU74" s="5">
        <f>'Economic Data'!I100</f>
        <v>8258.2999999999993</v>
      </c>
      <c r="AV74" s="5">
        <f>'Economic Data'!J100</f>
        <v>7244.3</v>
      </c>
      <c r="AW74" s="5">
        <f>'Economic Data'!K100</f>
        <v>5453.2</v>
      </c>
      <c r="AX74" s="5">
        <f>'Economic Data'!L100</f>
        <v>1118.5</v>
      </c>
      <c r="AY74" s="5">
        <f>'Economic Data'!M100</f>
        <v>1755.9</v>
      </c>
      <c r="AZ74" s="5">
        <f>'Economic Data'!N100</f>
        <v>6539.9</v>
      </c>
      <c r="BA74" s="5">
        <f>'Economic Data'!O100</f>
        <v>107.8</v>
      </c>
      <c r="BB74" s="5">
        <f>'Economic Data'!P100</f>
        <v>72</v>
      </c>
      <c r="BC74" s="5">
        <f>'Economic Data'!Q100</f>
        <v>800126</v>
      </c>
      <c r="BD74" s="5">
        <f>'Economic Data'!R100</f>
        <v>7823</v>
      </c>
      <c r="BE74" s="5">
        <f>'Economic Data'!S100</f>
        <v>3864</v>
      </c>
      <c r="BF74" s="5">
        <f>'Economic Data'!T100</f>
        <v>13972</v>
      </c>
      <c r="BG74" s="5">
        <f>'EV Data'!V39</f>
        <v>35400.666666666657</v>
      </c>
      <c r="BH74" s="5">
        <f>'EV Data'!AB39</f>
        <v>162.33333333333337</v>
      </c>
      <c r="BI74" s="5">
        <f>'EV Data'!W39</f>
        <v>539.00000000000011</v>
      </c>
      <c r="BJ74" s="5">
        <f t="shared" si="71"/>
        <v>73</v>
      </c>
      <c r="BK74" s="70">
        <f t="shared" si="93"/>
        <v>1.8633228601204559</v>
      </c>
      <c r="BL74" s="5">
        <f t="shared" si="94"/>
        <v>5329</v>
      </c>
      <c r="BM74">
        <f>BM62</f>
        <v>1</v>
      </c>
      <c r="BN74">
        <f t="shared" ref="BN74:CA74" si="120">BN62</f>
        <v>0</v>
      </c>
      <c r="BO74">
        <f t="shared" si="120"/>
        <v>0</v>
      </c>
      <c r="BP74">
        <f t="shared" si="120"/>
        <v>0</v>
      </c>
      <c r="BQ74">
        <f t="shared" si="120"/>
        <v>0</v>
      </c>
      <c r="BR74">
        <f t="shared" si="120"/>
        <v>0</v>
      </c>
      <c r="BS74">
        <f t="shared" si="120"/>
        <v>0</v>
      </c>
      <c r="BT74">
        <f t="shared" si="120"/>
        <v>0</v>
      </c>
      <c r="BU74">
        <f t="shared" si="120"/>
        <v>0</v>
      </c>
      <c r="BV74">
        <f t="shared" si="120"/>
        <v>0</v>
      </c>
      <c r="BW74">
        <f t="shared" si="120"/>
        <v>0</v>
      </c>
      <c r="BX74">
        <f t="shared" si="120"/>
        <v>0</v>
      </c>
      <c r="BY74">
        <f t="shared" si="120"/>
        <v>0</v>
      </c>
      <c r="BZ74">
        <f t="shared" si="120"/>
        <v>0</v>
      </c>
      <c r="CA74">
        <f t="shared" si="120"/>
        <v>0</v>
      </c>
      <c r="CB74">
        <f>CB26</f>
        <v>31</v>
      </c>
      <c r="CC74">
        <v>22</v>
      </c>
      <c r="CD74">
        <v>0</v>
      </c>
      <c r="CE74">
        <v>0</v>
      </c>
      <c r="CF74">
        <f t="shared" si="111"/>
        <v>0</v>
      </c>
      <c r="CG74">
        <v>0</v>
      </c>
      <c r="CH74" s="64">
        <f t="shared" si="75"/>
        <v>0</v>
      </c>
      <c r="CI74" s="64">
        <f t="shared" si="76"/>
        <v>0</v>
      </c>
      <c r="CJ74" s="64">
        <f t="shared" si="77"/>
        <v>0</v>
      </c>
      <c r="CK74" s="64">
        <f t="shared" si="78"/>
        <v>0</v>
      </c>
      <c r="CL74" s="64">
        <f t="shared" si="79"/>
        <v>0</v>
      </c>
      <c r="CM74" s="64">
        <f t="shared" si="80"/>
        <v>0</v>
      </c>
      <c r="CN74" s="64">
        <f t="shared" si="81"/>
        <v>0</v>
      </c>
      <c r="CO74" s="64">
        <f t="shared" si="82"/>
        <v>0</v>
      </c>
      <c r="CP74" s="64">
        <f t="shared" si="83"/>
        <v>0</v>
      </c>
      <c r="CQ74" s="64">
        <f t="shared" si="84"/>
        <v>0</v>
      </c>
      <c r="CR74" s="64">
        <f t="shared" si="85"/>
        <v>0</v>
      </c>
      <c r="CS74" s="64">
        <f t="shared" si="86"/>
        <v>0</v>
      </c>
      <c r="CT74" s="64">
        <f t="shared" si="87"/>
        <v>0</v>
      </c>
      <c r="CU74" s="64">
        <f t="shared" si="88"/>
        <v>0</v>
      </c>
      <c r="CV74" s="69">
        <f t="shared" si="89"/>
        <v>23.852515591161097</v>
      </c>
      <c r="CW74" s="69">
        <f t="shared" si="90"/>
        <v>824.68214200734189</v>
      </c>
      <c r="CX74" s="69">
        <f t="shared" si="95"/>
        <v>2659.6670804515384</v>
      </c>
      <c r="CY74" s="69">
        <f t="shared" si="91"/>
        <v>30494.125</v>
      </c>
      <c r="CZ74" s="64">
        <f t="shared" si="96"/>
        <v>1887.5056699978663</v>
      </c>
      <c r="DA74" s="64">
        <f t="shared" si="92"/>
        <v>21640.991935483871</v>
      </c>
      <c r="DB74" s="64">
        <f t="shared" si="97"/>
        <v>0</v>
      </c>
      <c r="DC74" s="64">
        <f t="shared" si="98"/>
        <v>0</v>
      </c>
      <c r="DD74" s="64">
        <f t="shared" si="99"/>
        <v>0</v>
      </c>
      <c r="DE74" s="64">
        <f t="shared" si="100"/>
        <v>0</v>
      </c>
      <c r="DF74" s="64">
        <f t="shared" si="101"/>
        <v>0</v>
      </c>
      <c r="DG74" s="64">
        <f t="shared" si="102"/>
        <v>0</v>
      </c>
      <c r="DH74" s="64">
        <f t="shared" si="103"/>
        <v>0</v>
      </c>
      <c r="DI74" s="64">
        <f t="shared" si="104"/>
        <v>0</v>
      </c>
      <c r="DJ74" s="64">
        <f t="shared" si="105"/>
        <v>0</v>
      </c>
      <c r="DK74" s="64">
        <f t="shared" si="106"/>
        <v>0</v>
      </c>
      <c r="DL74" s="64">
        <f t="shared" si="107"/>
        <v>0</v>
      </c>
      <c r="DM74" s="64">
        <f t="shared" si="108"/>
        <v>0</v>
      </c>
      <c r="DN74" s="64">
        <f t="shared" si="109"/>
        <v>0</v>
      </c>
      <c r="DO74" s="64">
        <f t="shared" si="110"/>
        <v>0</v>
      </c>
      <c r="DP74" s="2">
        <f t="shared" si="112"/>
        <v>49</v>
      </c>
      <c r="DQ74" s="2">
        <f t="shared" si="112"/>
        <v>37</v>
      </c>
      <c r="DR74" s="2">
        <f t="shared" si="112"/>
        <v>25</v>
      </c>
      <c r="DS74" s="2">
        <f t="shared" si="112"/>
        <v>13</v>
      </c>
      <c r="DT74" s="2">
        <v>1</v>
      </c>
      <c r="DU74" s="2">
        <f t="shared" si="115"/>
        <v>4</v>
      </c>
      <c r="DV74" s="2">
        <f t="shared" si="116"/>
        <v>21640.991935483871</v>
      </c>
      <c r="DW74" s="2">
        <f t="shared" si="67"/>
        <v>2683483</v>
      </c>
    </row>
    <row r="75" spans="1:127">
      <c r="A75" s="3">
        <v>43862</v>
      </c>
      <c r="B75">
        <f t="shared" si="117"/>
        <v>2020</v>
      </c>
      <c r="C75" s="2">
        <v>18130502</v>
      </c>
      <c r="D75" s="2">
        <f>VLOOKUP(B75,'Historic CDM'!$B$135:$H$146,2,FALSE)/12</f>
        <v>1183895.730626733</v>
      </c>
      <c r="E75" s="2">
        <f t="shared" si="118"/>
        <v>19314397.730626732</v>
      </c>
      <c r="F75" s="6">
        <v>28174</v>
      </c>
      <c r="G75" s="219">
        <v>5228710</v>
      </c>
      <c r="H75" s="2">
        <f>VLOOKUP(B75,'Historic CDM'!$B$135:$H$147,3,FALSE)/12</f>
        <v>1133474.2109814028</v>
      </c>
      <c r="I75" s="2">
        <f t="shared" si="119"/>
        <v>6362184.2109814025</v>
      </c>
      <c r="J75" s="6">
        <v>1998</v>
      </c>
      <c r="K75" s="219">
        <v>13608816</v>
      </c>
      <c r="L75" s="2">
        <f>VLOOKUP(B75,'Historic CDM'!$B$135:$H$146,4,FALSE)/12</f>
        <v>1202218.3759527351</v>
      </c>
      <c r="M75" s="2">
        <f t="shared" si="73"/>
        <v>14811034.375952736</v>
      </c>
      <c r="N75" s="222">
        <v>42879</v>
      </c>
      <c r="O75" s="220">
        <v>261</v>
      </c>
      <c r="P75" s="219">
        <v>241739</v>
      </c>
      <c r="Q75" s="2">
        <v>618</v>
      </c>
      <c r="R75" s="220">
        <v>2776</v>
      </c>
      <c r="S75" s="220">
        <v>23031</v>
      </c>
      <c r="T75" s="2">
        <v>63</v>
      </c>
      <c r="U75" s="220">
        <v>228</v>
      </c>
      <c r="V75" s="221">
        <v>128409</v>
      </c>
      <c r="W75" s="220">
        <v>129</v>
      </c>
      <c r="X75" s="2">
        <v>2439682</v>
      </c>
      <c r="Y75" s="2">
        <v>6961</v>
      </c>
      <c r="Z75" s="220">
        <v>4</v>
      </c>
      <c r="AA75" s="100">
        <f>'Weather Data'!D231</f>
        <v>627.29999999999973</v>
      </c>
      <c r="AB75" s="100">
        <f>'Weather Data'!E231</f>
        <v>0</v>
      </c>
      <c r="AC75" s="100">
        <f>'Weather Data'!F231</f>
        <v>569.29999999999984</v>
      </c>
      <c r="AD75" s="100">
        <f>'Weather Data'!G231</f>
        <v>0</v>
      </c>
      <c r="AE75" s="100">
        <f>'Weather Data'!H231</f>
        <v>511.29999999999995</v>
      </c>
      <c r="AF75" s="100">
        <f>'Weather Data'!I231</f>
        <v>0</v>
      </c>
      <c r="AG75" s="100">
        <f>'Weather Data'!J231</f>
        <v>453.29999999999995</v>
      </c>
      <c r="AH75" s="100">
        <f>'Weather Data'!K231</f>
        <v>0</v>
      </c>
      <c r="AI75" s="100">
        <f>'Weather Data'!L231</f>
        <v>395.3</v>
      </c>
      <c r="AJ75" s="100">
        <f>'Weather Data'!M231</f>
        <v>0</v>
      </c>
      <c r="AK75" s="100">
        <f>'Weather Data'!N231</f>
        <v>337.30000000000007</v>
      </c>
      <c r="AL75" s="100">
        <f>'Weather Data'!O231</f>
        <v>0</v>
      </c>
      <c r="AM75" s="100">
        <f>'Weather Data'!P231</f>
        <v>279.3</v>
      </c>
      <c r="AN75" s="100">
        <f>'Weather Data'!Q231</f>
        <v>0</v>
      </c>
      <c r="AO75" s="100">
        <f>'Weather Data'!R231</f>
        <v>-1.6310344827586205</v>
      </c>
      <c r="AP75" s="5">
        <f>'Economic Data'!D101</f>
        <v>7512.3</v>
      </c>
      <c r="AQ75" s="5">
        <f>'Economic Data'!E101</f>
        <v>7442.1</v>
      </c>
      <c r="AR75" s="5">
        <f>'Economic Data'!F101</f>
        <v>167.8</v>
      </c>
      <c r="AS75" s="5">
        <f>'Economic Data'!G101</f>
        <v>166.3</v>
      </c>
      <c r="AT75" s="5">
        <f>'Economic Data'!H101</f>
        <v>769942</v>
      </c>
      <c r="AU75" s="5">
        <f>'Economic Data'!I101</f>
        <v>8258.2999999999993</v>
      </c>
      <c r="AV75" s="5">
        <f>'Economic Data'!J101</f>
        <v>7244.3</v>
      </c>
      <c r="AW75" s="5">
        <f>'Economic Data'!K101</f>
        <v>5453.2</v>
      </c>
      <c r="AX75" s="5">
        <f>'Economic Data'!L101</f>
        <v>1118.5</v>
      </c>
      <c r="AY75" s="5">
        <f>'Economic Data'!M101</f>
        <v>1755.9</v>
      </c>
      <c r="AZ75" s="5">
        <f>'Economic Data'!N101</f>
        <v>6539.9</v>
      </c>
      <c r="BA75" s="5">
        <f>'Economic Data'!O101</f>
        <v>107.8</v>
      </c>
      <c r="BB75" s="5">
        <f>'Economic Data'!P101</f>
        <v>72</v>
      </c>
      <c r="BC75" s="5">
        <f>'Economic Data'!Q101</f>
        <v>800126</v>
      </c>
      <c r="BD75" s="5">
        <f>'Economic Data'!R101</f>
        <v>7823</v>
      </c>
      <c r="BE75" s="5">
        <f>'Economic Data'!S101</f>
        <v>3864</v>
      </c>
      <c r="BF75" s="5">
        <f>'Economic Data'!T101</f>
        <v>13972</v>
      </c>
      <c r="BG75" s="5">
        <f>'EV Data'!V40</f>
        <v>36101.333333333321</v>
      </c>
      <c r="BH75" s="5">
        <f>'EV Data'!AB40</f>
        <v>167.66666666666671</v>
      </c>
      <c r="BI75" s="5">
        <f>'EV Data'!W40</f>
        <v>548.00000000000011</v>
      </c>
      <c r="BJ75" s="5">
        <f t="shared" si="71"/>
        <v>74</v>
      </c>
      <c r="BK75" s="70">
        <f t="shared" si="93"/>
        <v>1.8692317197309762</v>
      </c>
      <c r="BL75" s="5">
        <f t="shared" si="94"/>
        <v>5476</v>
      </c>
      <c r="BM75">
        <f t="shared" ref="BM75:CA90" si="121">BM63</f>
        <v>0</v>
      </c>
      <c r="BN75">
        <f t="shared" si="121"/>
        <v>1</v>
      </c>
      <c r="BO75">
        <f t="shared" si="121"/>
        <v>0</v>
      </c>
      <c r="BP75">
        <f t="shared" si="121"/>
        <v>0</v>
      </c>
      <c r="BQ75">
        <f t="shared" si="121"/>
        <v>0</v>
      </c>
      <c r="BR75">
        <f t="shared" si="121"/>
        <v>0</v>
      </c>
      <c r="BS75">
        <f t="shared" si="121"/>
        <v>0</v>
      </c>
      <c r="BT75">
        <f t="shared" si="121"/>
        <v>0</v>
      </c>
      <c r="BU75">
        <f t="shared" si="121"/>
        <v>0</v>
      </c>
      <c r="BV75">
        <f t="shared" si="121"/>
        <v>0</v>
      </c>
      <c r="BW75">
        <f t="shared" si="121"/>
        <v>0</v>
      </c>
      <c r="BX75">
        <f t="shared" si="121"/>
        <v>0</v>
      </c>
      <c r="BY75">
        <f t="shared" si="121"/>
        <v>0</v>
      </c>
      <c r="BZ75">
        <f t="shared" si="121"/>
        <v>0</v>
      </c>
      <c r="CA75">
        <f t="shared" si="121"/>
        <v>0</v>
      </c>
      <c r="CB75">
        <f t="shared" si="113"/>
        <v>29</v>
      </c>
      <c r="CC75">
        <v>19</v>
      </c>
      <c r="CD75">
        <v>0</v>
      </c>
      <c r="CE75">
        <v>0</v>
      </c>
      <c r="CF75">
        <f t="shared" si="111"/>
        <v>0</v>
      </c>
      <c r="CG75">
        <v>0</v>
      </c>
      <c r="CH75" s="64">
        <f t="shared" si="75"/>
        <v>0</v>
      </c>
      <c r="CI75" s="64">
        <f t="shared" si="76"/>
        <v>0</v>
      </c>
      <c r="CJ75" s="64">
        <f t="shared" si="77"/>
        <v>0</v>
      </c>
      <c r="CK75" s="64">
        <f t="shared" si="78"/>
        <v>0</v>
      </c>
      <c r="CL75" s="64">
        <f t="shared" si="79"/>
        <v>0</v>
      </c>
      <c r="CM75" s="64">
        <f t="shared" si="80"/>
        <v>0</v>
      </c>
      <c r="CN75" s="64">
        <f t="shared" si="81"/>
        <v>0</v>
      </c>
      <c r="CO75" s="64">
        <f t="shared" si="82"/>
        <v>0</v>
      </c>
      <c r="CP75" s="64">
        <f t="shared" si="83"/>
        <v>0</v>
      </c>
      <c r="CQ75" s="64">
        <f t="shared" si="84"/>
        <v>0</v>
      </c>
      <c r="CR75" s="64">
        <f t="shared" si="85"/>
        <v>0</v>
      </c>
      <c r="CS75" s="64">
        <f t="shared" si="86"/>
        <v>0</v>
      </c>
      <c r="CT75" s="64">
        <f t="shared" si="87"/>
        <v>0</v>
      </c>
      <c r="CU75" s="64">
        <f t="shared" si="88"/>
        <v>0</v>
      </c>
      <c r="CV75" s="69">
        <f t="shared" si="89"/>
        <v>23.639302720564977</v>
      </c>
      <c r="CW75" s="69">
        <f t="shared" si="90"/>
        <v>840.55809366909796</v>
      </c>
      <c r="CX75" s="69">
        <f t="shared" si="95"/>
        <v>2986.697797126988</v>
      </c>
      <c r="CY75" s="69">
        <f t="shared" si="91"/>
        <v>32101.07894736842</v>
      </c>
      <c r="CZ75" s="64">
        <f t="shared" si="96"/>
        <v>1956.8020050142338</v>
      </c>
      <c r="DA75" s="64">
        <f t="shared" si="92"/>
        <v>21031.741379310344</v>
      </c>
      <c r="DB75" s="64">
        <f t="shared" si="97"/>
        <v>0</v>
      </c>
      <c r="DC75" s="64">
        <f t="shared" si="98"/>
        <v>0</v>
      </c>
      <c r="DD75" s="64">
        <f t="shared" si="99"/>
        <v>0</v>
      </c>
      <c r="DE75" s="64">
        <f t="shared" si="100"/>
        <v>0</v>
      </c>
      <c r="DF75" s="64">
        <f t="shared" si="101"/>
        <v>0</v>
      </c>
      <c r="DG75" s="64">
        <f t="shared" si="102"/>
        <v>0</v>
      </c>
      <c r="DH75" s="64">
        <f t="shared" si="103"/>
        <v>0</v>
      </c>
      <c r="DI75" s="64">
        <f t="shared" si="104"/>
        <v>0</v>
      </c>
      <c r="DJ75" s="64">
        <f t="shared" si="105"/>
        <v>0</v>
      </c>
      <c r="DK75" s="64">
        <f t="shared" si="106"/>
        <v>0</v>
      </c>
      <c r="DL75" s="64">
        <f t="shared" si="107"/>
        <v>0</v>
      </c>
      <c r="DM75" s="64">
        <f t="shared" si="108"/>
        <v>0</v>
      </c>
      <c r="DN75" s="64">
        <f t="shared" si="109"/>
        <v>0</v>
      </c>
      <c r="DO75" s="64">
        <f t="shared" si="110"/>
        <v>0</v>
      </c>
      <c r="DP75" s="2">
        <f t="shared" si="112"/>
        <v>50</v>
      </c>
      <c r="DQ75" s="2">
        <f t="shared" si="112"/>
        <v>38</v>
      </c>
      <c r="DR75" s="2">
        <f t="shared" si="112"/>
        <v>26</v>
      </c>
      <c r="DS75" s="2">
        <f t="shared" si="112"/>
        <v>14</v>
      </c>
      <c r="DT75" s="2">
        <f>DT74+1</f>
        <v>2</v>
      </c>
      <c r="DU75" s="2">
        <f t="shared" si="115"/>
        <v>4</v>
      </c>
      <c r="DV75" s="2">
        <f t="shared" si="116"/>
        <v>21031.741379310344</v>
      </c>
      <c r="DW75" s="2">
        <f t="shared" si="67"/>
        <v>2439682</v>
      </c>
    </row>
    <row r="76" spans="1:127">
      <c r="A76" s="3">
        <v>43891</v>
      </c>
      <c r="B76">
        <f t="shared" si="117"/>
        <v>2020</v>
      </c>
      <c r="C76" s="2">
        <v>18403408</v>
      </c>
      <c r="D76" s="2">
        <f>VLOOKUP(B76,'Historic CDM'!$B$135:$H$146,2,FALSE)/12</f>
        <v>1183895.730626733</v>
      </c>
      <c r="E76" s="2">
        <f t="shared" si="118"/>
        <v>19587303.730626732</v>
      </c>
      <c r="F76" s="6">
        <v>28199</v>
      </c>
      <c r="G76" s="219">
        <v>4963681</v>
      </c>
      <c r="H76" s="2">
        <f>VLOOKUP(B76,'Historic CDM'!$B$135:$H$147,3,FALSE)/12</f>
        <v>1133474.2109814028</v>
      </c>
      <c r="I76" s="2">
        <f t="shared" si="119"/>
        <v>6097155.2109814025</v>
      </c>
      <c r="J76" s="6">
        <v>2009</v>
      </c>
      <c r="K76" s="219">
        <v>12867197</v>
      </c>
      <c r="L76" s="2">
        <f>VLOOKUP(B76,'Historic CDM'!$B$135:$H$146,4,FALSE)/12</f>
        <v>1202218.3759527351</v>
      </c>
      <c r="M76" s="2">
        <f t="shared" si="73"/>
        <v>14069415.375952736</v>
      </c>
      <c r="N76" s="222">
        <v>42316</v>
      </c>
      <c r="O76" s="220">
        <v>254</v>
      </c>
      <c r="P76" s="219">
        <v>216114</v>
      </c>
      <c r="Q76" s="2">
        <v>618</v>
      </c>
      <c r="R76" s="220">
        <v>2776</v>
      </c>
      <c r="S76" s="220">
        <v>22807</v>
      </c>
      <c r="T76" s="2">
        <v>62</v>
      </c>
      <c r="U76" s="220">
        <v>228</v>
      </c>
      <c r="V76" s="221">
        <v>128409</v>
      </c>
      <c r="W76" s="220">
        <v>129</v>
      </c>
      <c r="X76" s="2">
        <v>2394362</v>
      </c>
      <c r="Y76" s="2">
        <v>6404</v>
      </c>
      <c r="Z76" s="220">
        <v>4</v>
      </c>
      <c r="AA76" s="100">
        <f>'Weather Data'!D232</f>
        <v>484.19999999999993</v>
      </c>
      <c r="AB76" s="100">
        <f>'Weather Data'!E232</f>
        <v>0</v>
      </c>
      <c r="AC76" s="100">
        <f>'Weather Data'!F232</f>
        <v>422.2</v>
      </c>
      <c r="AD76" s="100">
        <f>'Weather Data'!G232</f>
        <v>0</v>
      </c>
      <c r="AE76" s="100">
        <f>'Weather Data'!H232</f>
        <v>360.20000000000005</v>
      </c>
      <c r="AF76" s="100">
        <f>'Weather Data'!I232</f>
        <v>0</v>
      </c>
      <c r="AG76" s="100">
        <f>'Weather Data'!J232</f>
        <v>298.20000000000005</v>
      </c>
      <c r="AH76" s="100">
        <f>'Weather Data'!K232</f>
        <v>0</v>
      </c>
      <c r="AI76" s="100">
        <f>'Weather Data'!L232</f>
        <v>236.9</v>
      </c>
      <c r="AJ76" s="100">
        <f>'Weather Data'!M232</f>
        <v>0.69999999999999929</v>
      </c>
      <c r="AK76" s="100">
        <f>'Weather Data'!N232</f>
        <v>178.3</v>
      </c>
      <c r="AL76" s="100">
        <f>'Weather Data'!O232</f>
        <v>4.0999999999999996</v>
      </c>
      <c r="AM76" s="100">
        <f>'Weather Data'!P232</f>
        <v>122.70000000000002</v>
      </c>
      <c r="AN76" s="100">
        <f>'Weather Data'!Q232</f>
        <v>10.5</v>
      </c>
      <c r="AO76" s="100">
        <f>'Weather Data'!R232</f>
        <v>4.3806451612903219</v>
      </c>
      <c r="AP76" s="5">
        <f>'Economic Data'!D102</f>
        <v>7358</v>
      </c>
      <c r="AQ76" s="5">
        <f>'Economic Data'!E102</f>
        <v>7256.2</v>
      </c>
      <c r="AR76" s="5">
        <f>'Economic Data'!F102</f>
        <v>162</v>
      </c>
      <c r="AS76" s="5">
        <f>'Economic Data'!G102</f>
        <v>159.5</v>
      </c>
      <c r="AT76" s="5">
        <f>'Economic Data'!H102</f>
        <v>769942</v>
      </c>
      <c r="AU76" s="5">
        <f>'Economic Data'!I102</f>
        <v>8258.2999999999993</v>
      </c>
      <c r="AV76" s="5">
        <f>'Economic Data'!J102</f>
        <v>7244.3</v>
      </c>
      <c r="AW76" s="5">
        <f>'Economic Data'!K102</f>
        <v>5453.2</v>
      </c>
      <c r="AX76" s="5">
        <f>'Economic Data'!L102</f>
        <v>1118.5</v>
      </c>
      <c r="AY76" s="5">
        <f>'Economic Data'!M102</f>
        <v>1755.9</v>
      </c>
      <c r="AZ76" s="5">
        <f>'Economic Data'!N102</f>
        <v>6539.9</v>
      </c>
      <c r="BA76" s="5">
        <f>'Economic Data'!O102</f>
        <v>107.8</v>
      </c>
      <c r="BB76" s="5">
        <f>'Economic Data'!P102</f>
        <v>72</v>
      </c>
      <c r="BC76" s="5">
        <f>'Economic Data'!Q102</f>
        <v>800126</v>
      </c>
      <c r="BD76" s="5">
        <f>'Economic Data'!R102</f>
        <v>7823</v>
      </c>
      <c r="BE76" s="5">
        <f>'Economic Data'!S102</f>
        <v>3864</v>
      </c>
      <c r="BF76" s="5">
        <f>'Economic Data'!T102</f>
        <v>13972</v>
      </c>
      <c r="BG76" s="5">
        <f>'EV Data'!V41</f>
        <v>36801.999999999985</v>
      </c>
      <c r="BH76" s="5">
        <f>'EV Data'!AB41</f>
        <v>173.00000000000006</v>
      </c>
      <c r="BI76" s="5">
        <f>'EV Data'!W41</f>
        <v>557.00000000000011</v>
      </c>
      <c r="BJ76" s="5">
        <f t="shared" si="71"/>
        <v>75</v>
      </c>
      <c r="BK76" s="70">
        <f t="shared" si="93"/>
        <v>1.8750612633917001</v>
      </c>
      <c r="BL76" s="5">
        <f t="shared" si="94"/>
        <v>5625</v>
      </c>
      <c r="BM76">
        <f t="shared" si="121"/>
        <v>0</v>
      </c>
      <c r="BN76">
        <f t="shared" si="121"/>
        <v>0</v>
      </c>
      <c r="BO76">
        <f t="shared" si="121"/>
        <v>1</v>
      </c>
      <c r="BP76">
        <f t="shared" si="121"/>
        <v>0</v>
      </c>
      <c r="BQ76">
        <f t="shared" si="121"/>
        <v>0</v>
      </c>
      <c r="BR76">
        <f t="shared" si="121"/>
        <v>0</v>
      </c>
      <c r="BS76">
        <f t="shared" si="121"/>
        <v>0</v>
      </c>
      <c r="BT76">
        <f t="shared" si="121"/>
        <v>0</v>
      </c>
      <c r="BU76">
        <f t="shared" si="121"/>
        <v>0</v>
      </c>
      <c r="BV76">
        <f t="shared" si="121"/>
        <v>0</v>
      </c>
      <c r="BW76">
        <f t="shared" si="121"/>
        <v>0</v>
      </c>
      <c r="BX76">
        <f t="shared" si="121"/>
        <v>0</v>
      </c>
      <c r="BY76">
        <f t="shared" si="121"/>
        <v>1</v>
      </c>
      <c r="BZ76">
        <f t="shared" si="121"/>
        <v>0</v>
      </c>
      <c r="CA76">
        <f t="shared" si="121"/>
        <v>1</v>
      </c>
      <c r="CB76">
        <f t="shared" si="113"/>
        <v>31</v>
      </c>
      <c r="CC76">
        <v>22</v>
      </c>
      <c r="CD76">
        <v>1</v>
      </c>
      <c r="CE76">
        <v>0.5</v>
      </c>
      <c r="CF76">
        <v>0.5</v>
      </c>
      <c r="CG76">
        <v>0.5</v>
      </c>
      <c r="CH76" s="64">
        <f t="shared" si="75"/>
        <v>484.19999999999993</v>
      </c>
      <c r="CI76" s="64">
        <f t="shared" si="76"/>
        <v>0</v>
      </c>
      <c r="CJ76" s="64">
        <f t="shared" si="77"/>
        <v>422.2</v>
      </c>
      <c r="CK76" s="64">
        <f t="shared" si="78"/>
        <v>0</v>
      </c>
      <c r="CL76" s="64">
        <f t="shared" si="79"/>
        <v>360.20000000000005</v>
      </c>
      <c r="CM76" s="64">
        <f t="shared" si="80"/>
        <v>0</v>
      </c>
      <c r="CN76" s="64">
        <f t="shared" si="81"/>
        <v>298.20000000000005</v>
      </c>
      <c r="CO76" s="64">
        <f t="shared" si="82"/>
        <v>0</v>
      </c>
      <c r="CP76" s="64">
        <f t="shared" si="83"/>
        <v>236.9</v>
      </c>
      <c r="CQ76" s="64">
        <f t="shared" si="84"/>
        <v>0.69999999999999929</v>
      </c>
      <c r="CR76" s="64">
        <f t="shared" si="85"/>
        <v>178.3</v>
      </c>
      <c r="CS76" s="64">
        <f t="shared" si="86"/>
        <v>4.0999999999999996</v>
      </c>
      <c r="CT76" s="64">
        <f t="shared" si="87"/>
        <v>122.70000000000002</v>
      </c>
      <c r="CU76" s="64">
        <f t="shared" si="88"/>
        <v>10.5</v>
      </c>
      <c r="CV76" s="69">
        <f t="shared" si="89"/>
        <v>22.406770007431895</v>
      </c>
      <c r="CW76" s="69">
        <f t="shared" si="90"/>
        <v>774.34026047515908</v>
      </c>
      <c r="CX76" s="69">
        <f t="shared" si="95"/>
        <v>2517.7908689965525</v>
      </c>
      <c r="CY76" s="69">
        <f t="shared" si="91"/>
        <v>27208.659090909092</v>
      </c>
      <c r="CZ76" s="64">
        <f t="shared" si="96"/>
        <v>1786.8193263846504</v>
      </c>
      <c r="DA76" s="64">
        <f t="shared" si="92"/>
        <v>19309.370967741936</v>
      </c>
      <c r="DB76" s="64">
        <f t="shared" si="97"/>
        <v>242.09999999999997</v>
      </c>
      <c r="DC76" s="64">
        <f t="shared" si="98"/>
        <v>0</v>
      </c>
      <c r="DD76" s="64">
        <f t="shared" si="99"/>
        <v>211.1</v>
      </c>
      <c r="DE76" s="64">
        <f t="shared" si="100"/>
        <v>0</v>
      </c>
      <c r="DF76" s="64">
        <f t="shared" si="101"/>
        <v>180.10000000000002</v>
      </c>
      <c r="DG76" s="64">
        <f t="shared" si="102"/>
        <v>0</v>
      </c>
      <c r="DH76" s="64">
        <f t="shared" si="103"/>
        <v>149.10000000000002</v>
      </c>
      <c r="DI76" s="64">
        <f t="shared" si="104"/>
        <v>0</v>
      </c>
      <c r="DJ76" s="64">
        <f t="shared" si="105"/>
        <v>118.45</v>
      </c>
      <c r="DK76" s="64">
        <f t="shared" si="106"/>
        <v>0.34999999999999964</v>
      </c>
      <c r="DL76" s="64">
        <f t="shared" si="107"/>
        <v>89.15</v>
      </c>
      <c r="DM76" s="64">
        <f t="shared" si="108"/>
        <v>2.0499999999999998</v>
      </c>
      <c r="DN76" s="64">
        <f t="shared" si="109"/>
        <v>61.350000000000009</v>
      </c>
      <c r="DO76" s="64">
        <f t="shared" si="110"/>
        <v>5.25</v>
      </c>
      <c r="DP76" s="2">
        <f t="shared" ref="DP76:DT91" si="122">DP75+1</f>
        <v>51</v>
      </c>
      <c r="DQ76" s="2">
        <f t="shared" si="122"/>
        <v>39</v>
      </c>
      <c r="DR76" s="2">
        <f t="shared" si="122"/>
        <v>27</v>
      </c>
      <c r="DS76" s="2">
        <f t="shared" si="122"/>
        <v>15</v>
      </c>
      <c r="DT76" s="2">
        <f t="shared" si="122"/>
        <v>3</v>
      </c>
      <c r="DU76" s="2">
        <f t="shared" si="115"/>
        <v>4</v>
      </c>
      <c r="DV76" s="2">
        <f t="shared" si="116"/>
        <v>19309.370967741936</v>
      </c>
      <c r="DW76" s="2">
        <f t="shared" si="67"/>
        <v>2394362</v>
      </c>
    </row>
    <row r="77" spans="1:127">
      <c r="A77" s="3">
        <v>43922</v>
      </c>
      <c r="B77">
        <f t="shared" si="117"/>
        <v>2020</v>
      </c>
      <c r="C77" s="2">
        <v>17675327</v>
      </c>
      <c r="D77" s="2">
        <f>VLOOKUP(B77,'Historic CDM'!$B$135:$H$146,2,FALSE)/12</f>
        <v>1183895.730626733</v>
      </c>
      <c r="E77" s="2">
        <f t="shared" si="118"/>
        <v>18859222.730626732</v>
      </c>
      <c r="F77" s="6">
        <v>28219</v>
      </c>
      <c r="G77" s="219">
        <v>4038218</v>
      </c>
      <c r="H77" s="2">
        <f>VLOOKUP(B77,'Historic CDM'!$B$135:$H$147,3,FALSE)/12</f>
        <v>1133474.2109814028</v>
      </c>
      <c r="I77" s="2">
        <f t="shared" si="119"/>
        <v>5171692.2109814025</v>
      </c>
      <c r="J77" s="6">
        <v>2014</v>
      </c>
      <c r="K77" s="219">
        <v>10818846</v>
      </c>
      <c r="L77" s="2">
        <f>VLOOKUP(B77,'Historic CDM'!$B$135:$H$146,4,FALSE)/12</f>
        <v>1202218.3759527351</v>
      </c>
      <c r="M77" s="2">
        <f t="shared" si="73"/>
        <v>12021064.375952736</v>
      </c>
      <c r="N77" s="222">
        <v>37010</v>
      </c>
      <c r="O77" s="220">
        <v>255</v>
      </c>
      <c r="P77" s="219">
        <v>181535</v>
      </c>
      <c r="Q77" s="2">
        <v>618</v>
      </c>
      <c r="R77" s="220">
        <v>2776</v>
      </c>
      <c r="S77" s="220">
        <v>23331</v>
      </c>
      <c r="T77" s="2">
        <v>64</v>
      </c>
      <c r="U77" s="220">
        <v>228</v>
      </c>
      <c r="V77" s="221">
        <v>118336</v>
      </c>
      <c r="W77" s="220">
        <v>123</v>
      </c>
      <c r="X77" s="2">
        <v>1877577</v>
      </c>
      <c r="Y77" s="2">
        <v>5532</v>
      </c>
      <c r="Z77" s="220">
        <v>4</v>
      </c>
      <c r="AA77" s="100">
        <f>'Weather Data'!D233</f>
        <v>396.50000000000006</v>
      </c>
      <c r="AB77" s="100">
        <f>'Weather Data'!E233</f>
        <v>0</v>
      </c>
      <c r="AC77" s="100">
        <f>'Weather Data'!F233</f>
        <v>336.5</v>
      </c>
      <c r="AD77" s="100">
        <f>'Weather Data'!G233</f>
        <v>0</v>
      </c>
      <c r="AE77" s="100">
        <f>'Weather Data'!H233</f>
        <v>276.5</v>
      </c>
      <c r="AF77" s="100">
        <f>'Weather Data'!I233</f>
        <v>0</v>
      </c>
      <c r="AG77" s="100">
        <f>'Weather Data'!J233</f>
        <v>219.2</v>
      </c>
      <c r="AH77" s="100">
        <f>'Weather Data'!K233</f>
        <v>2.7000000000000011</v>
      </c>
      <c r="AI77" s="100">
        <f>'Weather Data'!L233</f>
        <v>165.9</v>
      </c>
      <c r="AJ77" s="100">
        <f>'Weather Data'!M233</f>
        <v>9.4000000000000021</v>
      </c>
      <c r="AK77" s="100">
        <f>'Weather Data'!N233</f>
        <v>115.30000000000001</v>
      </c>
      <c r="AL77" s="100">
        <f>'Weather Data'!O233</f>
        <v>18.800000000000004</v>
      </c>
      <c r="AM77" s="100">
        <f>'Weather Data'!P233</f>
        <v>68.500000000000014</v>
      </c>
      <c r="AN77" s="100">
        <f>'Weather Data'!Q233</f>
        <v>31.999999999999996</v>
      </c>
      <c r="AO77" s="100">
        <f>'Weather Data'!R233</f>
        <v>6.7833333333333332</v>
      </c>
      <c r="AP77" s="5">
        <f>'Economic Data'!D103</f>
        <v>6963.7</v>
      </c>
      <c r="AQ77" s="5">
        <f>'Economic Data'!E103</f>
        <v>6885.2</v>
      </c>
      <c r="AR77" s="5">
        <f>'Economic Data'!F103</f>
        <v>149.1</v>
      </c>
      <c r="AS77" s="5">
        <f>'Economic Data'!G103</f>
        <v>148.19999999999999</v>
      </c>
      <c r="AT77" s="5">
        <f>'Economic Data'!H103</f>
        <v>769942</v>
      </c>
      <c r="AU77" s="5">
        <f>'Economic Data'!I103</f>
        <v>8258.2999999999993</v>
      </c>
      <c r="AV77" s="5">
        <f>'Economic Data'!J103</f>
        <v>7244.3</v>
      </c>
      <c r="AW77" s="5">
        <f>'Economic Data'!K103</f>
        <v>5453.2</v>
      </c>
      <c r="AX77" s="5">
        <f>'Economic Data'!L103</f>
        <v>1118.5</v>
      </c>
      <c r="AY77" s="5">
        <f>'Economic Data'!M103</f>
        <v>1755.9</v>
      </c>
      <c r="AZ77" s="5">
        <f>'Economic Data'!N103</f>
        <v>6539.9</v>
      </c>
      <c r="BA77" s="5">
        <f>'Economic Data'!O103</f>
        <v>107.8</v>
      </c>
      <c r="BB77" s="5">
        <f>'Economic Data'!P103</f>
        <v>72</v>
      </c>
      <c r="BC77" s="5">
        <f>'Economic Data'!Q103</f>
        <v>706539</v>
      </c>
      <c r="BD77" s="5">
        <f>'Economic Data'!R103</f>
        <v>8133</v>
      </c>
      <c r="BE77" s="5">
        <f>'Economic Data'!S103</f>
        <v>3719</v>
      </c>
      <c r="BF77" s="5">
        <f>'Economic Data'!T103</f>
        <v>13618</v>
      </c>
      <c r="BG77" s="5">
        <f>'EV Data'!V42</f>
        <v>37348.66666666665</v>
      </c>
      <c r="BH77" s="5">
        <f>'EV Data'!AB42</f>
        <v>175.00000000000006</v>
      </c>
      <c r="BI77" s="5">
        <f>'EV Data'!W42</f>
        <v>563.66666666666674</v>
      </c>
      <c r="BJ77" s="5">
        <f t="shared" si="71"/>
        <v>76</v>
      </c>
      <c r="BK77" s="70">
        <f t="shared" si="93"/>
        <v>1.8808135922807914</v>
      </c>
      <c r="BL77" s="5">
        <f t="shared" si="94"/>
        <v>5776</v>
      </c>
      <c r="BM77">
        <f t="shared" si="121"/>
        <v>0</v>
      </c>
      <c r="BN77">
        <f t="shared" si="121"/>
        <v>0</v>
      </c>
      <c r="BO77">
        <f t="shared" si="121"/>
        <v>0</v>
      </c>
      <c r="BP77">
        <f t="shared" si="121"/>
        <v>1</v>
      </c>
      <c r="BQ77">
        <f t="shared" si="121"/>
        <v>0</v>
      </c>
      <c r="BR77">
        <f t="shared" si="121"/>
        <v>0</v>
      </c>
      <c r="BS77">
        <f t="shared" si="121"/>
        <v>0</v>
      </c>
      <c r="BT77">
        <f t="shared" si="121"/>
        <v>0</v>
      </c>
      <c r="BU77">
        <f t="shared" si="121"/>
        <v>0</v>
      </c>
      <c r="BV77">
        <f t="shared" si="121"/>
        <v>0</v>
      </c>
      <c r="BW77">
        <f t="shared" si="121"/>
        <v>0</v>
      </c>
      <c r="BX77">
        <f t="shared" si="121"/>
        <v>0</v>
      </c>
      <c r="BY77">
        <f t="shared" si="121"/>
        <v>1</v>
      </c>
      <c r="BZ77">
        <f t="shared" si="121"/>
        <v>0</v>
      </c>
      <c r="CA77">
        <f t="shared" si="121"/>
        <v>1</v>
      </c>
      <c r="CB77">
        <f t="shared" si="113"/>
        <v>30</v>
      </c>
      <c r="CC77">
        <v>21</v>
      </c>
      <c r="CD77">
        <v>1</v>
      </c>
      <c r="CE77">
        <v>1</v>
      </c>
      <c r="CF77">
        <v>1</v>
      </c>
      <c r="CG77">
        <v>1</v>
      </c>
      <c r="CH77" s="64">
        <f t="shared" si="75"/>
        <v>396.50000000000006</v>
      </c>
      <c r="CI77" s="64">
        <f t="shared" si="76"/>
        <v>0</v>
      </c>
      <c r="CJ77" s="64">
        <f t="shared" si="77"/>
        <v>336.5</v>
      </c>
      <c r="CK77" s="64">
        <f t="shared" si="78"/>
        <v>0</v>
      </c>
      <c r="CL77" s="64">
        <f t="shared" si="79"/>
        <v>276.5</v>
      </c>
      <c r="CM77" s="64">
        <f t="shared" si="80"/>
        <v>0</v>
      </c>
      <c r="CN77" s="64">
        <f t="shared" si="81"/>
        <v>219.2</v>
      </c>
      <c r="CO77" s="64">
        <f t="shared" si="82"/>
        <v>2.7000000000000011</v>
      </c>
      <c r="CP77" s="64">
        <f t="shared" si="83"/>
        <v>165.9</v>
      </c>
      <c r="CQ77" s="64">
        <f t="shared" si="84"/>
        <v>9.4000000000000021</v>
      </c>
      <c r="CR77" s="64">
        <f t="shared" si="85"/>
        <v>115.30000000000001</v>
      </c>
      <c r="CS77" s="64">
        <f t="shared" si="86"/>
        <v>18.800000000000004</v>
      </c>
      <c r="CT77" s="64">
        <f t="shared" si="87"/>
        <v>68.500000000000014</v>
      </c>
      <c r="CU77" s="64">
        <f t="shared" si="88"/>
        <v>31.999999999999996</v>
      </c>
      <c r="CV77" s="69">
        <f t="shared" si="89"/>
        <v>22.277215978155063</v>
      </c>
      <c r="CW77" s="69">
        <f t="shared" si="90"/>
        <v>676.03819751390881</v>
      </c>
      <c r="CX77" s="69">
        <f t="shared" si="95"/>
        <v>2244.82994882404</v>
      </c>
      <c r="CY77" s="69">
        <f t="shared" si="91"/>
        <v>22352.107142857141</v>
      </c>
      <c r="CZ77" s="64">
        <f t="shared" si="96"/>
        <v>1571.3809641768282</v>
      </c>
      <c r="DA77" s="64">
        <f t="shared" si="92"/>
        <v>15646.475</v>
      </c>
      <c r="DB77" s="64">
        <f t="shared" si="97"/>
        <v>396.50000000000006</v>
      </c>
      <c r="DC77" s="64">
        <f t="shared" si="98"/>
        <v>0</v>
      </c>
      <c r="DD77" s="64">
        <f t="shared" si="99"/>
        <v>336.5</v>
      </c>
      <c r="DE77" s="64">
        <f t="shared" si="100"/>
        <v>0</v>
      </c>
      <c r="DF77" s="64">
        <f t="shared" si="101"/>
        <v>276.5</v>
      </c>
      <c r="DG77" s="64">
        <f t="shared" si="102"/>
        <v>0</v>
      </c>
      <c r="DH77" s="64">
        <f t="shared" si="103"/>
        <v>219.2</v>
      </c>
      <c r="DI77" s="64">
        <f t="shared" si="104"/>
        <v>2.7000000000000011</v>
      </c>
      <c r="DJ77" s="64">
        <f t="shared" si="105"/>
        <v>165.9</v>
      </c>
      <c r="DK77" s="64">
        <f t="shared" si="106"/>
        <v>9.4000000000000021</v>
      </c>
      <c r="DL77" s="64">
        <f t="shared" si="107"/>
        <v>115.30000000000001</v>
      </c>
      <c r="DM77" s="64">
        <f t="shared" si="108"/>
        <v>18.800000000000004</v>
      </c>
      <c r="DN77" s="64">
        <f t="shared" si="109"/>
        <v>68.500000000000014</v>
      </c>
      <c r="DO77" s="64">
        <f t="shared" si="110"/>
        <v>31.999999999999996</v>
      </c>
      <c r="DP77" s="2">
        <f t="shared" si="122"/>
        <v>52</v>
      </c>
      <c r="DQ77" s="2">
        <f t="shared" si="122"/>
        <v>40</v>
      </c>
      <c r="DR77" s="2">
        <f t="shared" si="122"/>
        <v>28</v>
      </c>
      <c r="DS77" s="2">
        <f t="shared" si="122"/>
        <v>16</v>
      </c>
      <c r="DT77" s="2">
        <f t="shared" si="122"/>
        <v>4</v>
      </c>
      <c r="DU77" s="2">
        <f t="shared" si="115"/>
        <v>4</v>
      </c>
      <c r="DV77" s="2">
        <f t="shared" si="116"/>
        <v>15646.475</v>
      </c>
      <c r="DW77" s="2">
        <f t="shared" si="67"/>
        <v>1877577</v>
      </c>
    </row>
    <row r="78" spans="1:127">
      <c r="A78" s="3">
        <v>43952</v>
      </c>
      <c r="B78">
        <f t="shared" si="117"/>
        <v>2020</v>
      </c>
      <c r="C78" s="2">
        <v>20125132</v>
      </c>
      <c r="D78" s="2">
        <f>VLOOKUP(B78,'Historic CDM'!$B$135:$H$146,2,FALSE)/12</f>
        <v>1183895.730626733</v>
      </c>
      <c r="E78" s="2">
        <f t="shared" si="118"/>
        <v>21309027.730626732</v>
      </c>
      <c r="F78" s="6">
        <v>28241</v>
      </c>
      <c r="G78" s="219">
        <v>4185746</v>
      </c>
      <c r="H78" s="2">
        <f>VLOOKUP(B78,'Historic CDM'!$B$135:$H$147,3,FALSE)/12</f>
        <v>1133474.2109814028</v>
      </c>
      <c r="I78" s="2">
        <f t="shared" si="119"/>
        <v>5319220.2109814025</v>
      </c>
      <c r="J78" s="6">
        <v>2016</v>
      </c>
      <c r="K78" s="219">
        <v>11579098</v>
      </c>
      <c r="L78" s="2">
        <f>VLOOKUP(B78,'Historic CDM'!$B$135:$H$146,4,FALSE)/12</f>
        <v>1202218.3759527351</v>
      </c>
      <c r="M78" s="2">
        <f t="shared" si="73"/>
        <v>12781316.375952736</v>
      </c>
      <c r="N78" s="222">
        <v>47014</v>
      </c>
      <c r="O78" s="220">
        <v>256</v>
      </c>
      <c r="P78" s="219">
        <v>163475</v>
      </c>
      <c r="Q78" s="2">
        <v>618</v>
      </c>
      <c r="R78" s="220">
        <v>2776</v>
      </c>
      <c r="S78" s="220">
        <v>23579</v>
      </c>
      <c r="T78" s="2">
        <v>64</v>
      </c>
      <c r="U78" s="220">
        <v>228</v>
      </c>
      <c r="V78" s="221">
        <v>117392</v>
      </c>
      <c r="W78" s="220">
        <v>125</v>
      </c>
      <c r="X78" s="2">
        <v>2179756</v>
      </c>
      <c r="Y78" s="2">
        <v>11751</v>
      </c>
      <c r="Z78" s="220">
        <v>4</v>
      </c>
      <c r="AA78" s="100">
        <f>'Weather Data'!D234</f>
        <v>211</v>
      </c>
      <c r="AB78" s="100">
        <f>'Weather Data'!E234</f>
        <v>15</v>
      </c>
      <c r="AC78" s="100">
        <f>'Weather Data'!F234</f>
        <v>160.50000000000003</v>
      </c>
      <c r="AD78" s="100">
        <f>'Weather Data'!G234</f>
        <v>26.5</v>
      </c>
      <c r="AE78" s="100">
        <f>'Weather Data'!H234</f>
        <v>115.20000000000002</v>
      </c>
      <c r="AF78" s="100">
        <f>'Weather Data'!I234</f>
        <v>43.2</v>
      </c>
      <c r="AG78" s="100">
        <f>'Weather Data'!J234</f>
        <v>79.800000000000011</v>
      </c>
      <c r="AH78" s="100">
        <f>'Weather Data'!K234</f>
        <v>69.8</v>
      </c>
      <c r="AI78" s="100">
        <f>'Weather Data'!L234</f>
        <v>52.2</v>
      </c>
      <c r="AJ78" s="100">
        <f>'Weather Data'!M234</f>
        <v>104.19999999999999</v>
      </c>
      <c r="AK78" s="100">
        <f>'Weather Data'!N234</f>
        <v>31.799999999999997</v>
      </c>
      <c r="AL78" s="100">
        <f>'Weather Data'!O234</f>
        <v>145.79999999999998</v>
      </c>
      <c r="AM78" s="100">
        <f>'Weather Data'!P234</f>
        <v>14.8</v>
      </c>
      <c r="AN78" s="100">
        <f>'Weather Data'!Q234</f>
        <v>190.79999999999998</v>
      </c>
      <c r="AO78" s="100">
        <f>'Weather Data'!R234</f>
        <v>13.677419354838712</v>
      </c>
      <c r="AP78" s="5">
        <f>'Economic Data'!D104</f>
        <v>6568.2</v>
      </c>
      <c r="AQ78" s="5">
        <f>'Economic Data'!E104</f>
        <v>6536.7</v>
      </c>
      <c r="AR78" s="5">
        <f>'Economic Data'!F104</f>
        <v>137.69999999999999</v>
      </c>
      <c r="AS78" s="5">
        <f>'Economic Data'!G104</f>
        <v>137.30000000000001</v>
      </c>
      <c r="AT78" s="5">
        <f>'Economic Data'!H104</f>
        <v>769942</v>
      </c>
      <c r="AU78" s="5">
        <f>'Economic Data'!I104</f>
        <v>8258.2999999999993</v>
      </c>
      <c r="AV78" s="5">
        <f>'Economic Data'!J104</f>
        <v>7244.3</v>
      </c>
      <c r="AW78" s="5">
        <f>'Economic Data'!K104</f>
        <v>5453.2</v>
      </c>
      <c r="AX78" s="5">
        <f>'Economic Data'!L104</f>
        <v>1118.5</v>
      </c>
      <c r="AY78" s="5">
        <f>'Economic Data'!M104</f>
        <v>1755.9</v>
      </c>
      <c r="AZ78" s="5">
        <f>'Economic Data'!N104</f>
        <v>6539.9</v>
      </c>
      <c r="BA78" s="5">
        <f>'Economic Data'!O104</f>
        <v>107.8</v>
      </c>
      <c r="BB78" s="5">
        <f>'Economic Data'!P104</f>
        <v>72</v>
      </c>
      <c r="BC78" s="5">
        <f>'Economic Data'!Q104</f>
        <v>706539</v>
      </c>
      <c r="BD78" s="5">
        <f>'Economic Data'!R104</f>
        <v>8133</v>
      </c>
      <c r="BE78" s="5">
        <f>'Economic Data'!S104</f>
        <v>3719</v>
      </c>
      <c r="BF78" s="5">
        <f>'Economic Data'!T104</f>
        <v>13618</v>
      </c>
      <c r="BG78" s="5">
        <f>'EV Data'!V43</f>
        <v>37895.333333333314</v>
      </c>
      <c r="BH78" s="5">
        <f>'EV Data'!AB43</f>
        <v>177.00000000000006</v>
      </c>
      <c r="BI78" s="5">
        <f>'EV Data'!W43</f>
        <v>570.33333333333337</v>
      </c>
      <c r="BJ78" s="5">
        <f t="shared" si="71"/>
        <v>77</v>
      </c>
      <c r="BK78" s="70">
        <f t="shared" si="93"/>
        <v>1.8864907251724818</v>
      </c>
      <c r="BL78" s="5">
        <f t="shared" si="94"/>
        <v>5929</v>
      </c>
      <c r="BM78">
        <f t="shared" si="121"/>
        <v>0</v>
      </c>
      <c r="BN78">
        <f t="shared" si="121"/>
        <v>0</v>
      </c>
      <c r="BO78">
        <f t="shared" si="121"/>
        <v>0</v>
      </c>
      <c r="BP78">
        <f t="shared" si="121"/>
        <v>0</v>
      </c>
      <c r="BQ78">
        <f t="shared" si="121"/>
        <v>1</v>
      </c>
      <c r="BR78">
        <f t="shared" si="121"/>
        <v>0</v>
      </c>
      <c r="BS78">
        <f t="shared" si="121"/>
        <v>0</v>
      </c>
      <c r="BT78">
        <f t="shared" si="121"/>
        <v>0</v>
      </c>
      <c r="BU78">
        <f t="shared" si="121"/>
        <v>0</v>
      </c>
      <c r="BV78">
        <f t="shared" si="121"/>
        <v>0</v>
      </c>
      <c r="BW78">
        <f t="shared" si="121"/>
        <v>0</v>
      </c>
      <c r="BX78">
        <f t="shared" si="121"/>
        <v>0</v>
      </c>
      <c r="BY78">
        <f t="shared" si="121"/>
        <v>1</v>
      </c>
      <c r="BZ78">
        <f t="shared" si="121"/>
        <v>0</v>
      </c>
      <c r="CA78">
        <f t="shared" si="121"/>
        <v>1</v>
      </c>
      <c r="CB78">
        <f t="shared" si="113"/>
        <v>31</v>
      </c>
      <c r="CC78">
        <v>20</v>
      </c>
      <c r="CD78">
        <v>1</v>
      </c>
      <c r="CE78">
        <v>1</v>
      </c>
      <c r="CF78">
        <f t="shared" si="111"/>
        <v>1</v>
      </c>
      <c r="CG78">
        <v>1</v>
      </c>
      <c r="CH78" s="64">
        <f t="shared" si="75"/>
        <v>211</v>
      </c>
      <c r="CI78" s="64">
        <f t="shared" si="76"/>
        <v>15</v>
      </c>
      <c r="CJ78" s="64">
        <f t="shared" si="77"/>
        <v>160.50000000000003</v>
      </c>
      <c r="CK78" s="64">
        <f t="shared" si="78"/>
        <v>26.5</v>
      </c>
      <c r="CL78" s="64">
        <f t="shared" si="79"/>
        <v>115.20000000000002</v>
      </c>
      <c r="CM78" s="64">
        <f t="shared" si="80"/>
        <v>43.2</v>
      </c>
      <c r="CN78" s="64">
        <f t="shared" si="81"/>
        <v>79.800000000000011</v>
      </c>
      <c r="CO78" s="64">
        <f t="shared" si="82"/>
        <v>69.8</v>
      </c>
      <c r="CP78" s="64">
        <f t="shared" si="83"/>
        <v>52.2</v>
      </c>
      <c r="CQ78" s="64">
        <f t="shared" si="84"/>
        <v>104.19999999999999</v>
      </c>
      <c r="CR78" s="64">
        <f t="shared" si="85"/>
        <v>31.799999999999997</v>
      </c>
      <c r="CS78" s="64">
        <f t="shared" si="86"/>
        <v>145.79999999999998</v>
      </c>
      <c r="CT78" s="64">
        <f t="shared" si="87"/>
        <v>14.8</v>
      </c>
      <c r="CU78" s="64">
        <f t="shared" si="88"/>
        <v>190.79999999999998</v>
      </c>
      <c r="CV78" s="69">
        <f t="shared" si="89"/>
        <v>24.340072635903113</v>
      </c>
      <c r="CW78" s="69">
        <f t="shared" si="90"/>
        <v>670.26464352084201</v>
      </c>
      <c r="CX78" s="69">
        <f t="shared" si="95"/>
        <v>2496.3508546782687</v>
      </c>
      <c r="CY78" s="69">
        <f t="shared" si="91"/>
        <v>27246.95</v>
      </c>
      <c r="CZ78" s="64">
        <f t="shared" si="96"/>
        <v>1610.5489385021087</v>
      </c>
      <c r="DA78" s="64">
        <f t="shared" si="92"/>
        <v>17578.677419354837</v>
      </c>
      <c r="DB78" s="64">
        <f t="shared" si="97"/>
        <v>211</v>
      </c>
      <c r="DC78" s="64">
        <f t="shared" si="98"/>
        <v>15</v>
      </c>
      <c r="DD78" s="64">
        <f t="shared" si="99"/>
        <v>160.50000000000003</v>
      </c>
      <c r="DE78" s="64">
        <f t="shared" si="100"/>
        <v>26.5</v>
      </c>
      <c r="DF78" s="64">
        <f t="shared" si="101"/>
        <v>115.20000000000002</v>
      </c>
      <c r="DG78" s="64">
        <f t="shared" si="102"/>
        <v>43.2</v>
      </c>
      <c r="DH78" s="64">
        <f t="shared" si="103"/>
        <v>79.800000000000011</v>
      </c>
      <c r="DI78" s="64">
        <f t="shared" si="104"/>
        <v>69.8</v>
      </c>
      <c r="DJ78" s="64">
        <f t="shared" si="105"/>
        <v>52.2</v>
      </c>
      <c r="DK78" s="64">
        <f t="shared" si="106"/>
        <v>104.19999999999999</v>
      </c>
      <c r="DL78" s="64">
        <f t="shared" si="107"/>
        <v>31.799999999999997</v>
      </c>
      <c r="DM78" s="64">
        <f t="shared" si="108"/>
        <v>145.79999999999998</v>
      </c>
      <c r="DN78" s="64">
        <f t="shared" si="109"/>
        <v>14.8</v>
      </c>
      <c r="DO78" s="64">
        <f t="shared" si="110"/>
        <v>190.79999999999998</v>
      </c>
      <c r="DP78" s="2">
        <f t="shared" si="122"/>
        <v>53</v>
      </c>
      <c r="DQ78" s="2">
        <f t="shared" si="122"/>
        <v>41</v>
      </c>
      <c r="DR78" s="2">
        <f t="shared" si="122"/>
        <v>29</v>
      </c>
      <c r="DS78" s="2">
        <f t="shared" si="122"/>
        <v>17</v>
      </c>
      <c r="DT78" s="2">
        <f t="shared" si="122"/>
        <v>5</v>
      </c>
      <c r="DU78" s="2">
        <f t="shared" si="115"/>
        <v>4</v>
      </c>
      <c r="DV78" s="2">
        <f t="shared" si="116"/>
        <v>17578.677419354837</v>
      </c>
      <c r="DW78" s="2">
        <f t="shared" si="67"/>
        <v>2179756</v>
      </c>
    </row>
    <row r="79" spans="1:127">
      <c r="A79" s="3">
        <v>43983</v>
      </c>
      <c r="B79">
        <f t="shared" si="117"/>
        <v>2020</v>
      </c>
      <c r="C79" s="2">
        <v>28554301</v>
      </c>
      <c r="D79" s="2">
        <f>VLOOKUP(B79,'Historic CDM'!$B$135:$H$146,2,FALSE)/12</f>
        <v>1183895.730626733</v>
      </c>
      <c r="E79" s="2">
        <f t="shared" si="118"/>
        <v>29738196.730626732</v>
      </c>
      <c r="F79" s="6">
        <v>28260</v>
      </c>
      <c r="G79" s="219">
        <v>5105604</v>
      </c>
      <c r="H79" s="2">
        <f>VLOOKUP(B79,'Historic CDM'!$B$135:$H$147,3,FALSE)/12</f>
        <v>1133474.2109814028</v>
      </c>
      <c r="I79" s="2">
        <f t="shared" si="119"/>
        <v>6239078.2109814025</v>
      </c>
      <c r="J79" s="6">
        <v>2021</v>
      </c>
      <c r="K79" s="219">
        <v>14324103</v>
      </c>
      <c r="L79" s="2">
        <f>VLOOKUP(B79,'Historic CDM'!$B$135:$H$146,4,FALSE)/12</f>
        <v>1202218.3759527351</v>
      </c>
      <c r="M79" s="2">
        <f t="shared" si="73"/>
        <v>15526321.375952736</v>
      </c>
      <c r="N79" s="222">
        <v>49966</v>
      </c>
      <c r="O79" s="220">
        <v>255</v>
      </c>
      <c r="P79" s="219">
        <v>144025</v>
      </c>
      <c r="Q79" s="2">
        <v>618</v>
      </c>
      <c r="R79" s="220">
        <v>2776</v>
      </c>
      <c r="S79" s="220">
        <v>23296</v>
      </c>
      <c r="T79" s="2">
        <v>64</v>
      </c>
      <c r="U79" s="220">
        <v>228</v>
      </c>
      <c r="V79" s="221">
        <v>117392</v>
      </c>
      <c r="W79" s="220">
        <v>125</v>
      </c>
      <c r="X79" s="2">
        <v>2539378</v>
      </c>
      <c r="Y79" s="2">
        <v>7104</v>
      </c>
      <c r="Z79" s="220">
        <v>4</v>
      </c>
      <c r="AA79" s="100">
        <f>'Weather Data'!D235</f>
        <v>24.199999999999996</v>
      </c>
      <c r="AB79" s="100">
        <f>'Weather Data'!E235</f>
        <v>64.7</v>
      </c>
      <c r="AC79" s="100">
        <f>'Weather Data'!F235</f>
        <v>10.799999999999999</v>
      </c>
      <c r="AD79" s="100">
        <f>'Weather Data'!G235</f>
        <v>111.3</v>
      </c>
      <c r="AE79" s="100">
        <f>'Weather Data'!H235</f>
        <v>4.4000000000000004</v>
      </c>
      <c r="AF79" s="100">
        <f>'Weather Data'!I235</f>
        <v>164.9</v>
      </c>
      <c r="AG79" s="100">
        <f>'Weather Data'!J235</f>
        <v>0</v>
      </c>
      <c r="AH79" s="100">
        <f>'Weather Data'!K235</f>
        <v>220.5</v>
      </c>
      <c r="AI79" s="100">
        <f>'Weather Data'!L235</f>
        <v>0</v>
      </c>
      <c r="AJ79" s="100">
        <f>'Weather Data'!M235</f>
        <v>280.5</v>
      </c>
      <c r="AK79" s="100">
        <f>'Weather Data'!N235</f>
        <v>0</v>
      </c>
      <c r="AL79" s="100">
        <f>'Weather Data'!O235</f>
        <v>340.5</v>
      </c>
      <c r="AM79" s="100">
        <f>'Weather Data'!P235</f>
        <v>0</v>
      </c>
      <c r="AN79" s="100">
        <f>'Weather Data'!Q235</f>
        <v>400.5</v>
      </c>
      <c r="AO79" s="100">
        <f>'Weather Data'!R235</f>
        <v>21.35</v>
      </c>
      <c r="AP79" s="5">
        <f>'Economic Data'!D105</f>
        <v>6459.7</v>
      </c>
      <c r="AQ79" s="5">
        <f>'Economic Data'!E105</f>
        <v>6498.5</v>
      </c>
      <c r="AR79" s="5">
        <f>'Economic Data'!F105</f>
        <v>140</v>
      </c>
      <c r="AS79" s="5">
        <f>'Economic Data'!G105</f>
        <v>140.69999999999999</v>
      </c>
      <c r="AT79" s="5">
        <f>'Economic Data'!H105</f>
        <v>769942</v>
      </c>
      <c r="AU79" s="5">
        <f>'Economic Data'!I105</f>
        <v>8258.2999999999993</v>
      </c>
      <c r="AV79" s="5">
        <f>'Economic Data'!J105</f>
        <v>7244.3</v>
      </c>
      <c r="AW79" s="5">
        <f>'Economic Data'!K105</f>
        <v>5453.2</v>
      </c>
      <c r="AX79" s="5">
        <f>'Economic Data'!L105</f>
        <v>1118.5</v>
      </c>
      <c r="AY79" s="5">
        <f>'Economic Data'!M105</f>
        <v>1755.9</v>
      </c>
      <c r="AZ79" s="5">
        <f>'Economic Data'!N105</f>
        <v>6539.9</v>
      </c>
      <c r="BA79" s="5">
        <f>'Economic Data'!O105</f>
        <v>107.8</v>
      </c>
      <c r="BB79" s="5">
        <f>'Economic Data'!P105</f>
        <v>72</v>
      </c>
      <c r="BC79" s="5">
        <f>'Economic Data'!Q105</f>
        <v>706539</v>
      </c>
      <c r="BD79" s="5">
        <f>'Economic Data'!R105</f>
        <v>8133</v>
      </c>
      <c r="BE79" s="5">
        <f>'Economic Data'!S105</f>
        <v>3719</v>
      </c>
      <c r="BF79" s="5">
        <f>'Economic Data'!T105</f>
        <v>13618</v>
      </c>
      <c r="BG79" s="5">
        <f>'EV Data'!V44</f>
        <v>38441.999999999978</v>
      </c>
      <c r="BH79" s="5">
        <f>'EV Data'!AB44</f>
        <v>179.00000000000006</v>
      </c>
      <c r="BI79" s="5">
        <f>'EV Data'!W44</f>
        <v>577</v>
      </c>
      <c r="BJ79" s="5">
        <f t="shared" si="71"/>
        <v>78</v>
      </c>
      <c r="BK79" s="70">
        <f t="shared" si="93"/>
        <v>1.8920946026904804</v>
      </c>
      <c r="BL79" s="5">
        <f t="shared" si="94"/>
        <v>6084</v>
      </c>
      <c r="BM79">
        <f t="shared" si="121"/>
        <v>0</v>
      </c>
      <c r="BN79">
        <f t="shared" si="121"/>
        <v>0</v>
      </c>
      <c r="BO79">
        <f t="shared" si="121"/>
        <v>0</v>
      </c>
      <c r="BP79">
        <f t="shared" si="121"/>
        <v>0</v>
      </c>
      <c r="BQ79">
        <f t="shared" si="121"/>
        <v>0</v>
      </c>
      <c r="BR79">
        <f t="shared" si="121"/>
        <v>1</v>
      </c>
      <c r="BS79">
        <f t="shared" si="121"/>
        <v>0</v>
      </c>
      <c r="BT79">
        <f t="shared" si="121"/>
        <v>0</v>
      </c>
      <c r="BU79">
        <f t="shared" si="121"/>
        <v>0</v>
      </c>
      <c r="BV79">
        <f t="shared" si="121"/>
        <v>0</v>
      </c>
      <c r="BW79">
        <f t="shared" si="121"/>
        <v>0</v>
      </c>
      <c r="BX79">
        <f t="shared" si="121"/>
        <v>0</v>
      </c>
      <c r="BY79">
        <f t="shared" si="121"/>
        <v>0</v>
      </c>
      <c r="BZ79">
        <f t="shared" si="121"/>
        <v>0</v>
      </c>
      <c r="CA79">
        <f t="shared" si="121"/>
        <v>0</v>
      </c>
      <c r="CB79">
        <f t="shared" si="113"/>
        <v>30</v>
      </c>
      <c r="CC79">
        <v>22</v>
      </c>
      <c r="CD79">
        <v>1</v>
      </c>
      <c r="CE79">
        <v>0.5</v>
      </c>
      <c r="CF79">
        <f t="shared" si="111"/>
        <v>1</v>
      </c>
      <c r="CG79">
        <v>0.5</v>
      </c>
      <c r="CH79" s="64">
        <f t="shared" si="75"/>
        <v>24.199999999999996</v>
      </c>
      <c r="CI79" s="64">
        <f t="shared" si="76"/>
        <v>64.7</v>
      </c>
      <c r="CJ79" s="64">
        <f t="shared" si="77"/>
        <v>10.799999999999999</v>
      </c>
      <c r="CK79" s="64">
        <f t="shared" si="78"/>
        <v>111.3</v>
      </c>
      <c r="CL79" s="64">
        <f t="shared" si="79"/>
        <v>4.4000000000000004</v>
      </c>
      <c r="CM79" s="64">
        <f t="shared" si="80"/>
        <v>164.9</v>
      </c>
      <c r="CN79" s="64">
        <f t="shared" si="81"/>
        <v>0</v>
      </c>
      <c r="CO79" s="64">
        <f t="shared" si="82"/>
        <v>220.5</v>
      </c>
      <c r="CP79" s="64">
        <f t="shared" si="83"/>
        <v>0</v>
      </c>
      <c r="CQ79" s="64">
        <f t="shared" si="84"/>
        <v>280.5</v>
      </c>
      <c r="CR79" s="64">
        <f t="shared" si="85"/>
        <v>0</v>
      </c>
      <c r="CS79" s="64">
        <f t="shared" si="86"/>
        <v>340.5</v>
      </c>
      <c r="CT79" s="64">
        <f t="shared" si="87"/>
        <v>0</v>
      </c>
      <c r="CU79" s="64">
        <f t="shared" si="88"/>
        <v>400.5</v>
      </c>
      <c r="CV79" s="69">
        <f t="shared" si="89"/>
        <v>35.076901074105606</v>
      </c>
      <c r="CW79" s="69">
        <f t="shared" si="90"/>
        <v>815.56577921325527</v>
      </c>
      <c r="CX79" s="69">
        <f t="shared" si="95"/>
        <v>2767.6152185298997</v>
      </c>
      <c r="CY79" s="69">
        <f t="shared" si="91"/>
        <v>28856.56818181818</v>
      </c>
      <c r="CZ79" s="64">
        <f t="shared" si="96"/>
        <v>2029.584493588593</v>
      </c>
      <c r="DA79" s="64">
        <f t="shared" si="92"/>
        <v>21161.483333333334</v>
      </c>
      <c r="DB79" s="64">
        <f t="shared" si="97"/>
        <v>24.199999999999996</v>
      </c>
      <c r="DC79" s="64">
        <f t="shared" si="98"/>
        <v>64.7</v>
      </c>
      <c r="DD79" s="64">
        <f t="shared" si="99"/>
        <v>10.799999999999999</v>
      </c>
      <c r="DE79" s="64">
        <f t="shared" si="100"/>
        <v>111.3</v>
      </c>
      <c r="DF79" s="64">
        <f t="shared" si="101"/>
        <v>4.4000000000000004</v>
      </c>
      <c r="DG79" s="64">
        <f t="shared" si="102"/>
        <v>164.9</v>
      </c>
      <c r="DH79" s="64">
        <f t="shared" si="103"/>
        <v>0</v>
      </c>
      <c r="DI79" s="64">
        <f t="shared" si="104"/>
        <v>220.5</v>
      </c>
      <c r="DJ79" s="64">
        <f t="shared" si="105"/>
        <v>0</v>
      </c>
      <c r="DK79" s="64">
        <f t="shared" si="106"/>
        <v>280.5</v>
      </c>
      <c r="DL79" s="64">
        <f t="shared" si="107"/>
        <v>0</v>
      </c>
      <c r="DM79" s="64">
        <f t="shared" si="108"/>
        <v>340.5</v>
      </c>
      <c r="DN79" s="64">
        <f t="shared" si="109"/>
        <v>0</v>
      </c>
      <c r="DO79" s="64">
        <f t="shared" si="110"/>
        <v>400.5</v>
      </c>
      <c r="DP79" s="2">
        <f t="shared" si="122"/>
        <v>54</v>
      </c>
      <c r="DQ79" s="2">
        <f t="shared" si="122"/>
        <v>42</v>
      </c>
      <c r="DR79" s="2">
        <f t="shared" si="122"/>
        <v>30</v>
      </c>
      <c r="DS79" s="2">
        <f t="shared" si="122"/>
        <v>18</v>
      </c>
      <c r="DT79" s="2">
        <f t="shared" si="122"/>
        <v>6</v>
      </c>
      <c r="DU79" s="2">
        <f t="shared" si="115"/>
        <v>4</v>
      </c>
      <c r="DV79" s="2">
        <f t="shared" si="116"/>
        <v>21161.483333333334</v>
      </c>
      <c r="DW79" s="2">
        <f t="shared" si="67"/>
        <v>2539378</v>
      </c>
    </row>
    <row r="80" spans="1:127">
      <c r="A80" s="3">
        <v>44013</v>
      </c>
      <c r="B80">
        <f t="shared" si="117"/>
        <v>2020</v>
      </c>
      <c r="C80" s="2">
        <v>37988636</v>
      </c>
      <c r="D80" s="2">
        <f>VLOOKUP(B80,'Historic CDM'!$B$135:$H$146,2,FALSE)/12</f>
        <v>1183895.730626733</v>
      </c>
      <c r="E80" s="2">
        <f t="shared" si="118"/>
        <v>39172531.730626732</v>
      </c>
      <c r="F80" s="6">
        <v>28280</v>
      </c>
      <c r="G80" s="219">
        <v>6443139</v>
      </c>
      <c r="H80" s="2">
        <f>VLOOKUP(B80,'Historic CDM'!$B$135:$H$147,3,FALSE)/12</f>
        <v>1133474.2109814028</v>
      </c>
      <c r="I80" s="2">
        <f t="shared" si="119"/>
        <v>7576613.2109814025</v>
      </c>
      <c r="J80" s="6">
        <v>2025</v>
      </c>
      <c r="K80" s="219">
        <v>17268259</v>
      </c>
      <c r="L80" s="2">
        <f>VLOOKUP(B80,'Historic CDM'!$B$135:$H$146,4,FALSE)/12</f>
        <v>1202218.3759527351</v>
      </c>
      <c r="M80" s="2">
        <f t="shared" si="73"/>
        <v>18470477.375952736</v>
      </c>
      <c r="N80" s="222">
        <v>56136</v>
      </c>
      <c r="O80" s="220">
        <v>255</v>
      </c>
      <c r="P80" s="219">
        <v>152978</v>
      </c>
      <c r="Q80" s="2">
        <v>618</v>
      </c>
      <c r="R80" s="220">
        <v>2776</v>
      </c>
      <c r="S80" s="220">
        <v>23541</v>
      </c>
      <c r="T80" s="2">
        <v>64</v>
      </c>
      <c r="U80" s="220">
        <v>228</v>
      </c>
      <c r="V80" s="221">
        <v>117392</v>
      </c>
      <c r="W80" s="220">
        <v>125</v>
      </c>
      <c r="X80" s="2">
        <v>2920232</v>
      </c>
      <c r="Y80" s="2">
        <v>7339</v>
      </c>
      <c r="Z80" s="220">
        <v>4</v>
      </c>
      <c r="AA80" s="100">
        <f>'Weather Data'!D236</f>
        <v>0</v>
      </c>
      <c r="AB80" s="100">
        <f>'Weather Data'!E236</f>
        <v>143.69999999999999</v>
      </c>
      <c r="AC80" s="100">
        <f>'Weather Data'!F236</f>
        <v>0</v>
      </c>
      <c r="AD80" s="100">
        <f>'Weather Data'!G236</f>
        <v>205.7</v>
      </c>
      <c r="AE80" s="100">
        <f>'Weather Data'!H236</f>
        <v>0</v>
      </c>
      <c r="AF80" s="100">
        <f>'Weather Data'!I236</f>
        <v>267.70000000000005</v>
      </c>
      <c r="AG80" s="100">
        <f>'Weather Data'!J236</f>
        <v>0</v>
      </c>
      <c r="AH80" s="100">
        <f>'Weather Data'!K236</f>
        <v>329.7</v>
      </c>
      <c r="AI80" s="100">
        <f>'Weather Data'!L236</f>
        <v>0</v>
      </c>
      <c r="AJ80" s="100">
        <f>'Weather Data'!M236</f>
        <v>391.69999999999993</v>
      </c>
      <c r="AK80" s="100">
        <f>'Weather Data'!N236</f>
        <v>0</v>
      </c>
      <c r="AL80" s="100">
        <f>'Weather Data'!O236</f>
        <v>453.7</v>
      </c>
      <c r="AM80" s="100">
        <f>'Weather Data'!P236</f>
        <v>0</v>
      </c>
      <c r="AN80" s="100">
        <f>'Weather Data'!Q236</f>
        <v>515.69999999999993</v>
      </c>
      <c r="AO80" s="100">
        <f>'Weather Data'!R236</f>
        <v>24.635483870967743</v>
      </c>
      <c r="AP80" s="5">
        <f>'Economic Data'!D106</f>
        <v>6643.5</v>
      </c>
      <c r="AQ80" s="5">
        <f>'Economic Data'!E106</f>
        <v>6711.9</v>
      </c>
      <c r="AR80" s="5">
        <f>'Economic Data'!F106</f>
        <v>150.6</v>
      </c>
      <c r="AS80" s="5">
        <f>'Economic Data'!G106</f>
        <v>150.80000000000001</v>
      </c>
      <c r="AT80" s="5">
        <f>'Economic Data'!H106</f>
        <v>769942</v>
      </c>
      <c r="AU80" s="5">
        <f>'Economic Data'!I106</f>
        <v>8258.2999999999993</v>
      </c>
      <c r="AV80" s="5">
        <f>'Economic Data'!J106</f>
        <v>7244.3</v>
      </c>
      <c r="AW80" s="5">
        <f>'Economic Data'!K106</f>
        <v>5453.2</v>
      </c>
      <c r="AX80" s="5">
        <f>'Economic Data'!L106</f>
        <v>1118.5</v>
      </c>
      <c r="AY80" s="5">
        <f>'Economic Data'!M106</f>
        <v>1755.9</v>
      </c>
      <c r="AZ80" s="5">
        <f>'Economic Data'!N106</f>
        <v>6539.9</v>
      </c>
      <c r="BA80" s="5">
        <f>'Economic Data'!O106</f>
        <v>107.8</v>
      </c>
      <c r="BB80" s="5">
        <f>'Economic Data'!P106</f>
        <v>72</v>
      </c>
      <c r="BC80" s="5">
        <f>'Economic Data'!Q106</f>
        <v>777225</v>
      </c>
      <c r="BD80" s="5">
        <f>'Economic Data'!R106</f>
        <v>8275</v>
      </c>
      <c r="BE80" s="5">
        <f>'Economic Data'!S106</f>
        <v>3859</v>
      </c>
      <c r="BF80" s="5">
        <f>'Economic Data'!T106</f>
        <v>14949</v>
      </c>
      <c r="BG80" s="5">
        <f>'EV Data'!V45</f>
        <v>39540.666666666642</v>
      </c>
      <c r="BH80" s="5">
        <f>'EV Data'!AB45</f>
        <v>184.3333333333334</v>
      </c>
      <c r="BI80" s="5">
        <f>'EV Data'!W45</f>
        <v>591.33333333333337</v>
      </c>
      <c r="BJ80" s="5">
        <f t="shared" si="71"/>
        <v>79</v>
      </c>
      <c r="BK80" s="70">
        <f t="shared" si="93"/>
        <v>1.8976270912904414</v>
      </c>
      <c r="BL80" s="5">
        <f t="shared" si="94"/>
        <v>6241</v>
      </c>
      <c r="BM80">
        <f t="shared" si="121"/>
        <v>0</v>
      </c>
      <c r="BN80">
        <f t="shared" si="121"/>
        <v>0</v>
      </c>
      <c r="BO80">
        <f t="shared" si="121"/>
        <v>0</v>
      </c>
      <c r="BP80">
        <f t="shared" si="121"/>
        <v>0</v>
      </c>
      <c r="BQ80">
        <f t="shared" si="121"/>
        <v>0</v>
      </c>
      <c r="BR80">
        <f t="shared" si="121"/>
        <v>0</v>
      </c>
      <c r="BS80">
        <f t="shared" si="121"/>
        <v>1</v>
      </c>
      <c r="BT80">
        <f t="shared" si="121"/>
        <v>0</v>
      </c>
      <c r="BU80">
        <f t="shared" si="121"/>
        <v>0</v>
      </c>
      <c r="BV80">
        <f t="shared" si="121"/>
        <v>0</v>
      </c>
      <c r="BW80">
        <f t="shared" si="121"/>
        <v>0</v>
      </c>
      <c r="BX80">
        <f t="shared" si="121"/>
        <v>0</v>
      </c>
      <c r="BY80">
        <f t="shared" si="121"/>
        <v>0</v>
      </c>
      <c r="BZ80">
        <f t="shared" si="121"/>
        <v>0</v>
      </c>
      <c r="CA80">
        <f t="shared" si="121"/>
        <v>0</v>
      </c>
      <c r="CB80">
        <f t="shared" si="113"/>
        <v>31</v>
      </c>
      <c r="CC80">
        <v>22</v>
      </c>
      <c r="CD80">
        <v>1</v>
      </c>
      <c r="CE80">
        <v>0.5</v>
      </c>
      <c r="CF80">
        <f t="shared" si="111"/>
        <v>1</v>
      </c>
      <c r="CG80">
        <v>0</v>
      </c>
      <c r="CH80" s="64">
        <f t="shared" si="75"/>
        <v>0</v>
      </c>
      <c r="CI80" s="64">
        <f t="shared" si="76"/>
        <v>143.69999999999999</v>
      </c>
      <c r="CJ80" s="64">
        <f t="shared" si="77"/>
        <v>0</v>
      </c>
      <c r="CK80" s="64">
        <f t="shared" si="78"/>
        <v>205.7</v>
      </c>
      <c r="CL80" s="64">
        <f t="shared" si="79"/>
        <v>0</v>
      </c>
      <c r="CM80" s="64">
        <f t="shared" si="80"/>
        <v>267.70000000000005</v>
      </c>
      <c r="CN80" s="64">
        <f t="shared" si="81"/>
        <v>0</v>
      </c>
      <c r="CO80" s="64">
        <f t="shared" si="82"/>
        <v>329.7</v>
      </c>
      <c r="CP80" s="64">
        <f t="shared" si="83"/>
        <v>0</v>
      </c>
      <c r="CQ80" s="64">
        <f t="shared" si="84"/>
        <v>391.69999999999993</v>
      </c>
      <c r="CR80" s="64">
        <f t="shared" si="85"/>
        <v>0</v>
      </c>
      <c r="CS80" s="64">
        <f t="shared" si="86"/>
        <v>453.7</v>
      </c>
      <c r="CT80" s="64">
        <f t="shared" si="87"/>
        <v>0</v>
      </c>
      <c r="CU80" s="64">
        <f t="shared" si="88"/>
        <v>515.69999999999993</v>
      </c>
      <c r="CV80" s="69">
        <f t="shared" si="89"/>
        <v>44.682816684111344</v>
      </c>
      <c r="CW80" s="69">
        <f t="shared" si="90"/>
        <v>958.45834421017105</v>
      </c>
      <c r="CX80" s="69">
        <f t="shared" si="95"/>
        <v>3292.4202096172435</v>
      </c>
      <c r="CY80" s="69">
        <f t="shared" si="91"/>
        <v>33184.454545454544</v>
      </c>
      <c r="CZ80" s="64">
        <f t="shared" si="96"/>
        <v>2336.5562777928826</v>
      </c>
      <c r="DA80" s="64">
        <f t="shared" si="92"/>
        <v>23550.258064516129</v>
      </c>
      <c r="DB80" s="64">
        <f t="shared" si="97"/>
        <v>0</v>
      </c>
      <c r="DC80" s="64">
        <f t="shared" si="98"/>
        <v>143.69999999999999</v>
      </c>
      <c r="DD80" s="64">
        <f t="shared" si="99"/>
        <v>0</v>
      </c>
      <c r="DE80" s="64">
        <f t="shared" si="100"/>
        <v>205.7</v>
      </c>
      <c r="DF80" s="64">
        <f t="shared" si="101"/>
        <v>0</v>
      </c>
      <c r="DG80" s="64">
        <f t="shared" si="102"/>
        <v>267.70000000000005</v>
      </c>
      <c r="DH80" s="64">
        <f t="shared" si="103"/>
        <v>0</v>
      </c>
      <c r="DI80" s="64">
        <f t="shared" si="104"/>
        <v>329.7</v>
      </c>
      <c r="DJ80" s="64">
        <f t="shared" si="105"/>
        <v>0</v>
      </c>
      <c r="DK80" s="64">
        <f t="shared" si="106"/>
        <v>391.69999999999993</v>
      </c>
      <c r="DL80" s="64">
        <f t="shared" si="107"/>
        <v>0</v>
      </c>
      <c r="DM80" s="64">
        <f t="shared" si="108"/>
        <v>453.7</v>
      </c>
      <c r="DN80" s="64">
        <f t="shared" si="109"/>
        <v>0</v>
      </c>
      <c r="DO80" s="64">
        <f t="shared" si="110"/>
        <v>515.69999999999993</v>
      </c>
      <c r="DP80" s="2">
        <f t="shared" si="122"/>
        <v>55</v>
      </c>
      <c r="DQ80" s="2">
        <f t="shared" si="122"/>
        <v>43</v>
      </c>
      <c r="DR80" s="2">
        <f t="shared" si="122"/>
        <v>31</v>
      </c>
      <c r="DS80" s="2">
        <f t="shared" si="122"/>
        <v>19</v>
      </c>
      <c r="DT80" s="2">
        <f t="shared" si="122"/>
        <v>7</v>
      </c>
      <c r="DU80" s="2">
        <f t="shared" si="115"/>
        <v>4</v>
      </c>
      <c r="DV80" s="2">
        <f t="shared" si="116"/>
        <v>23550.258064516129</v>
      </c>
      <c r="DW80" s="2">
        <f t="shared" si="67"/>
        <v>2920232</v>
      </c>
    </row>
    <row r="81" spans="1:127">
      <c r="A81" s="3">
        <v>44044</v>
      </c>
      <c r="B81">
        <f t="shared" si="117"/>
        <v>2020</v>
      </c>
      <c r="C81" s="2">
        <v>32658437</v>
      </c>
      <c r="D81" s="2">
        <f>VLOOKUP(B81,'Historic CDM'!$B$135:$H$146,2,FALSE)/12</f>
        <v>1183895.730626733</v>
      </c>
      <c r="E81" s="2">
        <f t="shared" si="118"/>
        <v>33842332.730626732</v>
      </c>
      <c r="F81" s="6">
        <v>28295</v>
      </c>
      <c r="G81" s="219">
        <v>6066656</v>
      </c>
      <c r="H81" s="2">
        <f>VLOOKUP(B81,'Historic CDM'!$B$135:$H$147,3,FALSE)/12</f>
        <v>1133474.2109814028</v>
      </c>
      <c r="I81" s="2">
        <f t="shared" si="119"/>
        <v>7200130.2109814025</v>
      </c>
      <c r="J81" s="6">
        <v>2025</v>
      </c>
      <c r="K81" s="219">
        <v>17016167</v>
      </c>
      <c r="L81" s="2">
        <f>VLOOKUP(B81,'Historic CDM'!$B$135:$H$146,4,FALSE)/12</f>
        <v>1202218.3759527351</v>
      </c>
      <c r="M81" s="2">
        <f t="shared" si="73"/>
        <v>18218385.375952736</v>
      </c>
      <c r="N81" s="222">
        <v>58165</v>
      </c>
      <c r="O81" s="220">
        <v>255</v>
      </c>
      <c r="P81" s="219">
        <v>171656</v>
      </c>
      <c r="Q81" s="2">
        <v>618</v>
      </c>
      <c r="R81" s="220">
        <v>2776</v>
      </c>
      <c r="S81" s="220">
        <v>23782</v>
      </c>
      <c r="T81" s="2">
        <v>65</v>
      </c>
      <c r="U81" s="220">
        <v>228</v>
      </c>
      <c r="V81" s="221">
        <v>117392</v>
      </c>
      <c r="W81" s="220">
        <v>125</v>
      </c>
      <c r="X81" s="2">
        <v>2655205</v>
      </c>
      <c r="Y81" s="2">
        <v>7141</v>
      </c>
      <c r="Z81" s="220">
        <v>4</v>
      </c>
      <c r="AA81" s="100">
        <f>'Weather Data'!D237</f>
        <v>7.9420919656392321</v>
      </c>
      <c r="AB81" s="100">
        <f>'Weather Data'!E237</f>
        <v>66</v>
      </c>
      <c r="AC81" s="100">
        <f>'Weather Data'!F237</f>
        <v>0</v>
      </c>
      <c r="AD81" s="100">
        <f>'Weather Data'!G237</f>
        <v>120.05790803436078</v>
      </c>
      <c r="AE81" s="100">
        <f>'Weather Data'!H237</f>
        <v>0</v>
      </c>
      <c r="AF81" s="100">
        <f>'Weather Data'!I237</f>
        <v>182.05790803436074</v>
      </c>
      <c r="AG81" s="100">
        <f>'Weather Data'!J237</f>
        <v>0</v>
      </c>
      <c r="AH81" s="100">
        <f>'Weather Data'!K237</f>
        <v>244.05790803436074</v>
      </c>
      <c r="AI81" s="100">
        <f>'Weather Data'!L237</f>
        <v>0</v>
      </c>
      <c r="AJ81" s="100">
        <f>'Weather Data'!M237</f>
        <v>306.05790803436071</v>
      </c>
      <c r="AK81" s="100">
        <f>'Weather Data'!N237</f>
        <v>0</v>
      </c>
      <c r="AL81" s="100">
        <f>'Weather Data'!O237</f>
        <v>368.05790803436071</v>
      </c>
      <c r="AM81" s="100">
        <f>'Weather Data'!P237</f>
        <v>0</v>
      </c>
      <c r="AN81" s="100">
        <f>'Weather Data'!Q237</f>
        <v>430.05790803436076</v>
      </c>
      <c r="AO81" s="100">
        <f>'Weather Data'!R237</f>
        <v>21.8728357430439</v>
      </c>
      <c r="AP81" s="5">
        <f>'Economic Data'!D107</f>
        <v>6879.1</v>
      </c>
      <c r="AQ81" s="5">
        <f>'Economic Data'!E107</f>
        <v>6950.9</v>
      </c>
      <c r="AR81" s="5">
        <f>'Economic Data'!F107</f>
        <v>156.80000000000001</v>
      </c>
      <c r="AS81" s="5">
        <f>'Economic Data'!G107</f>
        <v>156.6</v>
      </c>
      <c r="AT81" s="5">
        <f>'Economic Data'!H107</f>
        <v>769942</v>
      </c>
      <c r="AU81" s="5">
        <f>'Economic Data'!I107</f>
        <v>8258.2999999999993</v>
      </c>
      <c r="AV81" s="5">
        <f>'Economic Data'!J107</f>
        <v>7244.3</v>
      </c>
      <c r="AW81" s="5">
        <f>'Economic Data'!K107</f>
        <v>5453.2</v>
      </c>
      <c r="AX81" s="5">
        <f>'Economic Data'!L107</f>
        <v>1118.5</v>
      </c>
      <c r="AY81" s="5">
        <f>'Economic Data'!M107</f>
        <v>1755.9</v>
      </c>
      <c r="AZ81" s="5">
        <f>'Economic Data'!N107</f>
        <v>6539.9</v>
      </c>
      <c r="BA81" s="5">
        <f>'Economic Data'!O107</f>
        <v>107.8</v>
      </c>
      <c r="BB81" s="5">
        <f>'Economic Data'!P107</f>
        <v>72</v>
      </c>
      <c r="BC81" s="5">
        <f>'Economic Data'!Q107</f>
        <v>777225</v>
      </c>
      <c r="BD81" s="5">
        <f>'Economic Data'!R107</f>
        <v>8275</v>
      </c>
      <c r="BE81" s="5">
        <f>'Economic Data'!S107</f>
        <v>3859</v>
      </c>
      <c r="BF81" s="5">
        <f>'Economic Data'!T107</f>
        <v>14949</v>
      </c>
      <c r="BG81" s="5">
        <f>'EV Data'!V46</f>
        <v>40639.333333333307</v>
      </c>
      <c r="BH81" s="5">
        <f>'EV Data'!AB46</f>
        <v>189.66666666666674</v>
      </c>
      <c r="BI81" s="5">
        <f>'EV Data'!W46</f>
        <v>605.66666666666674</v>
      </c>
      <c r="BJ81" s="5">
        <f t="shared" si="71"/>
        <v>80</v>
      </c>
      <c r="BK81" s="70">
        <f t="shared" si="93"/>
        <v>1.9030899869919435</v>
      </c>
      <c r="BL81" s="5">
        <f t="shared" si="94"/>
        <v>6400</v>
      </c>
      <c r="BM81">
        <f t="shared" si="121"/>
        <v>0</v>
      </c>
      <c r="BN81">
        <f t="shared" si="121"/>
        <v>0</v>
      </c>
      <c r="BO81">
        <f t="shared" si="121"/>
        <v>0</v>
      </c>
      <c r="BP81">
        <f t="shared" si="121"/>
        <v>0</v>
      </c>
      <c r="BQ81">
        <f t="shared" si="121"/>
        <v>0</v>
      </c>
      <c r="BR81">
        <f t="shared" si="121"/>
        <v>0</v>
      </c>
      <c r="BS81">
        <f t="shared" si="121"/>
        <v>0</v>
      </c>
      <c r="BT81">
        <f t="shared" si="121"/>
        <v>1</v>
      </c>
      <c r="BU81">
        <f t="shared" si="121"/>
        <v>0</v>
      </c>
      <c r="BV81">
        <f t="shared" si="121"/>
        <v>0</v>
      </c>
      <c r="BW81">
        <f t="shared" si="121"/>
        <v>0</v>
      </c>
      <c r="BX81">
        <f t="shared" si="121"/>
        <v>0</v>
      </c>
      <c r="BY81">
        <f t="shared" si="121"/>
        <v>0</v>
      </c>
      <c r="BZ81">
        <f t="shared" si="121"/>
        <v>0</v>
      </c>
      <c r="CA81">
        <f t="shared" si="121"/>
        <v>0</v>
      </c>
      <c r="CB81">
        <f t="shared" si="113"/>
        <v>31</v>
      </c>
      <c r="CC81">
        <v>20</v>
      </c>
      <c r="CD81">
        <v>1</v>
      </c>
      <c r="CE81">
        <v>0.5</v>
      </c>
      <c r="CF81">
        <f t="shared" si="111"/>
        <v>1</v>
      </c>
      <c r="CG81">
        <v>0</v>
      </c>
      <c r="CH81" s="64">
        <f t="shared" si="75"/>
        <v>7.9420919656392321</v>
      </c>
      <c r="CI81" s="64">
        <f t="shared" si="76"/>
        <v>66</v>
      </c>
      <c r="CJ81" s="64">
        <f t="shared" si="77"/>
        <v>0</v>
      </c>
      <c r="CK81" s="64">
        <f t="shared" si="78"/>
        <v>120.05790803436078</v>
      </c>
      <c r="CL81" s="64">
        <f t="shared" si="79"/>
        <v>0</v>
      </c>
      <c r="CM81" s="64">
        <f t="shared" si="80"/>
        <v>182.05790803436074</v>
      </c>
      <c r="CN81" s="64">
        <f t="shared" si="81"/>
        <v>0</v>
      </c>
      <c r="CO81" s="64">
        <f t="shared" si="82"/>
        <v>244.05790803436074</v>
      </c>
      <c r="CP81" s="64">
        <f t="shared" si="83"/>
        <v>0</v>
      </c>
      <c r="CQ81" s="64">
        <f t="shared" si="84"/>
        <v>306.05790803436071</v>
      </c>
      <c r="CR81" s="64">
        <f t="shared" si="85"/>
        <v>0</v>
      </c>
      <c r="CS81" s="64">
        <f t="shared" si="86"/>
        <v>368.05790803436071</v>
      </c>
      <c r="CT81" s="64">
        <f t="shared" si="87"/>
        <v>0</v>
      </c>
      <c r="CU81" s="64">
        <f t="shared" si="88"/>
        <v>430.05790803436076</v>
      </c>
      <c r="CV81" s="69">
        <f t="shared" si="89"/>
        <v>38.582369768540815</v>
      </c>
      <c r="CW81" s="69">
        <f t="shared" si="90"/>
        <v>910.83241125634447</v>
      </c>
      <c r="CX81" s="69">
        <f t="shared" si="95"/>
        <v>3572.2324266573987</v>
      </c>
      <c r="CY81" s="69">
        <f t="shared" si="91"/>
        <v>33190.0625</v>
      </c>
      <c r="CZ81" s="64">
        <f t="shared" si="96"/>
        <v>2304.6660817144511</v>
      </c>
      <c r="DA81" s="64">
        <f t="shared" si="92"/>
        <v>21412.943548387098</v>
      </c>
      <c r="DB81" s="64">
        <f t="shared" si="97"/>
        <v>7.9420919656392321</v>
      </c>
      <c r="DC81" s="64">
        <f t="shared" si="98"/>
        <v>66</v>
      </c>
      <c r="DD81" s="64">
        <f t="shared" si="99"/>
        <v>0</v>
      </c>
      <c r="DE81" s="64">
        <f t="shared" si="100"/>
        <v>120.05790803436078</v>
      </c>
      <c r="DF81" s="64">
        <f t="shared" si="101"/>
        <v>0</v>
      </c>
      <c r="DG81" s="64">
        <f t="shared" si="102"/>
        <v>182.05790803436074</v>
      </c>
      <c r="DH81" s="64">
        <f t="shared" si="103"/>
        <v>0</v>
      </c>
      <c r="DI81" s="64">
        <f t="shared" si="104"/>
        <v>244.05790803436074</v>
      </c>
      <c r="DJ81" s="64">
        <f t="shared" si="105"/>
        <v>0</v>
      </c>
      <c r="DK81" s="64">
        <f t="shared" si="106"/>
        <v>306.05790803436071</v>
      </c>
      <c r="DL81" s="64">
        <f t="shared" si="107"/>
        <v>0</v>
      </c>
      <c r="DM81" s="64">
        <f t="shared" si="108"/>
        <v>368.05790803436071</v>
      </c>
      <c r="DN81" s="64">
        <f t="shared" si="109"/>
        <v>0</v>
      </c>
      <c r="DO81" s="64">
        <f t="shared" si="110"/>
        <v>430.05790803436076</v>
      </c>
      <c r="DP81" s="2">
        <f t="shared" si="122"/>
        <v>56</v>
      </c>
      <c r="DQ81" s="2">
        <f t="shared" si="122"/>
        <v>44</v>
      </c>
      <c r="DR81" s="2">
        <f t="shared" si="122"/>
        <v>32</v>
      </c>
      <c r="DS81" s="2">
        <f t="shared" si="122"/>
        <v>20</v>
      </c>
      <c r="DT81" s="2">
        <f t="shared" si="122"/>
        <v>8</v>
      </c>
      <c r="DU81" s="2">
        <f t="shared" si="115"/>
        <v>4</v>
      </c>
      <c r="DV81" s="2">
        <f t="shared" si="116"/>
        <v>21412.943548387098</v>
      </c>
      <c r="DW81" s="2">
        <f t="shared" si="67"/>
        <v>2655205</v>
      </c>
    </row>
    <row r="82" spans="1:127">
      <c r="A82" s="3">
        <v>44075</v>
      </c>
      <c r="B82">
        <f t="shared" si="117"/>
        <v>2020</v>
      </c>
      <c r="C82" s="2">
        <v>21292665</v>
      </c>
      <c r="D82" s="2">
        <f>VLOOKUP(B82,'Historic CDM'!$B$135:$H$146,2,FALSE)/12</f>
        <v>1183895.730626733</v>
      </c>
      <c r="E82" s="2">
        <f t="shared" si="118"/>
        <v>22476560.730626732</v>
      </c>
      <c r="F82" s="6">
        <v>28299</v>
      </c>
      <c r="G82" s="219">
        <v>4947584</v>
      </c>
      <c r="H82" s="2">
        <f>VLOOKUP(B82,'Historic CDM'!$B$135:$H$147,3,FALSE)/12</f>
        <v>1133474.2109814028</v>
      </c>
      <c r="I82" s="2">
        <f t="shared" si="119"/>
        <v>6081058.2109814025</v>
      </c>
      <c r="J82" s="6">
        <v>2025</v>
      </c>
      <c r="K82" s="219">
        <v>16551629</v>
      </c>
      <c r="L82" s="2">
        <f>VLOOKUP(B82,'Historic CDM'!$B$135:$H$146,4,FALSE)/12</f>
        <v>1202218.3759527351</v>
      </c>
      <c r="M82" s="2">
        <f t="shared" si="73"/>
        <v>17753847.375952736</v>
      </c>
      <c r="N82" s="222">
        <v>53611</v>
      </c>
      <c r="O82" s="220">
        <v>256</v>
      </c>
      <c r="P82" s="219">
        <v>193869</v>
      </c>
      <c r="Q82" s="2">
        <v>618</v>
      </c>
      <c r="R82" s="220">
        <v>2779</v>
      </c>
      <c r="S82" s="220">
        <v>23347</v>
      </c>
      <c r="T82" s="2">
        <v>64</v>
      </c>
      <c r="U82" s="220">
        <v>228</v>
      </c>
      <c r="V82" s="221">
        <v>117392</v>
      </c>
      <c r="W82" s="220">
        <v>125</v>
      </c>
      <c r="X82" s="2">
        <v>2348776</v>
      </c>
      <c r="Y82" s="2">
        <v>7217</v>
      </c>
      <c r="Z82" s="220">
        <v>4</v>
      </c>
      <c r="AA82" s="100">
        <f>'Weather Data'!D238</f>
        <v>106.33552299140982</v>
      </c>
      <c r="AB82" s="100">
        <f>'Weather Data'!E238</f>
        <v>10.564477008590192</v>
      </c>
      <c r="AC82" s="100">
        <f>'Weather Data'!F238</f>
        <v>62.1355229914098</v>
      </c>
      <c r="AD82" s="100">
        <f>'Weather Data'!G238</f>
        <v>26.364477008590192</v>
      </c>
      <c r="AE82" s="100">
        <f>'Weather Data'!H238</f>
        <v>31.4</v>
      </c>
      <c r="AF82" s="100">
        <f>'Weather Data'!I238</f>
        <v>55.628954017180384</v>
      </c>
      <c r="AG82" s="100">
        <f>'Weather Data'!J238</f>
        <v>12.100000000000001</v>
      </c>
      <c r="AH82" s="100">
        <f>'Weather Data'!K238</f>
        <v>96.328954017180365</v>
      </c>
      <c r="AI82" s="100">
        <f>'Weather Data'!L238</f>
        <v>2.9000000000000004</v>
      </c>
      <c r="AJ82" s="100">
        <f>'Weather Data'!M238</f>
        <v>147.12895401718038</v>
      </c>
      <c r="AK82" s="100">
        <f>'Weather Data'!N238</f>
        <v>0</v>
      </c>
      <c r="AL82" s="100">
        <f>'Weather Data'!O238</f>
        <v>204.2289540171804</v>
      </c>
      <c r="AM82" s="100">
        <f>'Weather Data'!P238</f>
        <v>0</v>
      </c>
      <c r="AN82" s="100">
        <f>'Weather Data'!Q238</f>
        <v>264.22895401718034</v>
      </c>
      <c r="AO82" s="100">
        <f>'Weather Data'!R238</f>
        <v>16.807631800572679</v>
      </c>
      <c r="AP82" s="5">
        <f>'Economic Data'!D108</f>
        <v>7040.8</v>
      </c>
      <c r="AQ82" s="5">
        <f>'Economic Data'!E108</f>
        <v>7075.5</v>
      </c>
      <c r="AR82" s="5">
        <f>'Economic Data'!F108</f>
        <v>157.4</v>
      </c>
      <c r="AS82" s="5">
        <f>'Economic Data'!G108</f>
        <v>157.80000000000001</v>
      </c>
      <c r="AT82" s="5">
        <f>'Economic Data'!H108</f>
        <v>769942</v>
      </c>
      <c r="AU82" s="5">
        <f>'Economic Data'!I108</f>
        <v>8258.2999999999993</v>
      </c>
      <c r="AV82" s="5">
        <f>'Economic Data'!J108</f>
        <v>7244.3</v>
      </c>
      <c r="AW82" s="5">
        <f>'Economic Data'!K108</f>
        <v>5453.2</v>
      </c>
      <c r="AX82" s="5">
        <f>'Economic Data'!L108</f>
        <v>1118.5</v>
      </c>
      <c r="AY82" s="5">
        <f>'Economic Data'!M108</f>
        <v>1755.9</v>
      </c>
      <c r="AZ82" s="5">
        <f>'Economic Data'!N108</f>
        <v>6539.9</v>
      </c>
      <c r="BA82" s="5">
        <f>'Economic Data'!O108</f>
        <v>107.8</v>
      </c>
      <c r="BB82" s="5">
        <f>'Economic Data'!P108</f>
        <v>72</v>
      </c>
      <c r="BC82" s="5">
        <f>'Economic Data'!Q108</f>
        <v>777225</v>
      </c>
      <c r="BD82" s="5">
        <f>'Economic Data'!R108</f>
        <v>8275</v>
      </c>
      <c r="BE82" s="5">
        <f>'Economic Data'!S108</f>
        <v>3859</v>
      </c>
      <c r="BF82" s="5">
        <f>'Economic Data'!T108</f>
        <v>14949</v>
      </c>
      <c r="BG82" s="5">
        <f>'EV Data'!V47</f>
        <v>41737.999999999971</v>
      </c>
      <c r="BH82" s="5">
        <f>'EV Data'!AB47</f>
        <v>195.00000000000009</v>
      </c>
      <c r="BI82" s="5">
        <f>'EV Data'!W47</f>
        <v>620.00000000000011</v>
      </c>
      <c r="BJ82" s="5">
        <f t="shared" si="71"/>
        <v>81</v>
      </c>
      <c r="BK82" s="70">
        <f t="shared" si="93"/>
        <v>1.9084850188786497</v>
      </c>
      <c r="BL82" s="5">
        <f t="shared" si="94"/>
        <v>6561</v>
      </c>
      <c r="BM82">
        <f t="shared" si="121"/>
        <v>0</v>
      </c>
      <c r="BN82">
        <f t="shared" si="121"/>
        <v>0</v>
      </c>
      <c r="BO82">
        <f t="shared" si="121"/>
        <v>0</v>
      </c>
      <c r="BP82">
        <f t="shared" si="121"/>
        <v>0</v>
      </c>
      <c r="BQ82">
        <f t="shared" si="121"/>
        <v>0</v>
      </c>
      <c r="BR82">
        <f t="shared" si="121"/>
        <v>0</v>
      </c>
      <c r="BS82">
        <f t="shared" si="121"/>
        <v>0</v>
      </c>
      <c r="BT82">
        <f t="shared" si="121"/>
        <v>0</v>
      </c>
      <c r="BU82">
        <f t="shared" si="121"/>
        <v>1</v>
      </c>
      <c r="BV82">
        <f t="shared" si="121"/>
        <v>0</v>
      </c>
      <c r="BW82">
        <f t="shared" si="121"/>
        <v>0</v>
      </c>
      <c r="BX82">
        <f t="shared" si="121"/>
        <v>0</v>
      </c>
      <c r="BY82">
        <f t="shared" si="121"/>
        <v>0</v>
      </c>
      <c r="BZ82">
        <f t="shared" si="121"/>
        <v>0</v>
      </c>
      <c r="CA82">
        <f t="shared" si="121"/>
        <v>0</v>
      </c>
      <c r="CB82">
        <f t="shared" si="113"/>
        <v>30</v>
      </c>
      <c r="CC82">
        <v>21</v>
      </c>
      <c r="CD82">
        <v>1</v>
      </c>
      <c r="CE82">
        <v>0.5</v>
      </c>
      <c r="CF82">
        <f t="shared" si="111"/>
        <v>1</v>
      </c>
      <c r="CG82">
        <v>0</v>
      </c>
      <c r="CH82" s="64">
        <f t="shared" si="75"/>
        <v>106.33552299140982</v>
      </c>
      <c r="CI82" s="64">
        <f t="shared" si="76"/>
        <v>10.564477008590192</v>
      </c>
      <c r="CJ82" s="64">
        <f t="shared" si="77"/>
        <v>62.1355229914098</v>
      </c>
      <c r="CK82" s="64">
        <f t="shared" si="78"/>
        <v>26.364477008590192</v>
      </c>
      <c r="CL82" s="64">
        <f t="shared" si="79"/>
        <v>31.4</v>
      </c>
      <c r="CM82" s="64">
        <f t="shared" si="80"/>
        <v>55.628954017180384</v>
      </c>
      <c r="CN82" s="64">
        <f t="shared" si="81"/>
        <v>12.100000000000001</v>
      </c>
      <c r="CO82" s="64">
        <f t="shared" si="82"/>
        <v>96.328954017180365</v>
      </c>
      <c r="CP82" s="64">
        <f t="shared" si="83"/>
        <v>2.9000000000000004</v>
      </c>
      <c r="CQ82" s="64">
        <f t="shared" si="84"/>
        <v>147.12895401718038</v>
      </c>
      <c r="CR82" s="64">
        <f t="shared" si="85"/>
        <v>0</v>
      </c>
      <c r="CS82" s="64">
        <f t="shared" si="86"/>
        <v>204.2289540171804</v>
      </c>
      <c r="CT82" s="64">
        <f t="shared" si="87"/>
        <v>0</v>
      </c>
      <c r="CU82" s="64">
        <f t="shared" si="88"/>
        <v>264.22895401718034</v>
      </c>
      <c r="CV82" s="69">
        <f t="shared" si="89"/>
        <v>26.475094209014138</v>
      </c>
      <c r="CW82" s="69">
        <f t="shared" si="90"/>
        <v>791.80445455487018</v>
      </c>
      <c r="CX82" s="69">
        <f t="shared" si="95"/>
        <v>3302.4269672531132</v>
      </c>
      <c r="CY82" s="69">
        <f t="shared" si="91"/>
        <v>27961.619047619046</v>
      </c>
      <c r="CZ82" s="64">
        <f t="shared" si="96"/>
        <v>2311.6988770771791</v>
      </c>
      <c r="DA82" s="64">
        <f t="shared" si="92"/>
        <v>19573.133333333335</v>
      </c>
      <c r="DB82" s="64">
        <f t="shared" si="97"/>
        <v>106.33552299140982</v>
      </c>
      <c r="DC82" s="64">
        <f t="shared" si="98"/>
        <v>10.564477008590192</v>
      </c>
      <c r="DD82" s="64">
        <f t="shared" si="99"/>
        <v>62.1355229914098</v>
      </c>
      <c r="DE82" s="64">
        <f t="shared" si="100"/>
        <v>26.364477008590192</v>
      </c>
      <c r="DF82" s="64">
        <f t="shared" si="101"/>
        <v>31.4</v>
      </c>
      <c r="DG82" s="64">
        <f t="shared" si="102"/>
        <v>55.628954017180384</v>
      </c>
      <c r="DH82" s="64">
        <f t="shared" si="103"/>
        <v>12.100000000000001</v>
      </c>
      <c r="DI82" s="64">
        <f t="shared" si="104"/>
        <v>96.328954017180365</v>
      </c>
      <c r="DJ82" s="64">
        <f t="shared" si="105"/>
        <v>2.9000000000000004</v>
      </c>
      <c r="DK82" s="64">
        <f t="shared" si="106"/>
        <v>147.12895401718038</v>
      </c>
      <c r="DL82" s="64">
        <f t="shared" si="107"/>
        <v>0</v>
      </c>
      <c r="DM82" s="64">
        <f t="shared" si="108"/>
        <v>204.2289540171804</v>
      </c>
      <c r="DN82" s="64">
        <f t="shared" si="109"/>
        <v>0</v>
      </c>
      <c r="DO82" s="64">
        <f t="shared" si="110"/>
        <v>264.22895401718034</v>
      </c>
      <c r="DP82" s="2">
        <f t="shared" si="122"/>
        <v>57</v>
      </c>
      <c r="DQ82" s="2">
        <f t="shared" si="122"/>
        <v>45</v>
      </c>
      <c r="DR82" s="2">
        <f t="shared" si="122"/>
        <v>33</v>
      </c>
      <c r="DS82" s="2">
        <f t="shared" si="122"/>
        <v>21</v>
      </c>
      <c r="DT82" s="2">
        <f t="shared" si="122"/>
        <v>9</v>
      </c>
      <c r="DU82" s="2">
        <f t="shared" si="115"/>
        <v>4</v>
      </c>
      <c r="DV82" s="2">
        <f t="shared" si="116"/>
        <v>19573.133333333335</v>
      </c>
      <c r="DW82" s="2">
        <f t="shared" si="67"/>
        <v>2348776</v>
      </c>
    </row>
    <row r="83" spans="1:127">
      <c r="A83" s="3">
        <v>44105</v>
      </c>
      <c r="B83">
        <f t="shared" si="117"/>
        <v>2020</v>
      </c>
      <c r="C83" s="2">
        <v>17526935</v>
      </c>
      <c r="D83" s="2">
        <f>VLOOKUP(B83,'Historic CDM'!$B$135:$H$146,2,FALSE)/12</f>
        <v>1183895.730626733</v>
      </c>
      <c r="E83" s="2">
        <f t="shared" si="118"/>
        <v>18710830.730626732</v>
      </c>
      <c r="F83" s="6">
        <v>28334</v>
      </c>
      <c r="G83" s="219">
        <v>4595499</v>
      </c>
      <c r="H83" s="2">
        <f>VLOOKUP(B83,'Historic CDM'!$B$135:$H$147,3,FALSE)/12</f>
        <v>1133474.2109814028</v>
      </c>
      <c r="I83" s="2">
        <f t="shared" si="119"/>
        <v>5728973.2109814025</v>
      </c>
      <c r="J83" s="6">
        <v>2027</v>
      </c>
      <c r="K83" s="219">
        <v>15141742</v>
      </c>
      <c r="L83" s="2">
        <f>VLOOKUP(B83,'Historic CDM'!$B$135:$H$146,4,FALSE)/12</f>
        <v>1202218.3759527351</v>
      </c>
      <c r="M83" s="2">
        <f t="shared" si="73"/>
        <v>16343960.375952736</v>
      </c>
      <c r="N83" s="222">
        <v>47239</v>
      </c>
      <c r="O83" s="220">
        <v>256</v>
      </c>
      <c r="P83" s="219">
        <v>229117</v>
      </c>
      <c r="Q83" s="2">
        <v>618</v>
      </c>
      <c r="R83" s="220">
        <v>2781</v>
      </c>
      <c r="S83" s="220">
        <v>23497</v>
      </c>
      <c r="T83" s="2">
        <v>64</v>
      </c>
      <c r="U83" s="220">
        <v>228</v>
      </c>
      <c r="V83" s="221">
        <v>117392</v>
      </c>
      <c r="W83" s="220">
        <v>125</v>
      </c>
      <c r="X83" s="2">
        <v>2222132</v>
      </c>
      <c r="Y83" s="2">
        <v>5984</v>
      </c>
      <c r="Z83" s="220">
        <v>4</v>
      </c>
      <c r="AA83" s="100">
        <f>'Weather Data'!D239</f>
        <v>300.89999999999998</v>
      </c>
      <c r="AB83" s="100">
        <f>'Weather Data'!E239</f>
        <v>0</v>
      </c>
      <c r="AC83" s="100">
        <f>'Weather Data'!F239</f>
        <v>239.7</v>
      </c>
      <c r="AD83" s="100">
        <f>'Weather Data'!G239</f>
        <v>0.80000000000000071</v>
      </c>
      <c r="AE83" s="100">
        <f>'Weather Data'!H239</f>
        <v>181.8</v>
      </c>
      <c r="AF83" s="100">
        <f>'Weather Data'!I239</f>
        <v>4.9000000000000021</v>
      </c>
      <c r="AG83" s="100">
        <f>'Weather Data'!J239</f>
        <v>129.4</v>
      </c>
      <c r="AH83" s="100">
        <f>'Weather Data'!K239</f>
        <v>14.500000000000002</v>
      </c>
      <c r="AI83" s="100">
        <f>'Weather Data'!L239</f>
        <v>83.899999999999991</v>
      </c>
      <c r="AJ83" s="100">
        <f>'Weather Data'!M239</f>
        <v>31.000000000000004</v>
      </c>
      <c r="AK83" s="100">
        <f>'Weather Data'!N239</f>
        <v>48.6</v>
      </c>
      <c r="AL83" s="100">
        <f>'Weather Data'!O239</f>
        <v>57.7</v>
      </c>
      <c r="AM83" s="100">
        <f>'Weather Data'!P239</f>
        <v>22.499999999999996</v>
      </c>
      <c r="AN83" s="100">
        <f>'Weather Data'!Q239</f>
        <v>93.59999999999998</v>
      </c>
      <c r="AO83" s="100">
        <f>'Weather Data'!R239</f>
        <v>10.293548387096777</v>
      </c>
      <c r="AP83" s="5">
        <f>'Economic Data'!D109</f>
        <v>7159.1</v>
      </c>
      <c r="AQ83" s="5">
        <f>'Economic Data'!E109</f>
        <v>7184.1</v>
      </c>
      <c r="AR83" s="5">
        <f>'Economic Data'!F109</f>
        <v>154.69999999999999</v>
      </c>
      <c r="AS83" s="5">
        <f>'Economic Data'!G109</f>
        <v>155.80000000000001</v>
      </c>
      <c r="AT83" s="5">
        <f>'Economic Data'!H109</f>
        <v>769942</v>
      </c>
      <c r="AU83" s="5">
        <f>'Economic Data'!I109</f>
        <v>8258.2999999999993</v>
      </c>
      <c r="AV83" s="5">
        <f>'Economic Data'!J109</f>
        <v>7244.3</v>
      </c>
      <c r="AW83" s="5">
        <f>'Economic Data'!K109</f>
        <v>5453.2</v>
      </c>
      <c r="AX83" s="5">
        <f>'Economic Data'!L109</f>
        <v>1118.5</v>
      </c>
      <c r="AY83" s="5">
        <f>'Economic Data'!M109</f>
        <v>1755.9</v>
      </c>
      <c r="AZ83" s="5">
        <f>'Economic Data'!N109</f>
        <v>6539.9</v>
      </c>
      <c r="BA83" s="5">
        <f>'Economic Data'!O109</f>
        <v>107.8</v>
      </c>
      <c r="BB83" s="5">
        <f>'Economic Data'!P109</f>
        <v>72</v>
      </c>
      <c r="BC83" s="5">
        <f>'Economic Data'!Q109</f>
        <v>795879</v>
      </c>
      <c r="BD83" s="5">
        <f>'Economic Data'!R109</f>
        <v>8803</v>
      </c>
      <c r="BE83" s="5">
        <f>'Economic Data'!S109</f>
        <v>3986</v>
      </c>
      <c r="BF83" s="5">
        <f>'Economic Data'!T109</f>
        <v>15853</v>
      </c>
      <c r="BG83" s="5">
        <f>'EV Data'!V48</f>
        <v>42896.999999999971</v>
      </c>
      <c r="BH83" s="5">
        <f>'EV Data'!AB48</f>
        <v>199.66666666666674</v>
      </c>
      <c r="BI83" s="5">
        <f>'EV Data'!W48</f>
        <v>633.00000000000011</v>
      </c>
      <c r="BJ83" s="5">
        <f t="shared" si="71"/>
        <v>82</v>
      </c>
      <c r="BK83" s="70">
        <f t="shared" si="93"/>
        <v>1.9138138523837167</v>
      </c>
      <c r="BL83" s="5">
        <f t="shared" si="94"/>
        <v>6724</v>
      </c>
      <c r="BM83">
        <f t="shared" si="121"/>
        <v>0</v>
      </c>
      <c r="BN83">
        <f t="shared" si="121"/>
        <v>0</v>
      </c>
      <c r="BO83">
        <f t="shared" si="121"/>
        <v>0</v>
      </c>
      <c r="BP83">
        <f t="shared" si="121"/>
        <v>0</v>
      </c>
      <c r="BQ83">
        <f t="shared" si="121"/>
        <v>0</v>
      </c>
      <c r="BR83">
        <f t="shared" si="121"/>
        <v>0</v>
      </c>
      <c r="BS83">
        <f t="shared" si="121"/>
        <v>0</v>
      </c>
      <c r="BT83">
        <f t="shared" si="121"/>
        <v>0</v>
      </c>
      <c r="BU83">
        <f t="shared" si="121"/>
        <v>0</v>
      </c>
      <c r="BV83">
        <f t="shared" si="121"/>
        <v>1</v>
      </c>
      <c r="BW83">
        <f t="shared" si="121"/>
        <v>0</v>
      </c>
      <c r="BX83">
        <f t="shared" si="121"/>
        <v>0</v>
      </c>
      <c r="BY83">
        <f t="shared" si="121"/>
        <v>0</v>
      </c>
      <c r="BZ83">
        <f t="shared" si="121"/>
        <v>1</v>
      </c>
      <c r="CA83">
        <f t="shared" si="121"/>
        <v>1</v>
      </c>
      <c r="CB83">
        <f t="shared" si="113"/>
        <v>31</v>
      </c>
      <c r="CC83">
        <v>21</v>
      </c>
      <c r="CD83">
        <v>1</v>
      </c>
      <c r="CE83">
        <v>0.5</v>
      </c>
      <c r="CF83">
        <f t="shared" si="111"/>
        <v>1</v>
      </c>
      <c r="CG83">
        <v>0</v>
      </c>
      <c r="CH83" s="64">
        <f t="shared" si="75"/>
        <v>300.89999999999998</v>
      </c>
      <c r="CI83" s="64">
        <f t="shared" si="76"/>
        <v>0</v>
      </c>
      <c r="CJ83" s="64">
        <f t="shared" si="77"/>
        <v>239.7</v>
      </c>
      <c r="CK83" s="64">
        <f t="shared" si="78"/>
        <v>0.80000000000000071</v>
      </c>
      <c r="CL83" s="64">
        <f t="shared" si="79"/>
        <v>181.8</v>
      </c>
      <c r="CM83" s="64">
        <f t="shared" si="80"/>
        <v>4.9000000000000021</v>
      </c>
      <c r="CN83" s="64">
        <f t="shared" si="81"/>
        <v>129.4</v>
      </c>
      <c r="CO83" s="64">
        <f t="shared" si="82"/>
        <v>14.500000000000002</v>
      </c>
      <c r="CP83" s="64">
        <f t="shared" si="83"/>
        <v>83.899999999999991</v>
      </c>
      <c r="CQ83" s="64">
        <f t="shared" si="84"/>
        <v>31.000000000000004</v>
      </c>
      <c r="CR83" s="64">
        <f t="shared" si="85"/>
        <v>48.6</v>
      </c>
      <c r="CS83" s="64">
        <f t="shared" si="86"/>
        <v>57.7</v>
      </c>
      <c r="CT83" s="64">
        <f t="shared" si="87"/>
        <v>22.499999999999996</v>
      </c>
      <c r="CU83" s="64">
        <f t="shared" si="88"/>
        <v>93.59999999999998</v>
      </c>
      <c r="CV83" s="69">
        <f t="shared" si="89"/>
        <v>21.302152356141978</v>
      </c>
      <c r="CW83" s="69">
        <f t="shared" si="90"/>
        <v>721.89682598051945</v>
      </c>
      <c r="CX83" s="69">
        <f t="shared" si="95"/>
        <v>3040.1712008840655</v>
      </c>
      <c r="CY83" s="69">
        <f t="shared" si="91"/>
        <v>26453.952380952382</v>
      </c>
      <c r="CZ83" s="64">
        <f t="shared" si="96"/>
        <v>2059.4708135021087</v>
      </c>
      <c r="DA83" s="64">
        <f t="shared" si="92"/>
        <v>17920.419354838708</v>
      </c>
      <c r="DB83" s="64">
        <f t="shared" si="97"/>
        <v>300.89999999999998</v>
      </c>
      <c r="DC83" s="64">
        <f t="shared" si="98"/>
        <v>0</v>
      </c>
      <c r="DD83" s="64">
        <f t="shared" si="99"/>
        <v>239.7</v>
      </c>
      <c r="DE83" s="64">
        <f t="shared" si="100"/>
        <v>0.80000000000000071</v>
      </c>
      <c r="DF83" s="64">
        <f t="shared" si="101"/>
        <v>181.8</v>
      </c>
      <c r="DG83" s="64">
        <f t="shared" si="102"/>
        <v>4.9000000000000021</v>
      </c>
      <c r="DH83" s="64">
        <f t="shared" si="103"/>
        <v>129.4</v>
      </c>
      <c r="DI83" s="64">
        <f t="shared" si="104"/>
        <v>14.500000000000002</v>
      </c>
      <c r="DJ83" s="64">
        <f t="shared" si="105"/>
        <v>83.899999999999991</v>
      </c>
      <c r="DK83" s="64">
        <f t="shared" si="106"/>
        <v>31.000000000000004</v>
      </c>
      <c r="DL83" s="64">
        <f t="shared" si="107"/>
        <v>48.6</v>
      </c>
      <c r="DM83" s="64">
        <f t="shared" si="108"/>
        <v>57.7</v>
      </c>
      <c r="DN83" s="64">
        <f t="shared" si="109"/>
        <v>22.499999999999996</v>
      </c>
      <c r="DO83" s="64">
        <f t="shared" si="110"/>
        <v>93.59999999999998</v>
      </c>
      <c r="DP83" s="2">
        <f t="shared" si="122"/>
        <v>58</v>
      </c>
      <c r="DQ83" s="2">
        <f t="shared" si="122"/>
        <v>46</v>
      </c>
      <c r="DR83" s="2">
        <f t="shared" si="122"/>
        <v>34</v>
      </c>
      <c r="DS83" s="2">
        <f t="shared" si="122"/>
        <v>22</v>
      </c>
      <c r="DT83" s="2">
        <f t="shared" si="122"/>
        <v>10</v>
      </c>
      <c r="DU83" s="2">
        <f t="shared" si="115"/>
        <v>4</v>
      </c>
      <c r="DV83" s="2">
        <f t="shared" si="116"/>
        <v>17920.419354838708</v>
      </c>
      <c r="DW83" s="2">
        <f t="shared" si="67"/>
        <v>2222132</v>
      </c>
    </row>
    <row r="84" spans="1:127">
      <c r="A84" s="3">
        <v>44136</v>
      </c>
      <c r="B84">
        <f t="shared" si="117"/>
        <v>2020</v>
      </c>
      <c r="C84" s="2">
        <v>17935327</v>
      </c>
      <c r="D84" s="2">
        <f>VLOOKUP(B84,'Historic CDM'!$B$135:$H$146,2,FALSE)/12</f>
        <v>1183895.730626733</v>
      </c>
      <c r="E84" s="2">
        <f t="shared" si="118"/>
        <v>19119222.730626732</v>
      </c>
      <c r="F84" s="6">
        <v>28357</v>
      </c>
      <c r="G84" s="219">
        <v>4668921</v>
      </c>
      <c r="H84" s="2">
        <f>VLOOKUP(B84,'Historic CDM'!$B$135:$H$147,3,FALSE)/12</f>
        <v>1133474.2109814028</v>
      </c>
      <c r="I84" s="2">
        <f t="shared" si="119"/>
        <v>5802395.2109814025</v>
      </c>
      <c r="J84" s="6">
        <v>2027</v>
      </c>
      <c r="K84" s="219">
        <v>14087979</v>
      </c>
      <c r="L84" s="2">
        <f>VLOOKUP(B84,'Historic CDM'!$B$135:$H$146,4,FALSE)/12</f>
        <v>1202218.3759527351</v>
      </c>
      <c r="M84" s="2">
        <f t="shared" si="73"/>
        <v>15290197.375952736</v>
      </c>
      <c r="N84" s="222">
        <v>46360</v>
      </c>
      <c r="O84" s="220">
        <v>256</v>
      </c>
      <c r="P84" s="219">
        <v>240557</v>
      </c>
      <c r="Q84" s="2">
        <v>618</v>
      </c>
      <c r="R84" s="220">
        <v>2781</v>
      </c>
      <c r="S84" s="220">
        <v>23038</v>
      </c>
      <c r="T84" s="2">
        <v>63</v>
      </c>
      <c r="U84" s="220">
        <v>228</v>
      </c>
      <c r="V84" s="221">
        <v>117392</v>
      </c>
      <c r="W84" s="220">
        <v>125</v>
      </c>
      <c r="X84" s="2">
        <v>2529849</v>
      </c>
      <c r="Y84" s="2">
        <v>9882</v>
      </c>
      <c r="Z84" s="220">
        <v>4</v>
      </c>
      <c r="AA84" s="100">
        <f>'Weather Data'!D240</f>
        <v>389.23552299140982</v>
      </c>
      <c r="AB84" s="100">
        <f>'Weather Data'!E240</f>
        <v>0</v>
      </c>
      <c r="AC84" s="100">
        <f>'Weather Data'!F240</f>
        <v>330.63552299140986</v>
      </c>
      <c r="AD84" s="100">
        <f>'Weather Data'!G240</f>
        <v>1.3999999999999986</v>
      </c>
      <c r="AE84" s="100">
        <f>'Weather Data'!H240</f>
        <v>272.63552299140974</v>
      </c>
      <c r="AF84" s="100">
        <f>'Weather Data'!I240</f>
        <v>3.3999999999999986</v>
      </c>
      <c r="AG84" s="100">
        <f>'Weather Data'!J240</f>
        <v>215.63552299140977</v>
      </c>
      <c r="AH84" s="100">
        <f>'Weather Data'!K240</f>
        <v>6.3999999999999986</v>
      </c>
      <c r="AI84" s="100">
        <f>'Weather Data'!L240</f>
        <v>167.43552299140978</v>
      </c>
      <c r="AJ84" s="100">
        <f>'Weather Data'!M240</f>
        <v>18.199999999999996</v>
      </c>
      <c r="AK84" s="100">
        <f>'Weather Data'!N240</f>
        <v>124.23552299140978</v>
      </c>
      <c r="AL84" s="100">
        <f>'Weather Data'!O240</f>
        <v>34.999999999999993</v>
      </c>
      <c r="AM84" s="100">
        <f>'Weather Data'!P240</f>
        <v>85.035522991409792</v>
      </c>
      <c r="AN84" s="100">
        <f>'Weather Data'!Q240</f>
        <v>55.8</v>
      </c>
      <c r="AO84" s="100">
        <f>'Weather Data'!R240</f>
        <v>7.0254825669530083</v>
      </c>
      <c r="AP84" s="5">
        <f>'Economic Data'!D110</f>
        <v>7242.5</v>
      </c>
      <c r="AQ84" s="5">
        <f>'Economic Data'!E110</f>
        <v>7255.2</v>
      </c>
      <c r="AR84" s="5">
        <f>'Economic Data'!F110</f>
        <v>154.19999999999999</v>
      </c>
      <c r="AS84" s="5">
        <f>'Economic Data'!G110</f>
        <v>155.30000000000001</v>
      </c>
      <c r="AT84" s="5">
        <f>'Economic Data'!H110</f>
        <v>769942</v>
      </c>
      <c r="AU84" s="5">
        <f>'Economic Data'!I110</f>
        <v>8258.2999999999993</v>
      </c>
      <c r="AV84" s="5">
        <f>'Economic Data'!J110</f>
        <v>7244.3</v>
      </c>
      <c r="AW84" s="5">
        <f>'Economic Data'!K110</f>
        <v>5453.2</v>
      </c>
      <c r="AX84" s="5">
        <f>'Economic Data'!L110</f>
        <v>1118.5</v>
      </c>
      <c r="AY84" s="5">
        <f>'Economic Data'!M110</f>
        <v>1755.9</v>
      </c>
      <c r="AZ84" s="5">
        <f>'Economic Data'!N110</f>
        <v>6539.9</v>
      </c>
      <c r="BA84" s="5">
        <f>'Economic Data'!O110</f>
        <v>107.8</v>
      </c>
      <c r="BB84" s="5">
        <f>'Economic Data'!P110</f>
        <v>72</v>
      </c>
      <c r="BC84" s="5">
        <f>'Economic Data'!Q110</f>
        <v>795879</v>
      </c>
      <c r="BD84" s="5">
        <f>'Economic Data'!R110</f>
        <v>8803</v>
      </c>
      <c r="BE84" s="5">
        <f>'Economic Data'!S110</f>
        <v>3986</v>
      </c>
      <c r="BF84" s="5">
        <f>'Economic Data'!T110</f>
        <v>15853</v>
      </c>
      <c r="BG84" s="5">
        <f>'EV Data'!V49</f>
        <v>44055.999999999971</v>
      </c>
      <c r="BH84" s="5">
        <f>'EV Data'!AB49</f>
        <v>204.3333333333334</v>
      </c>
      <c r="BI84" s="5">
        <f>'EV Data'!W49</f>
        <v>646.00000000000011</v>
      </c>
      <c r="BJ84" s="5">
        <f t="shared" si="71"/>
        <v>83</v>
      </c>
      <c r="BK84" s="70">
        <f t="shared" si="93"/>
        <v>1.919078092376074</v>
      </c>
      <c r="BL84" s="5">
        <f t="shared" si="94"/>
        <v>6889</v>
      </c>
      <c r="BM84">
        <f t="shared" si="121"/>
        <v>0</v>
      </c>
      <c r="BN84">
        <f t="shared" si="121"/>
        <v>0</v>
      </c>
      <c r="BO84">
        <f t="shared" si="121"/>
        <v>0</v>
      </c>
      <c r="BP84">
        <f t="shared" si="121"/>
        <v>0</v>
      </c>
      <c r="BQ84">
        <f t="shared" si="121"/>
        <v>0</v>
      </c>
      <c r="BR84">
        <f t="shared" si="121"/>
        <v>0</v>
      </c>
      <c r="BS84">
        <f t="shared" si="121"/>
        <v>0</v>
      </c>
      <c r="BT84">
        <f t="shared" si="121"/>
        <v>0</v>
      </c>
      <c r="BU84">
        <f t="shared" si="121"/>
        <v>0</v>
      </c>
      <c r="BV84">
        <f t="shared" si="121"/>
        <v>0</v>
      </c>
      <c r="BW84">
        <f t="shared" si="121"/>
        <v>1</v>
      </c>
      <c r="BX84">
        <f t="shared" si="121"/>
        <v>0</v>
      </c>
      <c r="BY84">
        <f t="shared" si="121"/>
        <v>0</v>
      </c>
      <c r="BZ84">
        <f t="shared" si="121"/>
        <v>1</v>
      </c>
      <c r="CA84">
        <f t="shared" si="121"/>
        <v>1</v>
      </c>
      <c r="CB84">
        <f t="shared" si="113"/>
        <v>30</v>
      </c>
      <c r="CC84">
        <v>21</v>
      </c>
      <c r="CD84">
        <v>1</v>
      </c>
      <c r="CE84">
        <v>0.5</v>
      </c>
      <c r="CF84">
        <f t="shared" si="111"/>
        <v>1</v>
      </c>
      <c r="CG84">
        <v>0</v>
      </c>
      <c r="CH84" s="64">
        <f t="shared" si="75"/>
        <v>389.23552299140982</v>
      </c>
      <c r="CI84" s="64">
        <f t="shared" si="76"/>
        <v>0</v>
      </c>
      <c r="CJ84" s="64">
        <f t="shared" si="77"/>
        <v>330.63552299140986</v>
      </c>
      <c r="CK84" s="64">
        <f t="shared" si="78"/>
        <v>1.3999999999999986</v>
      </c>
      <c r="CL84" s="64">
        <f t="shared" si="79"/>
        <v>272.63552299140974</v>
      </c>
      <c r="CM84" s="64">
        <f t="shared" si="80"/>
        <v>3.3999999999999986</v>
      </c>
      <c r="CN84" s="64">
        <f t="shared" si="81"/>
        <v>215.63552299140977</v>
      </c>
      <c r="CO84" s="64">
        <f t="shared" si="82"/>
        <v>6.3999999999999986</v>
      </c>
      <c r="CP84" s="64">
        <f t="shared" si="83"/>
        <v>167.43552299140978</v>
      </c>
      <c r="CQ84" s="64">
        <f t="shared" si="84"/>
        <v>18.199999999999996</v>
      </c>
      <c r="CR84" s="64">
        <f t="shared" si="85"/>
        <v>124.23552299140978</v>
      </c>
      <c r="CS84" s="64">
        <f t="shared" si="86"/>
        <v>34.999999999999993</v>
      </c>
      <c r="CT84" s="64">
        <f t="shared" si="87"/>
        <v>85.035522991409792</v>
      </c>
      <c r="CU84" s="64">
        <f t="shared" si="88"/>
        <v>55.8</v>
      </c>
      <c r="CV84" s="69">
        <f t="shared" si="89"/>
        <v>22.474430452947221</v>
      </c>
      <c r="CW84" s="69">
        <f t="shared" si="90"/>
        <v>755.52020976320341</v>
      </c>
      <c r="CX84" s="69">
        <f t="shared" si="95"/>
        <v>2844.1587380864462</v>
      </c>
      <c r="CY84" s="69">
        <f t="shared" si="91"/>
        <v>30117.25</v>
      </c>
      <c r="CZ84" s="64">
        <f t="shared" si="96"/>
        <v>1990.9111166605123</v>
      </c>
      <c r="DA84" s="64">
        <f t="shared" si="92"/>
        <v>21082.075000000001</v>
      </c>
      <c r="DB84" s="64">
        <f t="shared" si="97"/>
        <v>389.23552299140982</v>
      </c>
      <c r="DC84" s="64">
        <f t="shared" si="98"/>
        <v>0</v>
      </c>
      <c r="DD84" s="64">
        <f t="shared" si="99"/>
        <v>330.63552299140986</v>
      </c>
      <c r="DE84" s="64">
        <f t="shared" si="100"/>
        <v>1.3999999999999986</v>
      </c>
      <c r="DF84" s="64">
        <f t="shared" si="101"/>
        <v>272.63552299140974</v>
      </c>
      <c r="DG84" s="64">
        <f t="shared" si="102"/>
        <v>3.3999999999999986</v>
      </c>
      <c r="DH84" s="64">
        <f t="shared" si="103"/>
        <v>215.63552299140977</v>
      </c>
      <c r="DI84" s="64">
        <f t="shared" si="104"/>
        <v>6.3999999999999986</v>
      </c>
      <c r="DJ84" s="64">
        <f t="shared" si="105"/>
        <v>167.43552299140978</v>
      </c>
      <c r="DK84" s="64">
        <f t="shared" si="106"/>
        <v>18.199999999999996</v>
      </c>
      <c r="DL84" s="64">
        <f t="shared" si="107"/>
        <v>124.23552299140978</v>
      </c>
      <c r="DM84" s="64">
        <f t="shared" si="108"/>
        <v>34.999999999999993</v>
      </c>
      <c r="DN84" s="64">
        <f t="shared" si="109"/>
        <v>85.035522991409792</v>
      </c>
      <c r="DO84" s="64">
        <f t="shared" si="110"/>
        <v>55.8</v>
      </c>
      <c r="DP84" s="2">
        <f t="shared" si="122"/>
        <v>59</v>
      </c>
      <c r="DQ84" s="2">
        <f t="shared" si="122"/>
        <v>47</v>
      </c>
      <c r="DR84" s="2">
        <f t="shared" si="122"/>
        <v>35</v>
      </c>
      <c r="DS84" s="2">
        <f t="shared" si="122"/>
        <v>23</v>
      </c>
      <c r="DT84" s="2">
        <f t="shared" si="122"/>
        <v>11</v>
      </c>
      <c r="DU84" s="2">
        <f t="shared" si="115"/>
        <v>4</v>
      </c>
      <c r="DV84" s="2">
        <f t="shared" si="116"/>
        <v>21082.075000000001</v>
      </c>
      <c r="DW84" s="2">
        <f t="shared" si="67"/>
        <v>2529849</v>
      </c>
    </row>
    <row r="85" spans="1:127">
      <c r="A85" s="3">
        <v>44166</v>
      </c>
      <c r="B85">
        <f t="shared" si="117"/>
        <v>2020</v>
      </c>
      <c r="C85" s="2">
        <v>21977197</v>
      </c>
      <c r="D85" s="2">
        <f>VLOOKUP(B85,'Historic CDM'!$B$135:$H$146,2,FALSE)/12</f>
        <v>1183895.730626733</v>
      </c>
      <c r="E85" s="2">
        <f t="shared" si="118"/>
        <v>23161092.730626732</v>
      </c>
      <c r="F85" s="6">
        <v>28376</v>
      </c>
      <c r="G85" s="219">
        <v>5019994</v>
      </c>
      <c r="H85" s="2">
        <f>VLOOKUP(B85,'Historic CDM'!$B$135:$H$147,3,FALSE)/12</f>
        <v>1133474.2109814028</v>
      </c>
      <c r="I85" s="2">
        <f t="shared" si="119"/>
        <v>6153468.2109814025</v>
      </c>
      <c r="J85" s="6">
        <v>2029</v>
      </c>
      <c r="K85" s="219">
        <v>14148316</v>
      </c>
      <c r="L85" s="2">
        <f>VLOOKUP(B85,'Historic CDM'!$B$135:$H$146,4,FALSE)/12</f>
        <v>1202218.3759527351</v>
      </c>
      <c r="M85" s="2">
        <f t="shared" si="73"/>
        <v>15350534.375952736</v>
      </c>
      <c r="N85" s="222">
        <v>53530</v>
      </c>
      <c r="O85" s="220">
        <v>256</v>
      </c>
      <c r="P85" s="219">
        <v>263129</v>
      </c>
      <c r="Q85" s="2">
        <v>618</v>
      </c>
      <c r="R85" s="220">
        <v>2783</v>
      </c>
      <c r="S85" s="220">
        <v>23854</v>
      </c>
      <c r="T85" s="2">
        <v>65</v>
      </c>
      <c r="U85" s="220">
        <v>228</v>
      </c>
      <c r="V85" s="221">
        <v>117392</v>
      </c>
      <c r="W85" s="220">
        <v>125</v>
      </c>
      <c r="X85" s="2">
        <v>2398255</v>
      </c>
      <c r="Y85" s="2">
        <v>10393</v>
      </c>
      <c r="Z85" s="220">
        <v>4</v>
      </c>
      <c r="AA85" s="100">
        <f>'Weather Data'!D241</f>
        <v>609.4</v>
      </c>
      <c r="AB85" s="100">
        <f>'Weather Data'!E241</f>
        <v>0</v>
      </c>
      <c r="AC85" s="100">
        <f>'Weather Data'!F241</f>
        <v>547.4</v>
      </c>
      <c r="AD85" s="100">
        <f>'Weather Data'!G241</f>
        <v>0</v>
      </c>
      <c r="AE85" s="100">
        <f>'Weather Data'!H241</f>
        <v>485.40000000000003</v>
      </c>
      <c r="AF85" s="100">
        <f>'Weather Data'!I241</f>
        <v>0</v>
      </c>
      <c r="AG85" s="100">
        <f>'Weather Data'!J241</f>
        <v>423.40000000000003</v>
      </c>
      <c r="AH85" s="100">
        <f>'Weather Data'!K241</f>
        <v>0</v>
      </c>
      <c r="AI85" s="100">
        <f>'Weather Data'!L241</f>
        <v>361.4</v>
      </c>
      <c r="AJ85" s="100">
        <f>'Weather Data'!M241</f>
        <v>0</v>
      </c>
      <c r="AK85" s="100">
        <f>'Weather Data'!N241</f>
        <v>299.40000000000009</v>
      </c>
      <c r="AL85" s="100">
        <f>'Weather Data'!O241</f>
        <v>0</v>
      </c>
      <c r="AM85" s="100">
        <f>'Weather Data'!P241</f>
        <v>237.40000000000006</v>
      </c>
      <c r="AN85" s="100">
        <f>'Weather Data'!Q241</f>
        <v>0</v>
      </c>
      <c r="AO85" s="100">
        <f>'Weather Data'!R241</f>
        <v>0.34193548387096778</v>
      </c>
      <c r="AP85" s="5">
        <f>'Economic Data'!D111</f>
        <v>7258.1</v>
      </c>
      <c r="AQ85" s="5">
        <f>'Economic Data'!E111</f>
        <v>7273.3</v>
      </c>
      <c r="AR85" s="5">
        <f>'Economic Data'!F111</f>
        <v>149.69999999999999</v>
      </c>
      <c r="AS85" s="5">
        <f>'Economic Data'!G111</f>
        <v>150.5</v>
      </c>
      <c r="AT85" s="5">
        <f>'Economic Data'!H111</f>
        <v>769942</v>
      </c>
      <c r="AU85" s="5">
        <f>'Economic Data'!I111</f>
        <v>8258.2999999999993</v>
      </c>
      <c r="AV85" s="5">
        <f>'Economic Data'!J111</f>
        <v>7244.3</v>
      </c>
      <c r="AW85" s="5">
        <f>'Economic Data'!K111</f>
        <v>5453.2</v>
      </c>
      <c r="AX85" s="5">
        <f>'Economic Data'!L111</f>
        <v>1118.5</v>
      </c>
      <c r="AY85" s="5">
        <f>'Economic Data'!M111</f>
        <v>1755.9</v>
      </c>
      <c r="AZ85" s="5">
        <f>'Economic Data'!N111</f>
        <v>6539.9</v>
      </c>
      <c r="BA85" s="5">
        <f>'Economic Data'!O111</f>
        <v>107.8</v>
      </c>
      <c r="BB85" s="5">
        <f>'Economic Data'!P111</f>
        <v>72</v>
      </c>
      <c r="BC85" s="5">
        <f>'Economic Data'!Q111</f>
        <v>795879</v>
      </c>
      <c r="BD85" s="5">
        <f>'Economic Data'!R111</f>
        <v>8803</v>
      </c>
      <c r="BE85" s="5">
        <f>'Economic Data'!S111</f>
        <v>3986</v>
      </c>
      <c r="BF85" s="5">
        <f>'Economic Data'!T111</f>
        <v>15853</v>
      </c>
      <c r="BG85" s="5">
        <f>'EV Data'!V50</f>
        <v>45214.999999999971</v>
      </c>
      <c r="BH85" s="5">
        <f>'EV Data'!AB50</f>
        <v>209.00000000000006</v>
      </c>
      <c r="BI85" s="5">
        <f>'EV Data'!W50</f>
        <v>659.00000000000011</v>
      </c>
      <c r="BJ85" s="5">
        <f t="shared" si="71"/>
        <v>84</v>
      </c>
      <c r="BK85" s="70">
        <f t="shared" si="93"/>
        <v>1.9242792860618816</v>
      </c>
      <c r="BL85" s="5">
        <f t="shared" si="94"/>
        <v>7056</v>
      </c>
      <c r="BM85">
        <f t="shared" si="121"/>
        <v>0</v>
      </c>
      <c r="BN85">
        <f t="shared" si="121"/>
        <v>0</v>
      </c>
      <c r="BO85">
        <f t="shared" si="121"/>
        <v>0</v>
      </c>
      <c r="BP85">
        <f t="shared" si="121"/>
        <v>0</v>
      </c>
      <c r="BQ85">
        <f t="shared" si="121"/>
        <v>0</v>
      </c>
      <c r="BR85">
        <f t="shared" si="121"/>
        <v>0</v>
      </c>
      <c r="BS85">
        <f t="shared" si="121"/>
        <v>0</v>
      </c>
      <c r="BT85">
        <f t="shared" si="121"/>
        <v>0</v>
      </c>
      <c r="BU85">
        <f t="shared" si="121"/>
        <v>0</v>
      </c>
      <c r="BV85">
        <f t="shared" si="121"/>
        <v>0</v>
      </c>
      <c r="BW85">
        <f t="shared" si="121"/>
        <v>0</v>
      </c>
      <c r="BX85">
        <f t="shared" si="121"/>
        <v>1</v>
      </c>
      <c r="BY85">
        <f t="shared" si="121"/>
        <v>0</v>
      </c>
      <c r="BZ85">
        <f t="shared" si="121"/>
        <v>0</v>
      </c>
      <c r="CA85">
        <f t="shared" si="121"/>
        <v>0</v>
      </c>
      <c r="CB85">
        <f t="shared" si="113"/>
        <v>31</v>
      </c>
      <c r="CC85">
        <v>21</v>
      </c>
      <c r="CD85">
        <v>1</v>
      </c>
      <c r="CE85">
        <v>0.5</v>
      </c>
      <c r="CF85">
        <f t="shared" si="111"/>
        <v>1</v>
      </c>
      <c r="CG85">
        <v>0</v>
      </c>
      <c r="CH85" s="64">
        <f t="shared" si="75"/>
        <v>609.4</v>
      </c>
      <c r="CI85" s="64">
        <f t="shared" si="76"/>
        <v>0</v>
      </c>
      <c r="CJ85" s="64">
        <f t="shared" si="77"/>
        <v>547.4</v>
      </c>
      <c r="CK85" s="64">
        <f t="shared" si="78"/>
        <v>0</v>
      </c>
      <c r="CL85" s="64">
        <f t="shared" si="79"/>
        <v>485.40000000000003</v>
      </c>
      <c r="CM85" s="64">
        <f t="shared" si="80"/>
        <v>0</v>
      </c>
      <c r="CN85" s="64">
        <f t="shared" si="81"/>
        <v>423.40000000000003</v>
      </c>
      <c r="CO85" s="64">
        <f t="shared" si="82"/>
        <v>0</v>
      </c>
      <c r="CP85" s="64">
        <f t="shared" si="83"/>
        <v>361.4</v>
      </c>
      <c r="CQ85" s="64">
        <f t="shared" si="84"/>
        <v>0</v>
      </c>
      <c r="CR85" s="64">
        <f t="shared" si="85"/>
        <v>299.40000000000009</v>
      </c>
      <c r="CS85" s="64">
        <f t="shared" si="86"/>
        <v>0</v>
      </c>
      <c r="CT85" s="64">
        <f t="shared" si="87"/>
        <v>237.40000000000006</v>
      </c>
      <c r="CU85" s="64">
        <f t="shared" si="88"/>
        <v>0</v>
      </c>
      <c r="CV85" s="69">
        <f t="shared" si="89"/>
        <v>26.329716082908242</v>
      </c>
      <c r="CW85" s="69">
        <f t="shared" si="90"/>
        <v>775.38661932729372</v>
      </c>
      <c r="CX85" s="69">
        <f t="shared" si="95"/>
        <v>2855.3821383840655</v>
      </c>
      <c r="CY85" s="69">
        <f t="shared" si="91"/>
        <v>28550.654761904763</v>
      </c>
      <c r="CZ85" s="64">
        <f t="shared" si="96"/>
        <v>1934.2911260021087</v>
      </c>
      <c r="DA85" s="64">
        <f t="shared" si="92"/>
        <v>19340.766129032258</v>
      </c>
      <c r="DB85" s="64">
        <f t="shared" si="97"/>
        <v>609.4</v>
      </c>
      <c r="DC85" s="64">
        <f t="shared" si="98"/>
        <v>0</v>
      </c>
      <c r="DD85" s="64">
        <f t="shared" si="99"/>
        <v>547.4</v>
      </c>
      <c r="DE85" s="64">
        <f t="shared" si="100"/>
        <v>0</v>
      </c>
      <c r="DF85" s="64">
        <f t="shared" si="101"/>
        <v>485.40000000000003</v>
      </c>
      <c r="DG85" s="64">
        <f t="shared" si="102"/>
        <v>0</v>
      </c>
      <c r="DH85" s="64">
        <f t="shared" si="103"/>
        <v>423.40000000000003</v>
      </c>
      <c r="DI85" s="64">
        <f t="shared" si="104"/>
        <v>0</v>
      </c>
      <c r="DJ85" s="64">
        <f t="shared" si="105"/>
        <v>361.4</v>
      </c>
      <c r="DK85" s="64">
        <f t="shared" si="106"/>
        <v>0</v>
      </c>
      <c r="DL85" s="64">
        <f t="shared" si="107"/>
        <v>299.40000000000009</v>
      </c>
      <c r="DM85" s="64">
        <f t="shared" si="108"/>
        <v>0</v>
      </c>
      <c r="DN85" s="64">
        <f t="shared" si="109"/>
        <v>237.40000000000006</v>
      </c>
      <c r="DO85" s="64">
        <f t="shared" si="110"/>
        <v>0</v>
      </c>
      <c r="DP85" s="2">
        <f t="shared" si="122"/>
        <v>60</v>
      </c>
      <c r="DQ85" s="2">
        <f t="shared" si="122"/>
        <v>48</v>
      </c>
      <c r="DR85" s="2">
        <f t="shared" si="122"/>
        <v>36</v>
      </c>
      <c r="DS85" s="2">
        <f t="shared" si="122"/>
        <v>24</v>
      </c>
      <c r="DT85" s="2">
        <f t="shared" si="122"/>
        <v>12</v>
      </c>
      <c r="DU85" s="2">
        <f t="shared" si="115"/>
        <v>4</v>
      </c>
      <c r="DV85" s="2">
        <f t="shared" si="116"/>
        <v>19340.766129032258</v>
      </c>
      <c r="DW85" s="2">
        <f t="shared" si="67"/>
        <v>2398255</v>
      </c>
    </row>
    <row r="86" spans="1:127">
      <c r="A86" s="3">
        <v>44197</v>
      </c>
      <c r="B86">
        <f t="shared" si="117"/>
        <v>2021</v>
      </c>
      <c r="C86" s="2">
        <v>21620780</v>
      </c>
      <c r="D86" s="2">
        <f>VLOOKUP(B86,'Historic CDM'!$B$135:$H$146,2,FALSE)/12</f>
        <v>1164594.3140281634</v>
      </c>
      <c r="E86" s="2">
        <f t="shared" si="118"/>
        <v>22785374.314028163</v>
      </c>
      <c r="F86" s="6">
        <v>28390</v>
      </c>
      <c r="G86" s="219">
        <v>4979533</v>
      </c>
      <c r="H86" s="2">
        <f>VLOOKUP(B86,'Historic CDM'!$B$135:$H$147,3,FALSE)/12</f>
        <v>1136021.9338399856</v>
      </c>
      <c r="I86" s="2">
        <f t="shared" si="119"/>
        <v>6115554.9338399861</v>
      </c>
      <c r="J86" s="6">
        <v>2029</v>
      </c>
      <c r="K86" s="219">
        <v>13597751</v>
      </c>
      <c r="L86" s="2">
        <f>VLOOKUP(B86,'Historic CDM'!$B$135:$H$146,4,FALSE)/12</f>
        <v>1231788.6573237095</v>
      </c>
      <c r="M86" s="2">
        <f t="shared" ref="M86:M121" si="123">K86+L86</f>
        <v>14829539.657323709</v>
      </c>
      <c r="N86" s="222">
        <v>34008</v>
      </c>
      <c r="O86" s="220">
        <v>256</v>
      </c>
      <c r="P86" s="219">
        <v>258800</v>
      </c>
      <c r="Q86" s="2">
        <v>618</v>
      </c>
      <c r="R86" s="220">
        <v>2783</v>
      </c>
      <c r="S86" s="220">
        <v>20744</v>
      </c>
      <c r="T86" s="2">
        <v>57</v>
      </c>
      <c r="U86" s="220">
        <v>228</v>
      </c>
      <c r="V86" s="221">
        <v>117392</v>
      </c>
      <c r="W86" s="220">
        <v>125</v>
      </c>
      <c r="X86" s="2">
        <v>2476889</v>
      </c>
      <c r="Y86" s="2">
        <v>6312</v>
      </c>
      <c r="Z86" s="220">
        <v>4</v>
      </c>
      <c r="AA86" s="100">
        <f>'Weather Data'!D242</f>
        <v>672.79999999999984</v>
      </c>
      <c r="AB86" s="100">
        <f>'Weather Data'!E242</f>
        <v>0</v>
      </c>
      <c r="AC86" s="100">
        <f>'Weather Data'!F242</f>
        <v>610.79999999999995</v>
      </c>
      <c r="AD86" s="100">
        <f>'Weather Data'!G242</f>
        <v>0</v>
      </c>
      <c r="AE86" s="100">
        <f>'Weather Data'!H242</f>
        <v>548.79999999999995</v>
      </c>
      <c r="AF86" s="100">
        <f>'Weather Data'!I242</f>
        <v>0</v>
      </c>
      <c r="AG86" s="100">
        <f>'Weather Data'!J242</f>
        <v>486.8</v>
      </c>
      <c r="AH86" s="100">
        <f>'Weather Data'!K242</f>
        <v>0</v>
      </c>
      <c r="AI86" s="100">
        <f>'Weather Data'!L242</f>
        <v>424.80000000000007</v>
      </c>
      <c r="AJ86" s="100">
        <f>'Weather Data'!M242</f>
        <v>0</v>
      </c>
      <c r="AK86" s="100">
        <f>'Weather Data'!N242</f>
        <v>362.8</v>
      </c>
      <c r="AL86" s="100">
        <f>'Weather Data'!O242</f>
        <v>0</v>
      </c>
      <c r="AM86" s="100">
        <f>'Weather Data'!P242</f>
        <v>300.8</v>
      </c>
      <c r="AN86" s="100">
        <f>'Weather Data'!Q242</f>
        <v>0</v>
      </c>
      <c r="AO86" s="100">
        <f>'Weather Data'!R242</f>
        <v>-1.7032258064516126</v>
      </c>
      <c r="AP86" s="5">
        <f>'Economic Data'!D112</f>
        <v>7204.5</v>
      </c>
      <c r="AQ86" s="5">
        <f>'Economic Data'!E112</f>
        <v>7180.4</v>
      </c>
      <c r="AR86" s="5">
        <f>'Economic Data'!F112</f>
        <v>150.80000000000001</v>
      </c>
      <c r="AS86" s="5">
        <f>'Economic Data'!G112</f>
        <v>149.6</v>
      </c>
      <c r="AT86" s="5">
        <f>'Economic Data'!H112</f>
        <v>809658.6</v>
      </c>
      <c r="AU86" s="5">
        <f>'Economic Data'!I112</f>
        <v>8675.1</v>
      </c>
      <c r="AV86" s="5">
        <f>'Economic Data'!J112</f>
        <v>7622.2</v>
      </c>
      <c r="AW86" s="5">
        <f>'Economic Data'!K112</f>
        <v>5799.3</v>
      </c>
      <c r="AX86" s="5">
        <f>'Economic Data'!L112</f>
        <v>1155.7</v>
      </c>
      <c r="AY86" s="5">
        <f>'Economic Data'!M112</f>
        <v>1899.3</v>
      </c>
      <c r="AZ86" s="5">
        <f>'Economic Data'!N112</f>
        <v>6484.1</v>
      </c>
      <c r="BA86" s="5">
        <f>'Economic Data'!O112</f>
        <v>102.4</v>
      </c>
      <c r="BB86" s="5">
        <f>'Economic Data'!P112</f>
        <v>101.8</v>
      </c>
      <c r="BC86" s="5">
        <f>'Economic Data'!Q112</f>
        <v>805455</v>
      </c>
      <c r="BD86" s="5">
        <f>'Economic Data'!R112</f>
        <v>8723</v>
      </c>
      <c r="BE86" s="5">
        <f>'Economic Data'!S112</f>
        <v>3886</v>
      </c>
      <c r="BF86" s="5">
        <f>'Economic Data'!T112</f>
        <v>15742</v>
      </c>
      <c r="BG86" s="5">
        <f>'EV Data'!V51</f>
        <v>46324.666666666635</v>
      </c>
      <c r="BH86" s="5">
        <f>'EV Data'!AB51</f>
        <v>214.66666666666671</v>
      </c>
      <c r="BI86" s="5">
        <f>'EV Data'!W51</f>
        <v>677.33333333333348</v>
      </c>
      <c r="BJ86" s="5">
        <f t="shared" si="71"/>
        <v>85</v>
      </c>
      <c r="BK86" s="70">
        <f t="shared" si="93"/>
        <v>1.9294189257142926</v>
      </c>
      <c r="BL86" s="5">
        <f t="shared" si="94"/>
        <v>7225</v>
      </c>
      <c r="BM86">
        <f t="shared" si="121"/>
        <v>1</v>
      </c>
      <c r="BN86">
        <f t="shared" si="121"/>
        <v>0</v>
      </c>
      <c r="BO86">
        <f t="shared" si="121"/>
        <v>0</v>
      </c>
      <c r="BP86">
        <f t="shared" si="121"/>
        <v>0</v>
      </c>
      <c r="BQ86">
        <f t="shared" si="121"/>
        <v>0</v>
      </c>
      <c r="BR86">
        <f t="shared" si="121"/>
        <v>0</v>
      </c>
      <c r="BS86">
        <f t="shared" si="121"/>
        <v>0</v>
      </c>
      <c r="BT86">
        <f t="shared" si="121"/>
        <v>0</v>
      </c>
      <c r="BU86">
        <f t="shared" si="121"/>
        <v>0</v>
      </c>
      <c r="BV86">
        <f t="shared" si="121"/>
        <v>0</v>
      </c>
      <c r="BW86">
        <f t="shared" si="121"/>
        <v>0</v>
      </c>
      <c r="BX86">
        <f t="shared" si="121"/>
        <v>0</v>
      </c>
      <c r="BY86">
        <f t="shared" si="121"/>
        <v>0</v>
      </c>
      <c r="BZ86">
        <f t="shared" si="121"/>
        <v>0</v>
      </c>
      <c r="CA86">
        <f t="shared" si="121"/>
        <v>0</v>
      </c>
      <c r="CB86">
        <f t="shared" si="113"/>
        <v>31</v>
      </c>
      <c r="CC86">
        <v>20</v>
      </c>
      <c r="CD86">
        <v>1</v>
      </c>
      <c r="CE86">
        <v>0.5</v>
      </c>
      <c r="CF86">
        <v>0.75</v>
      </c>
      <c r="CG86">
        <v>0</v>
      </c>
      <c r="CH86" s="64">
        <f t="shared" ref="CH86:CH109" si="124">AA86*$CD86</f>
        <v>672.79999999999984</v>
      </c>
      <c r="CI86" s="64">
        <f t="shared" ref="CI86:CI109" si="125">AB86*$CD86</f>
        <v>0</v>
      </c>
      <c r="CJ86" s="64">
        <f t="shared" ref="CJ86:CJ109" si="126">AC86*$CD86</f>
        <v>610.79999999999995</v>
      </c>
      <c r="CK86" s="64">
        <f t="shared" ref="CK86:CK109" si="127">AD86*$CD86</f>
        <v>0</v>
      </c>
      <c r="CL86" s="64">
        <f t="shared" ref="CL86:CL109" si="128">AE86*$CD86</f>
        <v>548.79999999999995</v>
      </c>
      <c r="CM86" s="64">
        <f t="shared" ref="CM86:CM109" si="129">AF86*$CD86</f>
        <v>0</v>
      </c>
      <c r="CN86" s="64">
        <f t="shared" ref="CN86:CN109" si="130">AG86*$CD86</f>
        <v>486.8</v>
      </c>
      <c r="CO86" s="64">
        <f t="shared" ref="CO86:CO109" si="131">AH86*$CD86</f>
        <v>0</v>
      </c>
      <c r="CP86" s="64">
        <f t="shared" ref="CP86:CP109" si="132">AI86*$CD86</f>
        <v>424.80000000000007</v>
      </c>
      <c r="CQ86" s="64">
        <f t="shared" ref="CQ86:CQ109" si="133">AJ86*$CD86</f>
        <v>0</v>
      </c>
      <c r="CR86" s="64">
        <f t="shared" ref="CR86:CR109" si="134">AK86*$CD86</f>
        <v>362.8</v>
      </c>
      <c r="CS86" s="64">
        <f t="shared" ref="CS86:CS109" si="135">AL86*$CD86</f>
        <v>0</v>
      </c>
      <c r="CT86" s="64">
        <f t="shared" ref="CT86:CT109" si="136">AM86*$CD86</f>
        <v>300.8</v>
      </c>
      <c r="CU86" s="64">
        <f t="shared" ref="CU86:CU109" si="137">AN86*$CD86</f>
        <v>0</v>
      </c>
      <c r="CV86" s="69">
        <f t="shared" ref="CV86:CV109" si="138">E86/$CB86/F86</f>
        <v>25.889822988589987</v>
      </c>
      <c r="CW86" s="69">
        <f t="shared" ref="CW86:CW109" si="139">I86/$CB86/O86</f>
        <v>770.60924065524023</v>
      </c>
      <c r="CX86" s="69">
        <f t="shared" si="95"/>
        <v>2896.394464321037</v>
      </c>
      <c r="CY86" s="69">
        <f t="shared" ref="CY86:CY109" si="140">X86/$CC86/Z86</f>
        <v>30961.112499999999</v>
      </c>
      <c r="CZ86" s="64">
        <f t="shared" si="96"/>
        <v>1868.6415898845398</v>
      </c>
      <c r="DA86" s="64">
        <f t="shared" ref="DA86:DA109" si="141">X86/$CB86/Z86</f>
        <v>19974.91129032258</v>
      </c>
      <c r="DB86" s="64">
        <f t="shared" si="97"/>
        <v>504.59999999999991</v>
      </c>
      <c r="DC86" s="64">
        <f t="shared" si="98"/>
        <v>0</v>
      </c>
      <c r="DD86" s="64">
        <f t="shared" si="99"/>
        <v>458.09999999999997</v>
      </c>
      <c r="DE86" s="64">
        <f t="shared" si="100"/>
        <v>0</v>
      </c>
      <c r="DF86" s="64">
        <f t="shared" si="101"/>
        <v>411.59999999999997</v>
      </c>
      <c r="DG86" s="64">
        <f t="shared" si="102"/>
        <v>0</v>
      </c>
      <c r="DH86" s="64">
        <f t="shared" si="103"/>
        <v>365.1</v>
      </c>
      <c r="DI86" s="64">
        <f t="shared" si="104"/>
        <v>0</v>
      </c>
      <c r="DJ86" s="64">
        <f t="shared" si="105"/>
        <v>318.60000000000002</v>
      </c>
      <c r="DK86" s="64">
        <f t="shared" si="106"/>
        <v>0</v>
      </c>
      <c r="DL86" s="64">
        <f t="shared" si="107"/>
        <v>272.10000000000002</v>
      </c>
      <c r="DM86" s="64">
        <f t="shared" si="108"/>
        <v>0</v>
      </c>
      <c r="DN86" s="64">
        <f t="shared" si="109"/>
        <v>225.60000000000002</v>
      </c>
      <c r="DO86" s="64">
        <f t="shared" si="110"/>
        <v>0</v>
      </c>
      <c r="DP86" s="2">
        <f t="shared" si="122"/>
        <v>61</v>
      </c>
      <c r="DQ86" s="2">
        <f t="shared" si="122"/>
        <v>49</v>
      </c>
      <c r="DR86" s="2">
        <f t="shared" si="122"/>
        <v>37</v>
      </c>
      <c r="DS86" s="2">
        <f t="shared" si="122"/>
        <v>25</v>
      </c>
      <c r="DT86" s="2">
        <f t="shared" si="122"/>
        <v>13</v>
      </c>
      <c r="DU86" s="2">
        <f t="shared" si="115"/>
        <v>4</v>
      </c>
      <c r="DV86" s="2">
        <f t="shared" si="116"/>
        <v>19974.91129032258</v>
      </c>
      <c r="DW86" s="2">
        <f t="shared" si="67"/>
        <v>2476889</v>
      </c>
    </row>
    <row r="87" spans="1:127">
      <c r="A87" s="3">
        <v>44228</v>
      </c>
      <c r="B87">
        <f t="shared" si="117"/>
        <v>2021</v>
      </c>
      <c r="C87" s="2">
        <v>19858810</v>
      </c>
      <c r="D87" s="2">
        <f>VLOOKUP(B87,'Historic CDM'!$B$135:$H$146,2,FALSE)/12</f>
        <v>1164594.3140281634</v>
      </c>
      <c r="E87" s="2">
        <f t="shared" si="118"/>
        <v>21023404.314028163</v>
      </c>
      <c r="F87" s="6">
        <v>28401</v>
      </c>
      <c r="G87" s="219">
        <v>4774630</v>
      </c>
      <c r="H87" s="2">
        <f>VLOOKUP(B87,'Historic CDM'!$B$135:$H$147,3,FALSE)/12</f>
        <v>1136021.9338399856</v>
      </c>
      <c r="I87" s="2">
        <f t="shared" si="119"/>
        <v>5910651.9338399861</v>
      </c>
      <c r="J87" s="6">
        <v>2029</v>
      </c>
      <c r="K87" s="219">
        <v>13231564</v>
      </c>
      <c r="L87" s="2">
        <f>VLOOKUP(B87,'Historic CDM'!$B$135:$H$146,4,FALSE)/12</f>
        <v>1231788.6573237095</v>
      </c>
      <c r="M87" s="2">
        <f t="shared" si="123"/>
        <v>14463352.657323709</v>
      </c>
      <c r="N87" s="222">
        <v>47510</v>
      </c>
      <c r="O87" s="220">
        <v>256</v>
      </c>
      <c r="P87" s="219">
        <v>232901</v>
      </c>
      <c r="Q87" s="2">
        <v>620</v>
      </c>
      <c r="R87" s="220">
        <v>2784</v>
      </c>
      <c r="S87" s="220">
        <v>25137</v>
      </c>
      <c r="T87" s="2">
        <v>69</v>
      </c>
      <c r="U87" s="220">
        <v>228</v>
      </c>
      <c r="V87" s="221">
        <v>117392</v>
      </c>
      <c r="W87" s="220">
        <v>125</v>
      </c>
      <c r="X87" s="2">
        <v>2421447</v>
      </c>
      <c r="Y87" s="2">
        <v>6544</v>
      </c>
      <c r="Z87" s="220">
        <v>4</v>
      </c>
      <c r="AA87" s="100">
        <f>'Weather Data'!D243</f>
        <v>710.80000000000007</v>
      </c>
      <c r="AB87" s="100">
        <f>'Weather Data'!E243</f>
        <v>0</v>
      </c>
      <c r="AC87" s="100">
        <f>'Weather Data'!F243</f>
        <v>654.80000000000018</v>
      </c>
      <c r="AD87" s="100">
        <f>'Weather Data'!G243</f>
        <v>0</v>
      </c>
      <c r="AE87" s="100">
        <f>'Weather Data'!H243</f>
        <v>598.80000000000018</v>
      </c>
      <c r="AF87" s="100">
        <f>'Weather Data'!I243</f>
        <v>0</v>
      </c>
      <c r="AG87" s="100">
        <f>'Weather Data'!J243</f>
        <v>542.80000000000018</v>
      </c>
      <c r="AH87" s="100">
        <f>'Weather Data'!K243</f>
        <v>0</v>
      </c>
      <c r="AI87" s="100">
        <f>'Weather Data'!L243</f>
        <v>486.80000000000013</v>
      </c>
      <c r="AJ87" s="100">
        <f>'Weather Data'!M243</f>
        <v>0</v>
      </c>
      <c r="AK87" s="100">
        <f>'Weather Data'!N243</f>
        <v>430.80000000000007</v>
      </c>
      <c r="AL87" s="100">
        <f>'Weather Data'!O243</f>
        <v>0</v>
      </c>
      <c r="AM87" s="100">
        <f>'Weather Data'!P243</f>
        <v>374.80000000000007</v>
      </c>
      <c r="AN87" s="100">
        <f>'Weather Data'!Q243</f>
        <v>0</v>
      </c>
      <c r="AO87" s="100">
        <f>'Weather Data'!R243</f>
        <v>-5.3857142857142852</v>
      </c>
      <c r="AP87" s="5">
        <f>'Economic Data'!D113</f>
        <v>7182.2</v>
      </c>
      <c r="AQ87" s="5">
        <f>'Economic Data'!E113</f>
        <v>7124.8</v>
      </c>
      <c r="AR87" s="5">
        <f>'Economic Data'!F113</f>
        <v>151.6</v>
      </c>
      <c r="AS87" s="5">
        <f>'Economic Data'!G113</f>
        <v>150</v>
      </c>
      <c r="AT87" s="5">
        <f>'Economic Data'!H113</f>
        <v>809658.6</v>
      </c>
      <c r="AU87" s="5">
        <f>'Economic Data'!I113</f>
        <v>8675.1</v>
      </c>
      <c r="AV87" s="5">
        <f>'Economic Data'!J113</f>
        <v>7622.2</v>
      </c>
      <c r="AW87" s="5">
        <f>'Economic Data'!K113</f>
        <v>5799.3</v>
      </c>
      <c r="AX87" s="5">
        <f>'Economic Data'!L113</f>
        <v>1155.7</v>
      </c>
      <c r="AY87" s="5">
        <f>'Economic Data'!M113</f>
        <v>1899.3</v>
      </c>
      <c r="AZ87" s="5">
        <f>'Economic Data'!N113</f>
        <v>6484.1</v>
      </c>
      <c r="BA87" s="5">
        <f>'Economic Data'!O113</f>
        <v>102.4</v>
      </c>
      <c r="BB87" s="5">
        <f>'Economic Data'!P113</f>
        <v>101.8</v>
      </c>
      <c r="BC87" s="5">
        <f>'Economic Data'!Q113</f>
        <v>805455</v>
      </c>
      <c r="BD87" s="5">
        <f>'Economic Data'!R113</f>
        <v>8723</v>
      </c>
      <c r="BE87" s="5">
        <f>'Economic Data'!S113</f>
        <v>3886</v>
      </c>
      <c r="BF87" s="5">
        <f>'Economic Data'!T113</f>
        <v>15742</v>
      </c>
      <c r="BG87" s="5">
        <f>'EV Data'!V52</f>
        <v>47434.333333333299</v>
      </c>
      <c r="BH87" s="5">
        <f>'EV Data'!AB52</f>
        <v>220.33333333333337</v>
      </c>
      <c r="BI87" s="5">
        <f>'EV Data'!W52</f>
        <v>695.66666666666686</v>
      </c>
      <c r="BJ87" s="5">
        <f t="shared" si="71"/>
        <v>86</v>
      </c>
      <c r="BK87" s="70">
        <f t="shared" si="93"/>
        <v>1.9344984512435677</v>
      </c>
      <c r="BL87" s="5">
        <f t="shared" si="94"/>
        <v>7396</v>
      </c>
      <c r="BM87">
        <f t="shared" si="121"/>
        <v>0</v>
      </c>
      <c r="BN87">
        <f t="shared" si="121"/>
        <v>1</v>
      </c>
      <c r="BO87">
        <f t="shared" si="121"/>
        <v>0</v>
      </c>
      <c r="BP87">
        <f t="shared" si="121"/>
        <v>0</v>
      </c>
      <c r="BQ87">
        <f t="shared" si="121"/>
        <v>0</v>
      </c>
      <c r="BR87">
        <f t="shared" si="121"/>
        <v>0</v>
      </c>
      <c r="BS87">
        <f t="shared" si="121"/>
        <v>0</v>
      </c>
      <c r="BT87">
        <f t="shared" si="121"/>
        <v>0</v>
      </c>
      <c r="BU87">
        <f t="shared" si="121"/>
        <v>0</v>
      </c>
      <c r="BV87">
        <f t="shared" si="121"/>
        <v>0</v>
      </c>
      <c r="BW87">
        <f t="shared" si="121"/>
        <v>0</v>
      </c>
      <c r="BX87">
        <f t="shared" si="121"/>
        <v>0</v>
      </c>
      <c r="BY87">
        <f t="shared" si="121"/>
        <v>0</v>
      </c>
      <c r="BZ87">
        <f t="shared" si="121"/>
        <v>0</v>
      </c>
      <c r="CA87">
        <f t="shared" si="121"/>
        <v>0</v>
      </c>
      <c r="CB87">
        <f t="shared" si="113"/>
        <v>28</v>
      </c>
      <c r="CC87">
        <v>19</v>
      </c>
      <c r="CD87">
        <v>1</v>
      </c>
      <c r="CE87">
        <v>0.5</v>
      </c>
      <c r="CF87">
        <f t="shared" si="111"/>
        <v>0.75</v>
      </c>
      <c r="CG87">
        <v>0</v>
      </c>
      <c r="CH87" s="64">
        <f t="shared" si="124"/>
        <v>710.80000000000007</v>
      </c>
      <c r="CI87" s="64">
        <f t="shared" si="125"/>
        <v>0</v>
      </c>
      <c r="CJ87" s="64">
        <f t="shared" si="126"/>
        <v>654.80000000000018</v>
      </c>
      <c r="CK87" s="64">
        <f t="shared" si="127"/>
        <v>0</v>
      </c>
      <c r="CL87" s="64">
        <f t="shared" si="128"/>
        <v>598.80000000000018</v>
      </c>
      <c r="CM87" s="64">
        <f t="shared" si="129"/>
        <v>0</v>
      </c>
      <c r="CN87" s="64">
        <f t="shared" si="130"/>
        <v>542.80000000000018</v>
      </c>
      <c r="CO87" s="64">
        <f t="shared" si="131"/>
        <v>0</v>
      </c>
      <c r="CP87" s="64">
        <f t="shared" si="132"/>
        <v>486.80000000000013</v>
      </c>
      <c r="CQ87" s="64">
        <f t="shared" si="133"/>
        <v>0</v>
      </c>
      <c r="CR87" s="64">
        <f t="shared" si="134"/>
        <v>430.80000000000007</v>
      </c>
      <c r="CS87" s="64">
        <f t="shared" si="135"/>
        <v>0</v>
      </c>
      <c r="CT87" s="64">
        <f t="shared" si="136"/>
        <v>374.80000000000007</v>
      </c>
      <c r="CU87" s="64">
        <f t="shared" si="137"/>
        <v>0</v>
      </c>
      <c r="CV87" s="69">
        <f t="shared" si="138"/>
        <v>26.436951810082341</v>
      </c>
      <c r="CW87" s="69">
        <f t="shared" si="139"/>
        <v>824.58871844865882</v>
      </c>
      <c r="CX87" s="69">
        <f t="shared" si="95"/>
        <v>2973.5511219826703</v>
      </c>
      <c r="CY87" s="69">
        <f t="shared" si="140"/>
        <v>31861.144736842107</v>
      </c>
      <c r="CZ87" s="64">
        <f t="shared" si="96"/>
        <v>2017.766832773955</v>
      </c>
      <c r="DA87" s="64">
        <f t="shared" si="141"/>
        <v>21620.0625</v>
      </c>
      <c r="DB87" s="64">
        <f t="shared" si="97"/>
        <v>533.1</v>
      </c>
      <c r="DC87" s="64">
        <f t="shared" si="98"/>
        <v>0</v>
      </c>
      <c r="DD87" s="64">
        <f t="shared" si="99"/>
        <v>491.10000000000014</v>
      </c>
      <c r="DE87" s="64">
        <f t="shared" si="100"/>
        <v>0</v>
      </c>
      <c r="DF87" s="64">
        <f t="shared" si="101"/>
        <v>449.10000000000014</v>
      </c>
      <c r="DG87" s="64">
        <f t="shared" si="102"/>
        <v>0</v>
      </c>
      <c r="DH87" s="64">
        <f t="shared" si="103"/>
        <v>407.10000000000014</v>
      </c>
      <c r="DI87" s="64">
        <f t="shared" si="104"/>
        <v>0</v>
      </c>
      <c r="DJ87" s="64">
        <f t="shared" si="105"/>
        <v>365.10000000000008</v>
      </c>
      <c r="DK87" s="64">
        <f t="shared" si="106"/>
        <v>0</v>
      </c>
      <c r="DL87" s="64">
        <f t="shared" si="107"/>
        <v>323.10000000000002</v>
      </c>
      <c r="DM87" s="64">
        <f t="shared" si="108"/>
        <v>0</v>
      </c>
      <c r="DN87" s="64">
        <f t="shared" si="109"/>
        <v>281.10000000000002</v>
      </c>
      <c r="DO87" s="64">
        <f t="shared" si="110"/>
        <v>0</v>
      </c>
      <c r="DP87" s="2">
        <f t="shared" si="122"/>
        <v>62</v>
      </c>
      <c r="DQ87" s="2">
        <f t="shared" si="122"/>
        <v>50</v>
      </c>
      <c r="DR87" s="2">
        <f t="shared" si="122"/>
        <v>38</v>
      </c>
      <c r="DS87" s="2">
        <f t="shared" si="122"/>
        <v>26</v>
      </c>
      <c r="DT87" s="2">
        <f t="shared" si="122"/>
        <v>14</v>
      </c>
      <c r="DU87" s="2">
        <f t="shared" si="115"/>
        <v>4</v>
      </c>
      <c r="DV87" s="2">
        <f t="shared" si="116"/>
        <v>21620.0625</v>
      </c>
      <c r="DW87" s="2">
        <f t="shared" si="67"/>
        <v>2421447</v>
      </c>
    </row>
    <row r="88" spans="1:127">
      <c r="A88" s="3">
        <v>44256</v>
      </c>
      <c r="B88">
        <f t="shared" si="117"/>
        <v>2021</v>
      </c>
      <c r="C88" s="2">
        <v>18364097</v>
      </c>
      <c r="D88" s="2">
        <f>VLOOKUP(B88,'Historic CDM'!$B$135:$H$146,2,FALSE)/12</f>
        <v>1164594.3140281634</v>
      </c>
      <c r="E88" s="2">
        <f t="shared" si="118"/>
        <v>19528691.314028163</v>
      </c>
      <c r="F88" s="6">
        <v>28446</v>
      </c>
      <c r="G88" s="219">
        <v>4908423</v>
      </c>
      <c r="H88" s="2">
        <f>VLOOKUP(B88,'Historic CDM'!$B$135:$H$147,3,FALSE)/12</f>
        <v>1136021.9338399856</v>
      </c>
      <c r="I88" s="2">
        <f t="shared" si="119"/>
        <v>6044444.9338399861</v>
      </c>
      <c r="J88" s="6">
        <v>2033</v>
      </c>
      <c r="K88" s="219">
        <v>13755826</v>
      </c>
      <c r="L88" s="2">
        <f>VLOOKUP(B88,'Historic CDM'!$B$135:$H$146,4,FALSE)/12</f>
        <v>1231788.6573237095</v>
      </c>
      <c r="M88" s="2">
        <f t="shared" si="123"/>
        <v>14987614.657323709</v>
      </c>
      <c r="N88" s="222">
        <v>41579</v>
      </c>
      <c r="O88" s="220">
        <v>256</v>
      </c>
      <c r="P88" s="219">
        <v>217035</v>
      </c>
      <c r="Q88" s="2">
        <v>616</v>
      </c>
      <c r="R88" s="220">
        <v>2784</v>
      </c>
      <c r="S88" s="220">
        <v>23177</v>
      </c>
      <c r="T88" s="2">
        <v>63</v>
      </c>
      <c r="U88" s="220">
        <v>228</v>
      </c>
      <c r="V88" s="221">
        <v>117392</v>
      </c>
      <c r="W88" s="220">
        <v>125</v>
      </c>
      <c r="X88" s="2">
        <v>1798087</v>
      </c>
      <c r="Y88" s="2">
        <v>6173</v>
      </c>
      <c r="Z88" s="220">
        <v>4</v>
      </c>
      <c r="AA88" s="100">
        <f>'Weather Data'!D244</f>
        <v>460.49999999999994</v>
      </c>
      <c r="AB88" s="100">
        <f>'Weather Data'!E244</f>
        <v>0</v>
      </c>
      <c r="AC88" s="100">
        <f>'Weather Data'!F244</f>
        <v>398.49999999999994</v>
      </c>
      <c r="AD88" s="100">
        <f>'Weather Data'!G244</f>
        <v>0</v>
      </c>
      <c r="AE88" s="100">
        <f>'Weather Data'!H244</f>
        <v>336.49999999999994</v>
      </c>
      <c r="AF88" s="100">
        <f>'Weather Data'!I244</f>
        <v>0</v>
      </c>
      <c r="AG88" s="100">
        <f>'Weather Data'!J244</f>
        <v>275.60000000000008</v>
      </c>
      <c r="AH88" s="100">
        <f>'Weather Data'!K244</f>
        <v>1.0999999999999996</v>
      </c>
      <c r="AI88" s="100">
        <f>'Weather Data'!L244</f>
        <v>217.30000000000004</v>
      </c>
      <c r="AJ88" s="100">
        <f>'Weather Data'!M244</f>
        <v>4.7999999999999989</v>
      </c>
      <c r="AK88" s="100">
        <f>'Weather Data'!N244</f>
        <v>164.20000000000002</v>
      </c>
      <c r="AL88" s="100">
        <f>'Weather Data'!O244</f>
        <v>13.699999999999998</v>
      </c>
      <c r="AM88" s="100">
        <f>'Weather Data'!P244</f>
        <v>117.4</v>
      </c>
      <c r="AN88" s="100">
        <f>'Weather Data'!Q244</f>
        <v>28.9</v>
      </c>
      <c r="AO88" s="100">
        <f>'Weather Data'!R244</f>
        <v>5.1451612903225801</v>
      </c>
      <c r="AP88" s="5">
        <f>'Economic Data'!D114</f>
        <v>7223</v>
      </c>
      <c r="AQ88" s="5">
        <f>'Economic Data'!E114</f>
        <v>7129.5</v>
      </c>
      <c r="AR88" s="5">
        <f>'Economic Data'!F114</f>
        <v>159.5</v>
      </c>
      <c r="AS88" s="5">
        <f>'Economic Data'!G114</f>
        <v>156.30000000000001</v>
      </c>
      <c r="AT88" s="5">
        <f>'Economic Data'!H114</f>
        <v>809658.6</v>
      </c>
      <c r="AU88" s="5">
        <f>'Economic Data'!I114</f>
        <v>8675.1</v>
      </c>
      <c r="AV88" s="5">
        <f>'Economic Data'!J114</f>
        <v>7622.2</v>
      </c>
      <c r="AW88" s="5">
        <f>'Economic Data'!K114</f>
        <v>5799.3</v>
      </c>
      <c r="AX88" s="5">
        <f>'Economic Data'!L114</f>
        <v>1155.7</v>
      </c>
      <c r="AY88" s="5">
        <f>'Economic Data'!M114</f>
        <v>1899.3</v>
      </c>
      <c r="AZ88" s="5">
        <f>'Economic Data'!N114</f>
        <v>6484.1</v>
      </c>
      <c r="BA88" s="5">
        <f>'Economic Data'!O114</f>
        <v>102.4</v>
      </c>
      <c r="BB88" s="5">
        <f>'Economic Data'!P114</f>
        <v>101.8</v>
      </c>
      <c r="BC88" s="5">
        <f>'Economic Data'!Q114</f>
        <v>805455</v>
      </c>
      <c r="BD88" s="5">
        <f>'Economic Data'!R114</f>
        <v>8723</v>
      </c>
      <c r="BE88" s="5">
        <f>'Economic Data'!S114</f>
        <v>3886</v>
      </c>
      <c r="BF88" s="5">
        <f>'Economic Data'!T114</f>
        <v>15742</v>
      </c>
      <c r="BG88" s="5">
        <f>'EV Data'!V53</f>
        <v>48543.999999999964</v>
      </c>
      <c r="BH88" s="5">
        <f>'EV Data'!AB53</f>
        <v>226.00000000000003</v>
      </c>
      <c r="BI88" s="5">
        <f>'EV Data'!W53</f>
        <v>714.00000000000023</v>
      </c>
      <c r="BJ88" s="5">
        <f t="shared" si="71"/>
        <v>87</v>
      </c>
      <c r="BK88" s="70">
        <f t="shared" si="93"/>
        <v>1.9395192526186185</v>
      </c>
      <c r="BL88" s="5">
        <f t="shared" si="94"/>
        <v>7569</v>
      </c>
      <c r="BM88">
        <f t="shared" si="121"/>
        <v>0</v>
      </c>
      <c r="BN88">
        <f t="shared" si="121"/>
        <v>0</v>
      </c>
      <c r="BO88">
        <f t="shared" si="121"/>
        <v>1</v>
      </c>
      <c r="BP88">
        <f t="shared" si="121"/>
        <v>0</v>
      </c>
      <c r="BQ88">
        <f t="shared" si="121"/>
        <v>0</v>
      </c>
      <c r="BR88">
        <f t="shared" si="121"/>
        <v>0</v>
      </c>
      <c r="BS88">
        <f t="shared" si="121"/>
        <v>0</v>
      </c>
      <c r="BT88">
        <f t="shared" si="121"/>
        <v>0</v>
      </c>
      <c r="BU88">
        <f t="shared" si="121"/>
        <v>0</v>
      </c>
      <c r="BV88">
        <f t="shared" si="121"/>
        <v>0</v>
      </c>
      <c r="BW88">
        <f t="shared" si="121"/>
        <v>0</v>
      </c>
      <c r="BX88">
        <f t="shared" si="121"/>
        <v>0</v>
      </c>
      <c r="BY88">
        <f t="shared" si="121"/>
        <v>1</v>
      </c>
      <c r="BZ88">
        <f t="shared" si="121"/>
        <v>0</v>
      </c>
      <c r="CA88">
        <f t="shared" si="121"/>
        <v>1</v>
      </c>
      <c r="CB88">
        <f t="shared" si="113"/>
        <v>31</v>
      </c>
      <c r="CC88">
        <v>23</v>
      </c>
      <c r="CD88">
        <v>1</v>
      </c>
      <c r="CE88">
        <v>0.5</v>
      </c>
      <c r="CF88">
        <f t="shared" si="111"/>
        <v>0.75</v>
      </c>
      <c r="CG88">
        <v>0</v>
      </c>
      <c r="CH88" s="64">
        <f t="shared" si="124"/>
        <v>460.49999999999994</v>
      </c>
      <c r="CI88" s="64">
        <f t="shared" si="125"/>
        <v>0</v>
      </c>
      <c r="CJ88" s="64">
        <f t="shared" si="126"/>
        <v>398.49999999999994</v>
      </c>
      <c r="CK88" s="64">
        <f t="shared" si="127"/>
        <v>0</v>
      </c>
      <c r="CL88" s="64">
        <f t="shared" si="128"/>
        <v>336.49999999999994</v>
      </c>
      <c r="CM88" s="64">
        <f t="shared" si="129"/>
        <v>0</v>
      </c>
      <c r="CN88" s="64">
        <f t="shared" si="130"/>
        <v>275.60000000000008</v>
      </c>
      <c r="CO88" s="64">
        <f t="shared" si="131"/>
        <v>1.0999999999999996</v>
      </c>
      <c r="CP88" s="64">
        <f t="shared" si="132"/>
        <v>217.30000000000004</v>
      </c>
      <c r="CQ88" s="64">
        <f t="shared" si="133"/>
        <v>4.7999999999999989</v>
      </c>
      <c r="CR88" s="64">
        <f t="shared" si="134"/>
        <v>164.20000000000002</v>
      </c>
      <c r="CS88" s="64">
        <f t="shared" si="135"/>
        <v>13.699999999999998</v>
      </c>
      <c r="CT88" s="64">
        <f t="shared" si="136"/>
        <v>117.4</v>
      </c>
      <c r="CU88" s="64">
        <f t="shared" si="137"/>
        <v>28.9</v>
      </c>
      <c r="CV88" s="69">
        <f t="shared" si="138"/>
        <v>22.145742259842827</v>
      </c>
      <c r="CW88" s="69">
        <f t="shared" si="139"/>
        <v>761.64880718749828</v>
      </c>
      <c r="CX88" s="69">
        <f t="shared" si="95"/>
        <v>2545.450858920467</v>
      </c>
      <c r="CY88" s="69">
        <f t="shared" si="140"/>
        <v>19544.42391304348</v>
      </c>
      <c r="CZ88" s="64">
        <f t="shared" si="96"/>
        <v>1888.5603146829269</v>
      </c>
      <c r="DA88" s="64">
        <f t="shared" si="141"/>
        <v>14500.701612903225</v>
      </c>
      <c r="DB88" s="64">
        <f t="shared" si="97"/>
        <v>345.37499999999994</v>
      </c>
      <c r="DC88" s="64">
        <f t="shared" si="98"/>
        <v>0</v>
      </c>
      <c r="DD88" s="64">
        <f t="shared" si="99"/>
        <v>298.87499999999994</v>
      </c>
      <c r="DE88" s="64">
        <f t="shared" si="100"/>
        <v>0</v>
      </c>
      <c r="DF88" s="64">
        <f t="shared" si="101"/>
        <v>252.37499999999994</v>
      </c>
      <c r="DG88" s="64">
        <f t="shared" si="102"/>
        <v>0</v>
      </c>
      <c r="DH88" s="64">
        <f t="shared" si="103"/>
        <v>206.70000000000005</v>
      </c>
      <c r="DI88" s="64">
        <f t="shared" si="104"/>
        <v>0.82499999999999973</v>
      </c>
      <c r="DJ88" s="64">
        <f t="shared" si="105"/>
        <v>162.97500000000002</v>
      </c>
      <c r="DK88" s="64">
        <f t="shared" si="106"/>
        <v>3.5999999999999992</v>
      </c>
      <c r="DL88" s="64">
        <f t="shared" si="107"/>
        <v>123.15</v>
      </c>
      <c r="DM88" s="64">
        <f t="shared" si="108"/>
        <v>10.274999999999999</v>
      </c>
      <c r="DN88" s="64">
        <f t="shared" si="109"/>
        <v>88.050000000000011</v>
      </c>
      <c r="DO88" s="64">
        <f t="shared" si="110"/>
        <v>21.674999999999997</v>
      </c>
      <c r="DP88" s="2">
        <f t="shared" si="122"/>
        <v>63</v>
      </c>
      <c r="DQ88" s="2">
        <f t="shared" si="122"/>
        <v>51</v>
      </c>
      <c r="DR88" s="2">
        <f t="shared" si="122"/>
        <v>39</v>
      </c>
      <c r="DS88" s="2">
        <f t="shared" si="122"/>
        <v>27</v>
      </c>
      <c r="DT88" s="2">
        <f t="shared" si="122"/>
        <v>15</v>
      </c>
      <c r="DU88" s="2">
        <f t="shared" si="115"/>
        <v>4</v>
      </c>
      <c r="DV88" s="2">
        <f t="shared" si="116"/>
        <v>14500.701612903225</v>
      </c>
      <c r="DW88" s="2">
        <f t="shared" si="67"/>
        <v>1798087</v>
      </c>
    </row>
    <row r="89" spans="1:127">
      <c r="A89" s="3">
        <v>44287</v>
      </c>
      <c r="B89">
        <f t="shared" si="117"/>
        <v>2021</v>
      </c>
      <c r="C89" s="2">
        <v>17041729</v>
      </c>
      <c r="D89" s="2">
        <f>VLOOKUP(B89,'Historic CDM'!$B$135:$H$146,2,FALSE)/12</f>
        <v>1164594.3140281634</v>
      </c>
      <c r="E89" s="2">
        <f t="shared" si="118"/>
        <v>18206323.314028163</v>
      </c>
      <c r="F89" s="6">
        <v>28468</v>
      </c>
      <c r="G89" s="219">
        <v>4292024</v>
      </c>
      <c r="H89" s="2">
        <f>VLOOKUP(B89,'Historic CDM'!$B$135:$H$147,3,FALSE)/12</f>
        <v>1136021.9338399856</v>
      </c>
      <c r="I89" s="2">
        <f t="shared" si="119"/>
        <v>5428045.9338399861</v>
      </c>
      <c r="J89" s="6">
        <v>2036</v>
      </c>
      <c r="K89" s="219">
        <v>12337663</v>
      </c>
      <c r="L89" s="2">
        <f>VLOOKUP(B89,'Historic CDM'!$B$135:$H$146,4,FALSE)/12</f>
        <v>1231788.6573237095</v>
      </c>
      <c r="M89" s="2">
        <f t="shared" si="123"/>
        <v>13569451.657323709</v>
      </c>
      <c r="N89" s="222">
        <v>41198</v>
      </c>
      <c r="O89" s="220">
        <v>256</v>
      </c>
      <c r="P89" s="219">
        <v>181145</v>
      </c>
      <c r="Q89" s="2">
        <v>616</v>
      </c>
      <c r="R89" s="220">
        <v>2784</v>
      </c>
      <c r="S89" s="220">
        <v>23186</v>
      </c>
      <c r="T89" s="2">
        <v>63</v>
      </c>
      <c r="U89" s="220">
        <v>228</v>
      </c>
      <c r="V89" s="221">
        <v>117392</v>
      </c>
      <c r="W89" s="220">
        <v>125</v>
      </c>
      <c r="X89" s="2">
        <v>1779970</v>
      </c>
      <c r="Y89" s="2">
        <v>5600</v>
      </c>
      <c r="Z89" s="220">
        <v>4</v>
      </c>
      <c r="AA89" s="100">
        <f>'Weather Data'!D245</f>
        <v>314.5</v>
      </c>
      <c r="AB89" s="100">
        <f>'Weather Data'!E245</f>
        <v>0</v>
      </c>
      <c r="AC89" s="100">
        <f>'Weather Data'!F245</f>
        <v>254.90000000000003</v>
      </c>
      <c r="AD89" s="100">
        <f>'Weather Data'!G245</f>
        <v>0.39999999999999858</v>
      </c>
      <c r="AE89" s="100">
        <f>'Weather Data'!H245</f>
        <v>201.20000000000002</v>
      </c>
      <c r="AF89" s="100">
        <f>'Weather Data'!I245</f>
        <v>6.6999999999999957</v>
      </c>
      <c r="AG89" s="100">
        <f>'Weather Data'!J245</f>
        <v>153.5</v>
      </c>
      <c r="AH89" s="100">
        <f>'Weather Data'!K245</f>
        <v>18.999999999999993</v>
      </c>
      <c r="AI89" s="100">
        <f>'Weather Data'!L245</f>
        <v>108.00000000000003</v>
      </c>
      <c r="AJ89" s="100">
        <f>'Weather Data'!M245</f>
        <v>33.499999999999993</v>
      </c>
      <c r="AK89" s="100">
        <f>'Weather Data'!N245</f>
        <v>69.000000000000014</v>
      </c>
      <c r="AL89" s="100">
        <f>'Weather Data'!O245</f>
        <v>54.499999999999986</v>
      </c>
      <c r="AM89" s="100">
        <f>'Weather Data'!P245</f>
        <v>39.200000000000003</v>
      </c>
      <c r="AN89" s="100">
        <f>'Weather Data'!Q245</f>
        <v>84.699999999999989</v>
      </c>
      <c r="AO89" s="100">
        <f>'Weather Data'!R245</f>
        <v>9.5166666666666693</v>
      </c>
      <c r="AP89" s="5">
        <f>'Economic Data'!D115</f>
        <v>7274</v>
      </c>
      <c r="AQ89" s="5">
        <f>'Economic Data'!E115</f>
        <v>7197</v>
      </c>
      <c r="AR89" s="5">
        <f>'Economic Data'!F115</f>
        <v>162.30000000000001</v>
      </c>
      <c r="AS89" s="5">
        <f>'Economic Data'!G115</f>
        <v>160.6</v>
      </c>
      <c r="AT89" s="5">
        <f>'Economic Data'!H115</f>
        <v>809658.6</v>
      </c>
      <c r="AU89" s="5">
        <f>'Economic Data'!I115</f>
        <v>8675.1</v>
      </c>
      <c r="AV89" s="5">
        <f>'Economic Data'!J115</f>
        <v>7622.2</v>
      </c>
      <c r="AW89" s="5">
        <f>'Economic Data'!K115</f>
        <v>5799.3</v>
      </c>
      <c r="AX89" s="5">
        <f>'Economic Data'!L115</f>
        <v>1155.7</v>
      </c>
      <c r="AY89" s="5">
        <f>'Economic Data'!M115</f>
        <v>1899.3</v>
      </c>
      <c r="AZ89" s="5">
        <f>'Economic Data'!N115</f>
        <v>6484.1</v>
      </c>
      <c r="BA89" s="5">
        <f>'Economic Data'!O115</f>
        <v>102.4</v>
      </c>
      <c r="BB89" s="5">
        <f>'Economic Data'!P115</f>
        <v>101.8</v>
      </c>
      <c r="BC89" s="5">
        <f>'Economic Data'!Q115</f>
        <v>795824</v>
      </c>
      <c r="BD89" s="5">
        <f>'Economic Data'!R115</f>
        <v>8775</v>
      </c>
      <c r="BE89" s="5">
        <f>'Economic Data'!S115</f>
        <v>3799</v>
      </c>
      <c r="BF89" s="5">
        <f>'Economic Data'!T115</f>
        <v>15935</v>
      </c>
      <c r="BG89" s="5">
        <f>'EV Data'!V54</f>
        <v>50242.666666666628</v>
      </c>
      <c r="BH89" s="5">
        <f>'EV Data'!AB54</f>
        <v>237.33333333333337</v>
      </c>
      <c r="BI89" s="5">
        <f>'EV Data'!W54</f>
        <v>739.3333333333336</v>
      </c>
      <c r="BJ89" s="5">
        <f t="shared" si="71"/>
        <v>88</v>
      </c>
      <c r="BK89" s="70">
        <f t="shared" si="93"/>
        <v>1.9444826721501687</v>
      </c>
      <c r="BL89" s="5">
        <f t="shared" si="94"/>
        <v>7744</v>
      </c>
      <c r="BM89">
        <f t="shared" si="121"/>
        <v>0</v>
      </c>
      <c r="BN89">
        <f t="shared" si="121"/>
        <v>0</v>
      </c>
      <c r="BO89">
        <f t="shared" si="121"/>
        <v>0</v>
      </c>
      <c r="BP89">
        <f t="shared" si="121"/>
        <v>1</v>
      </c>
      <c r="BQ89">
        <f t="shared" si="121"/>
        <v>0</v>
      </c>
      <c r="BR89">
        <f t="shared" si="121"/>
        <v>0</v>
      </c>
      <c r="BS89">
        <f t="shared" si="121"/>
        <v>0</v>
      </c>
      <c r="BT89">
        <f t="shared" si="121"/>
        <v>0</v>
      </c>
      <c r="BU89">
        <f t="shared" si="121"/>
        <v>0</v>
      </c>
      <c r="BV89">
        <f t="shared" si="121"/>
        <v>0</v>
      </c>
      <c r="BW89">
        <f t="shared" si="121"/>
        <v>0</v>
      </c>
      <c r="BX89">
        <f t="shared" si="121"/>
        <v>0</v>
      </c>
      <c r="BY89">
        <f t="shared" si="121"/>
        <v>1</v>
      </c>
      <c r="BZ89">
        <f t="shared" si="121"/>
        <v>0</v>
      </c>
      <c r="CA89">
        <f t="shared" si="121"/>
        <v>1</v>
      </c>
      <c r="CB89">
        <f t="shared" si="113"/>
        <v>30</v>
      </c>
      <c r="CC89">
        <v>21</v>
      </c>
      <c r="CD89">
        <v>1</v>
      </c>
      <c r="CE89">
        <v>0.5</v>
      </c>
      <c r="CF89">
        <f t="shared" si="111"/>
        <v>0.75</v>
      </c>
      <c r="CG89">
        <v>0</v>
      </c>
      <c r="CH89" s="64">
        <f t="shared" si="124"/>
        <v>314.5</v>
      </c>
      <c r="CI89" s="64">
        <f t="shared" si="125"/>
        <v>0</v>
      </c>
      <c r="CJ89" s="64">
        <f t="shared" si="126"/>
        <v>254.90000000000003</v>
      </c>
      <c r="CK89" s="64">
        <f t="shared" si="127"/>
        <v>0.39999999999999858</v>
      </c>
      <c r="CL89" s="64">
        <f t="shared" si="128"/>
        <v>201.20000000000002</v>
      </c>
      <c r="CM89" s="64">
        <f t="shared" si="129"/>
        <v>6.6999999999999957</v>
      </c>
      <c r="CN89" s="64">
        <f t="shared" si="130"/>
        <v>153.5</v>
      </c>
      <c r="CO89" s="64">
        <f t="shared" si="131"/>
        <v>18.999999999999993</v>
      </c>
      <c r="CP89" s="64">
        <f t="shared" si="132"/>
        <v>108.00000000000003</v>
      </c>
      <c r="CQ89" s="64">
        <f t="shared" si="133"/>
        <v>33.499999999999993</v>
      </c>
      <c r="CR89" s="64">
        <f t="shared" si="134"/>
        <v>69.000000000000014</v>
      </c>
      <c r="CS89" s="64">
        <f t="shared" si="135"/>
        <v>54.499999999999986</v>
      </c>
      <c r="CT89" s="64">
        <f t="shared" si="136"/>
        <v>39.200000000000003</v>
      </c>
      <c r="CU89" s="64">
        <f t="shared" si="137"/>
        <v>84.699999999999989</v>
      </c>
      <c r="CV89" s="69">
        <f t="shared" si="138"/>
        <v>21.317881263205663</v>
      </c>
      <c r="CW89" s="69">
        <f t="shared" si="139"/>
        <v>706.77681430208156</v>
      </c>
      <c r="CX89" s="69">
        <f t="shared" si="95"/>
        <v>2524.0795493533683</v>
      </c>
      <c r="CY89" s="69">
        <f t="shared" si="140"/>
        <v>21190.119047619046</v>
      </c>
      <c r="CZ89" s="64">
        <f t="shared" si="96"/>
        <v>1766.8556845473579</v>
      </c>
      <c r="DA89" s="64">
        <f t="shared" si="141"/>
        <v>14833.083333333334</v>
      </c>
      <c r="DB89" s="64">
        <f t="shared" si="97"/>
        <v>235.875</v>
      </c>
      <c r="DC89" s="64">
        <f t="shared" si="98"/>
        <v>0</v>
      </c>
      <c r="DD89" s="64">
        <f t="shared" si="99"/>
        <v>191.17500000000001</v>
      </c>
      <c r="DE89" s="64">
        <f t="shared" si="100"/>
        <v>0.29999999999999893</v>
      </c>
      <c r="DF89" s="64">
        <f t="shared" si="101"/>
        <v>150.9</v>
      </c>
      <c r="DG89" s="64">
        <f t="shared" si="102"/>
        <v>5.0249999999999968</v>
      </c>
      <c r="DH89" s="64">
        <f t="shared" si="103"/>
        <v>115.125</v>
      </c>
      <c r="DI89" s="64">
        <f t="shared" si="104"/>
        <v>14.249999999999995</v>
      </c>
      <c r="DJ89" s="64">
        <f t="shared" si="105"/>
        <v>81.000000000000028</v>
      </c>
      <c r="DK89" s="64">
        <f t="shared" si="106"/>
        <v>25.124999999999993</v>
      </c>
      <c r="DL89" s="64">
        <f t="shared" si="107"/>
        <v>51.750000000000014</v>
      </c>
      <c r="DM89" s="64">
        <f t="shared" si="108"/>
        <v>40.874999999999986</v>
      </c>
      <c r="DN89" s="64">
        <f t="shared" si="109"/>
        <v>29.400000000000002</v>
      </c>
      <c r="DO89" s="64">
        <f t="shared" si="110"/>
        <v>63.524999999999991</v>
      </c>
      <c r="DP89" s="2">
        <f t="shared" si="122"/>
        <v>64</v>
      </c>
      <c r="DQ89" s="2">
        <f t="shared" si="122"/>
        <v>52</v>
      </c>
      <c r="DR89" s="2">
        <f t="shared" si="122"/>
        <v>40</v>
      </c>
      <c r="DS89" s="2">
        <f t="shared" si="122"/>
        <v>28</v>
      </c>
      <c r="DT89" s="2">
        <f t="shared" si="122"/>
        <v>16</v>
      </c>
      <c r="DU89" s="2">
        <f t="shared" si="115"/>
        <v>4</v>
      </c>
      <c r="DV89" s="2">
        <f t="shared" si="116"/>
        <v>14833.083333333334</v>
      </c>
      <c r="DW89" s="2">
        <f t="shared" ref="DW89:DW121" si="142">X89</f>
        <v>1779970</v>
      </c>
    </row>
    <row r="90" spans="1:127">
      <c r="A90" s="3">
        <v>44317</v>
      </c>
      <c r="B90">
        <f t="shared" si="117"/>
        <v>2021</v>
      </c>
      <c r="C90" s="2">
        <v>20703963</v>
      </c>
      <c r="D90" s="2">
        <f>VLOOKUP(B90,'Historic CDM'!$B$135:$H$146,2,FALSE)/12</f>
        <v>1164594.3140281634</v>
      </c>
      <c r="E90" s="2">
        <f t="shared" si="118"/>
        <v>21868557.314028163</v>
      </c>
      <c r="F90" s="6">
        <v>28469</v>
      </c>
      <c r="G90" s="219">
        <v>4544882</v>
      </c>
      <c r="H90" s="2">
        <f>VLOOKUP(B90,'Historic CDM'!$B$135:$H$147,3,FALSE)/12</f>
        <v>1136021.9338399856</v>
      </c>
      <c r="I90" s="2">
        <f t="shared" si="119"/>
        <v>5680903.9338399861</v>
      </c>
      <c r="J90" s="6">
        <v>2036</v>
      </c>
      <c r="K90" s="219">
        <v>13310685</v>
      </c>
      <c r="L90" s="2">
        <f>VLOOKUP(B90,'Historic CDM'!$B$135:$H$146,4,FALSE)/12</f>
        <v>1231788.6573237095</v>
      </c>
      <c r="M90" s="2">
        <f t="shared" si="123"/>
        <v>14542473.657323709</v>
      </c>
      <c r="N90" s="222">
        <v>44814</v>
      </c>
      <c r="O90" s="220">
        <v>259</v>
      </c>
      <c r="P90" s="219">
        <v>163123</v>
      </c>
      <c r="Q90" s="2">
        <v>616</v>
      </c>
      <c r="R90" s="220">
        <v>2784</v>
      </c>
      <c r="S90" s="220">
        <v>23422</v>
      </c>
      <c r="T90" s="2">
        <v>64</v>
      </c>
      <c r="U90" s="220">
        <v>228</v>
      </c>
      <c r="V90" s="221">
        <v>117392</v>
      </c>
      <c r="W90" s="220">
        <v>125</v>
      </c>
      <c r="X90" s="2">
        <v>2156240</v>
      </c>
      <c r="Y90" s="2">
        <v>7044</v>
      </c>
      <c r="Z90" s="220">
        <v>4</v>
      </c>
      <c r="AA90" s="100">
        <f>'Weather Data'!D246</f>
        <v>192.73552299140982</v>
      </c>
      <c r="AB90" s="100">
        <f>'Weather Data'!E246</f>
        <v>23.564477008590192</v>
      </c>
      <c r="AC90" s="100">
        <f>'Weather Data'!F246</f>
        <v>145.83552299140982</v>
      </c>
      <c r="AD90" s="100">
        <f>'Weather Data'!G246</f>
        <v>38.664477008590197</v>
      </c>
      <c r="AE90" s="100">
        <f>'Weather Data'!H246</f>
        <v>103.23552299140981</v>
      </c>
      <c r="AF90" s="100">
        <f>'Weather Data'!I246</f>
        <v>58.064477008590188</v>
      </c>
      <c r="AG90" s="100">
        <f>'Weather Data'!J246</f>
        <v>68.935522991409798</v>
      </c>
      <c r="AH90" s="100">
        <f>'Weather Data'!K246</f>
        <v>85.764477008590191</v>
      </c>
      <c r="AI90" s="100">
        <f>'Weather Data'!L246</f>
        <v>40.700000000000003</v>
      </c>
      <c r="AJ90" s="100">
        <f>'Weather Data'!M246</f>
        <v>119.5289540171804</v>
      </c>
      <c r="AK90" s="100">
        <f>'Weather Data'!N246</f>
        <v>19.899999999999999</v>
      </c>
      <c r="AL90" s="100">
        <f>'Weather Data'!O246</f>
        <v>160.7289540171804</v>
      </c>
      <c r="AM90" s="100">
        <f>'Weather Data'!P246</f>
        <v>3.9000000000000004</v>
      </c>
      <c r="AN90" s="100">
        <f>'Weather Data'!Q246</f>
        <v>206.72895401718043</v>
      </c>
      <c r="AO90" s="100">
        <f>'Weather Data'!R246</f>
        <v>14.542869484425172</v>
      </c>
      <c r="AP90" s="5">
        <f>'Economic Data'!D116</f>
        <v>7269.7</v>
      </c>
      <c r="AQ90" s="5">
        <f>'Economic Data'!E116</f>
        <v>7237.7</v>
      </c>
      <c r="AR90" s="5">
        <f>'Economic Data'!F116</f>
        <v>162.9</v>
      </c>
      <c r="AS90" s="5">
        <f>'Economic Data'!G116</f>
        <v>162.4</v>
      </c>
      <c r="AT90" s="5">
        <f>'Economic Data'!H116</f>
        <v>809658.6</v>
      </c>
      <c r="AU90" s="5">
        <f>'Economic Data'!I116</f>
        <v>8675.1</v>
      </c>
      <c r="AV90" s="5">
        <f>'Economic Data'!J116</f>
        <v>7622.2</v>
      </c>
      <c r="AW90" s="5">
        <f>'Economic Data'!K116</f>
        <v>5799.3</v>
      </c>
      <c r="AX90" s="5">
        <f>'Economic Data'!L116</f>
        <v>1155.7</v>
      </c>
      <c r="AY90" s="5">
        <f>'Economic Data'!M116</f>
        <v>1899.3</v>
      </c>
      <c r="AZ90" s="5">
        <f>'Economic Data'!N116</f>
        <v>6484.1</v>
      </c>
      <c r="BA90" s="5">
        <f>'Economic Data'!O116</f>
        <v>102.4</v>
      </c>
      <c r="BB90" s="5">
        <f>'Economic Data'!P116</f>
        <v>101.8</v>
      </c>
      <c r="BC90" s="5">
        <f>'Economic Data'!Q116</f>
        <v>795824</v>
      </c>
      <c r="BD90" s="5">
        <f>'Economic Data'!R116</f>
        <v>8775</v>
      </c>
      <c r="BE90" s="5">
        <f>'Economic Data'!S116</f>
        <v>3799</v>
      </c>
      <c r="BF90" s="5">
        <f>'Economic Data'!T116</f>
        <v>15935</v>
      </c>
      <c r="BG90" s="5">
        <f>'EV Data'!V55</f>
        <v>51941.333333333292</v>
      </c>
      <c r="BH90" s="5">
        <f>'EV Data'!AB55</f>
        <v>248.66666666666671</v>
      </c>
      <c r="BI90" s="5">
        <f>'EV Data'!W55</f>
        <v>764.66666666666697</v>
      </c>
      <c r="BJ90" s="5">
        <f t="shared" si="71"/>
        <v>89</v>
      </c>
      <c r="BK90" s="70">
        <f t="shared" si="93"/>
        <v>1.9493900066449128</v>
      </c>
      <c r="BL90" s="5">
        <f t="shared" si="94"/>
        <v>7921</v>
      </c>
      <c r="BM90">
        <f t="shared" si="121"/>
        <v>0</v>
      </c>
      <c r="BN90">
        <f t="shared" si="121"/>
        <v>0</v>
      </c>
      <c r="BO90">
        <f t="shared" si="121"/>
        <v>0</v>
      </c>
      <c r="BP90">
        <f t="shared" si="121"/>
        <v>0</v>
      </c>
      <c r="BQ90">
        <f t="shared" si="121"/>
        <v>1</v>
      </c>
      <c r="BR90">
        <f t="shared" si="121"/>
        <v>0</v>
      </c>
      <c r="BS90">
        <f t="shared" si="121"/>
        <v>0</v>
      </c>
      <c r="BT90">
        <f t="shared" si="121"/>
        <v>0</v>
      </c>
      <c r="BU90">
        <f t="shared" si="121"/>
        <v>0</v>
      </c>
      <c r="BV90">
        <f t="shared" si="121"/>
        <v>0</v>
      </c>
      <c r="BW90">
        <f t="shared" si="121"/>
        <v>0</v>
      </c>
      <c r="BX90">
        <f t="shared" si="121"/>
        <v>0</v>
      </c>
      <c r="BY90">
        <f t="shared" si="121"/>
        <v>1</v>
      </c>
      <c r="BZ90">
        <f t="shared" si="121"/>
        <v>0</v>
      </c>
      <c r="CA90">
        <f t="shared" si="121"/>
        <v>1</v>
      </c>
      <c r="CB90">
        <f t="shared" si="113"/>
        <v>31</v>
      </c>
      <c r="CC90">
        <v>20</v>
      </c>
      <c r="CD90">
        <v>1</v>
      </c>
      <c r="CE90">
        <v>0.5</v>
      </c>
      <c r="CF90">
        <f t="shared" si="111"/>
        <v>0.75</v>
      </c>
      <c r="CG90">
        <v>0</v>
      </c>
      <c r="CH90" s="64">
        <f t="shared" si="124"/>
        <v>192.73552299140982</v>
      </c>
      <c r="CI90" s="64">
        <f t="shared" si="125"/>
        <v>23.564477008590192</v>
      </c>
      <c r="CJ90" s="64">
        <f t="shared" si="126"/>
        <v>145.83552299140982</v>
      </c>
      <c r="CK90" s="64">
        <f t="shared" si="127"/>
        <v>38.664477008590197</v>
      </c>
      <c r="CL90" s="64">
        <f t="shared" si="128"/>
        <v>103.23552299140981</v>
      </c>
      <c r="CM90" s="64">
        <f t="shared" si="129"/>
        <v>58.064477008590188</v>
      </c>
      <c r="CN90" s="64">
        <f t="shared" si="130"/>
        <v>68.935522991409798</v>
      </c>
      <c r="CO90" s="64">
        <f t="shared" si="131"/>
        <v>85.764477008590191</v>
      </c>
      <c r="CP90" s="64">
        <f t="shared" si="132"/>
        <v>40.700000000000003</v>
      </c>
      <c r="CQ90" s="64">
        <f t="shared" si="133"/>
        <v>119.5289540171804</v>
      </c>
      <c r="CR90" s="64">
        <f t="shared" si="134"/>
        <v>19.899999999999999</v>
      </c>
      <c r="CS90" s="64">
        <f t="shared" si="135"/>
        <v>160.7289540171804</v>
      </c>
      <c r="CT90" s="64">
        <f t="shared" si="136"/>
        <v>3.9000000000000004</v>
      </c>
      <c r="CU90" s="64">
        <f t="shared" si="137"/>
        <v>206.72895401718043</v>
      </c>
      <c r="CV90" s="69">
        <f t="shared" si="138"/>
        <v>24.779139861273173</v>
      </c>
      <c r="CW90" s="69">
        <f t="shared" si="139"/>
        <v>707.54812975961966</v>
      </c>
      <c r="CX90" s="69">
        <f t="shared" si="95"/>
        <v>2807.4273469736891</v>
      </c>
      <c r="CY90" s="69">
        <f t="shared" si="140"/>
        <v>26953</v>
      </c>
      <c r="CZ90" s="64">
        <f t="shared" si="96"/>
        <v>1811.2434496604444</v>
      </c>
      <c r="DA90" s="64">
        <f t="shared" si="141"/>
        <v>17389.032258064515</v>
      </c>
      <c r="DB90" s="64">
        <f t="shared" si="97"/>
        <v>144.55164224355735</v>
      </c>
      <c r="DC90" s="64">
        <f t="shared" si="98"/>
        <v>17.673357756442645</v>
      </c>
      <c r="DD90" s="64">
        <f t="shared" si="99"/>
        <v>109.37664224355737</v>
      </c>
      <c r="DE90" s="64">
        <f t="shared" si="100"/>
        <v>28.998357756442648</v>
      </c>
      <c r="DF90" s="64">
        <f t="shared" si="101"/>
        <v>77.426642243557353</v>
      </c>
      <c r="DG90" s="64">
        <f t="shared" si="102"/>
        <v>43.548357756442641</v>
      </c>
      <c r="DH90" s="64">
        <f t="shared" si="103"/>
        <v>51.701642243557345</v>
      </c>
      <c r="DI90" s="64">
        <f t="shared" si="104"/>
        <v>64.323357756442647</v>
      </c>
      <c r="DJ90" s="64">
        <f t="shared" si="105"/>
        <v>30.525000000000002</v>
      </c>
      <c r="DK90" s="64">
        <f t="shared" si="106"/>
        <v>89.646715512885294</v>
      </c>
      <c r="DL90" s="64">
        <f t="shared" si="107"/>
        <v>14.924999999999999</v>
      </c>
      <c r="DM90" s="64">
        <f t="shared" si="108"/>
        <v>120.5467155128853</v>
      </c>
      <c r="DN90" s="64">
        <f t="shared" si="109"/>
        <v>2.9250000000000003</v>
      </c>
      <c r="DO90" s="64">
        <f t="shared" si="110"/>
        <v>155.04671551288533</v>
      </c>
      <c r="DP90" s="2">
        <f t="shared" si="122"/>
        <v>65</v>
      </c>
      <c r="DQ90" s="2">
        <f t="shared" si="122"/>
        <v>53</v>
      </c>
      <c r="DR90" s="2">
        <f t="shared" si="122"/>
        <v>41</v>
      </c>
      <c r="DS90" s="2">
        <f t="shared" si="122"/>
        <v>29</v>
      </c>
      <c r="DT90" s="2">
        <f t="shared" si="122"/>
        <v>17</v>
      </c>
      <c r="DU90" s="2">
        <f t="shared" si="115"/>
        <v>4</v>
      </c>
      <c r="DV90" s="2">
        <f t="shared" si="116"/>
        <v>17389.032258064515</v>
      </c>
      <c r="DW90" s="2">
        <f t="shared" si="142"/>
        <v>2156240</v>
      </c>
    </row>
    <row r="91" spans="1:127">
      <c r="A91" s="3">
        <v>44348</v>
      </c>
      <c r="B91">
        <f t="shared" si="117"/>
        <v>2021</v>
      </c>
      <c r="C91" s="2">
        <v>29452593</v>
      </c>
      <c r="D91" s="2">
        <f>VLOOKUP(B91,'Historic CDM'!$B$135:$H$146,2,FALSE)/12</f>
        <v>1164594.3140281634</v>
      </c>
      <c r="E91" s="2">
        <f t="shared" si="118"/>
        <v>30617187.314028163</v>
      </c>
      <c r="F91" s="6">
        <v>28515</v>
      </c>
      <c r="G91" s="219">
        <v>5577990</v>
      </c>
      <c r="H91" s="2">
        <f>VLOOKUP(B91,'Historic CDM'!$B$135:$H$147,3,FALSE)/12</f>
        <v>1136021.9338399856</v>
      </c>
      <c r="I91" s="2">
        <f t="shared" si="119"/>
        <v>6714011.9338399861</v>
      </c>
      <c r="J91" s="6">
        <v>2037</v>
      </c>
      <c r="K91" s="219">
        <v>15650711</v>
      </c>
      <c r="L91" s="2">
        <f>VLOOKUP(B91,'Historic CDM'!$B$135:$H$146,4,FALSE)/12</f>
        <v>1231788.6573237095</v>
      </c>
      <c r="M91" s="2">
        <f t="shared" si="123"/>
        <v>16882499.657323711</v>
      </c>
      <c r="N91" s="222">
        <v>58480</v>
      </c>
      <c r="O91" s="220">
        <v>221</v>
      </c>
      <c r="P91" s="219">
        <v>143715</v>
      </c>
      <c r="Q91" s="2">
        <v>616</v>
      </c>
      <c r="R91" s="220">
        <v>2784</v>
      </c>
      <c r="S91" s="220">
        <v>23218</v>
      </c>
      <c r="T91" s="2">
        <v>63</v>
      </c>
      <c r="U91" s="220">
        <v>228</v>
      </c>
      <c r="V91" s="221">
        <v>117392</v>
      </c>
      <c r="W91" s="220">
        <v>125</v>
      </c>
      <c r="X91" s="2">
        <v>2661577</v>
      </c>
      <c r="Y91" s="2">
        <v>12246</v>
      </c>
      <c r="Z91" s="220">
        <v>4</v>
      </c>
      <c r="AA91" s="100">
        <f>'Weather Data'!D247</f>
        <v>17.899999999999999</v>
      </c>
      <c r="AB91" s="100">
        <f>'Weather Data'!E247</f>
        <v>86.000000000000014</v>
      </c>
      <c r="AC91" s="100">
        <f>'Weather Data'!F247</f>
        <v>6.9</v>
      </c>
      <c r="AD91" s="100">
        <f>'Weather Data'!G247</f>
        <v>135</v>
      </c>
      <c r="AE91" s="100">
        <f>'Weather Data'!H247</f>
        <v>1.9000000000000004</v>
      </c>
      <c r="AF91" s="100">
        <f>'Weather Data'!I247</f>
        <v>190</v>
      </c>
      <c r="AG91" s="100">
        <f>'Weather Data'!J247</f>
        <v>0</v>
      </c>
      <c r="AH91" s="100">
        <f>'Weather Data'!K247</f>
        <v>248.09999999999994</v>
      </c>
      <c r="AI91" s="100">
        <f>'Weather Data'!L247</f>
        <v>0</v>
      </c>
      <c r="AJ91" s="100">
        <f>'Weather Data'!M247</f>
        <v>308.09999999999997</v>
      </c>
      <c r="AK91" s="100">
        <f>'Weather Data'!N247</f>
        <v>0</v>
      </c>
      <c r="AL91" s="100">
        <f>'Weather Data'!O247</f>
        <v>368.1</v>
      </c>
      <c r="AM91" s="100">
        <f>'Weather Data'!P247</f>
        <v>0</v>
      </c>
      <c r="AN91" s="100">
        <f>'Weather Data'!Q247</f>
        <v>428.10000000000008</v>
      </c>
      <c r="AO91" s="100">
        <f>'Weather Data'!R247</f>
        <v>22.270000000000003</v>
      </c>
      <c r="AP91" s="5">
        <f>'Economic Data'!D117</f>
        <v>7250.5</v>
      </c>
      <c r="AQ91" s="5">
        <f>'Economic Data'!E117</f>
        <v>7293</v>
      </c>
      <c r="AR91" s="5">
        <f>'Economic Data'!F117</f>
        <v>163.80000000000001</v>
      </c>
      <c r="AS91" s="5">
        <f>'Economic Data'!G117</f>
        <v>164.4</v>
      </c>
      <c r="AT91" s="5">
        <f>'Economic Data'!H117</f>
        <v>809658.6</v>
      </c>
      <c r="AU91" s="5">
        <f>'Economic Data'!I117</f>
        <v>8675.1</v>
      </c>
      <c r="AV91" s="5">
        <f>'Economic Data'!J117</f>
        <v>7622.2</v>
      </c>
      <c r="AW91" s="5">
        <f>'Economic Data'!K117</f>
        <v>5799.3</v>
      </c>
      <c r="AX91" s="5">
        <f>'Economic Data'!L117</f>
        <v>1155.7</v>
      </c>
      <c r="AY91" s="5">
        <f>'Economic Data'!M117</f>
        <v>1899.3</v>
      </c>
      <c r="AZ91" s="5">
        <f>'Economic Data'!N117</f>
        <v>6484.1</v>
      </c>
      <c r="BA91" s="5">
        <f>'Economic Data'!O117</f>
        <v>102.4</v>
      </c>
      <c r="BB91" s="5">
        <f>'Economic Data'!P117</f>
        <v>101.8</v>
      </c>
      <c r="BC91" s="5">
        <f>'Economic Data'!Q117</f>
        <v>795824</v>
      </c>
      <c r="BD91" s="5">
        <f>'Economic Data'!R117</f>
        <v>8775</v>
      </c>
      <c r="BE91" s="5">
        <f>'Economic Data'!S117</f>
        <v>3799</v>
      </c>
      <c r="BF91" s="5">
        <f>'Economic Data'!T117</f>
        <v>15935</v>
      </c>
      <c r="BG91" s="5">
        <f>'EV Data'!V56</f>
        <v>53639.999999999956</v>
      </c>
      <c r="BH91" s="5">
        <f>'EV Data'!AB56</f>
        <v>260.00000000000006</v>
      </c>
      <c r="BI91" s="5">
        <f>'EV Data'!W56</f>
        <v>790.00000000000034</v>
      </c>
      <c r="BJ91" s="5">
        <f t="shared" si="71"/>
        <v>90</v>
      </c>
      <c r="BK91" s="70">
        <f t="shared" si="93"/>
        <v>1.954242509439325</v>
      </c>
      <c r="BL91" s="5">
        <f t="shared" si="94"/>
        <v>8100</v>
      </c>
      <c r="BM91">
        <f t="shared" ref="BM91:CA106" si="143">BM79</f>
        <v>0</v>
      </c>
      <c r="BN91">
        <f t="shared" si="143"/>
        <v>0</v>
      </c>
      <c r="BO91">
        <f t="shared" si="143"/>
        <v>0</v>
      </c>
      <c r="BP91">
        <f t="shared" si="143"/>
        <v>0</v>
      </c>
      <c r="BQ91">
        <f t="shared" si="143"/>
        <v>0</v>
      </c>
      <c r="BR91">
        <f t="shared" si="143"/>
        <v>1</v>
      </c>
      <c r="BS91">
        <f t="shared" si="143"/>
        <v>0</v>
      </c>
      <c r="BT91">
        <f t="shared" si="143"/>
        <v>0</v>
      </c>
      <c r="BU91">
        <f t="shared" si="143"/>
        <v>0</v>
      </c>
      <c r="BV91">
        <f t="shared" si="143"/>
        <v>0</v>
      </c>
      <c r="BW91">
        <f t="shared" si="143"/>
        <v>0</v>
      </c>
      <c r="BX91">
        <f t="shared" si="143"/>
        <v>0</v>
      </c>
      <c r="BY91">
        <f t="shared" si="143"/>
        <v>0</v>
      </c>
      <c r="BZ91">
        <f t="shared" si="143"/>
        <v>0</v>
      </c>
      <c r="CA91">
        <f t="shared" si="143"/>
        <v>0</v>
      </c>
      <c r="CB91">
        <f t="shared" si="113"/>
        <v>30</v>
      </c>
      <c r="CC91">
        <v>22</v>
      </c>
      <c r="CD91">
        <v>1</v>
      </c>
      <c r="CE91">
        <v>0.5</v>
      </c>
      <c r="CF91">
        <f t="shared" si="111"/>
        <v>0.75</v>
      </c>
      <c r="CG91">
        <v>0</v>
      </c>
      <c r="CH91" s="64">
        <f t="shared" si="124"/>
        <v>17.899999999999999</v>
      </c>
      <c r="CI91" s="64">
        <f t="shared" si="125"/>
        <v>86.000000000000014</v>
      </c>
      <c r="CJ91" s="64">
        <f t="shared" si="126"/>
        <v>6.9</v>
      </c>
      <c r="CK91" s="64">
        <f t="shared" si="127"/>
        <v>135</v>
      </c>
      <c r="CL91" s="64">
        <f t="shared" si="128"/>
        <v>1.9000000000000004</v>
      </c>
      <c r="CM91" s="64">
        <f t="shared" si="129"/>
        <v>190</v>
      </c>
      <c r="CN91" s="64">
        <f t="shared" si="130"/>
        <v>0</v>
      </c>
      <c r="CO91" s="64">
        <f t="shared" si="131"/>
        <v>248.09999999999994</v>
      </c>
      <c r="CP91" s="64">
        <f t="shared" si="132"/>
        <v>0</v>
      </c>
      <c r="CQ91" s="64">
        <f t="shared" si="133"/>
        <v>308.09999999999997</v>
      </c>
      <c r="CR91" s="64">
        <f t="shared" si="134"/>
        <v>0</v>
      </c>
      <c r="CS91" s="64">
        <f t="shared" si="135"/>
        <v>368.1</v>
      </c>
      <c r="CT91" s="64">
        <f t="shared" si="136"/>
        <v>0</v>
      </c>
      <c r="CU91" s="64">
        <f t="shared" si="137"/>
        <v>428.10000000000008</v>
      </c>
      <c r="CV91" s="69">
        <f t="shared" si="138"/>
        <v>35.790738575051918</v>
      </c>
      <c r="CW91" s="69">
        <f t="shared" si="139"/>
        <v>1012.6714832337838</v>
      </c>
      <c r="CX91" s="69">
        <f t="shared" si="95"/>
        <v>3472.3364165618491</v>
      </c>
      <c r="CY91" s="69">
        <f t="shared" si="140"/>
        <v>30245.19318181818</v>
      </c>
      <c r="CZ91" s="64">
        <f t="shared" si="96"/>
        <v>2546.3800388120226</v>
      </c>
      <c r="DA91" s="64">
        <f t="shared" si="141"/>
        <v>22179.808333333334</v>
      </c>
      <c r="DB91" s="64">
        <f t="shared" si="97"/>
        <v>13.424999999999999</v>
      </c>
      <c r="DC91" s="64">
        <f t="shared" si="98"/>
        <v>64.500000000000014</v>
      </c>
      <c r="DD91" s="64">
        <f t="shared" si="99"/>
        <v>5.1750000000000007</v>
      </c>
      <c r="DE91" s="64">
        <f t="shared" si="100"/>
        <v>101.25</v>
      </c>
      <c r="DF91" s="64">
        <f t="shared" si="101"/>
        <v>1.4250000000000003</v>
      </c>
      <c r="DG91" s="64">
        <f t="shared" si="102"/>
        <v>142.5</v>
      </c>
      <c r="DH91" s="64">
        <f t="shared" si="103"/>
        <v>0</v>
      </c>
      <c r="DI91" s="64">
        <f t="shared" si="104"/>
        <v>186.07499999999996</v>
      </c>
      <c r="DJ91" s="64">
        <f t="shared" si="105"/>
        <v>0</v>
      </c>
      <c r="DK91" s="64">
        <f t="shared" si="106"/>
        <v>231.07499999999999</v>
      </c>
      <c r="DL91" s="64">
        <f t="shared" si="107"/>
        <v>0</v>
      </c>
      <c r="DM91" s="64">
        <f t="shared" si="108"/>
        <v>276.07500000000005</v>
      </c>
      <c r="DN91" s="64">
        <f t="shared" si="109"/>
        <v>0</v>
      </c>
      <c r="DO91" s="64">
        <f t="shared" si="110"/>
        <v>321.07500000000005</v>
      </c>
      <c r="DP91" s="2">
        <f t="shared" si="122"/>
        <v>66</v>
      </c>
      <c r="DQ91" s="2">
        <f t="shared" si="122"/>
        <v>54</v>
      </c>
      <c r="DR91" s="2">
        <f t="shared" si="122"/>
        <v>42</v>
      </c>
      <c r="DS91" s="2">
        <f t="shared" si="122"/>
        <v>30</v>
      </c>
      <c r="DT91" s="2">
        <f t="shared" si="122"/>
        <v>18</v>
      </c>
      <c r="DU91" s="2">
        <f t="shared" si="115"/>
        <v>4</v>
      </c>
      <c r="DV91" s="2">
        <f t="shared" si="116"/>
        <v>22179.808333333334</v>
      </c>
      <c r="DW91" s="2">
        <f t="shared" si="142"/>
        <v>2661577</v>
      </c>
    </row>
    <row r="92" spans="1:127">
      <c r="A92" s="3">
        <v>44378</v>
      </c>
      <c r="B92">
        <f t="shared" si="117"/>
        <v>2021</v>
      </c>
      <c r="C92" s="2">
        <v>32083365</v>
      </c>
      <c r="D92" s="2">
        <f>VLOOKUP(B92,'Historic CDM'!$B$135:$H$146,2,FALSE)/12</f>
        <v>1164594.3140281634</v>
      </c>
      <c r="E92" s="2">
        <f t="shared" si="118"/>
        <v>33247959.314028163</v>
      </c>
      <c r="F92" s="6">
        <v>28523</v>
      </c>
      <c r="G92" s="219">
        <v>6082964</v>
      </c>
      <c r="H92" s="2">
        <f>VLOOKUP(B92,'Historic CDM'!$B$135:$H$147,3,FALSE)/12</f>
        <v>1136021.9338399856</v>
      </c>
      <c r="I92" s="2">
        <f t="shared" si="119"/>
        <v>7218985.9338399861</v>
      </c>
      <c r="J92" s="6">
        <v>2039</v>
      </c>
      <c r="K92" s="219">
        <v>16592168</v>
      </c>
      <c r="L92" s="2">
        <f>VLOOKUP(B92,'Historic CDM'!$B$135:$H$146,4,FALSE)/12</f>
        <v>1231788.6573237095</v>
      </c>
      <c r="M92" s="2">
        <f t="shared" si="123"/>
        <v>17823956.657323711</v>
      </c>
      <c r="N92" s="222">
        <v>55637</v>
      </c>
      <c r="O92" s="220">
        <v>221</v>
      </c>
      <c r="P92" s="219">
        <v>152649</v>
      </c>
      <c r="Q92" s="2">
        <v>616</v>
      </c>
      <c r="R92" s="220">
        <v>2784</v>
      </c>
      <c r="S92" s="220">
        <v>23429</v>
      </c>
      <c r="T92" s="2">
        <v>64</v>
      </c>
      <c r="U92" s="220">
        <v>228</v>
      </c>
      <c r="V92" s="221">
        <v>117392</v>
      </c>
      <c r="W92" s="220">
        <v>125</v>
      </c>
      <c r="X92" s="2">
        <v>2641727</v>
      </c>
      <c r="Y92" s="2">
        <v>8321</v>
      </c>
      <c r="Z92" s="220">
        <v>4</v>
      </c>
      <c r="AA92" s="100">
        <f>'Weather Data'!D248</f>
        <v>10.5</v>
      </c>
      <c r="AB92" s="100">
        <f>'Weather Data'!E248</f>
        <v>78.900000000000006</v>
      </c>
      <c r="AC92" s="100">
        <f>'Weather Data'!F248</f>
        <v>0</v>
      </c>
      <c r="AD92" s="100">
        <f>'Weather Data'!G248</f>
        <v>130.4</v>
      </c>
      <c r="AE92" s="100">
        <f>'Weather Data'!H248</f>
        <v>0</v>
      </c>
      <c r="AF92" s="100">
        <f>'Weather Data'!I248</f>
        <v>192.39999999999998</v>
      </c>
      <c r="AG92" s="100">
        <f>'Weather Data'!J248</f>
        <v>0</v>
      </c>
      <c r="AH92" s="100">
        <f>'Weather Data'!K248</f>
        <v>254.40000000000003</v>
      </c>
      <c r="AI92" s="100">
        <f>'Weather Data'!L248</f>
        <v>0</v>
      </c>
      <c r="AJ92" s="100">
        <f>'Weather Data'!M248</f>
        <v>316.40000000000003</v>
      </c>
      <c r="AK92" s="100">
        <f>'Weather Data'!N248</f>
        <v>0</v>
      </c>
      <c r="AL92" s="100">
        <f>'Weather Data'!O248</f>
        <v>378.4</v>
      </c>
      <c r="AM92" s="100">
        <f>'Weather Data'!P248</f>
        <v>0</v>
      </c>
      <c r="AN92" s="100">
        <f>'Weather Data'!Q248</f>
        <v>440.39999999999992</v>
      </c>
      <c r="AO92" s="100">
        <f>'Weather Data'!R248</f>
        <v>22.20645161290323</v>
      </c>
      <c r="AP92" s="5">
        <f>'Economic Data'!D118</f>
        <v>7313.3</v>
      </c>
      <c r="AQ92" s="5">
        <f>'Economic Data'!E118</f>
        <v>7391.8</v>
      </c>
      <c r="AR92" s="5">
        <f>'Economic Data'!F118</f>
        <v>164.8</v>
      </c>
      <c r="AS92" s="5">
        <f>'Economic Data'!G118</f>
        <v>165.4</v>
      </c>
      <c r="AT92" s="5">
        <f>'Economic Data'!H118</f>
        <v>809658.6</v>
      </c>
      <c r="AU92" s="5">
        <f>'Economic Data'!I118</f>
        <v>8675.1</v>
      </c>
      <c r="AV92" s="5">
        <f>'Economic Data'!J118</f>
        <v>7622.2</v>
      </c>
      <c r="AW92" s="5">
        <f>'Economic Data'!K118</f>
        <v>5799.3</v>
      </c>
      <c r="AX92" s="5">
        <f>'Economic Data'!L118</f>
        <v>1155.7</v>
      </c>
      <c r="AY92" s="5">
        <f>'Economic Data'!M118</f>
        <v>1899.3</v>
      </c>
      <c r="AZ92" s="5">
        <f>'Economic Data'!N118</f>
        <v>6484.1</v>
      </c>
      <c r="BA92" s="5">
        <f>'Economic Data'!O118</f>
        <v>102.4</v>
      </c>
      <c r="BB92" s="5">
        <f>'Economic Data'!P118</f>
        <v>101.8</v>
      </c>
      <c r="BC92" s="5">
        <f>'Economic Data'!Q118</f>
        <v>810982</v>
      </c>
      <c r="BD92" s="5">
        <f>'Economic Data'!R118</f>
        <v>8142</v>
      </c>
      <c r="BE92" s="5">
        <f>'Economic Data'!S118</f>
        <v>4000</v>
      </c>
      <c r="BF92" s="5">
        <f>'Economic Data'!T118</f>
        <v>16200</v>
      </c>
      <c r="BG92" s="5">
        <f>'EV Data'!V57</f>
        <v>55360.666666666621</v>
      </c>
      <c r="BH92" s="5">
        <f>'EV Data'!AB57</f>
        <v>273.33333333333337</v>
      </c>
      <c r="BI92" s="5">
        <f>'EV Data'!W57</f>
        <v>822.33333333333371</v>
      </c>
      <c r="BJ92" s="5">
        <f t="shared" si="71"/>
        <v>91</v>
      </c>
      <c r="BK92" s="70">
        <f t="shared" si="93"/>
        <v>1.9590413923210936</v>
      </c>
      <c r="BL92" s="5">
        <f t="shared" si="94"/>
        <v>8281</v>
      </c>
      <c r="BM92">
        <f t="shared" si="143"/>
        <v>0</v>
      </c>
      <c r="BN92">
        <f t="shared" si="143"/>
        <v>0</v>
      </c>
      <c r="BO92">
        <f t="shared" si="143"/>
        <v>0</v>
      </c>
      <c r="BP92">
        <f t="shared" si="143"/>
        <v>0</v>
      </c>
      <c r="BQ92">
        <f t="shared" si="143"/>
        <v>0</v>
      </c>
      <c r="BR92">
        <f t="shared" si="143"/>
        <v>0</v>
      </c>
      <c r="BS92">
        <f t="shared" si="143"/>
        <v>1</v>
      </c>
      <c r="BT92">
        <f t="shared" si="143"/>
        <v>0</v>
      </c>
      <c r="BU92">
        <f t="shared" si="143"/>
        <v>0</v>
      </c>
      <c r="BV92">
        <f t="shared" si="143"/>
        <v>0</v>
      </c>
      <c r="BW92">
        <f t="shared" si="143"/>
        <v>0</v>
      </c>
      <c r="BX92">
        <f t="shared" si="143"/>
        <v>0</v>
      </c>
      <c r="BY92">
        <f t="shared" si="143"/>
        <v>0</v>
      </c>
      <c r="BZ92">
        <f t="shared" si="143"/>
        <v>0</v>
      </c>
      <c r="CA92">
        <f t="shared" si="143"/>
        <v>0</v>
      </c>
      <c r="CB92">
        <f t="shared" si="113"/>
        <v>31</v>
      </c>
      <c r="CC92">
        <v>21</v>
      </c>
      <c r="CD92">
        <v>1</v>
      </c>
      <c r="CE92">
        <v>0.5</v>
      </c>
      <c r="CF92">
        <f t="shared" si="111"/>
        <v>0.75</v>
      </c>
      <c r="CG92">
        <v>0</v>
      </c>
      <c r="CH92" s="64">
        <f t="shared" si="124"/>
        <v>10.5</v>
      </c>
      <c r="CI92" s="64">
        <f t="shared" si="125"/>
        <v>78.900000000000006</v>
      </c>
      <c r="CJ92" s="64">
        <f t="shared" si="126"/>
        <v>0</v>
      </c>
      <c r="CK92" s="64">
        <f t="shared" si="127"/>
        <v>130.4</v>
      </c>
      <c r="CL92" s="64">
        <f t="shared" si="128"/>
        <v>0</v>
      </c>
      <c r="CM92" s="64">
        <f t="shared" si="129"/>
        <v>192.39999999999998</v>
      </c>
      <c r="CN92" s="64">
        <f t="shared" si="130"/>
        <v>0</v>
      </c>
      <c r="CO92" s="64">
        <f t="shared" si="131"/>
        <v>254.40000000000003</v>
      </c>
      <c r="CP92" s="64">
        <f t="shared" si="132"/>
        <v>0</v>
      </c>
      <c r="CQ92" s="64">
        <f t="shared" si="133"/>
        <v>316.40000000000003</v>
      </c>
      <c r="CR92" s="64">
        <f t="shared" si="134"/>
        <v>0</v>
      </c>
      <c r="CS92" s="64">
        <f t="shared" si="135"/>
        <v>378.4</v>
      </c>
      <c r="CT92" s="64">
        <f t="shared" si="136"/>
        <v>0</v>
      </c>
      <c r="CU92" s="64">
        <f t="shared" si="137"/>
        <v>440.39999999999992</v>
      </c>
      <c r="CV92" s="69">
        <f t="shared" si="138"/>
        <v>37.601753552626079</v>
      </c>
      <c r="CW92" s="69">
        <f t="shared" si="139"/>
        <v>1053.7127330083179</v>
      </c>
      <c r="CX92" s="69">
        <f t="shared" si="95"/>
        <v>3840.5422661761927</v>
      </c>
      <c r="CY92" s="69">
        <f t="shared" si="140"/>
        <v>31449.130952380954</v>
      </c>
      <c r="CZ92" s="64">
        <f t="shared" si="96"/>
        <v>2601.6576641838724</v>
      </c>
      <c r="DA92" s="64">
        <f t="shared" si="141"/>
        <v>21304.25</v>
      </c>
      <c r="DB92" s="64">
        <f t="shared" si="97"/>
        <v>7.875</v>
      </c>
      <c r="DC92" s="64">
        <f t="shared" si="98"/>
        <v>59.175000000000004</v>
      </c>
      <c r="DD92" s="64">
        <f t="shared" si="99"/>
        <v>0</v>
      </c>
      <c r="DE92" s="64">
        <f t="shared" si="100"/>
        <v>97.800000000000011</v>
      </c>
      <c r="DF92" s="64">
        <f t="shared" si="101"/>
        <v>0</v>
      </c>
      <c r="DG92" s="64">
        <f t="shared" si="102"/>
        <v>144.29999999999998</v>
      </c>
      <c r="DH92" s="64">
        <f t="shared" si="103"/>
        <v>0</v>
      </c>
      <c r="DI92" s="64">
        <f t="shared" si="104"/>
        <v>190.8</v>
      </c>
      <c r="DJ92" s="64">
        <f t="shared" si="105"/>
        <v>0</v>
      </c>
      <c r="DK92" s="64">
        <f t="shared" si="106"/>
        <v>237.3</v>
      </c>
      <c r="DL92" s="64">
        <f t="shared" si="107"/>
        <v>0</v>
      </c>
      <c r="DM92" s="64">
        <f t="shared" si="108"/>
        <v>283.79999999999995</v>
      </c>
      <c r="DN92" s="64">
        <f t="shared" si="109"/>
        <v>0</v>
      </c>
      <c r="DO92" s="64">
        <f t="shared" si="110"/>
        <v>330.29999999999995</v>
      </c>
      <c r="DP92" s="2">
        <f t="shared" ref="DP92:DT107" si="144">DP91+1</f>
        <v>67</v>
      </c>
      <c r="DQ92" s="2">
        <f t="shared" si="144"/>
        <v>55</v>
      </c>
      <c r="DR92" s="2">
        <f t="shared" si="144"/>
        <v>43</v>
      </c>
      <c r="DS92" s="2">
        <f t="shared" si="144"/>
        <v>31</v>
      </c>
      <c r="DT92" s="2">
        <f t="shared" si="144"/>
        <v>19</v>
      </c>
      <c r="DU92" s="2">
        <f t="shared" si="115"/>
        <v>4</v>
      </c>
      <c r="DV92" s="2">
        <f t="shared" si="116"/>
        <v>21304.25</v>
      </c>
      <c r="DW92" s="2">
        <f t="shared" si="142"/>
        <v>2641727</v>
      </c>
    </row>
    <row r="93" spans="1:127">
      <c r="A93" s="3">
        <v>44409</v>
      </c>
      <c r="B93">
        <f t="shared" si="117"/>
        <v>2021</v>
      </c>
      <c r="C93" s="2">
        <v>35010920</v>
      </c>
      <c r="D93" s="2">
        <f>VLOOKUP(B93,'Historic CDM'!$B$135:$H$146,2,FALSE)/12</f>
        <v>1164594.3140281634</v>
      </c>
      <c r="E93" s="2">
        <f t="shared" si="118"/>
        <v>36175514.314028166</v>
      </c>
      <c r="F93" s="6">
        <v>28532</v>
      </c>
      <c r="G93" s="219">
        <v>6633843</v>
      </c>
      <c r="H93" s="2">
        <f>VLOOKUP(B93,'Historic CDM'!$B$135:$H$147,3,FALSE)/12</f>
        <v>1136021.9338399856</v>
      </c>
      <c r="I93" s="2">
        <f t="shared" si="119"/>
        <v>7769864.9338399861</v>
      </c>
      <c r="J93" s="6">
        <v>2039</v>
      </c>
      <c r="K93" s="219">
        <v>18785074</v>
      </c>
      <c r="L93" s="2">
        <f>VLOOKUP(B93,'Historic CDM'!$B$135:$H$146,4,FALSE)/12</f>
        <v>1231788.6573237095</v>
      </c>
      <c r="M93" s="2">
        <f t="shared" si="123"/>
        <v>20016862.657323711</v>
      </c>
      <c r="N93" s="222">
        <v>62435</v>
      </c>
      <c r="O93" s="220">
        <v>221</v>
      </c>
      <c r="P93" s="219">
        <v>171287</v>
      </c>
      <c r="Q93" s="2">
        <v>616</v>
      </c>
      <c r="R93" s="220">
        <v>2784</v>
      </c>
      <c r="S93" s="220">
        <v>23433</v>
      </c>
      <c r="T93" s="2">
        <v>64</v>
      </c>
      <c r="U93" s="220">
        <v>228</v>
      </c>
      <c r="V93" s="221">
        <v>117392</v>
      </c>
      <c r="W93" s="220">
        <v>125</v>
      </c>
      <c r="X93" s="2">
        <v>2810916</v>
      </c>
      <c r="Y93" s="2">
        <v>11818</v>
      </c>
      <c r="Z93" s="220">
        <v>4</v>
      </c>
      <c r="AA93" s="100">
        <f>'Weather Data'!D249</f>
        <v>4.9000000000000021</v>
      </c>
      <c r="AB93" s="100">
        <f>'Weather Data'!E249</f>
        <v>105.19343102577058</v>
      </c>
      <c r="AC93" s="100">
        <f>'Weather Data'!F249</f>
        <v>0</v>
      </c>
      <c r="AD93" s="100">
        <f>'Weather Data'!G249</f>
        <v>162.29343102577059</v>
      </c>
      <c r="AE93" s="100">
        <f>'Weather Data'!H249</f>
        <v>0</v>
      </c>
      <c r="AF93" s="100">
        <f>'Weather Data'!I249</f>
        <v>224.29343102577059</v>
      </c>
      <c r="AG93" s="100">
        <f>'Weather Data'!J249</f>
        <v>0</v>
      </c>
      <c r="AH93" s="100">
        <f>'Weather Data'!K249</f>
        <v>286.29343102577059</v>
      </c>
      <c r="AI93" s="100">
        <f>'Weather Data'!L249</f>
        <v>0</v>
      </c>
      <c r="AJ93" s="100">
        <f>'Weather Data'!M249</f>
        <v>348.29343102577053</v>
      </c>
      <c r="AK93" s="100">
        <f>'Weather Data'!N249</f>
        <v>0</v>
      </c>
      <c r="AL93" s="100">
        <f>'Weather Data'!O249</f>
        <v>410.29343102577059</v>
      </c>
      <c r="AM93" s="100">
        <f>'Weather Data'!P249</f>
        <v>0</v>
      </c>
      <c r="AN93" s="100">
        <f>'Weather Data'!Q249</f>
        <v>472.29343102577064</v>
      </c>
      <c r="AO93" s="100">
        <f>'Weather Data'!R249</f>
        <v>23.235271968573244</v>
      </c>
      <c r="AP93" s="5">
        <f>'Economic Data'!D119</f>
        <v>7398.8</v>
      </c>
      <c r="AQ93" s="5">
        <f>'Economic Data'!E119</f>
        <v>7475.2</v>
      </c>
      <c r="AR93" s="5">
        <f>'Economic Data'!F119</f>
        <v>167.7</v>
      </c>
      <c r="AS93" s="5">
        <f>'Economic Data'!G119</f>
        <v>168.6</v>
      </c>
      <c r="AT93" s="5">
        <f>'Economic Data'!H119</f>
        <v>809658.6</v>
      </c>
      <c r="AU93" s="5">
        <f>'Economic Data'!I119</f>
        <v>8675.1</v>
      </c>
      <c r="AV93" s="5">
        <f>'Economic Data'!J119</f>
        <v>7622.2</v>
      </c>
      <c r="AW93" s="5">
        <f>'Economic Data'!K119</f>
        <v>5799.3</v>
      </c>
      <c r="AX93" s="5">
        <f>'Economic Data'!L119</f>
        <v>1155.7</v>
      </c>
      <c r="AY93" s="5">
        <f>'Economic Data'!M119</f>
        <v>1899.3</v>
      </c>
      <c r="AZ93" s="5">
        <f>'Economic Data'!N119</f>
        <v>6484.1</v>
      </c>
      <c r="BA93" s="5">
        <f>'Economic Data'!O119</f>
        <v>102.4</v>
      </c>
      <c r="BB93" s="5">
        <f>'Economic Data'!P119</f>
        <v>101.8</v>
      </c>
      <c r="BC93" s="5">
        <f>'Economic Data'!Q119</f>
        <v>810982</v>
      </c>
      <c r="BD93" s="5">
        <f>'Economic Data'!R119</f>
        <v>8142</v>
      </c>
      <c r="BE93" s="5">
        <f>'Economic Data'!S119</f>
        <v>4000</v>
      </c>
      <c r="BF93" s="5">
        <f>'Economic Data'!T119</f>
        <v>16200</v>
      </c>
      <c r="BG93" s="5">
        <f>'EV Data'!V58</f>
        <v>57081.333333333285</v>
      </c>
      <c r="BH93" s="5">
        <f>'EV Data'!AB58</f>
        <v>286.66666666666669</v>
      </c>
      <c r="BI93" s="5">
        <f>'EV Data'!W58</f>
        <v>854.66666666666708</v>
      </c>
      <c r="BJ93" s="5">
        <f t="shared" si="71"/>
        <v>92</v>
      </c>
      <c r="BK93" s="70">
        <f t="shared" si="93"/>
        <v>1.9637878273455553</v>
      </c>
      <c r="BL93" s="5">
        <f t="shared" si="94"/>
        <v>8464</v>
      </c>
      <c r="BM93">
        <f t="shared" si="143"/>
        <v>0</v>
      </c>
      <c r="BN93">
        <f t="shared" si="143"/>
        <v>0</v>
      </c>
      <c r="BO93">
        <f t="shared" si="143"/>
        <v>0</v>
      </c>
      <c r="BP93">
        <f t="shared" si="143"/>
        <v>0</v>
      </c>
      <c r="BQ93">
        <f t="shared" si="143"/>
        <v>0</v>
      </c>
      <c r="BR93">
        <f t="shared" si="143"/>
        <v>0</v>
      </c>
      <c r="BS93">
        <f t="shared" si="143"/>
        <v>0</v>
      </c>
      <c r="BT93">
        <f t="shared" si="143"/>
        <v>1</v>
      </c>
      <c r="BU93">
        <f t="shared" si="143"/>
        <v>0</v>
      </c>
      <c r="BV93">
        <f t="shared" si="143"/>
        <v>0</v>
      </c>
      <c r="BW93">
        <f t="shared" si="143"/>
        <v>0</v>
      </c>
      <c r="BX93">
        <f t="shared" si="143"/>
        <v>0</v>
      </c>
      <c r="BY93">
        <f t="shared" si="143"/>
        <v>0</v>
      </c>
      <c r="BZ93">
        <f t="shared" si="143"/>
        <v>0</v>
      </c>
      <c r="CA93">
        <f t="shared" si="143"/>
        <v>0</v>
      </c>
      <c r="CB93">
        <f t="shared" si="113"/>
        <v>31</v>
      </c>
      <c r="CC93">
        <v>20</v>
      </c>
      <c r="CD93">
        <v>1</v>
      </c>
      <c r="CE93">
        <v>0.5</v>
      </c>
      <c r="CF93">
        <f t="shared" si="111"/>
        <v>0.75</v>
      </c>
      <c r="CG93">
        <v>0</v>
      </c>
      <c r="CH93" s="64">
        <f t="shared" si="124"/>
        <v>4.9000000000000021</v>
      </c>
      <c r="CI93" s="64">
        <f t="shared" si="125"/>
        <v>105.19343102577058</v>
      </c>
      <c r="CJ93" s="64">
        <f t="shared" si="126"/>
        <v>0</v>
      </c>
      <c r="CK93" s="64">
        <f t="shared" si="127"/>
        <v>162.29343102577059</v>
      </c>
      <c r="CL93" s="64">
        <f t="shared" si="128"/>
        <v>0</v>
      </c>
      <c r="CM93" s="64">
        <f t="shared" si="129"/>
        <v>224.29343102577059</v>
      </c>
      <c r="CN93" s="64">
        <f t="shared" si="130"/>
        <v>0</v>
      </c>
      <c r="CO93" s="64">
        <f t="shared" si="131"/>
        <v>286.29343102577059</v>
      </c>
      <c r="CP93" s="64">
        <f t="shared" si="132"/>
        <v>0</v>
      </c>
      <c r="CQ93" s="64">
        <f t="shared" si="133"/>
        <v>348.29343102577053</v>
      </c>
      <c r="CR93" s="64">
        <f t="shared" si="134"/>
        <v>0</v>
      </c>
      <c r="CS93" s="64">
        <f t="shared" si="135"/>
        <v>410.29343102577059</v>
      </c>
      <c r="CT93" s="64">
        <f t="shared" si="136"/>
        <v>0</v>
      </c>
      <c r="CU93" s="64">
        <f t="shared" si="137"/>
        <v>472.29343102577064</v>
      </c>
      <c r="CV93" s="69">
        <f t="shared" si="138"/>
        <v>40.899764287328964</v>
      </c>
      <c r="CW93" s="69">
        <f t="shared" si="139"/>
        <v>1134.121286504158</v>
      </c>
      <c r="CX93" s="69">
        <f t="shared" si="95"/>
        <v>4528.7019586705228</v>
      </c>
      <c r="CY93" s="69">
        <f t="shared" si="140"/>
        <v>35136.449999999997</v>
      </c>
      <c r="CZ93" s="64">
        <f t="shared" si="96"/>
        <v>2921.7431991422727</v>
      </c>
      <c r="DA93" s="64">
        <f t="shared" si="141"/>
        <v>22668.677419354837</v>
      </c>
      <c r="DB93" s="64">
        <f t="shared" si="97"/>
        <v>3.6750000000000016</v>
      </c>
      <c r="DC93" s="64">
        <f t="shared" si="98"/>
        <v>78.895073269327938</v>
      </c>
      <c r="DD93" s="64">
        <f t="shared" si="99"/>
        <v>0</v>
      </c>
      <c r="DE93" s="64">
        <f t="shared" si="100"/>
        <v>121.72007326932794</v>
      </c>
      <c r="DF93" s="64">
        <f t="shared" si="101"/>
        <v>0</v>
      </c>
      <c r="DG93" s="64">
        <f t="shared" si="102"/>
        <v>168.22007326932794</v>
      </c>
      <c r="DH93" s="64">
        <f t="shared" si="103"/>
        <v>0</v>
      </c>
      <c r="DI93" s="64">
        <f t="shared" si="104"/>
        <v>214.72007326932794</v>
      </c>
      <c r="DJ93" s="64">
        <f t="shared" si="105"/>
        <v>0</v>
      </c>
      <c r="DK93" s="64">
        <f t="shared" si="106"/>
        <v>261.22007326932788</v>
      </c>
      <c r="DL93" s="64">
        <f t="shared" si="107"/>
        <v>0</v>
      </c>
      <c r="DM93" s="64">
        <f t="shared" si="108"/>
        <v>307.72007326932794</v>
      </c>
      <c r="DN93" s="64">
        <f t="shared" si="109"/>
        <v>0</v>
      </c>
      <c r="DO93" s="64">
        <f t="shared" si="110"/>
        <v>354.220073269328</v>
      </c>
      <c r="DP93" s="2">
        <f t="shared" si="144"/>
        <v>68</v>
      </c>
      <c r="DQ93" s="2">
        <f t="shared" si="144"/>
        <v>56</v>
      </c>
      <c r="DR93" s="2">
        <f t="shared" si="144"/>
        <v>44</v>
      </c>
      <c r="DS93" s="2">
        <f t="shared" si="144"/>
        <v>32</v>
      </c>
      <c r="DT93" s="2">
        <f t="shared" si="144"/>
        <v>20</v>
      </c>
      <c r="DU93" s="2">
        <f t="shared" si="115"/>
        <v>4</v>
      </c>
      <c r="DV93" s="2">
        <f t="shared" si="116"/>
        <v>22668.677419354837</v>
      </c>
      <c r="DW93" s="2">
        <f t="shared" si="142"/>
        <v>2810916</v>
      </c>
    </row>
    <row r="94" spans="1:127">
      <c r="A94" s="3">
        <v>44440</v>
      </c>
      <c r="B94">
        <f t="shared" si="117"/>
        <v>2021</v>
      </c>
      <c r="C94" s="2">
        <v>23881341</v>
      </c>
      <c r="D94" s="2">
        <f>VLOOKUP(B94,'Historic CDM'!$B$135:$H$146,2,FALSE)/12</f>
        <v>1164594.3140281634</v>
      </c>
      <c r="E94" s="2">
        <f t="shared" si="118"/>
        <v>25045935.314028163</v>
      </c>
      <c r="F94" s="6">
        <v>28549</v>
      </c>
      <c r="G94" s="219">
        <v>5389808</v>
      </c>
      <c r="H94" s="2">
        <f>VLOOKUP(B94,'Historic CDM'!$B$135:$H$147,3,FALSE)/12</f>
        <v>1136021.9338399856</v>
      </c>
      <c r="I94" s="2">
        <f t="shared" si="119"/>
        <v>6525829.9338399861</v>
      </c>
      <c r="J94" s="6">
        <v>2040</v>
      </c>
      <c r="K94" s="219">
        <v>17282212</v>
      </c>
      <c r="L94" s="2">
        <f>VLOOKUP(B94,'Historic CDM'!$B$135:$H$146,4,FALSE)/12</f>
        <v>1231788.6573237095</v>
      </c>
      <c r="M94" s="2">
        <f t="shared" si="123"/>
        <v>18514000.657323711</v>
      </c>
      <c r="N94" s="222">
        <v>53497</v>
      </c>
      <c r="O94" s="220">
        <v>221</v>
      </c>
      <c r="P94" s="219">
        <v>193160</v>
      </c>
      <c r="Q94" s="2">
        <v>616</v>
      </c>
      <c r="R94" s="220">
        <v>2784</v>
      </c>
      <c r="S94" s="220">
        <v>22654</v>
      </c>
      <c r="T94" s="2">
        <v>62</v>
      </c>
      <c r="U94" s="220">
        <v>228</v>
      </c>
      <c r="V94" s="221">
        <v>117392</v>
      </c>
      <c r="W94" s="220">
        <v>125</v>
      </c>
      <c r="X94" s="2">
        <v>2370134</v>
      </c>
      <c r="Y94" s="2">
        <v>6613</v>
      </c>
      <c r="Z94" s="220">
        <v>4</v>
      </c>
      <c r="AA94" s="100">
        <f>'Weather Data'!D250</f>
        <v>61.099999999999994</v>
      </c>
      <c r="AB94" s="100">
        <f>'Weather Data'!E250</f>
        <v>18.600000000000001</v>
      </c>
      <c r="AC94" s="100">
        <f>'Weather Data'!F250</f>
        <v>33.400000000000006</v>
      </c>
      <c r="AD94" s="100">
        <f>'Weather Data'!G250</f>
        <v>50.900000000000006</v>
      </c>
      <c r="AE94" s="100">
        <f>'Weather Data'!H250</f>
        <v>13.3</v>
      </c>
      <c r="AF94" s="100">
        <f>'Weather Data'!I250</f>
        <v>90.800000000000011</v>
      </c>
      <c r="AG94" s="100">
        <f>'Weather Data'!J250</f>
        <v>3.9000000000000004</v>
      </c>
      <c r="AH94" s="100">
        <f>'Weather Data'!K250</f>
        <v>141.39999999999998</v>
      </c>
      <c r="AI94" s="100">
        <f>'Weather Data'!L250</f>
        <v>0.59999999999999964</v>
      </c>
      <c r="AJ94" s="100">
        <f>'Weather Data'!M250</f>
        <v>198.1</v>
      </c>
      <c r="AK94" s="100">
        <f>'Weather Data'!N250</f>
        <v>0</v>
      </c>
      <c r="AL94" s="100">
        <f>'Weather Data'!O250</f>
        <v>257.5</v>
      </c>
      <c r="AM94" s="100">
        <f>'Weather Data'!P250</f>
        <v>0</v>
      </c>
      <c r="AN94" s="100">
        <f>'Weather Data'!Q250</f>
        <v>317.49999999999994</v>
      </c>
      <c r="AO94" s="100">
        <f>'Weather Data'!R250</f>
        <v>18.583333333333332</v>
      </c>
      <c r="AP94" s="5">
        <f>'Economic Data'!D120</f>
        <v>7473.3</v>
      </c>
      <c r="AQ94" s="5">
        <f>'Economic Data'!E120</f>
        <v>7503.2</v>
      </c>
      <c r="AR94" s="5">
        <f>'Economic Data'!F120</f>
        <v>165.8</v>
      </c>
      <c r="AS94" s="5">
        <f>'Economic Data'!G120</f>
        <v>167.7</v>
      </c>
      <c r="AT94" s="5">
        <f>'Economic Data'!H120</f>
        <v>809658.6</v>
      </c>
      <c r="AU94" s="5">
        <f>'Economic Data'!I120</f>
        <v>8675.1</v>
      </c>
      <c r="AV94" s="5">
        <f>'Economic Data'!J120</f>
        <v>7622.2</v>
      </c>
      <c r="AW94" s="5">
        <f>'Economic Data'!K120</f>
        <v>5799.3</v>
      </c>
      <c r="AX94" s="5">
        <f>'Economic Data'!L120</f>
        <v>1155.7</v>
      </c>
      <c r="AY94" s="5">
        <f>'Economic Data'!M120</f>
        <v>1899.3</v>
      </c>
      <c r="AZ94" s="5">
        <f>'Economic Data'!N120</f>
        <v>6484.1</v>
      </c>
      <c r="BA94" s="5">
        <f>'Economic Data'!O120</f>
        <v>102.4</v>
      </c>
      <c r="BB94" s="5">
        <f>'Economic Data'!P120</f>
        <v>101.8</v>
      </c>
      <c r="BC94" s="5">
        <f>'Economic Data'!Q120</f>
        <v>810982</v>
      </c>
      <c r="BD94" s="5">
        <f>'Economic Data'!R120</f>
        <v>8142</v>
      </c>
      <c r="BE94" s="5">
        <f>'Economic Data'!S120</f>
        <v>4000</v>
      </c>
      <c r="BF94" s="5">
        <f>'Economic Data'!T120</f>
        <v>16200</v>
      </c>
      <c r="BG94" s="5">
        <f>'EV Data'!V59</f>
        <v>58801.999999999949</v>
      </c>
      <c r="BH94" s="5">
        <f>'EV Data'!AB59</f>
        <v>300</v>
      </c>
      <c r="BI94" s="5">
        <f>'EV Data'!W59</f>
        <v>887.00000000000045</v>
      </c>
      <c r="BJ94" s="5">
        <f t="shared" si="71"/>
        <v>93</v>
      </c>
      <c r="BK94" s="70">
        <f t="shared" si="93"/>
        <v>1.968482948553935</v>
      </c>
      <c r="BL94" s="5">
        <f t="shared" si="94"/>
        <v>8649</v>
      </c>
      <c r="BM94">
        <f t="shared" si="143"/>
        <v>0</v>
      </c>
      <c r="BN94">
        <f t="shared" si="143"/>
        <v>0</v>
      </c>
      <c r="BO94">
        <f t="shared" si="143"/>
        <v>0</v>
      </c>
      <c r="BP94">
        <f t="shared" si="143"/>
        <v>0</v>
      </c>
      <c r="BQ94">
        <f t="shared" si="143"/>
        <v>0</v>
      </c>
      <c r="BR94">
        <f t="shared" si="143"/>
        <v>0</v>
      </c>
      <c r="BS94">
        <f t="shared" si="143"/>
        <v>0</v>
      </c>
      <c r="BT94">
        <f t="shared" si="143"/>
        <v>0</v>
      </c>
      <c r="BU94">
        <f t="shared" si="143"/>
        <v>1</v>
      </c>
      <c r="BV94">
        <f t="shared" si="143"/>
        <v>0</v>
      </c>
      <c r="BW94">
        <f t="shared" si="143"/>
        <v>0</v>
      </c>
      <c r="BX94">
        <f t="shared" si="143"/>
        <v>0</v>
      </c>
      <c r="BY94">
        <f t="shared" si="143"/>
        <v>0</v>
      </c>
      <c r="BZ94">
        <f t="shared" si="143"/>
        <v>0</v>
      </c>
      <c r="CA94">
        <f t="shared" si="143"/>
        <v>0</v>
      </c>
      <c r="CB94">
        <f t="shared" si="113"/>
        <v>30</v>
      </c>
      <c r="CC94">
        <v>20</v>
      </c>
      <c r="CD94">
        <v>1</v>
      </c>
      <c r="CE94">
        <v>0.5</v>
      </c>
      <c r="CF94">
        <f t="shared" si="111"/>
        <v>0.75</v>
      </c>
      <c r="CG94">
        <v>0</v>
      </c>
      <c r="CH94" s="64">
        <f t="shared" si="124"/>
        <v>61.099999999999994</v>
      </c>
      <c r="CI94" s="64">
        <f t="shared" si="125"/>
        <v>18.600000000000001</v>
      </c>
      <c r="CJ94" s="64">
        <f t="shared" si="126"/>
        <v>33.400000000000006</v>
      </c>
      <c r="CK94" s="64">
        <f t="shared" si="127"/>
        <v>50.900000000000006</v>
      </c>
      <c r="CL94" s="64">
        <f t="shared" si="128"/>
        <v>13.3</v>
      </c>
      <c r="CM94" s="64">
        <f t="shared" si="129"/>
        <v>90.800000000000011</v>
      </c>
      <c r="CN94" s="64">
        <f t="shared" si="130"/>
        <v>3.9000000000000004</v>
      </c>
      <c r="CO94" s="64">
        <f t="shared" si="131"/>
        <v>141.39999999999998</v>
      </c>
      <c r="CP94" s="64">
        <f t="shared" si="132"/>
        <v>0.59999999999999964</v>
      </c>
      <c r="CQ94" s="64">
        <f t="shared" si="133"/>
        <v>198.1</v>
      </c>
      <c r="CR94" s="64">
        <f t="shared" si="134"/>
        <v>0</v>
      </c>
      <c r="CS94" s="64">
        <f t="shared" si="135"/>
        <v>257.5</v>
      </c>
      <c r="CT94" s="64">
        <f t="shared" si="136"/>
        <v>0</v>
      </c>
      <c r="CU94" s="64">
        <f t="shared" si="137"/>
        <v>317.49999999999994</v>
      </c>
      <c r="CV94" s="69">
        <f t="shared" si="138"/>
        <v>29.243213789190705</v>
      </c>
      <c r="CW94" s="69">
        <f t="shared" si="139"/>
        <v>984.28807448566909</v>
      </c>
      <c r="CX94" s="69">
        <f t="shared" si="95"/>
        <v>4188.6879315212018</v>
      </c>
      <c r="CY94" s="69">
        <f t="shared" si="140"/>
        <v>29626.674999999999</v>
      </c>
      <c r="CZ94" s="64">
        <f t="shared" si="96"/>
        <v>2792.4586210141347</v>
      </c>
      <c r="DA94" s="64">
        <f t="shared" si="141"/>
        <v>19751.116666666665</v>
      </c>
      <c r="DB94" s="64">
        <f t="shared" si="97"/>
        <v>45.824999999999996</v>
      </c>
      <c r="DC94" s="64">
        <f t="shared" si="98"/>
        <v>13.950000000000001</v>
      </c>
      <c r="DD94" s="64">
        <f t="shared" si="99"/>
        <v>25.050000000000004</v>
      </c>
      <c r="DE94" s="64">
        <f t="shared" si="100"/>
        <v>38.175000000000004</v>
      </c>
      <c r="DF94" s="64">
        <f t="shared" si="101"/>
        <v>9.9750000000000014</v>
      </c>
      <c r="DG94" s="64">
        <f t="shared" si="102"/>
        <v>68.100000000000009</v>
      </c>
      <c r="DH94" s="64">
        <f t="shared" si="103"/>
        <v>2.9250000000000003</v>
      </c>
      <c r="DI94" s="64">
        <f t="shared" si="104"/>
        <v>106.04999999999998</v>
      </c>
      <c r="DJ94" s="64">
        <f t="shared" si="105"/>
        <v>0.44999999999999973</v>
      </c>
      <c r="DK94" s="64">
        <f t="shared" si="106"/>
        <v>148.57499999999999</v>
      </c>
      <c r="DL94" s="64">
        <f t="shared" si="107"/>
        <v>0</v>
      </c>
      <c r="DM94" s="64">
        <f t="shared" si="108"/>
        <v>193.125</v>
      </c>
      <c r="DN94" s="64">
        <f t="shared" si="109"/>
        <v>0</v>
      </c>
      <c r="DO94" s="64">
        <f t="shared" si="110"/>
        <v>238.12499999999994</v>
      </c>
      <c r="DP94" s="2">
        <f t="shared" si="144"/>
        <v>69</v>
      </c>
      <c r="DQ94" s="2">
        <f t="shared" si="144"/>
        <v>57</v>
      </c>
      <c r="DR94" s="2">
        <f t="shared" si="144"/>
        <v>45</v>
      </c>
      <c r="DS94" s="2">
        <f t="shared" si="144"/>
        <v>33</v>
      </c>
      <c r="DT94" s="2">
        <f t="shared" si="144"/>
        <v>21</v>
      </c>
      <c r="DU94" s="2">
        <f t="shared" si="115"/>
        <v>4</v>
      </c>
      <c r="DV94" s="2">
        <f t="shared" si="116"/>
        <v>19751.116666666665</v>
      </c>
      <c r="DW94" s="2">
        <f t="shared" si="142"/>
        <v>2370134</v>
      </c>
    </row>
    <row r="95" spans="1:127">
      <c r="A95" s="3">
        <v>44470</v>
      </c>
      <c r="B95">
        <f t="shared" si="117"/>
        <v>2021</v>
      </c>
      <c r="C95" s="2">
        <v>19647344</v>
      </c>
      <c r="D95" s="2">
        <f>VLOOKUP(B95,'Historic CDM'!$B$135:$H$146,2,FALSE)/12</f>
        <v>1164594.3140281634</v>
      </c>
      <c r="E95" s="2">
        <f t="shared" si="118"/>
        <v>20811938.314028163</v>
      </c>
      <c r="F95" s="6">
        <v>28597</v>
      </c>
      <c r="G95" s="219">
        <v>4747651</v>
      </c>
      <c r="H95" s="2">
        <f>VLOOKUP(B95,'Historic CDM'!$B$135:$H$147,3,FALSE)/12</f>
        <v>1136021.9338399856</v>
      </c>
      <c r="I95" s="2">
        <f t="shared" si="119"/>
        <v>5883672.9338399861</v>
      </c>
      <c r="J95" s="6">
        <v>2041</v>
      </c>
      <c r="K95" s="219">
        <v>15221745</v>
      </c>
      <c r="L95" s="2">
        <f>VLOOKUP(B95,'Historic CDM'!$B$135:$H$146,4,FALSE)/12</f>
        <v>1231788.6573237095</v>
      </c>
      <c r="M95" s="2">
        <f t="shared" si="123"/>
        <v>16453533.657323709</v>
      </c>
      <c r="N95" s="222">
        <v>48722</v>
      </c>
      <c r="O95" s="220">
        <v>221</v>
      </c>
      <c r="P95" s="219">
        <v>228280</v>
      </c>
      <c r="Q95" s="2">
        <v>616</v>
      </c>
      <c r="R95" s="220">
        <v>2786</v>
      </c>
      <c r="S95" s="220">
        <v>23870</v>
      </c>
      <c r="T95" s="2">
        <v>65</v>
      </c>
      <c r="U95" s="220">
        <v>228</v>
      </c>
      <c r="V95" s="221">
        <v>117392</v>
      </c>
      <c r="W95" s="220">
        <v>125</v>
      </c>
      <c r="X95" s="2">
        <v>2288392</v>
      </c>
      <c r="Y95" s="2">
        <v>6433</v>
      </c>
      <c r="Z95" s="220">
        <v>4</v>
      </c>
      <c r="AA95" s="100">
        <f>'Weather Data'!D251</f>
        <v>166.30000000000004</v>
      </c>
      <c r="AB95" s="100">
        <f>'Weather Data'!E251</f>
        <v>7.5000000000000036</v>
      </c>
      <c r="AC95" s="100">
        <f>'Weather Data'!F251</f>
        <v>123.80000000000001</v>
      </c>
      <c r="AD95" s="100">
        <f>'Weather Data'!G251</f>
        <v>27</v>
      </c>
      <c r="AE95" s="100">
        <f>'Weather Data'!H251</f>
        <v>86.1</v>
      </c>
      <c r="AF95" s="100">
        <f>'Weather Data'!I251</f>
        <v>51.300000000000011</v>
      </c>
      <c r="AG95" s="100">
        <f>'Weather Data'!J251</f>
        <v>53.599999999999994</v>
      </c>
      <c r="AH95" s="100">
        <f>'Weather Data'!K251</f>
        <v>80.799999999999983</v>
      </c>
      <c r="AI95" s="100">
        <f>'Weather Data'!L251</f>
        <v>28.000000000000007</v>
      </c>
      <c r="AJ95" s="100">
        <f>'Weather Data'!M251</f>
        <v>117.19999999999999</v>
      </c>
      <c r="AK95" s="100">
        <f>'Weather Data'!N251</f>
        <v>11.4</v>
      </c>
      <c r="AL95" s="100">
        <f>'Weather Data'!O251</f>
        <v>162.6</v>
      </c>
      <c r="AM95" s="100">
        <f>'Weather Data'!P251</f>
        <v>2.0999999999999996</v>
      </c>
      <c r="AN95" s="100">
        <f>'Weather Data'!Q251</f>
        <v>215.29999999999998</v>
      </c>
      <c r="AO95" s="100">
        <f>'Weather Data'!R251</f>
        <v>14.877419354838711</v>
      </c>
      <c r="AP95" s="5">
        <f>'Economic Data'!D121</f>
        <v>7523</v>
      </c>
      <c r="AQ95" s="5">
        <f>'Economic Data'!E121</f>
        <v>7538.5</v>
      </c>
      <c r="AR95" s="5">
        <f>'Economic Data'!F121</f>
        <v>169.4</v>
      </c>
      <c r="AS95" s="5">
        <f>'Economic Data'!G121</f>
        <v>171.7</v>
      </c>
      <c r="AT95" s="5">
        <f>'Economic Data'!H121</f>
        <v>809658.6</v>
      </c>
      <c r="AU95" s="5">
        <f>'Economic Data'!I121</f>
        <v>8675.1</v>
      </c>
      <c r="AV95" s="5">
        <f>'Economic Data'!J121</f>
        <v>7622.2</v>
      </c>
      <c r="AW95" s="5">
        <f>'Economic Data'!K121</f>
        <v>5799.3</v>
      </c>
      <c r="AX95" s="5">
        <f>'Economic Data'!L121</f>
        <v>1155.7</v>
      </c>
      <c r="AY95" s="5">
        <f>'Economic Data'!M121</f>
        <v>1899.3</v>
      </c>
      <c r="AZ95" s="5">
        <f>'Economic Data'!N121</f>
        <v>6484.1</v>
      </c>
      <c r="BA95" s="5">
        <f>'Economic Data'!O121</f>
        <v>102.4</v>
      </c>
      <c r="BB95" s="5">
        <f>'Economic Data'!P121</f>
        <v>101.8</v>
      </c>
      <c r="BC95" s="5">
        <f>'Economic Data'!Q121</f>
        <v>826374</v>
      </c>
      <c r="BD95" s="5">
        <f>'Economic Data'!R121</f>
        <v>9060</v>
      </c>
      <c r="BE95" s="5">
        <f>'Economic Data'!S121</f>
        <v>4056</v>
      </c>
      <c r="BF95" s="5">
        <f>'Economic Data'!T121</f>
        <v>16397</v>
      </c>
      <c r="BG95" s="5">
        <f>'EV Data'!V60</f>
        <v>60848.333333333285</v>
      </c>
      <c r="BH95" s="5">
        <f>'EV Data'!AB60</f>
        <v>306.33333333333331</v>
      </c>
      <c r="BI95" s="5">
        <f>'EV Data'!W60</f>
        <v>907.66666666666708</v>
      </c>
      <c r="BJ95" s="5">
        <f t="shared" si="71"/>
        <v>94</v>
      </c>
      <c r="BK95" s="70">
        <f t="shared" si="93"/>
        <v>1.9731278535996986</v>
      </c>
      <c r="BL95" s="5">
        <f t="shared" si="94"/>
        <v>8836</v>
      </c>
      <c r="BM95">
        <f t="shared" si="143"/>
        <v>0</v>
      </c>
      <c r="BN95">
        <f t="shared" si="143"/>
        <v>0</v>
      </c>
      <c r="BO95">
        <f t="shared" si="143"/>
        <v>0</v>
      </c>
      <c r="BP95">
        <f t="shared" si="143"/>
        <v>0</v>
      </c>
      <c r="BQ95">
        <f t="shared" si="143"/>
        <v>0</v>
      </c>
      <c r="BR95">
        <f t="shared" si="143"/>
        <v>0</v>
      </c>
      <c r="BS95">
        <f t="shared" si="143"/>
        <v>0</v>
      </c>
      <c r="BT95">
        <f t="shared" si="143"/>
        <v>0</v>
      </c>
      <c r="BU95">
        <f t="shared" si="143"/>
        <v>0</v>
      </c>
      <c r="BV95">
        <f t="shared" si="143"/>
        <v>1</v>
      </c>
      <c r="BW95">
        <f t="shared" si="143"/>
        <v>0</v>
      </c>
      <c r="BX95">
        <f t="shared" si="143"/>
        <v>0</v>
      </c>
      <c r="BY95">
        <f t="shared" si="143"/>
        <v>0</v>
      </c>
      <c r="BZ95">
        <f t="shared" si="143"/>
        <v>1</v>
      </c>
      <c r="CA95">
        <f t="shared" si="143"/>
        <v>1</v>
      </c>
      <c r="CB95">
        <f t="shared" si="113"/>
        <v>31</v>
      </c>
      <c r="CC95">
        <v>20</v>
      </c>
      <c r="CD95">
        <v>1</v>
      </c>
      <c r="CE95">
        <v>0.5</v>
      </c>
      <c r="CF95">
        <f t="shared" si="111"/>
        <v>0.75</v>
      </c>
      <c r="CG95">
        <v>0</v>
      </c>
      <c r="CH95" s="64">
        <f t="shared" si="124"/>
        <v>166.30000000000004</v>
      </c>
      <c r="CI95" s="64">
        <f t="shared" si="125"/>
        <v>7.5000000000000036</v>
      </c>
      <c r="CJ95" s="64">
        <f t="shared" si="126"/>
        <v>123.80000000000001</v>
      </c>
      <c r="CK95" s="64">
        <f t="shared" si="127"/>
        <v>27</v>
      </c>
      <c r="CL95" s="64">
        <f t="shared" si="128"/>
        <v>86.1</v>
      </c>
      <c r="CM95" s="64">
        <f t="shared" si="129"/>
        <v>51.300000000000011</v>
      </c>
      <c r="CN95" s="64">
        <f t="shared" si="130"/>
        <v>53.599999999999994</v>
      </c>
      <c r="CO95" s="64">
        <f t="shared" si="131"/>
        <v>80.799999999999983</v>
      </c>
      <c r="CP95" s="64">
        <f t="shared" si="132"/>
        <v>28.000000000000007</v>
      </c>
      <c r="CQ95" s="64">
        <f t="shared" si="133"/>
        <v>117.19999999999999</v>
      </c>
      <c r="CR95" s="64">
        <f t="shared" si="134"/>
        <v>11.4</v>
      </c>
      <c r="CS95" s="64">
        <f t="shared" si="135"/>
        <v>162.6</v>
      </c>
      <c r="CT95" s="64">
        <f t="shared" si="136"/>
        <v>2.0999999999999996</v>
      </c>
      <c r="CU95" s="64">
        <f t="shared" si="137"/>
        <v>215.29999999999998</v>
      </c>
      <c r="CV95" s="69">
        <f t="shared" si="138"/>
        <v>23.476338386530688</v>
      </c>
      <c r="CW95" s="69">
        <f t="shared" si="139"/>
        <v>858.80498231498859</v>
      </c>
      <c r="CX95" s="69">
        <f t="shared" si="95"/>
        <v>3722.5189269963143</v>
      </c>
      <c r="CY95" s="69">
        <f t="shared" si="140"/>
        <v>28604.9</v>
      </c>
      <c r="CZ95" s="64">
        <f t="shared" si="96"/>
        <v>2401.6251141911703</v>
      </c>
      <c r="DA95" s="64">
        <f t="shared" si="141"/>
        <v>18454.774193548386</v>
      </c>
      <c r="DB95" s="64">
        <f t="shared" si="97"/>
        <v>124.72500000000002</v>
      </c>
      <c r="DC95" s="64">
        <f t="shared" si="98"/>
        <v>5.6250000000000027</v>
      </c>
      <c r="DD95" s="64">
        <f t="shared" si="99"/>
        <v>92.850000000000009</v>
      </c>
      <c r="DE95" s="64">
        <f t="shared" si="100"/>
        <v>20.25</v>
      </c>
      <c r="DF95" s="64">
        <f t="shared" si="101"/>
        <v>64.574999999999989</v>
      </c>
      <c r="DG95" s="64">
        <f t="shared" si="102"/>
        <v>38.475000000000009</v>
      </c>
      <c r="DH95" s="64">
        <f t="shared" si="103"/>
        <v>40.199999999999996</v>
      </c>
      <c r="DI95" s="64">
        <f t="shared" si="104"/>
        <v>60.599999999999987</v>
      </c>
      <c r="DJ95" s="64">
        <f t="shared" si="105"/>
        <v>21.000000000000007</v>
      </c>
      <c r="DK95" s="64">
        <f t="shared" si="106"/>
        <v>87.899999999999991</v>
      </c>
      <c r="DL95" s="64">
        <f t="shared" si="107"/>
        <v>8.5500000000000007</v>
      </c>
      <c r="DM95" s="64">
        <f t="shared" si="108"/>
        <v>121.94999999999999</v>
      </c>
      <c r="DN95" s="64">
        <f t="shared" si="109"/>
        <v>1.5749999999999997</v>
      </c>
      <c r="DO95" s="64">
        <f t="shared" si="110"/>
        <v>161.47499999999999</v>
      </c>
      <c r="DP95" s="2">
        <f t="shared" si="144"/>
        <v>70</v>
      </c>
      <c r="DQ95" s="2">
        <f t="shared" si="144"/>
        <v>58</v>
      </c>
      <c r="DR95" s="2">
        <f t="shared" si="144"/>
        <v>46</v>
      </c>
      <c r="DS95" s="2">
        <f t="shared" si="144"/>
        <v>34</v>
      </c>
      <c r="DT95" s="2">
        <f t="shared" si="144"/>
        <v>22</v>
      </c>
      <c r="DU95" s="2">
        <f t="shared" si="115"/>
        <v>4</v>
      </c>
      <c r="DV95" s="2">
        <f t="shared" si="116"/>
        <v>18454.774193548386</v>
      </c>
      <c r="DW95" s="2">
        <f t="shared" si="142"/>
        <v>2288392</v>
      </c>
    </row>
    <row r="96" spans="1:127">
      <c r="A96" s="3">
        <v>44501</v>
      </c>
      <c r="B96">
        <f t="shared" si="117"/>
        <v>2021</v>
      </c>
      <c r="C96" s="2">
        <v>18482770</v>
      </c>
      <c r="D96" s="2">
        <f>VLOOKUP(B96,'Historic CDM'!$B$135:$H$146,2,FALSE)/12</f>
        <v>1164594.3140281634</v>
      </c>
      <c r="E96" s="2">
        <f t="shared" si="118"/>
        <v>19647364.314028163</v>
      </c>
      <c r="F96" s="6">
        <v>28616</v>
      </c>
      <c r="G96" s="219">
        <v>4793395</v>
      </c>
      <c r="H96" s="2">
        <f>VLOOKUP(B96,'Historic CDM'!$B$135:$H$147,3,FALSE)/12</f>
        <v>1136021.9338399856</v>
      </c>
      <c r="I96" s="2">
        <f t="shared" si="119"/>
        <v>5929416.9338399861</v>
      </c>
      <c r="J96" s="6">
        <v>2051</v>
      </c>
      <c r="K96" s="219">
        <v>14864867</v>
      </c>
      <c r="L96" s="2">
        <f>VLOOKUP(B96,'Historic CDM'!$B$135:$H$146,4,FALSE)/12</f>
        <v>1231788.6573237095</v>
      </c>
      <c r="M96" s="2">
        <f t="shared" si="123"/>
        <v>16096655.657323709</v>
      </c>
      <c r="N96" s="222">
        <v>41910</v>
      </c>
      <c r="O96" s="220">
        <v>221</v>
      </c>
      <c r="P96" s="219">
        <v>239678</v>
      </c>
      <c r="Q96" s="2">
        <v>616</v>
      </c>
      <c r="R96" s="220">
        <v>2786</v>
      </c>
      <c r="S96" s="220">
        <v>22874</v>
      </c>
      <c r="T96" s="2">
        <v>62</v>
      </c>
      <c r="U96" s="220">
        <v>228</v>
      </c>
      <c r="V96" s="221">
        <v>117392</v>
      </c>
      <c r="W96" s="220">
        <v>125</v>
      </c>
      <c r="X96" s="2">
        <v>2388052</v>
      </c>
      <c r="Y96" s="2">
        <v>6042</v>
      </c>
      <c r="Z96" s="220">
        <v>4</v>
      </c>
      <c r="AA96" s="100">
        <f>'Weather Data'!D252</f>
        <v>482.90000000000009</v>
      </c>
      <c r="AB96" s="100">
        <f>'Weather Data'!E252</f>
        <v>0</v>
      </c>
      <c r="AC96" s="100">
        <f>'Weather Data'!F252</f>
        <v>422.90000000000003</v>
      </c>
      <c r="AD96" s="100">
        <f>'Weather Data'!G252</f>
        <v>0</v>
      </c>
      <c r="AE96" s="100">
        <f>'Weather Data'!H252</f>
        <v>362.90000000000003</v>
      </c>
      <c r="AF96" s="100">
        <f>'Weather Data'!I252</f>
        <v>0</v>
      </c>
      <c r="AG96" s="100">
        <f>'Weather Data'!J252</f>
        <v>302.90000000000003</v>
      </c>
      <c r="AH96" s="100">
        <f>'Weather Data'!K252</f>
        <v>0</v>
      </c>
      <c r="AI96" s="100">
        <f>'Weather Data'!L252</f>
        <v>244.00000000000003</v>
      </c>
      <c r="AJ96" s="100">
        <f>'Weather Data'!M252</f>
        <v>1.0999999999999996</v>
      </c>
      <c r="AK96" s="100">
        <f>'Weather Data'!N252</f>
        <v>188.5</v>
      </c>
      <c r="AL96" s="100">
        <f>'Weather Data'!O252</f>
        <v>5.6</v>
      </c>
      <c r="AM96" s="100">
        <f>'Weather Data'!P252</f>
        <v>137.1</v>
      </c>
      <c r="AN96" s="100">
        <f>'Weather Data'!Q252</f>
        <v>14.2</v>
      </c>
      <c r="AO96" s="100">
        <f>'Weather Data'!R252</f>
        <v>3.9033333333333342</v>
      </c>
      <c r="AP96" s="5">
        <f>'Economic Data'!D122</f>
        <v>7584.2</v>
      </c>
      <c r="AQ96" s="5">
        <f>'Economic Data'!E122</f>
        <v>7590.1</v>
      </c>
      <c r="AR96" s="5">
        <f>'Economic Data'!F122</f>
        <v>176.5</v>
      </c>
      <c r="AS96" s="5">
        <f>'Economic Data'!G122</f>
        <v>178</v>
      </c>
      <c r="AT96" s="5">
        <f>'Economic Data'!H122</f>
        <v>809658.6</v>
      </c>
      <c r="AU96" s="5">
        <f>'Economic Data'!I122</f>
        <v>8675.1</v>
      </c>
      <c r="AV96" s="5">
        <f>'Economic Data'!J122</f>
        <v>7622.2</v>
      </c>
      <c r="AW96" s="5">
        <f>'Economic Data'!K122</f>
        <v>5799.3</v>
      </c>
      <c r="AX96" s="5">
        <f>'Economic Data'!L122</f>
        <v>1155.7</v>
      </c>
      <c r="AY96" s="5">
        <f>'Economic Data'!M122</f>
        <v>1899.3</v>
      </c>
      <c r="AZ96" s="5">
        <f>'Economic Data'!N122</f>
        <v>6484.1</v>
      </c>
      <c r="BA96" s="5">
        <f>'Economic Data'!O122</f>
        <v>102.4</v>
      </c>
      <c r="BB96" s="5">
        <f>'Economic Data'!P122</f>
        <v>101.8</v>
      </c>
      <c r="BC96" s="5">
        <f>'Economic Data'!Q122</f>
        <v>826374</v>
      </c>
      <c r="BD96" s="5">
        <f>'Economic Data'!R122</f>
        <v>9060</v>
      </c>
      <c r="BE96" s="5">
        <f>'Economic Data'!S122</f>
        <v>4056</v>
      </c>
      <c r="BF96" s="5">
        <f>'Economic Data'!T122</f>
        <v>16397</v>
      </c>
      <c r="BG96" s="5">
        <f>'EV Data'!V61</f>
        <v>62894.666666666621</v>
      </c>
      <c r="BH96" s="5">
        <f>'EV Data'!AB61</f>
        <v>312.66666666666663</v>
      </c>
      <c r="BI96" s="5">
        <f>'EV Data'!W61</f>
        <v>928.33333333333371</v>
      </c>
      <c r="BJ96" s="5">
        <f t="shared" si="71"/>
        <v>95</v>
      </c>
      <c r="BK96" s="70">
        <f t="shared" si="93"/>
        <v>1.9777236052888478</v>
      </c>
      <c r="BL96" s="5">
        <f t="shared" si="94"/>
        <v>9025</v>
      </c>
      <c r="BM96">
        <f t="shared" si="143"/>
        <v>0</v>
      </c>
      <c r="BN96">
        <f t="shared" si="143"/>
        <v>0</v>
      </c>
      <c r="BO96">
        <f t="shared" si="143"/>
        <v>0</v>
      </c>
      <c r="BP96">
        <f t="shared" si="143"/>
        <v>0</v>
      </c>
      <c r="BQ96">
        <f t="shared" si="143"/>
        <v>0</v>
      </c>
      <c r="BR96">
        <f t="shared" si="143"/>
        <v>0</v>
      </c>
      <c r="BS96">
        <f t="shared" si="143"/>
        <v>0</v>
      </c>
      <c r="BT96">
        <f t="shared" si="143"/>
        <v>0</v>
      </c>
      <c r="BU96">
        <f t="shared" si="143"/>
        <v>0</v>
      </c>
      <c r="BV96">
        <f t="shared" si="143"/>
        <v>0</v>
      </c>
      <c r="BW96">
        <f t="shared" si="143"/>
        <v>1</v>
      </c>
      <c r="BX96">
        <f t="shared" si="143"/>
        <v>0</v>
      </c>
      <c r="BY96">
        <f t="shared" si="143"/>
        <v>0</v>
      </c>
      <c r="BZ96">
        <f t="shared" si="143"/>
        <v>1</v>
      </c>
      <c r="CA96">
        <f t="shared" si="143"/>
        <v>1</v>
      </c>
      <c r="CB96">
        <f t="shared" si="113"/>
        <v>30</v>
      </c>
      <c r="CC96">
        <v>22</v>
      </c>
      <c r="CD96">
        <v>1</v>
      </c>
      <c r="CE96">
        <v>0.5</v>
      </c>
      <c r="CF96">
        <f t="shared" si="111"/>
        <v>0.75</v>
      </c>
      <c r="CG96">
        <v>0</v>
      </c>
      <c r="CH96" s="64">
        <f t="shared" si="124"/>
        <v>482.90000000000009</v>
      </c>
      <c r="CI96" s="64">
        <f t="shared" si="125"/>
        <v>0</v>
      </c>
      <c r="CJ96" s="64">
        <f t="shared" si="126"/>
        <v>422.90000000000003</v>
      </c>
      <c r="CK96" s="64">
        <f t="shared" si="127"/>
        <v>0</v>
      </c>
      <c r="CL96" s="64">
        <f t="shared" si="128"/>
        <v>362.90000000000003</v>
      </c>
      <c r="CM96" s="64">
        <f t="shared" si="129"/>
        <v>0</v>
      </c>
      <c r="CN96" s="64">
        <f t="shared" si="130"/>
        <v>302.90000000000003</v>
      </c>
      <c r="CO96" s="64">
        <f t="shared" si="131"/>
        <v>0</v>
      </c>
      <c r="CP96" s="64">
        <f t="shared" si="132"/>
        <v>244.00000000000003</v>
      </c>
      <c r="CQ96" s="64">
        <f t="shared" si="133"/>
        <v>1.0999999999999996</v>
      </c>
      <c r="CR96" s="64">
        <f t="shared" si="134"/>
        <v>188.5</v>
      </c>
      <c r="CS96" s="64">
        <f t="shared" si="135"/>
        <v>5.6</v>
      </c>
      <c r="CT96" s="64">
        <f t="shared" si="136"/>
        <v>137.1</v>
      </c>
      <c r="CU96" s="64">
        <f t="shared" si="137"/>
        <v>14.2</v>
      </c>
      <c r="CV96" s="69">
        <f t="shared" si="138"/>
        <v>22.886222525892464</v>
      </c>
      <c r="CW96" s="69">
        <f t="shared" si="139"/>
        <v>894.33136257013371</v>
      </c>
      <c r="CX96" s="69">
        <f t="shared" si="95"/>
        <v>3310.7066345791259</v>
      </c>
      <c r="CY96" s="69">
        <f t="shared" si="140"/>
        <v>27136.954545454544</v>
      </c>
      <c r="CZ96" s="64">
        <f t="shared" si="96"/>
        <v>2427.851532024692</v>
      </c>
      <c r="DA96" s="64">
        <f t="shared" si="141"/>
        <v>19900.433333333334</v>
      </c>
      <c r="DB96" s="64">
        <f t="shared" si="97"/>
        <v>362.17500000000007</v>
      </c>
      <c r="DC96" s="64">
        <f t="shared" si="98"/>
        <v>0</v>
      </c>
      <c r="DD96" s="64">
        <f t="shared" si="99"/>
        <v>317.17500000000001</v>
      </c>
      <c r="DE96" s="64">
        <f t="shared" si="100"/>
        <v>0</v>
      </c>
      <c r="DF96" s="64">
        <f t="shared" si="101"/>
        <v>272.17500000000001</v>
      </c>
      <c r="DG96" s="64">
        <f t="shared" si="102"/>
        <v>0</v>
      </c>
      <c r="DH96" s="64">
        <f t="shared" si="103"/>
        <v>227.17500000000001</v>
      </c>
      <c r="DI96" s="64">
        <f t="shared" si="104"/>
        <v>0</v>
      </c>
      <c r="DJ96" s="64">
        <f t="shared" si="105"/>
        <v>183.00000000000003</v>
      </c>
      <c r="DK96" s="64">
        <f t="shared" si="106"/>
        <v>0.82499999999999973</v>
      </c>
      <c r="DL96" s="64">
        <f t="shared" si="107"/>
        <v>141.375</v>
      </c>
      <c r="DM96" s="64">
        <f t="shared" si="108"/>
        <v>4.1999999999999993</v>
      </c>
      <c r="DN96" s="64">
        <f t="shared" si="109"/>
        <v>102.82499999999999</v>
      </c>
      <c r="DO96" s="64">
        <f t="shared" si="110"/>
        <v>10.649999999999999</v>
      </c>
      <c r="DP96" s="2">
        <f t="shared" si="144"/>
        <v>71</v>
      </c>
      <c r="DQ96" s="2">
        <f t="shared" si="144"/>
        <v>59</v>
      </c>
      <c r="DR96" s="2">
        <f t="shared" si="144"/>
        <v>47</v>
      </c>
      <c r="DS96" s="2">
        <f t="shared" si="144"/>
        <v>35</v>
      </c>
      <c r="DT96" s="2">
        <f t="shared" si="144"/>
        <v>23</v>
      </c>
      <c r="DU96" s="2">
        <f t="shared" si="115"/>
        <v>4</v>
      </c>
      <c r="DV96" s="2">
        <f t="shared" si="116"/>
        <v>19900.433333333334</v>
      </c>
      <c r="DW96" s="2">
        <f t="shared" si="142"/>
        <v>2388052</v>
      </c>
    </row>
    <row r="97" spans="1:127">
      <c r="A97" s="3">
        <v>44531</v>
      </c>
      <c r="B97">
        <f t="shared" si="117"/>
        <v>2021</v>
      </c>
      <c r="C97" s="2">
        <v>21230870</v>
      </c>
      <c r="D97" s="2">
        <f>VLOOKUP(B97,'Historic CDM'!$B$135:$H$146,2,FALSE)/12</f>
        <v>1164594.3140281634</v>
      </c>
      <c r="E97" s="2">
        <f t="shared" si="118"/>
        <v>22395464.314028163</v>
      </c>
      <c r="F97" s="6">
        <v>28637</v>
      </c>
      <c r="G97" s="219">
        <v>5318463</v>
      </c>
      <c r="H97" s="2">
        <f>VLOOKUP(B97,'Historic CDM'!$B$135:$H$147,3,FALSE)/12</f>
        <v>1136021.9338399856</v>
      </c>
      <c r="I97" s="2">
        <f t="shared" si="119"/>
        <v>6454484.9338399861</v>
      </c>
      <c r="J97" s="6">
        <v>2065</v>
      </c>
      <c r="K97" s="219">
        <v>13831254</v>
      </c>
      <c r="L97" s="2">
        <f>VLOOKUP(B97,'Historic CDM'!$B$135:$H$146,4,FALSE)/12</f>
        <v>1231788.6573237095</v>
      </c>
      <c r="M97" s="2">
        <f t="shared" si="123"/>
        <v>15063042.657323709</v>
      </c>
      <c r="N97" s="222">
        <v>44893</v>
      </c>
      <c r="O97" s="220">
        <v>202</v>
      </c>
      <c r="P97" s="219">
        <v>262252</v>
      </c>
      <c r="Q97" s="2">
        <v>616</v>
      </c>
      <c r="R97" s="220">
        <v>2789</v>
      </c>
      <c r="S97" s="220">
        <v>23153</v>
      </c>
      <c r="T97" s="2">
        <v>63</v>
      </c>
      <c r="U97" s="220">
        <v>228</v>
      </c>
      <c r="V97" s="221">
        <v>117392</v>
      </c>
      <c r="W97" s="220">
        <v>125</v>
      </c>
      <c r="X97" s="2">
        <v>2282252</v>
      </c>
      <c r="Y97" s="2">
        <v>6096</v>
      </c>
      <c r="Z97" s="220">
        <v>4</v>
      </c>
      <c r="AA97" s="100">
        <f>'Weather Data'!D253</f>
        <v>545.4</v>
      </c>
      <c r="AB97" s="100">
        <f>'Weather Data'!E253</f>
        <v>0</v>
      </c>
      <c r="AC97" s="100">
        <f>'Weather Data'!F253</f>
        <v>483.4</v>
      </c>
      <c r="AD97" s="100">
        <f>'Weather Data'!G253</f>
        <v>0</v>
      </c>
      <c r="AE97" s="100">
        <f>'Weather Data'!H253</f>
        <v>421.4</v>
      </c>
      <c r="AF97" s="100">
        <f>'Weather Data'!I253</f>
        <v>0</v>
      </c>
      <c r="AG97" s="100">
        <f>'Weather Data'!J253</f>
        <v>359.4</v>
      </c>
      <c r="AH97" s="100">
        <f>'Weather Data'!K253</f>
        <v>0</v>
      </c>
      <c r="AI97" s="100">
        <f>'Weather Data'!L253</f>
        <v>297.40000000000003</v>
      </c>
      <c r="AJ97" s="100">
        <f>'Weather Data'!M253</f>
        <v>0</v>
      </c>
      <c r="AK97" s="100">
        <f>'Weather Data'!N253</f>
        <v>235.40000000000006</v>
      </c>
      <c r="AL97" s="100">
        <f>'Weather Data'!O253</f>
        <v>0</v>
      </c>
      <c r="AM97" s="100">
        <f>'Weather Data'!P253</f>
        <v>175.60000000000002</v>
      </c>
      <c r="AN97" s="100">
        <f>'Weather Data'!Q253</f>
        <v>2.1999999999999993</v>
      </c>
      <c r="AO97" s="100">
        <f>'Weather Data'!R253</f>
        <v>2.4064516129032261</v>
      </c>
      <c r="AP97" s="5">
        <f>'Economic Data'!D123</f>
        <v>7632.7</v>
      </c>
      <c r="AQ97" s="5">
        <f>'Economic Data'!E123</f>
        <v>7647.5</v>
      </c>
      <c r="AR97" s="5">
        <f>'Economic Data'!F123</f>
        <v>183.6</v>
      </c>
      <c r="AS97" s="5">
        <f>'Economic Data'!G123</f>
        <v>185.1</v>
      </c>
      <c r="AT97" s="5">
        <f>'Economic Data'!H123</f>
        <v>809658.6</v>
      </c>
      <c r="AU97" s="5">
        <f>'Economic Data'!I123</f>
        <v>8675.1</v>
      </c>
      <c r="AV97" s="5">
        <f>'Economic Data'!J123</f>
        <v>7622.2</v>
      </c>
      <c r="AW97" s="5">
        <f>'Economic Data'!K123</f>
        <v>5799.3</v>
      </c>
      <c r="AX97" s="5">
        <f>'Economic Data'!L123</f>
        <v>1155.7</v>
      </c>
      <c r="AY97" s="5">
        <f>'Economic Data'!M123</f>
        <v>1899.3</v>
      </c>
      <c r="AZ97" s="5">
        <f>'Economic Data'!N123</f>
        <v>6484.1</v>
      </c>
      <c r="BA97" s="5">
        <f>'Economic Data'!O123</f>
        <v>102.4</v>
      </c>
      <c r="BB97" s="5">
        <f>'Economic Data'!P123</f>
        <v>101.8</v>
      </c>
      <c r="BC97" s="5">
        <f>'Economic Data'!Q123</f>
        <v>826374</v>
      </c>
      <c r="BD97" s="5">
        <f>'Economic Data'!R123</f>
        <v>9060</v>
      </c>
      <c r="BE97" s="5">
        <f>'Economic Data'!S123</f>
        <v>4056</v>
      </c>
      <c r="BF97" s="5">
        <f>'Economic Data'!T123</f>
        <v>16397</v>
      </c>
      <c r="BG97" s="5">
        <f>'EV Data'!V62</f>
        <v>64940.999999999956</v>
      </c>
      <c r="BH97" s="5">
        <f>'EV Data'!AB62</f>
        <v>318.99999999999994</v>
      </c>
      <c r="BI97" s="5">
        <f>'EV Data'!W62</f>
        <v>949.00000000000034</v>
      </c>
      <c r="BJ97" s="5">
        <f t="shared" si="71"/>
        <v>96</v>
      </c>
      <c r="BK97" s="70">
        <f t="shared" si="93"/>
        <v>1.9822712330395684</v>
      </c>
      <c r="BL97" s="5">
        <f t="shared" si="94"/>
        <v>9216</v>
      </c>
      <c r="BM97">
        <f t="shared" si="143"/>
        <v>0</v>
      </c>
      <c r="BN97">
        <f t="shared" si="143"/>
        <v>0</v>
      </c>
      <c r="BO97">
        <f t="shared" si="143"/>
        <v>0</v>
      </c>
      <c r="BP97">
        <f t="shared" si="143"/>
        <v>0</v>
      </c>
      <c r="BQ97">
        <f t="shared" si="143"/>
        <v>0</v>
      </c>
      <c r="BR97">
        <f t="shared" si="143"/>
        <v>0</v>
      </c>
      <c r="BS97">
        <f t="shared" si="143"/>
        <v>0</v>
      </c>
      <c r="BT97">
        <f t="shared" si="143"/>
        <v>0</v>
      </c>
      <c r="BU97">
        <f t="shared" si="143"/>
        <v>0</v>
      </c>
      <c r="BV97">
        <f t="shared" si="143"/>
        <v>0</v>
      </c>
      <c r="BW97">
        <f t="shared" si="143"/>
        <v>0</v>
      </c>
      <c r="BX97">
        <f t="shared" si="143"/>
        <v>1</v>
      </c>
      <c r="BY97">
        <f t="shared" si="143"/>
        <v>0</v>
      </c>
      <c r="BZ97">
        <f t="shared" si="143"/>
        <v>0</v>
      </c>
      <c r="CA97">
        <f t="shared" si="143"/>
        <v>0</v>
      </c>
      <c r="CB97">
        <f t="shared" si="113"/>
        <v>31</v>
      </c>
      <c r="CC97">
        <v>21</v>
      </c>
      <c r="CD97">
        <v>1</v>
      </c>
      <c r="CE97">
        <v>0.5</v>
      </c>
      <c r="CF97">
        <f t="shared" si="111"/>
        <v>0.75</v>
      </c>
      <c r="CG97">
        <v>0</v>
      </c>
      <c r="CH97" s="64">
        <f t="shared" si="124"/>
        <v>545.4</v>
      </c>
      <c r="CI97" s="64">
        <f t="shared" si="125"/>
        <v>0</v>
      </c>
      <c r="CJ97" s="64">
        <f t="shared" si="126"/>
        <v>483.4</v>
      </c>
      <c r="CK97" s="64">
        <f t="shared" si="127"/>
        <v>0</v>
      </c>
      <c r="CL97" s="64">
        <f t="shared" si="128"/>
        <v>421.4</v>
      </c>
      <c r="CM97" s="64">
        <f t="shared" si="129"/>
        <v>0</v>
      </c>
      <c r="CN97" s="64">
        <f t="shared" si="130"/>
        <v>359.4</v>
      </c>
      <c r="CO97" s="64">
        <f t="shared" si="131"/>
        <v>0</v>
      </c>
      <c r="CP97" s="64">
        <f t="shared" si="132"/>
        <v>297.40000000000003</v>
      </c>
      <c r="CQ97" s="64">
        <f t="shared" si="133"/>
        <v>0</v>
      </c>
      <c r="CR97" s="64">
        <f t="shared" si="134"/>
        <v>235.40000000000006</v>
      </c>
      <c r="CS97" s="64">
        <f t="shared" si="135"/>
        <v>0</v>
      </c>
      <c r="CT97" s="64">
        <f t="shared" si="136"/>
        <v>175.60000000000002</v>
      </c>
      <c r="CU97" s="64">
        <f t="shared" si="137"/>
        <v>2.1999999999999993</v>
      </c>
      <c r="CV97" s="69">
        <f t="shared" si="138"/>
        <v>25.22730497994154</v>
      </c>
      <c r="CW97" s="69">
        <f t="shared" si="139"/>
        <v>1030.7385713573917</v>
      </c>
      <c r="CX97" s="69">
        <f t="shared" si="95"/>
        <v>3550.929433598234</v>
      </c>
      <c r="CY97" s="69">
        <f t="shared" si="140"/>
        <v>27169.666666666668</v>
      </c>
      <c r="CZ97" s="64">
        <f t="shared" si="96"/>
        <v>2405.4683259859003</v>
      </c>
      <c r="DA97" s="64">
        <f t="shared" si="141"/>
        <v>18405.258064516129</v>
      </c>
      <c r="DB97" s="64">
        <f t="shared" si="97"/>
        <v>409.04999999999995</v>
      </c>
      <c r="DC97" s="64">
        <f t="shared" si="98"/>
        <v>0</v>
      </c>
      <c r="DD97" s="64">
        <f t="shared" si="99"/>
        <v>362.54999999999995</v>
      </c>
      <c r="DE97" s="64">
        <f t="shared" si="100"/>
        <v>0</v>
      </c>
      <c r="DF97" s="64">
        <f t="shared" si="101"/>
        <v>316.04999999999995</v>
      </c>
      <c r="DG97" s="64">
        <f t="shared" si="102"/>
        <v>0</v>
      </c>
      <c r="DH97" s="64">
        <f t="shared" si="103"/>
        <v>269.54999999999995</v>
      </c>
      <c r="DI97" s="64">
        <f t="shared" si="104"/>
        <v>0</v>
      </c>
      <c r="DJ97" s="64">
        <f t="shared" si="105"/>
        <v>223.05</v>
      </c>
      <c r="DK97" s="64">
        <f t="shared" si="106"/>
        <v>0</v>
      </c>
      <c r="DL97" s="64">
        <f t="shared" si="107"/>
        <v>176.55000000000004</v>
      </c>
      <c r="DM97" s="64">
        <f t="shared" si="108"/>
        <v>0</v>
      </c>
      <c r="DN97" s="64">
        <f t="shared" si="109"/>
        <v>131.70000000000002</v>
      </c>
      <c r="DO97" s="64">
        <f t="shared" si="110"/>
        <v>1.6499999999999995</v>
      </c>
      <c r="DP97" s="2">
        <f t="shared" si="144"/>
        <v>72</v>
      </c>
      <c r="DQ97" s="2">
        <f t="shared" si="144"/>
        <v>60</v>
      </c>
      <c r="DR97" s="2">
        <f t="shared" si="144"/>
        <v>48</v>
      </c>
      <c r="DS97" s="2">
        <f t="shared" si="144"/>
        <v>36</v>
      </c>
      <c r="DT97" s="2">
        <f t="shared" si="144"/>
        <v>24</v>
      </c>
      <c r="DU97" s="2">
        <f t="shared" si="115"/>
        <v>4</v>
      </c>
      <c r="DV97" s="2">
        <f t="shared" si="116"/>
        <v>18405.258064516129</v>
      </c>
      <c r="DW97" s="2">
        <f t="shared" si="142"/>
        <v>2282252</v>
      </c>
    </row>
    <row r="98" spans="1:127">
      <c r="A98" s="3">
        <v>44562</v>
      </c>
      <c r="B98">
        <f t="shared" si="117"/>
        <v>2022</v>
      </c>
      <c r="C98" s="2">
        <v>22860071</v>
      </c>
      <c r="D98" s="2">
        <f>VLOOKUP(B98,'Historic CDM'!$B$135:$H$146,2,FALSE)/12</f>
        <v>1168945.3950770386</v>
      </c>
      <c r="E98" s="2">
        <f t="shared" si="118"/>
        <v>24029016.395077039</v>
      </c>
      <c r="F98" s="6">
        <v>28653</v>
      </c>
      <c r="G98" s="219">
        <v>5725637</v>
      </c>
      <c r="H98" s="2">
        <f>VLOOKUP(B98,'Historic CDM'!$B$135:$H$147,3,FALSE)/12</f>
        <v>1167742.3523487775</v>
      </c>
      <c r="I98" s="2">
        <f t="shared" si="119"/>
        <v>6893379.3523487775</v>
      </c>
      <c r="J98" s="6">
        <v>2065</v>
      </c>
      <c r="K98" s="219">
        <v>14633150</v>
      </c>
      <c r="L98" s="2">
        <f>VLOOKUP(B98,'Historic CDM'!$B$135:$H$146,4,FALSE)/12</f>
        <v>1290028.8826544937</v>
      </c>
      <c r="M98" s="2">
        <f t="shared" si="123"/>
        <v>15923178.882654494</v>
      </c>
      <c r="N98" s="222">
        <v>44142</v>
      </c>
      <c r="O98" s="220">
        <v>203</v>
      </c>
      <c r="P98" s="219">
        <v>257938</v>
      </c>
      <c r="Q98" s="2">
        <v>616</v>
      </c>
      <c r="R98" s="220">
        <v>2789</v>
      </c>
      <c r="S98" s="220">
        <v>23697</v>
      </c>
      <c r="T98" s="2">
        <v>65</v>
      </c>
      <c r="U98" s="220">
        <v>228</v>
      </c>
      <c r="V98" s="221">
        <v>117392</v>
      </c>
      <c r="W98" s="220">
        <v>125</v>
      </c>
      <c r="X98" s="2">
        <v>2458213</v>
      </c>
      <c r="Y98" s="2">
        <v>6457</v>
      </c>
      <c r="Z98" s="220">
        <v>4</v>
      </c>
      <c r="AA98" s="100">
        <f>'Weather Data'!D254</f>
        <v>828.20000000000016</v>
      </c>
      <c r="AB98" s="100">
        <f>'Weather Data'!E254</f>
        <v>0</v>
      </c>
      <c r="AC98" s="100">
        <f>'Weather Data'!F254</f>
        <v>766.2</v>
      </c>
      <c r="AD98" s="100">
        <f>'Weather Data'!G254</f>
        <v>0</v>
      </c>
      <c r="AE98" s="100">
        <f>'Weather Data'!H254</f>
        <v>704.2</v>
      </c>
      <c r="AF98" s="100">
        <f>'Weather Data'!I254</f>
        <v>0</v>
      </c>
      <c r="AG98" s="100">
        <f>'Weather Data'!J254</f>
        <v>642.20000000000005</v>
      </c>
      <c r="AH98" s="100">
        <f>'Weather Data'!K254</f>
        <v>0</v>
      </c>
      <c r="AI98" s="100">
        <f>'Weather Data'!L254</f>
        <v>580.19999999999993</v>
      </c>
      <c r="AJ98" s="100">
        <f>'Weather Data'!M254</f>
        <v>0</v>
      </c>
      <c r="AK98" s="100">
        <f>'Weather Data'!N254</f>
        <v>518.19999999999993</v>
      </c>
      <c r="AL98" s="100">
        <f>'Weather Data'!O254</f>
        <v>0</v>
      </c>
      <c r="AM98" s="100">
        <f>'Weather Data'!P254</f>
        <v>456.2</v>
      </c>
      <c r="AN98" s="100">
        <f>'Weather Data'!Q254</f>
        <v>0</v>
      </c>
      <c r="AO98" s="100">
        <f>'Weather Data'!R254</f>
        <v>-6.7161290322580642</v>
      </c>
      <c r="AP98" s="5">
        <f>'Economic Data'!D124</f>
        <v>7620</v>
      </c>
      <c r="AQ98" s="5">
        <f>'Economic Data'!E124</f>
        <v>7595.1</v>
      </c>
      <c r="AR98" s="5">
        <f>'Economic Data'!F124</f>
        <v>184.2</v>
      </c>
      <c r="AS98" s="5">
        <f>'Economic Data'!G124</f>
        <v>183.4</v>
      </c>
      <c r="AT98" s="5">
        <f>'Economic Data'!H124</f>
        <v>839497.4</v>
      </c>
      <c r="AU98" s="5">
        <f>'Economic Data'!I124</f>
        <v>8788.9</v>
      </c>
      <c r="AV98" s="5">
        <f>'Economic Data'!J124</f>
        <v>7781.9</v>
      </c>
      <c r="AW98" s="5">
        <f>'Economic Data'!K124</f>
        <v>5915.7</v>
      </c>
      <c r="AX98" s="5">
        <f>'Economic Data'!L124</f>
        <v>1230.4000000000001</v>
      </c>
      <c r="AY98" s="5">
        <f>'Economic Data'!M124</f>
        <v>2117.6</v>
      </c>
      <c r="AZ98" s="5">
        <f>'Economic Data'!N124</f>
        <v>6860.3</v>
      </c>
      <c r="BA98" s="5">
        <f>'Economic Data'!O124</f>
        <v>109.5</v>
      </c>
      <c r="BB98" s="5">
        <f>'Economic Data'!P124</f>
        <v>119.5</v>
      </c>
      <c r="BC98" s="5">
        <f>'Economic Data'!Q124</f>
        <v>833713</v>
      </c>
      <c r="BD98" s="5">
        <f>'Economic Data'!R124</f>
        <v>8882</v>
      </c>
      <c r="BE98" s="5">
        <f>'Economic Data'!S124</f>
        <v>4219</v>
      </c>
      <c r="BF98" s="5">
        <f>'Economic Data'!T124</f>
        <v>16469</v>
      </c>
      <c r="BG98" s="5">
        <f>'EV Data'!V63</f>
        <v>67315.333333333285</v>
      </c>
      <c r="BH98" s="5">
        <f>'EV Data'!AB63</f>
        <v>332.33333333333326</v>
      </c>
      <c r="BI98" s="5">
        <f>'EV Data'!W63</f>
        <v>986.33333333333371</v>
      </c>
      <c r="BJ98" s="5">
        <f t="shared" si="71"/>
        <v>97</v>
      </c>
      <c r="BK98" s="70">
        <f t="shared" si="93"/>
        <v>1.9867717342662448</v>
      </c>
      <c r="BL98" s="5">
        <f t="shared" si="94"/>
        <v>9409</v>
      </c>
      <c r="BM98">
        <f t="shared" si="143"/>
        <v>1</v>
      </c>
      <c r="BN98">
        <f t="shared" si="143"/>
        <v>0</v>
      </c>
      <c r="BO98">
        <f t="shared" si="143"/>
        <v>0</v>
      </c>
      <c r="BP98">
        <f t="shared" si="143"/>
        <v>0</v>
      </c>
      <c r="BQ98">
        <f t="shared" si="143"/>
        <v>0</v>
      </c>
      <c r="BR98">
        <f t="shared" si="143"/>
        <v>0</v>
      </c>
      <c r="BS98">
        <f t="shared" si="143"/>
        <v>0</v>
      </c>
      <c r="BT98">
        <f t="shared" si="143"/>
        <v>0</v>
      </c>
      <c r="BU98">
        <f t="shared" si="143"/>
        <v>0</v>
      </c>
      <c r="BV98">
        <f t="shared" si="143"/>
        <v>0</v>
      </c>
      <c r="BW98">
        <f t="shared" si="143"/>
        <v>0</v>
      </c>
      <c r="BX98">
        <f t="shared" si="143"/>
        <v>0</v>
      </c>
      <c r="BY98">
        <f t="shared" si="143"/>
        <v>0</v>
      </c>
      <c r="BZ98">
        <f t="shared" si="143"/>
        <v>0</v>
      </c>
      <c r="CA98">
        <f t="shared" si="143"/>
        <v>0</v>
      </c>
      <c r="CB98">
        <f t="shared" si="113"/>
        <v>31</v>
      </c>
      <c r="CC98">
        <v>20</v>
      </c>
      <c r="CD98">
        <f>CD97*0.5</f>
        <v>0.5</v>
      </c>
      <c r="CE98">
        <f>CE97*0.5</f>
        <v>0.25</v>
      </c>
      <c r="CF98">
        <v>0.5</v>
      </c>
      <c r="CG98">
        <v>0</v>
      </c>
      <c r="CH98" s="64">
        <f t="shared" si="124"/>
        <v>414.10000000000008</v>
      </c>
      <c r="CI98" s="64">
        <f t="shared" si="125"/>
        <v>0</v>
      </c>
      <c r="CJ98" s="64">
        <f t="shared" si="126"/>
        <v>383.1</v>
      </c>
      <c r="CK98" s="64">
        <f t="shared" si="127"/>
        <v>0</v>
      </c>
      <c r="CL98" s="64">
        <f t="shared" si="128"/>
        <v>352.1</v>
      </c>
      <c r="CM98" s="64">
        <f t="shared" si="129"/>
        <v>0</v>
      </c>
      <c r="CN98" s="64">
        <f t="shared" si="130"/>
        <v>321.10000000000002</v>
      </c>
      <c r="CO98" s="64">
        <f t="shared" si="131"/>
        <v>0</v>
      </c>
      <c r="CP98" s="64">
        <f t="shared" si="132"/>
        <v>290.09999999999997</v>
      </c>
      <c r="CQ98" s="64">
        <f t="shared" si="133"/>
        <v>0</v>
      </c>
      <c r="CR98" s="64">
        <f t="shared" si="134"/>
        <v>259.09999999999997</v>
      </c>
      <c r="CS98" s="64">
        <f t="shared" si="135"/>
        <v>0</v>
      </c>
      <c r="CT98" s="64">
        <f t="shared" si="136"/>
        <v>228.1</v>
      </c>
      <c r="CU98" s="64">
        <f t="shared" si="137"/>
        <v>0</v>
      </c>
      <c r="CV98" s="69">
        <f t="shared" si="138"/>
        <v>27.052300322183275</v>
      </c>
      <c r="CW98" s="69">
        <f t="shared" si="139"/>
        <v>1095.4043146907322</v>
      </c>
      <c r="CX98" s="69">
        <f t="shared" si="95"/>
        <v>3921.9652420331263</v>
      </c>
      <c r="CY98" s="69">
        <f t="shared" si="140"/>
        <v>30727.662499999999</v>
      </c>
      <c r="CZ98" s="64">
        <f t="shared" si="96"/>
        <v>2530.3001561504043</v>
      </c>
      <c r="DA98" s="64">
        <f t="shared" si="141"/>
        <v>19824.298387096773</v>
      </c>
      <c r="DB98" s="64">
        <f t="shared" si="97"/>
        <v>414.10000000000008</v>
      </c>
      <c r="DC98" s="64">
        <f t="shared" si="98"/>
        <v>0</v>
      </c>
      <c r="DD98" s="64">
        <f t="shared" si="99"/>
        <v>383.1</v>
      </c>
      <c r="DE98" s="64">
        <f t="shared" si="100"/>
        <v>0</v>
      </c>
      <c r="DF98" s="64">
        <f t="shared" si="101"/>
        <v>352.1</v>
      </c>
      <c r="DG98" s="64">
        <f t="shared" si="102"/>
        <v>0</v>
      </c>
      <c r="DH98" s="64">
        <f t="shared" si="103"/>
        <v>321.10000000000002</v>
      </c>
      <c r="DI98" s="64">
        <f t="shared" si="104"/>
        <v>0</v>
      </c>
      <c r="DJ98" s="64">
        <f t="shared" si="105"/>
        <v>290.09999999999997</v>
      </c>
      <c r="DK98" s="64">
        <f t="shared" si="106"/>
        <v>0</v>
      </c>
      <c r="DL98" s="64">
        <f t="shared" si="107"/>
        <v>259.09999999999997</v>
      </c>
      <c r="DM98" s="64">
        <f t="shared" si="108"/>
        <v>0</v>
      </c>
      <c r="DN98" s="64">
        <f t="shared" si="109"/>
        <v>228.1</v>
      </c>
      <c r="DO98" s="64">
        <f t="shared" si="110"/>
        <v>0</v>
      </c>
      <c r="DP98" s="2">
        <f t="shared" si="144"/>
        <v>73</v>
      </c>
      <c r="DQ98" s="2">
        <f t="shared" si="144"/>
        <v>61</v>
      </c>
      <c r="DR98" s="2">
        <f t="shared" si="144"/>
        <v>49</v>
      </c>
      <c r="DS98" s="2">
        <f t="shared" si="144"/>
        <v>37</v>
      </c>
      <c r="DT98" s="2">
        <f t="shared" si="144"/>
        <v>25</v>
      </c>
      <c r="DU98" s="2">
        <f t="shared" si="115"/>
        <v>4</v>
      </c>
      <c r="DV98" s="2">
        <f t="shared" si="116"/>
        <v>19824.298387096773</v>
      </c>
      <c r="DW98" s="2">
        <f t="shared" si="142"/>
        <v>2458213</v>
      </c>
    </row>
    <row r="99" spans="1:127">
      <c r="A99" s="3">
        <v>44593</v>
      </c>
      <c r="B99">
        <f t="shared" si="117"/>
        <v>2022</v>
      </c>
      <c r="C99" s="6">
        <v>19604996</v>
      </c>
      <c r="D99" s="2">
        <f>VLOOKUP(B99,'Historic CDM'!$B$135:$H$146,2,FALSE)/12</f>
        <v>1168945.3950770386</v>
      </c>
      <c r="E99" s="2">
        <f t="shared" si="118"/>
        <v>20773941.395077039</v>
      </c>
      <c r="F99" s="6">
        <v>28663</v>
      </c>
      <c r="G99" s="219">
        <v>5204069</v>
      </c>
      <c r="H99" s="2">
        <f>VLOOKUP(B99,'Historic CDM'!$B$135:$H$147,3,FALSE)/12</f>
        <v>1167742.3523487775</v>
      </c>
      <c r="I99" s="2">
        <f t="shared" si="119"/>
        <v>6371811.3523487775</v>
      </c>
      <c r="J99" s="6">
        <v>2065</v>
      </c>
      <c r="K99" s="219">
        <v>13336476</v>
      </c>
      <c r="L99" s="2">
        <f>VLOOKUP(B99,'Historic CDM'!$B$135:$H$146,4,FALSE)/12</f>
        <v>1290028.8826544937</v>
      </c>
      <c r="M99" s="2">
        <f t="shared" si="123"/>
        <v>14626504.882654494</v>
      </c>
      <c r="N99" s="222">
        <v>44542</v>
      </c>
      <c r="O99" s="220">
        <v>203</v>
      </c>
      <c r="P99" s="219">
        <v>228233</v>
      </c>
      <c r="Q99" s="6">
        <v>613</v>
      </c>
      <c r="R99" s="220">
        <v>2790</v>
      </c>
      <c r="S99" s="220">
        <v>21164</v>
      </c>
      <c r="T99" s="6">
        <v>58</v>
      </c>
      <c r="U99" s="220">
        <v>228</v>
      </c>
      <c r="V99" s="221">
        <v>117392</v>
      </c>
      <c r="W99" s="220">
        <v>125</v>
      </c>
      <c r="X99" s="2">
        <v>2115178</v>
      </c>
      <c r="Y99" s="6">
        <v>6400</v>
      </c>
      <c r="Z99" s="220">
        <v>4</v>
      </c>
      <c r="AA99" s="100">
        <f>'Weather Data'!D255</f>
        <v>663.30000000000007</v>
      </c>
      <c r="AB99" s="100">
        <f>'Weather Data'!E255</f>
        <v>0</v>
      </c>
      <c r="AC99" s="100">
        <f>'Weather Data'!F255</f>
        <v>607.30000000000018</v>
      </c>
      <c r="AD99" s="100">
        <f>'Weather Data'!G255</f>
        <v>0</v>
      </c>
      <c r="AE99" s="100">
        <f>'Weather Data'!H255</f>
        <v>551.30000000000007</v>
      </c>
      <c r="AF99" s="100">
        <f>'Weather Data'!I255</f>
        <v>0</v>
      </c>
      <c r="AG99" s="100">
        <f>'Weather Data'!J255</f>
        <v>495.30000000000007</v>
      </c>
      <c r="AH99" s="100">
        <f>'Weather Data'!K255</f>
        <v>0</v>
      </c>
      <c r="AI99" s="100">
        <f>'Weather Data'!L255</f>
        <v>439.3</v>
      </c>
      <c r="AJ99" s="100">
        <f>'Weather Data'!M255</f>
        <v>0</v>
      </c>
      <c r="AK99" s="100">
        <f>'Weather Data'!N255</f>
        <v>383.29999999999995</v>
      </c>
      <c r="AL99" s="100">
        <f>'Weather Data'!O255</f>
        <v>0</v>
      </c>
      <c r="AM99" s="100">
        <f>'Weather Data'!P255</f>
        <v>327.29999999999995</v>
      </c>
      <c r="AN99" s="100">
        <f>'Weather Data'!Q255</f>
        <v>0</v>
      </c>
      <c r="AO99" s="100">
        <f>'Weather Data'!R255</f>
        <v>-3.6892857142857136</v>
      </c>
      <c r="AP99" s="5">
        <f>'Economic Data'!D125</f>
        <v>7649</v>
      </c>
      <c r="AQ99" s="5">
        <f>'Economic Data'!E125</f>
        <v>7588.8</v>
      </c>
      <c r="AR99" s="5">
        <f>'Economic Data'!F125</f>
        <v>181.8</v>
      </c>
      <c r="AS99" s="5">
        <f>'Economic Data'!G125</f>
        <v>180.5</v>
      </c>
      <c r="AT99" s="5">
        <f>'Economic Data'!H125</f>
        <v>839497.4</v>
      </c>
      <c r="AU99" s="5">
        <f>'Economic Data'!I125</f>
        <v>8788.9</v>
      </c>
      <c r="AV99" s="5">
        <f>'Economic Data'!J125</f>
        <v>7781.9</v>
      </c>
      <c r="AW99" s="5">
        <f>'Economic Data'!K125</f>
        <v>5915.7</v>
      </c>
      <c r="AX99" s="5">
        <f>'Economic Data'!L125</f>
        <v>1230.4000000000001</v>
      </c>
      <c r="AY99" s="5">
        <f>'Economic Data'!M125</f>
        <v>2117.6</v>
      </c>
      <c r="AZ99" s="5">
        <f>'Economic Data'!N125</f>
        <v>6860.3</v>
      </c>
      <c r="BA99" s="5">
        <f>'Economic Data'!O125</f>
        <v>109.5</v>
      </c>
      <c r="BB99" s="5">
        <f>'Economic Data'!P125</f>
        <v>119.5</v>
      </c>
      <c r="BC99" s="5">
        <f>'Economic Data'!Q125</f>
        <v>833713</v>
      </c>
      <c r="BD99" s="5">
        <f>'Economic Data'!R125</f>
        <v>8882</v>
      </c>
      <c r="BE99" s="5">
        <f>'Economic Data'!S125</f>
        <v>4219</v>
      </c>
      <c r="BF99" s="5">
        <f>'Economic Data'!T125</f>
        <v>16469</v>
      </c>
      <c r="BG99" s="5">
        <f>'EV Data'!V64</f>
        <v>69689.666666666613</v>
      </c>
      <c r="BH99" s="5">
        <f>'EV Data'!AB64</f>
        <v>345.66666666666657</v>
      </c>
      <c r="BI99" s="5">
        <f>'EV Data'!W64</f>
        <v>1023.6666666666671</v>
      </c>
      <c r="BJ99" s="5">
        <f t="shared" si="71"/>
        <v>98</v>
      </c>
      <c r="BK99" s="70">
        <f t="shared" si="93"/>
        <v>1.9912260756924949</v>
      </c>
      <c r="BL99" s="5">
        <f t="shared" si="94"/>
        <v>9604</v>
      </c>
      <c r="BM99">
        <f t="shared" si="143"/>
        <v>0</v>
      </c>
      <c r="BN99">
        <f t="shared" si="143"/>
        <v>1</v>
      </c>
      <c r="BO99">
        <f t="shared" si="143"/>
        <v>0</v>
      </c>
      <c r="BP99">
        <f t="shared" si="143"/>
        <v>0</v>
      </c>
      <c r="BQ99">
        <f t="shared" si="143"/>
        <v>0</v>
      </c>
      <c r="BR99">
        <f t="shared" si="143"/>
        <v>0</v>
      </c>
      <c r="BS99">
        <f t="shared" si="143"/>
        <v>0</v>
      </c>
      <c r="BT99">
        <f t="shared" si="143"/>
        <v>0</v>
      </c>
      <c r="BU99">
        <f t="shared" si="143"/>
        <v>0</v>
      </c>
      <c r="BV99">
        <f t="shared" si="143"/>
        <v>0</v>
      </c>
      <c r="BW99">
        <f t="shared" si="143"/>
        <v>0</v>
      </c>
      <c r="BX99">
        <f t="shared" si="143"/>
        <v>0</v>
      </c>
      <c r="BY99">
        <f t="shared" si="143"/>
        <v>0</v>
      </c>
      <c r="BZ99">
        <f t="shared" si="143"/>
        <v>0</v>
      </c>
      <c r="CA99">
        <f t="shared" si="143"/>
        <v>0</v>
      </c>
      <c r="CB99">
        <f t="shared" si="113"/>
        <v>28</v>
      </c>
      <c r="CC99">
        <v>19</v>
      </c>
      <c r="CD99">
        <f>CD98</f>
        <v>0.5</v>
      </c>
      <c r="CE99">
        <f>CE98</f>
        <v>0.25</v>
      </c>
      <c r="CF99">
        <f t="shared" si="111"/>
        <v>0.5</v>
      </c>
      <c r="CG99">
        <v>0</v>
      </c>
      <c r="CH99" s="64">
        <f t="shared" si="124"/>
        <v>331.65000000000003</v>
      </c>
      <c r="CI99" s="64">
        <f t="shared" si="125"/>
        <v>0</v>
      </c>
      <c r="CJ99" s="64">
        <f t="shared" si="126"/>
        <v>303.65000000000009</v>
      </c>
      <c r="CK99" s="64">
        <f t="shared" si="127"/>
        <v>0</v>
      </c>
      <c r="CL99" s="64">
        <f t="shared" si="128"/>
        <v>275.65000000000003</v>
      </c>
      <c r="CM99" s="64">
        <f t="shared" si="129"/>
        <v>0</v>
      </c>
      <c r="CN99" s="64">
        <f t="shared" si="130"/>
        <v>247.65000000000003</v>
      </c>
      <c r="CO99" s="64">
        <f t="shared" si="131"/>
        <v>0</v>
      </c>
      <c r="CP99" s="64">
        <f t="shared" si="132"/>
        <v>219.65</v>
      </c>
      <c r="CQ99" s="64">
        <f t="shared" si="133"/>
        <v>0</v>
      </c>
      <c r="CR99" s="64">
        <f t="shared" si="134"/>
        <v>191.64999999999998</v>
      </c>
      <c r="CS99" s="64">
        <f t="shared" si="135"/>
        <v>0</v>
      </c>
      <c r="CT99" s="64">
        <f t="shared" si="136"/>
        <v>163.64999999999998</v>
      </c>
      <c r="CU99" s="64">
        <f t="shared" si="137"/>
        <v>0</v>
      </c>
      <c r="CV99" s="69">
        <f t="shared" si="138"/>
        <v>25.884467027024684</v>
      </c>
      <c r="CW99" s="69">
        <f t="shared" si="139"/>
        <v>1121.0083308143521</v>
      </c>
      <c r="CX99" s="69">
        <f t="shared" si="95"/>
        <v>3792.1972731798014</v>
      </c>
      <c r="CY99" s="69">
        <f t="shared" si="140"/>
        <v>27831.28947368421</v>
      </c>
      <c r="CZ99" s="64">
        <f t="shared" si="96"/>
        <v>2573.2767210862935</v>
      </c>
      <c r="DA99" s="64">
        <f t="shared" si="141"/>
        <v>18885.517857142859</v>
      </c>
      <c r="DB99" s="64">
        <f t="shared" si="97"/>
        <v>331.65000000000003</v>
      </c>
      <c r="DC99" s="64">
        <f t="shared" si="98"/>
        <v>0</v>
      </c>
      <c r="DD99" s="64">
        <f t="shared" si="99"/>
        <v>303.65000000000009</v>
      </c>
      <c r="DE99" s="64">
        <f t="shared" si="100"/>
        <v>0</v>
      </c>
      <c r="DF99" s="64">
        <f t="shared" si="101"/>
        <v>275.65000000000003</v>
      </c>
      <c r="DG99" s="64">
        <f t="shared" si="102"/>
        <v>0</v>
      </c>
      <c r="DH99" s="64">
        <f t="shared" si="103"/>
        <v>247.65000000000003</v>
      </c>
      <c r="DI99" s="64">
        <f t="shared" si="104"/>
        <v>0</v>
      </c>
      <c r="DJ99" s="64">
        <f t="shared" si="105"/>
        <v>219.65</v>
      </c>
      <c r="DK99" s="64">
        <f t="shared" si="106"/>
        <v>0</v>
      </c>
      <c r="DL99" s="64">
        <f t="shared" si="107"/>
        <v>191.64999999999998</v>
      </c>
      <c r="DM99" s="64">
        <f t="shared" si="108"/>
        <v>0</v>
      </c>
      <c r="DN99" s="64">
        <f t="shared" si="109"/>
        <v>163.64999999999998</v>
      </c>
      <c r="DO99" s="64">
        <f t="shared" si="110"/>
        <v>0</v>
      </c>
      <c r="DP99" s="2">
        <f t="shared" si="144"/>
        <v>74</v>
      </c>
      <c r="DQ99" s="2">
        <f t="shared" si="144"/>
        <v>62</v>
      </c>
      <c r="DR99" s="2">
        <f t="shared" si="144"/>
        <v>50</v>
      </c>
      <c r="DS99" s="2">
        <f t="shared" si="144"/>
        <v>38</v>
      </c>
      <c r="DT99" s="2">
        <f t="shared" si="144"/>
        <v>26</v>
      </c>
      <c r="DU99" s="2">
        <f t="shared" si="115"/>
        <v>4</v>
      </c>
      <c r="DV99" s="2">
        <f t="shared" si="116"/>
        <v>18885.517857142859</v>
      </c>
      <c r="DW99" s="2">
        <f t="shared" si="142"/>
        <v>2115178</v>
      </c>
    </row>
    <row r="100" spans="1:127">
      <c r="A100" s="3">
        <v>44621</v>
      </c>
      <c r="B100">
        <f t="shared" si="117"/>
        <v>2022</v>
      </c>
      <c r="C100" s="6">
        <v>19167430</v>
      </c>
      <c r="D100" s="2">
        <f>VLOOKUP(B100,'Historic CDM'!$B$135:$H$146,2,FALSE)/12</f>
        <v>1168945.3950770386</v>
      </c>
      <c r="E100" s="2">
        <f t="shared" si="118"/>
        <v>20336375.395077039</v>
      </c>
      <c r="F100" s="6">
        <v>28714</v>
      </c>
      <c r="G100" s="219">
        <v>5411793</v>
      </c>
      <c r="H100" s="2">
        <f>VLOOKUP(B100,'Historic CDM'!$B$135:$H$147,3,FALSE)/12</f>
        <v>1167742.3523487775</v>
      </c>
      <c r="I100" s="2">
        <f t="shared" si="119"/>
        <v>6579535.3523487775</v>
      </c>
      <c r="J100" s="6">
        <v>2062</v>
      </c>
      <c r="K100" s="219">
        <v>14101884</v>
      </c>
      <c r="L100" s="2">
        <f>VLOOKUP(B100,'Historic CDM'!$B$135:$H$146,4,FALSE)/12</f>
        <v>1290028.8826544937</v>
      </c>
      <c r="M100" s="2">
        <f t="shared" si="123"/>
        <v>15391912.882654494</v>
      </c>
      <c r="N100" s="222">
        <v>43910</v>
      </c>
      <c r="O100" s="220">
        <v>204</v>
      </c>
      <c r="P100" s="219">
        <v>212685</v>
      </c>
      <c r="Q100" s="6">
        <v>604</v>
      </c>
      <c r="R100" s="220">
        <v>2790</v>
      </c>
      <c r="S100" s="220">
        <v>24214</v>
      </c>
      <c r="T100" s="6">
        <v>66</v>
      </c>
      <c r="U100" s="220">
        <v>228</v>
      </c>
      <c r="V100" s="221">
        <v>117392</v>
      </c>
      <c r="W100" s="220">
        <v>125</v>
      </c>
      <c r="X100" s="288">
        <f>AVERAGE(X99,X101)</f>
        <v>2122133</v>
      </c>
      <c r="Y100" s="6">
        <v>6250</v>
      </c>
      <c r="Z100" s="220">
        <v>4</v>
      </c>
      <c r="AA100" s="100">
        <f>'Weather Data'!D256</f>
        <v>527.93552299140981</v>
      </c>
      <c r="AB100" s="100">
        <f>'Weather Data'!E256</f>
        <v>0</v>
      </c>
      <c r="AC100" s="100">
        <f>'Weather Data'!F256</f>
        <v>465.93552299140975</v>
      </c>
      <c r="AD100" s="100">
        <f>'Weather Data'!G256</f>
        <v>0</v>
      </c>
      <c r="AE100" s="100">
        <f>'Weather Data'!H256</f>
        <v>403.93552299140981</v>
      </c>
      <c r="AF100" s="100">
        <f>'Weather Data'!I256</f>
        <v>0</v>
      </c>
      <c r="AG100" s="100">
        <f>'Weather Data'!J256</f>
        <v>341.93552299140981</v>
      </c>
      <c r="AH100" s="100">
        <f>'Weather Data'!K256</f>
        <v>0</v>
      </c>
      <c r="AI100" s="100">
        <f>'Weather Data'!L256</f>
        <v>279.93552299140987</v>
      </c>
      <c r="AJ100" s="100">
        <f>'Weather Data'!M256</f>
        <v>0</v>
      </c>
      <c r="AK100" s="100">
        <f>'Weather Data'!N256</f>
        <v>218.83552299140982</v>
      </c>
      <c r="AL100" s="100">
        <f>'Weather Data'!O256</f>
        <v>0.90000000000000036</v>
      </c>
      <c r="AM100" s="100">
        <f>'Weather Data'!P256</f>
        <v>161.23552299140979</v>
      </c>
      <c r="AN100" s="100">
        <f>'Weather Data'!Q256</f>
        <v>5.2999999999999989</v>
      </c>
      <c r="AO100" s="100">
        <f>'Weather Data'!R256</f>
        <v>2.9698218389867801</v>
      </c>
      <c r="AP100" s="5">
        <f>'Economic Data'!D126</f>
        <v>7670</v>
      </c>
      <c r="AQ100" s="5">
        <f>'Economic Data'!E126</f>
        <v>7573.4</v>
      </c>
      <c r="AR100" s="5">
        <f>'Economic Data'!F126</f>
        <v>178.4</v>
      </c>
      <c r="AS100" s="5">
        <f>'Economic Data'!G126</f>
        <v>175.2</v>
      </c>
      <c r="AT100" s="5">
        <f>'Economic Data'!H126</f>
        <v>839497.4</v>
      </c>
      <c r="AU100" s="5">
        <f>'Economic Data'!I126</f>
        <v>8788.9</v>
      </c>
      <c r="AV100" s="5">
        <f>'Economic Data'!J126</f>
        <v>7781.9</v>
      </c>
      <c r="AW100" s="5">
        <f>'Economic Data'!K126</f>
        <v>5915.7</v>
      </c>
      <c r="AX100" s="5">
        <f>'Economic Data'!L126</f>
        <v>1230.4000000000001</v>
      </c>
      <c r="AY100" s="5">
        <f>'Economic Data'!M126</f>
        <v>2117.6</v>
      </c>
      <c r="AZ100" s="5">
        <f>'Economic Data'!N126</f>
        <v>6860.3</v>
      </c>
      <c r="BA100" s="5">
        <f>'Economic Data'!O126</f>
        <v>109.5</v>
      </c>
      <c r="BB100" s="5">
        <f>'Economic Data'!P126</f>
        <v>119.5</v>
      </c>
      <c r="BC100" s="5">
        <f>'Economic Data'!Q126</f>
        <v>833713</v>
      </c>
      <c r="BD100" s="5">
        <f>'Economic Data'!R126</f>
        <v>8882</v>
      </c>
      <c r="BE100" s="5">
        <f>'Economic Data'!S126</f>
        <v>4219</v>
      </c>
      <c r="BF100" s="5">
        <f>'Economic Data'!T126</f>
        <v>16469</v>
      </c>
      <c r="BG100" s="5">
        <f>'EV Data'!V65</f>
        <v>72063.999999999942</v>
      </c>
      <c r="BH100" s="5">
        <f>'EV Data'!AB65</f>
        <v>358.99999999999989</v>
      </c>
      <c r="BI100" s="5">
        <f>'EV Data'!W65</f>
        <v>1061.0000000000005</v>
      </c>
      <c r="BJ100" s="5">
        <f t="shared" si="71"/>
        <v>99</v>
      </c>
      <c r="BK100" s="70">
        <f t="shared" si="93"/>
        <v>1.9956351945975499</v>
      </c>
      <c r="BL100" s="5">
        <f t="shared" si="94"/>
        <v>9801</v>
      </c>
      <c r="BM100">
        <f t="shared" si="143"/>
        <v>0</v>
      </c>
      <c r="BN100">
        <f t="shared" si="143"/>
        <v>0</v>
      </c>
      <c r="BO100">
        <f t="shared" si="143"/>
        <v>1</v>
      </c>
      <c r="BP100">
        <f t="shared" si="143"/>
        <v>0</v>
      </c>
      <c r="BQ100">
        <f t="shared" si="143"/>
        <v>0</v>
      </c>
      <c r="BR100">
        <f t="shared" si="143"/>
        <v>0</v>
      </c>
      <c r="BS100">
        <f t="shared" si="143"/>
        <v>0</v>
      </c>
      <c r="BT100">
        <f t="shared" si="143"/>
        <v>0</v>
      </c>
      <c r="BU100">
        <f t="shared" si="143"/>
        <v>0</v>
      </c>
      <c r="BV100">
        <f t="shared" si="143"/>
        <v>0</v>
      </c>
      <c r="BW100">
        <f t="shared" si="143"/>
        <v>0</v>
      </c>
      <c r="BX100">
        <f t="shared" si="143"/>
        <v>0</v>
      </c>
      <c r="BY100">
        <f t="shared" si="143"/>
        <v>1</v>
      </c>
      <c r="BZ100">
        <f t="shared" si="143"/>
        <v>0</v>
      </c>
      <c r="CA100">
        <f t="shared" si="143"/>
        <v>1</v>
      </c>
      <c r="CB100">
        <f t="shared" si="113"/>
        <v>31</v>
      </c>
      <c r="CC100">
        <v>23</v>
      </c>
      <c r="CD100">
        <f t="shared" ref="CD100:CD109" si="145">CD99</f>
        <v>0.5</v>
      </c>
      <c r="CE100">
        <f t="shared" ref="CE100:CF109" si="146">CE99</f>
        <v>0.25</v>
      </c>
      <c r="CF100">
        <f t="shared" si="111"/>
        <v>0.5</v>
      </c>
      <c r="CG100">
        <v>0</v>
      </c>
      <c r="CH100" s="64">
        <f t="shared" si="124"/>
        <v>263.96776149570491</v>
      </c>
      <c r="CI100" s="64">
        <f t="shared" si="125"/>
        <v>0</v>
      </c>
      <c r="CJ100" s="64">
        <f t="shared" si="126"/>
        <v>232.96776149570488</v>
      </c>
      <c r="CK100" s="64">
        <f t="shared" si="127"/>
        <v>0</v>
      </c>
      <c r="CL100" s="64">
        <f t="shared" si="128"/>
        <v>201.96776149570491</v>
      </c>
      <c r="CM100" s="64">
        <f t="shared" si="129"/>
        <v>0</v>
      </c>
      <c r="CN100" s="64">
        <f t="shared" si="130"/>
        <v>170.96776149570491</v>
      </c>
      <c r="CO100" s="64">
        <f t="shared" si="131"/>
        <v>0</v>
      </c>
      <c r="CP100" s="64">
        <f t="shared" si="132"/>
        <v>139.96776149570493</v>
      </c>
      <c r="CQ100" s="64">
        <f t="shared" si="133"/>
        <v>0</v>
      </c>
      <c r="CR100" s="64">
        <f t="shared" si="134"/>
        <v>109.41776149570491</v>
      </c>
      <c r="CS100" s="64">
        <f t="shared" si="135"/>
        <v>0.45000000000000018</v>
      </c>
      <c r="CT100" s="64">
        <f t="shared" si="136"/>
        <v>80.617761495704897</v>
      </c>
      <c r="CU100" s="64">
        <f t="shared" si="137"/>
        <v>2.6499999999999995</v>
      </c>
      <c r="CV100" s="69">
        <f t="shared" si="138"/>
        <v>22.8464201963716</v>
      </c>
      <c r="CW100" s="69">
        <f t="shared" si="139"/>
        <v>1040.407234716758</v>
      </c>
      <c r="CX100" s="69">
        <f t="shared" si="95"/>
        <v>3280.4588411454592</v>
      </c>
      <c r="CY100" s="69">
        <f t="shared" si="140"/>
        <v>23066.66304347826</v>
      </c>
      <c r="CZ100" s="64">
        <f t="shared" si="96"/>
        <v>2433.8888176240503</v>
      </c>
      <c r="DA100" s="64">
        <f t="shared" si="141"/>
        <v>17113.975806451614</v>
      </c>
      <c r="DB100" s="64">
        <f t="shared" si="97"/>
        <v>263.96776149570491</v>
      </c>
      <c r="DC100" s="64">
        <f t="shared" si="98"/>
        <v>0</v>
      </c>
      <c r="DD100" s="64">
        <f t="shared" si="99"/>
        <v>232.96776149570488</v>
      </c>
      <c r="DE100" s="64">
        <f t="shared" si="100"/>
        <v>0</v>
      </c>
      <c r="DF100" s="64">
        <f t="shared" si="101"/>
        <v>201.96776149570491</v>
      </c>
      <c r="DG100" s="64">
        <f t="shared" si="102"/>
        <v>0</v>
      </c>
      <c r="DH100" s="64">
        <f t="shared" si="103"/>
        <v>170.96776149570491</v>
      </c>
      <c r="DI100" s="64">
        <f t="shared" si="104"/>
        <v>0</v>
      </c>
      <c r="DJ100" s="64">
        <f t="shared" si="105"/>
        <v>139.96776149570493</v>
      </c>
      <c r="DK100" s="64">
        <f t="shared" si="106"/>
        <v>0</v>
      </c>
      <c r="DL100" s="64">
        <f t="shared" si="107"/>
        <v>109.41776149570491</v>
      </c>
      <c r="DM100" s="64">
        <f t="shared" si="108"/>
        <v>0.45000000000000018</v>
      </c>
      <c r="DN100" s="64">
        <f t="shared" si="109"/>
        <v>80.617761495704897</v>
      </c>
      <c r="DO100" s="64">
        <f t="shared" si="110"/>
        <v>2.6499999999999995</v>
      </c>
      <c r="DP100" s="2">
        <f t="shared" si="144"/>
        <v>75</v>
      </c>
      <c r="DQ100" s="2">
        <f t="shared" si="144"/>
        <v>63</v>
      </c>
      <c r="DR100" s="2">
        <f t="shared" si="144"/>
        <v>51</v>
      </c>
      <c r="DS100" s="2">
        <f t="shared" si="144"/>
        <v>39</v>
      </c>
      <c r="DT100" s="2">
        <f t="shared" si="144"/>
        <v>27</v>
      </c>
      <c r="DU100" s="2">
        <f t="shared" si="115"/>
        <v>4</v>
      </c>
      <c r="DV100" s="2">
        <f t="shared" si="116"/>
        <v>17113.975806451614</v>
      </c>
      <c r="DW100" s="2">
        <f t="shared" si="142"/>
        <v>2122133</v>
      </c>
    </row>
    <row r="101" spans="1:127">
      <c r="A101" s="3">
        <v>44652</v>
      </c>
      <c r="B101">
        <f t="shared" si="117"/>
        <v>2022</v>
      </c>
      <c r="C101" s="6">
        <v>17405507</v>
      </c>
      <c r="D101" s="225">
        <f>VLOOKUP(B101,'Historic CDM'!$B$135:$H$147,2,FALSE)/12</f>
        <v>1168945.3950770386</v>
      </c>
      <c r="E101" s="2">
        <f t="shared" si="118"/>
        <v>18574452.395077039</v>
      </c>
      <c r="F101" s="6">
        <v>28725</v>
      </c>
      <c r="G101" s="219">
        <v>4902258</v>
      </c>
      <c r="H101" s="2">
        <f>VLOOKUP(B101,'Historic CDM'!$B$135:$H$147,3,FALSE)/12</f>
        <v>1167742.3523487775</v>
      </c>
      <c r="I101" s="2">
        <f t="shared" si="119"/>
        <v>6070000.3523487775</v>
      </c>
      <c r="J101" s="6">
        <v>2061</v>
      </c>
      <c r="K101" s="219">
        <v>13208931</v>
      </c>
      <c r="L101" s="2">
        <f>VLOOKUP(B101,'Historic CDM'!$B$135:$H$146,4,FALSE)/12</f>
        <v>1290028.8826544937</v>
      </c>
      <c r="M101" s="2">
        <f t="shared" si="123"/>
        <v>14498959.882654494</v>
      </c>
      <c r="N101" s="222">
        <v>42797</v>
      </c>
      <c r="O101" s="220">
        <v>204</v>
      </c>
      <c r="P101" s="219">
        <v>177172</v>
      </c>
      <c r="Q101" s="6">
        <v>603</v>
      </c>
      <c r="R101" s="220">
        <v>2790</v>
      </c>
      <c r="S101" s="220">
        <v>22736</v>
      </c>
      <c r="T101" s="6">
        <v>62</v>
      </c>
      <c r="U101" s="220">
        <v>228</v>
      </c>
      <c r="V101" s="221">
        <v>117392</v>
      </c>
      <c r="W101" s="220">
        <v>125</v>
      </c>
      <c r="X101" s="2">
        <v>2129088</v>
      </c>
      <c r="Y101" s="6">
        <v>5807</v>
      </c>
      <c r="Z101" s="220">
        <v>4</v>
      </c>
      <c r="AA101" s="100">
        <f>'Weather Data'!D257</f>
        <v>392.50000000000006</v>
      </c>
      <c r="AB101" s="100">
        <f>'Weather Data'!E257</f>
        <v>0</v>
      </c>
      <c r="AC101" s="100">
        <f>'Weather Data'!F257</f>
        <v>333.80000000000007</v>
      </c>
      <c r="AD101" s="100">
        <f>'Weather Data'!G257</f>
        <v>1.3000000000000007</v>
      </c>
      <c r="AE101" s="100">
        <f>'Weather Data'!H257</f>
        <v>275.80000000000007</v>
      </c>
      <c r="AF101" s="100">
        <f>'Weather Data'!I257</f>
        <v>3.3000000000000007</v>
      </c>
      <c r="AG101" s="100">
        <f>'Weather Data'!J257</f>
        <v>220.60000000000005</v>
      </c>
      <c r="AH101" s="100">
        <f>'Weather Data'!K257</f>
        <v>8.1</v>
      </c>
      <c r="AI101" s="100">
        <f>'Weather Data'!L257</f>
        <v>168.70000000000002</v>
      </c>
      <c r="AJ101" s="100">
        <f>'Weather Data'!M257</f>
        <v>16.2</v>
      </c>
      <c r="AK101" s="100">
        <f>'Weather Data'!N257</f>
        <v>121.39999999999999</v>
      </c>
      <c r="AL101" s="100">
        <f>'Weather Data'!O257</f>
        <v>28.9</v>
      </c>
      <c r="AM101" s="100">
        <f>'Weather Data'!P257</f>
        <v>79.599999999999994</v>
      </c>
      <c r="AN101" s="100">
        <f>'Weather Data'!Q257</f>
        <v>47.099999999999994</v>
      </c>
      <c r="AO101" s="100">
        <f>'Weather Data'!R257</f>
        <v>6.916666666666667</v>
      </c>
      <c r="AP101" s="5">
        <f>'Economic Data'!D127</f>
        <v>7750.7</v>
      </c>
      <c r="AQ101" s="5">
        <f>'Economic Data'!E127</f>
        <v>7670</v>
      </c>
      <c r="AR101" s="5">
        <f>'Economic Data'!F127</f>
        <v>177.4</v>
      </c>
      <c r="AS101" s="5">
        <f>'Economic Data'!G127</f>
        <v>175.6</v>
      </c>
      <c r="AT101" s="5">
        <f>'Economic Data'!H127</f>
        <v>839497.4</v>
      </c>
      <c r="AU101" s="5">
        <f>'Economic Data'!I127</f>
        <v>8788.9</v>
      </c>
      <c r="AV101" s="5">
        <f>'Economic Data'!J127</f>
        <v>7781.9</v>
      </c>
      <c r="AW101" s="5">
        <f>'Economic Data'!K127</f>
        <v>5915.7</v>
      </c>
      <c r="AX101" s="5">
        <f>'Economic Data'!L127</f>
        <v>1230.4000000000001</v>
      </c>
      <c r="AY101" s="5">
        <f>'Economic Data'!M127</f>
        <v>2117.6</v>
      </c>
      <c r="AZ101" s="5">
        <f>'Economic Data'!N127</f>
        <v>6860.3</v>
      </c>
      <c r="BA101" s="5">
        <f>'Economic Data'!O127</f>
        <v>109.5</v>
      </c>
      <c r="BB101" s="5">
        <f>'Economic Data'!P127</f>
        <v>119.5</v>
      </c>
      <c r="BC101" s="5">
        <f>'Economic Data'!Q127</f>
        <v>840190</v>
      </c>
      <c r="BD101" s="5">
        <f>'Economic Data'!R127</f>
        <v>8753</v>
      </c>
      <c r="BE101" s="5">
        <f>'Economic Data'!S127</f>
        <v>3955</v>
      </c>
      <c r="BF101" s="5">
        <f>'Economic Data'!T127</f>
        <v>15914</v>
      </c>
      <c r="BG101" s="5">
        <f>'EV Data'!V66</f>
        <v>75241.666666666613</v>
      </c>
      <c r="BH101" s="5">
        <f>'EV Data'!AB66</f>
        <v>372.99999999999989</v>
      </c>
      <c r="BI101" s="5">
        <f>'EV Data'!W66</f>
        <v>1104.6666666666672</v>
      </c>
      <c r="BJ101" s="5">
        <f t="shared" si="71"/>
        <v>100</v>
      </c>
      <c r="BK101" s="70">
        <f t="shared" si="93"/>
        <v>2</v>
      </c>
      <c r="BL101" s="5">
        <f t="shared" si="94"/>
        <v>10000</v>
      </c>
      <c r="BM101">
        <f t="shared" si="143"/>
        <v>0</v>
      </c>
      <c r="BN101">
        <f t="shared" si="143"/>
        <v>0</v>
      </c>
      <c r="BO101">
        <f t="shared" si="143"/>
        <v>0</v>
      </c>
      <c r="BP101">
        <f t="shared" si="143"/>
        <v>1</v>
      </c>
      <c r="BQ101">
        <f t="shared" si="143"/>
        <v>0</v>
      </c>
      <c r="BR101">
        <f t="shared" si="143"/>
        <v>0</v>
      </c>
      <c r="BS101">
        <f t="shared" si="143"/>
        <v>0</v>
      </c>
      <c r="BT101">
        <f t="shared" si="143"/>
        <v>0</v>
      </c>
      <c r="BU101">
        <f t="shared" si="143"/>
        <v>0</v>
      </c>
      <c r="BV101">
        <f t="shared" si="143"/>
        <v>0</v>
      </c>
      <c r="BW101">
        <f t="shared" si="143"/>
        <v>0</v>
      </c>
      <c r="BX101">
        <f t="shared" si="143"/>
        <v>0</v>
      </c>
      <c r="BY101">
        <f t="shared" si="143"/>
        <v>1</v>
      </c>
      <c r="BZ101">
        <f t="shared" si="143"/>
        <v>0</v>
      </c>
      <c r="CA101">
        <f t="shared" si="143"/>
        <v>1</v>
      </c>
      <c r="CB101">
        <f t="shared" si="113"/>
        <v>30</v>
      </c>
      <c r="CC101">
        <v>20</v>
      </c>
      <c r="CD101">
        <f t="shared" si="145"/>
        <v>0.5</v>
      </c>
      <c r="CE101">
        <f t="shared" si="146"/>
        <v>0.25</v>
      </c>
      <c r="CF101">
        <f t="shared" si="111"/>
        <v>0.5</v>
      </c>
      <c r="CG101">
        <v>0</v>
      </c>
      <c r="CH101" s="64">
        <f t="shared" si="124"/>
        <v>196.25000000000003</v>
      </c>
      <c r="CI101" s="64">
        <f t="shared" si="125"/>
        <v>0</v>
      </c>
      <c r="CJ101" s="64">
        <f t="shared" si="126"/>
        <v>166.90000000000003</v>
      </c>
      <c r="CK101" s="64">
        <f t="shared" si="127"/>
        <v>0.65000000000000036</v>
      </c>
      <c r="CL101" s="64">
        <f t="shared" si="128"/>
        <v>137.90000000000003</v>
      </c>
      <c r="CM101" s="64">
        <f t="shared" si="129"/>
        <v>1.6500000000000004</v>
      </c>
      <c r="CN101" s="64">
        <f t="shared" si="130"/>
        <v>110.30000000000003</v>
      </c>
      <c r="CO101" s="64">
        <f t="shared" si="131"/>
        <v>4.05</v>
      </c>
      <c r="CP101" s="64">
        <f t="shared" si="132"/>
        <v>84.350000000000009</v>
      </c>
      <c r="CQ101" s="64">
        <f t="shared" si="133"/>
        <v>8.1</v>
      </c>
      <c r="CR101" s="64">
        <f t="shared" si="134"/>
        <v>60.699999999999996</v>
      </c>
      <c r="CS101" s="64">
        <f t="shared" si="135"/>
        <v>14.45</v>
      </c>
      <c r="CT101" s="64">
        <f t="shared" si="136"/>
        <v>39.799999999999997</v>
      </c>
      <c r="CU101" s="64">
        <f t="shared" si="137"/>
        <v>23.549999999999997</v>
      </c>
      <c r="CV101" s="69">
        <f t="shared" si="138"/>
        <v>21.554339884046463</v>
      </c>
      <c r="CW101" s="69">
        <f t="shared" si="139"/>
        <v>991.83012293280683</v>
      </c>
      <c r="CX101" s="69">
        <f t="shared" si="95"/>
        <v>3553.6666379055132</v>
      </c>
      <c r="CY101" s="69">
        <f t="shared" si="140"/>
        <v>26613.599999999999</v>
      </c>
      <c r="CZ101" s="64">
        <f t="shared" si="96"/>
        <v>2369.1110919370085</v>
      </c>
      <c r="DA101" s="64">
        <f t="shared" si="141"/>
        <v>17742.400000000001</v>
      </c>
      <c r="DB101" s="64">
        <f t="shared" si="97"/>
        <v>196.25000000000003</v>
      </c>
      <c r="DC101" s="64">
        <f t="shared" si="98"/>
        <v>0</v>
      </c>
      <c r="DD101" s="64">
        <f t="shared" si="99"/>
        <v>166.90000000000003</v>
      </c>
      <c r="DE101" s="64">
        <f t="shared" si="100"/>
        <v>0.65000000000000036</v>
      </c>
      <c r="DF101" s="64">
        <f t="shared" si="101"/>
        <v>137.90000000000003</v>
      </c>
      <c r="DG101" s="64">
        <f t="shared" si="102"/>
        <v>1.6500000000000004</v>
      </c>
      <c r="DH101" s="64">
        <f t="shared" si="103"/>
        <v>110.30000000000003</v>
      </c>
      <c r="DI101" s="64">
        <f t="shared" si="104"/>
        <v>4.05</v>
      </c>
      <c r="DJ101" s="64">
        <f t="shared" si="105"/>
        <v>84.350000000000009</v>
      </c>
      <c r="DK101" s="64">
        <f t="shared" si="106"/>
        <v>8.1</v>
      </c>
      <c r="DL101" s="64">
        <f t="shared" si="107"/>
        <v>60.699999999999996</v>
      </c>
      <c r="DM101" s="64">
        <f t="shared" si="108"/>
        <v>14.45</v>
      </c>
      <c r="DN101" s="64">
        <f t="shared" si="109"/>
        <v>39.799999999999997</v>
      </c>
      <c r="DO101" s="64">
        <f t="shared" si="110"/>
        <v>23.549999999999997</v>
      </c>
      <c r="DP101" s="2">
        <f t="shared" si="144"/>
        <v>76</v>
      </c>
      <c r="DQ101" s="2">
        <f t="shared" si="144"/>
        <v>64</v>
      </c>
      <c r="DR101" s="2">
        <f t="shared" si="144"/>
        <v>52</v>
      </c>
      <c r="DS101" s="2">
        <f t="shared" si="144"/>
        <v>40</v>
      </c>
      <c r="DT101" s="2">
        <f t="shared" si="144"/>
        <v>28</v>
      </c>
      <c r="DU101" s="2">
        <f t="shared" si="115"/>
        <v>4</v>
      </c>
      <c r="DV101" s="2">
        <f t="shared" si="116"/>
        <v>17742.400000000001</v>
      </c>
      <c r="DW101" s="2">
        <f t="shared" si="142"/>
        <v>2129088</v>
      </c>
    </row>
    <row r="102" spans="1:127">
      <c r="A102" s="3">
        <v>44682</v>
      </c>
      <c r="B102">
        <f t="shared" si="117"/>
        <v>2022</v>
      </c>
      <c r="C102" s="6">
        <v>20447010</v>
      </c>
      <c r="D102" s="225">
        <f>VLOOKUP(B102,'Historic CDM'!$B$135:$H$147,2,FALSE)/12</f>
        <v>1168945.3950770386</v>
      </c>
      <c r="E102" s="2">
        <f t="shared" si="118"/>
        <v>21615955.395077039</v>
      </c>
      <c r="F102" s="6">
        <v>28733</v>
      </c>
      <c r="G102" s="219">
        <v>5347877</v>
      </c>
      <c r="H102" s="2">
        <f>VLOOKUP(B102,'Historic CDM'!$B$135:$H$147,3,FALSE)/12</f>
        <v>1167742.3523487775</v>
      </c>
      <c r="I102" s="2">
        <f t="shared" si="119"/>
        <v>6515619.3523487775</v>
      </c>
      <c r="J102" s="6">
        <v>2065</v>
      </c>
      <c r="K102" s="219">
        <v>14575813</v>
      </c>
      <c r="L102" s="2">
        <f>VLOOKUP(B102,'Historic CDM'!$B$135:$H$146,4,FALSE)/12</f>
        <v>1290028.8826544937</v>
      </c>
      <c r="M102" s="2">
        <f t="shared" si="123"/>
        <v>15865841.882654494</v>
      </c>
      <c r="N102" s="222">
        <v>49541</v>
      </c>
      <c r="O102" s="220">
        <v>206</v>
      </c>
      <c r="P102" s="219">
        <v>159546</v>
      </c>
      <c r="Q102" s="6">
        <v>603</v>
      </c>
      <c r="R102" s="220">
        <v>2790</v>
      </c>
      <c r="S102" s="220">
        <v>23000</v>
      </c>
      <c r="T102" s="6">
        <v>63</v>
      </c>
      <c r="U102" s="220">
        <v>228</v>
      </c>
      <c r="V102" s="221">
        <v>117392</v>
      </c>
      <c r="W102" s="220">
        <v>125</v>
      </c>
      <c r="X102" s="2">
        <v>2149513</v>
      </c>
      <c r="Y102" s="6">
        <v>6353</v>
      </c>
      <c r="Z102" s="220">
        <v>4</v>
      </c>
      <c r="AA102" s="100">
        <f>'Weather Data'!D258</f>
        <v>131.5</v>
      </c>
      <c r="AB102" s="100">
        <f>'Weather Data'!E258</f>
        <v>19.099999999999994</v>
      </c>
      <c r="AC102" s="100">
        <f>'Weather Data'!F258</f>
        <v>92.700000000000031</v>
      </c>
      <c r="AD102" s="100">
        <f>'Weather Data'!G258</f>
        <v>42.29999999999999</v>
      </c>
      <c r="AE102" s="100">
        <f>'Weather Data'!H258</f>
        <v>60.899999999999991</v>
      </c>
      <c r="AF102" s="100">
        <f>'Weather Data'!I258</f>
        <v>72.5</v>
      </c>
      <c r="AG102" s="100">
        <f>'Weather Data'!J258</f>
        <v>33</v>
      </c>
      <c r="AH102" s="100">
        <f>'Weather Data'!K258</f>
        <v>106.6</v>
      </c>
      <c r="AI102" s="100">
        <f>'Weather Data'!L258</f>
        <v>12.999999999999998</v>
      </c>
      <c r="AJ102" s="100">
        <f>'Weather Data'!M258</f>
        <v>148.6</v>
      </c>
      <c r="AK102" s="100">
        <f>'Weather Data'!N258</f>
        <v>1.5999999999999996</v>
      </c>
      <c r="AL102" s="100">
        <f>'Weather Data'!O258</f>
        <v>199.2</v>
      </c>
      <c r="AM102" s="100">
        <f>'Weather Data'!P258</f>
        <v>0</v>
      </c>
      <c r="AN102" s="100">
        <f>'Weather Data'!Q258</f>
        <v>259.60000000000002</v>
      </c>
      <c r="AO102" s="100">
        <f>'Weather Data'!R258</f>
        <v>16.374193548387094</v>
      </c>
      <c r="AP102" s="5">
        <f>'Economic Data'!D128</f>
        <v>7765</v>
      </c>
      <c r="AQ102" s="5">
        <f>'Economic Data'!E128</f>
        <v>7738.6</v>
      </c>
      <c r="AR102" s="5">
        <f>'Economic Data'!F128</f>
        <v>176.2</v>
      </c>
      <c r="AS102" s="5">
        <f>'Economic Data'!G128</f>
        <v>174.6</v>
      </c>
      <c r="AT102" s="5">
        <f>'Economic Data'!H128</f>
        <v>839497.4</v>
      </c>
      <c r="AU102" s="5">
        <f>'Economic Data'!I128</f>
        <v>8788.9</v>
      </c>
      <c r="AV102" s="5">
        <f>'Economic Data'!J128</f>
        <v>7781.9</v>
      </c>
      <c r="AW102" s="5">
        <f>'Economic Data'!K128</f>
        <v>5915.7</v>
      </c>
      <c r="AX102" s="5">
        <f>'Economic Data'!L128</f>
        <v>1230.4000000000001</v>
      </c>
      <c r="AY102" s="5">
        <f>'Economic Data'!M128</f>
        <v>2117.6</v>
      </c>
      <c r="AZ102" s="5">
        <f>'Economic Data'!N128</f>
        <v>6860.3</v>
      </c>
      <c r="BA102" s="5">
        <f>'Economic Data'!O128</f>
        <v>109.5</v>
      </c>
      <c r="BB102" s="5">
        <f>'Economic Data'!P128</f>
        <v>119.5</v>
      </c>
      <c r="BC102" s="5">
        <f>'Economic Data'!Q128</f>
        <v>840190</v>
      </c>
      <c r="BD102" s="5">
        <f>'Economic Data'!R128</f>
        <v>8753</v>
      </c>
      <c r="BE102" s="5">
        <f>'Economic Data'!S128</f>
        <v>3955</v>
      </c>
      <c r="BF102" s="5">
        <f>'Economic Data'!T128</f>
        <v>15914</v>
      </c>
      <c r="BG102" s="5">
        <f>'EV Data'!V67</f>
        <v>78419.333333333285</v>
      </c>
      <c r="BH102" s="5">
        <f>'EV Data'!AB67</f>
        <v>386.99999999999989</v>
      </c>
      <c r="BI102" s="5">
        <f>'EV Data'!W67</f>
        <v>1148.3333333333339</v>
      </c>
      <c r="BJ102" s="5">
        <f t="shared" si="71"/>
        <v>101</v>
      </c>
      <c r="BK102" s="70">
        <f t="shared" si="93"/>
        <v>2.0043213737826426</v>
      </c>
      <c r="BL102" s="5">
        <f t="shared" si="94"/>
        <v>10201</v>
      </c>
      <c r="BM102">
        <f t="shared" si="143"/>
        <v>0</v>
      </c>
      <c r="BN102">
        <f t="shared" si="143"/>
        <v>0</v>
      </c>
      <c r="BO102">
        <f t="shared" si="143"/>
        <v>0</v>
      </c>
      <c r="BP102">
        <f t="shared" si="143"/>
        <v>0</v>
      </c>
      <c r="BQ102">
        <f t="shared" si="143"/>
        <v>1</v>
      </c>
      <c r="BR102">
        <f t="shared" si="143"/>
        <v>0</v>
      </c>
      <c r="BS102">
        <f t="shared" si="143"/>
        <v>0</v>
      </c>
      <c r="BT102">
        <f t="shared" si="143"/>
        <v>0</v>
      </c>
      <c r="BU102">
        <f t="shared" si="143"/>
        <v>0</v>
      </c>
      <c r="BV102">
        <f t="shared" si="143"/>
        <v>0</v>
      </c>
      <c r="BW102">
        <f t="shared" si="143"/>
        <v>0</v>
      </c>
      <c r="BX102">
        <f t="shared" si="143"/>
        <v>0</v>
      </c>
      <c r="BY102">
        <f t="shared" si="143"/>
        <v>1</v>
      </c>
      <c r="BZ102">
        <f t="shared" si="143"/>
        <v>0</v>
      </c>
      <c r="CA102">
        <f t="shared" si="143"/>
        <v>1</v>
      </c>
      <c r="CB102">
        <f t="shared" si="113"/>
        <v>31</v>
      </c>
      <c r="CC102">
        <v>21</v>
      </c>
      <c r="CD102">
        <f t="shared" si="145"/>
        <v>0.5</v>
      </c>
      <c r="CE102">
        <f t="shared" si="146"/>
        <v>0.25</v>
      </c>
      <c r="CF102">
        <f t="shared" si="111"/>
        <v>0.5</v>
      </c>
      <c r="CG102">
        <v>0</v>
      </c>
      <c r="CH102" s="64">
        <f t="shared" si="124"/>
        <v>65.75</v>
      </c>
      <c r="CI102" s="64">
        <f t="shared" si="125"/>
        <v>9.5499999999999972</v>
      </c>
      <c r="CJ102" s="64">
        <f t="shared" si="126"/>
        <v>46.350000000000016</v>
      </c>
      <c r="CK102" s="64">
        <f t="shared" si="127"/>
        <v>21.149999999999995</v>
      </c>
      <c r="CL102" s="64">
        <f t="shared" si="128"/>
        <v>30.449999999999996</v>
      </c>
      <c r="CM102" s="64">
        <f t="shared" si="129"/>
        <v>36.25</v>
      </c>
      <c r="CN102" s="64">
        <f t="shared" si="130"/>
        <v>16.5</v>
      </c>
      <c r="CO102" s="64">
        <f t="shared" si="131"/>
        <v>53.3</v>
      </c>
      <c r="CP102" s="64">
        <f t="shared" si="132"/>
        <v>6.4999999999999991</v>
      </c>
      <c r="CQ102" s="64">
        <f t="shared" si="133"/>
        <v>74.3</v>
      </c>
      <c r="CR102" s="64">
        <f t="shared" si="134"/>
        <v>0.79999999999999982</v>
      </c>
      <c r="CS102" s="64">
        <f t="shared" si="135"/>
        <v>99.6</v>
      </c>
      <c r="CT102" s="64">
        <f t="shared" si="136"/>
        <v>0</v>
      </c>
      <c r="CU102" s="64">
        <f t="shared" si="137"/>
        <v>129.80000000000001</v>
      </c>
      <c r="CV102" s="69">
        <f t="shared" si="138"/>
        <v>24.267876090633155</v>
      </c>
      <c r="CW102" s="69">
        <f t="shared" si="139"/>
        <v>1020.2974244204162</v>
      </c>
      <c r="CX102" s="69">
        <f t="shared" si="95"/>
        <v>3667.5547578951673</v>
      </c>
      <c r="CY102" s="69">
        <f t="shared" si="140"/>
        <v>25589.440476190477</v>
      </c>
      <c r="CZ102" s="64">
        <f t="shared" si="96"/>
        <v>2484.4725779289843</v>
      </c>
      <c r="DA102" s="64">
        <f t="shared" si="141"/>
        <v>17334.782258064515</v>
      </c>
      <c r="DB102" s="64">
        <f t="shared" si="97"/>
        <v>65.75</v>
      </c>
      <c r="DC102" s="64">
        <f t="shared" si="98"/>
        <v>9.5499999999999972</v>
      </c>
      <c r="DD102" s="64">
        <f t="shared" si="99"/>
        <v>46.350000000000016</v>
      </c>
      <c r="DE102" s="64">
        <f t="shared" si="100"/>
        <v>21.149999999999995</v>
      </c>
      <c r="DF102" s="64">
        <f t="shared" si="101"/>
        <v>30.449999999999996</v>
      </c>
      <c r="DG102" s="64">
        <f t="shared" si="102"/>
        <v>36.25</v>
      </c>
      <c r="DH102" s="64">
        <f t="shared" si="103"/>
        <v>16.5</v>
      </c>
      <c r="DI102" s="64">
        <f t="shared" si="104"/>
        <v>53.3</v>
      </c>
      <c r="DJ102" s="64">
        <f t="shared" si="105"/>
        <v>6.4999999999999991</v>
      </c>
      <c r="DK102" s="64">
        <f t="shared" si="106"/>
        <v>74.3</v>
      </c>
      <c r="DL102" s="64">
        <f t="shared" si="107"/>
        <v>0.79999999999999982</v>
      </c>
      <c r="DM102" s="64">
        <f t="shared" si="108"/>
        <v>99.6</v>
      </c>
      <c r="DN102" s="64">
        <f t="shared" si="109"/>
        <v>0</v>
      </c>
      <c r="DO102" s="64">
        <f t="shared" si="110"/>
        <v>129.80000000000001</v>
      </c>
      <c r="DP102" s="2">
        <f t="shared" si="144"/>
        <v>77</v>
      </c>
      <c r="DQ102" s="2">
        <f t="shared" si="144"/>
        <v>65</v>
      </c>
      <c r="DR102" s="2">
        <f t="shared" si="144"/>
        <v>53</v>
      </c>
      <c r="DS102" s="2">
        <f t="shared" si="144"/>
        <v>41</v>
      </c>
      <c r="DT102" s="2">
        <f t="shared" si="144"/>
        <v>29</v>
      </c>
      <c r="DU102" s="2">
        <f t="shared" si="115"/>
        <v>4</v>
      </c>
      <c r="DV102" s="2">
        <f t="shared" si="116"/>
        <v>17334.782258064515</v>
      </c>
      <c r="DW102" s="2">
        <f t="shared" si="142"/>
        <v>2149513</v>
      </c>
    </row>
    <row r="103" spans="1:127">
      <c r="A103" s="3">
        <v>44713</v>
      </c>
      <c r="B103">
        <f t="shared" si="117"/>
        <v>2022</v>
      </c>
      <c r="C103" s="6">
        <v>27608097</v>
      </c>
      <c r="D103" s="225">
        <f>VLOOKUP(B103,'Historic CDM'!$B$135:$H$147,2,FALSE)/12</f>
        <v>1168945.3950770386</v>
      </c>
      <c r="E103" s="2">
        <f t="shared" si="118"/>
        <v>28777042.395077039</v>
      </c>
      <c r="F103" s="6">
        <v>28736</v>
      </c>
      <c r="G103" s="219">
        <v>6366968</v>
      </c>
      <c r="H103" s="2">
        <f>VLOOKUP(B103,'Historic CDM'!$B$135:$H$147,3,FALSE)/12</f>
        <v>1167742.3523487775</v>
      </c>
      <c r="I103" s="2">
        <f t="shared" si="119"/>
        <v>7534710.3523487775</v>
      </c>
      <c r="J103" s="6">
        <v>2066</v>
      </c>
      <c r="K103" s="219">
        <v>16383446</v>
      </c>
      <c r="L103" s="2">
        <f>VLOOKUP(B103,'Historic CDM'!$B$135:$H$146,4,FALSE)/12</f>
        <v>1290028.8826544937</v>
      </c>
      <c r="M103" s="2">
        <f t="shared" si="123"/>
        <v>17673474.882654496</v>
      </c>
      <c r="N103" s="222">
        <v>55110</v>
      </c>
      <c r="O103" s="220">
        <v>206</v>
      </c>
      <c r="P103" s="219">
        <v>141212</v>
      </c>
      <c r="Q103" s="112">
        <v>605</v>
      </c>
      <c r="R103" s="220">
        <v>2790</v>
      </c>
      <c r="S103" s="219">
        <v>22593</v>
      </c>
      <c r="T103" s="112">
        <v>62</v>
      </c>
      <c r="U103" s="220">
        <v>228</v>
      </c>
      <c r="V103" s="221">
        <v>117392</v>
      </c>
      <c r="W103" s="220">
        <v>125</v>
      </c>
      <c r="X103" s="225">
        <v>2446520</v>
      </c>
      <c r="Y103" s="112">
        <v>7489</v>
      </c>
      <c r="Z103" s="220">
        <v>4</v>
      </c>
      <c r="AA103" s="100">
        <f>'Weather Data'!D259</f>
        <v>27.335522991409807</v>
      </c>
      <c r="AB103" s="100">
        <f>'Weather Data'!E259</f>
        <v>54.699999999999996</v>
      </c>
      <c r="AC103" s="100">
        <f>'Weather Data'!F259</f>
        <v>6.5355229914098061</v>
      </c>
      <c r="AD103" s="100">
        <f>'Weather Data'!G259</f>
        <v>93.9</v>
      </c>
      <c r="AE103" s="100">
        <f>'Weather Data'!H259</f>
        <v>0.33552299140980679</v>
      </c>
      <c r="AF103" s="100">
        <f>'Weather Data'!I259</f>
        <v>147.70000000000002</v>
      </c>
      <c r="AG103" s="100">
        <f>'Weather Data'!J259</f>
        <v>0</v>
      </c>
      <c r="AH103" s="100">
        <f>'Weather Data'!K259</f>
        <v>207.3644770085902</v>
      </c>
      <c r="AI103" s="100">
        <f>'Weather Data'!L259</f>
        <v>0</v>
      </c>
      <c r="AJ103" s="100">
        <f>'Weather Data'!M259</f>
        <v>267.3644770085902</v>
      </c>
      <c r="AK103" s="100">
        <f>'Weather Data'!N259</f>
        <v>0</v>
      </c>
      <c r="AL103" s="100">
        <f>'Weather Data'!O259</f>
        <v>327.36447700859014</v>
      </c>
      <c r="AM103" s="100">
        <f>'Weather Data'!P259</f>
        <v>0</v>
      </c>
      <c r="AN103" s="100">
        <f>'Weather Data'!Q259</f>
        <v>387.36447700859009</v>
      </c>
      <c r="AO103" s="100">
        <f>'Weather Data'!R259</f>
        <v>20.912149233619672</v>
      </c>
      <c r="AP103" s="5">
        <f>'Economic Data'!D129</f>
        <v>7761.1</v>
      </c>
      <c r="AQ103" s="5">
        <f>'Economic Data'!E129</f>
        <v>7809.2</v>
      </c>
      <c r="AR103" s="5">
        <f>'Economic Data'!F129</f>
        <v>175.1</v>
      </c>
      <c r="AS103" s="5">
        <f>'Economic Data'!G129</f>
        <v>174.5</v>
      </c>
      <c r="AT103" s="5">
        <f>'Economic Data'!H129</f>
        <v>839497.4</v>
      </c>
      <c r="AU103" s="5">
        <f>'Economic Data'!I129</f>
        <v>8788.9</v>
      </c>
      <c r="AV103" s="5">
        <f>'Economic Data'!J129</f>
        <v>7781.9</v>
      </c>
      <c r="AW103" s="5">
        <f>'Economic Data'!K129</f>
        <v>5915.7</v>
      </c>
      <c r="AX103" s="5">
        <f>'Economic Data'!L129</f>
        <v>1230.4000000000001</v>
      </c>
      <c r="AY103" s="5">
        <f>'Economic Data'!M129</f>
        <v>2117.6</v>
      </c>
      <c r="AZ103" s="5">
        <f>'Economic Data'!N129</f>
        <v>6860.3</v>
      </c>
      <c r="BA103" s="5">
        <f>'Economic Data'!O129</f>
        <v>109.5</v>
      </c>
      <c r="BB103" s="5">
        <f>'Economic Data'!P129</f>
        <v>119.5</v>
      </c>
      <c r="BC103" s="5">
        <f>'Economic Data'!Q129</f>
        <v>840190</v>
      </c>
      <c r="BD103" s="5">
        <f>'Economic Data'!R129</f>
        <v>8753</v>
      </c>
      <c r="BE103" s="5">
        <f>'Economic Data'!S129</f>
        <v>3955</v>
      </c>
      <c r="BF103" s="5">
        <f>'Economic Data'!T129</f>
        <v>15914</v>
      </c>
      <c r="BG103" s="5">
        <f>'EV Data'!V68</f>
        <v>81596.999999999956</v>
      </c>
      <c r="BH103" s="5">
        <f>'EV Data'!AB68</f>
        <v>400.99999999999989</v>
      </c>
      <c r="BI103" s="5">
        <f>'EV Data'!W68</f>
        <v>1192.0000000000007</v>
      </c>
      <c r="BJ103" s="5">
        <f t="shared" si="71"/>
        <v>102</v>
      </c>
      <c r="BK103" s="70">
        <f t="shared" si="93"/>
        <v>2.0086001717619175</v>
      </c>
      <c r="BL103" s="5">
        <f t="shared" si="94"/>
        <v>10404</v>
      </c>
      <c r="BM103">
        <f t="shared" si="143"/>
        <v>0</v>
      </c>
      <c r="BN103">
        <f t="shared" si="143"/>
        <v>0</v>
      </c>
      <c r="BO103">
        <f t="shared" si="143"/>
        <v>0</v>
      </c>
      <c r="BP103">
        <f t="shared" si="143"/>
        <v>0</v>
      </c>
      <c r="BQ103">
        <f t="shared" si="143"/>
        <v>0</v>
      </c>
      <c r="BR103">
        <f t="shared" si="143"/>
        <v>1</v>
      </c>
      <c r="BS103">
        <f t="shared" si="143"/>
        <v>0</v>
      </c>
      <c r="BT103">
        <f t="shared" si="143"/>
        <v>0</v>
      </c>
      <c r="BU103">
        <f t="shared" si="143"/>
        <v>0</v>
      </c>
      <c r="BV103">
        <f t="shared" si="143"/>
        <v>0</v>
      </c>
      <c r="BW103">
        <f t="shared" si="143"/>
        <v>0</v>
      </c>
      <c r="BX103">
        <f t="shared" si="143"/>
        <v>0</v>
      </c>
      <c r="BY103">
        <f t="shared" si="143"/>
        <v>0</v>
      </c>
      <c r="BZ103">
        <f t="shared" si="143"/>
        <v>0</v>
      </c>
      <c r="CA103">
        <f t="shared" si="143"/>
        <v>0</v>
      </c>
      <c r="CB103">
        <f t="shared" si="113"/>
        <v>30</v>
      </c>
      <c r="CC103">
        <v>22</v>
      </c>
      <c r="CD103">
        <f t="shared" si="145"/>
        <v>0.5</v>
      </c>
      <c r="CE103">
        <f t="shared" si="146"/>
        <v>0.25</v>
      </c>
      <c r="CF103">
        <f t="shared" si="111"/>
        <v>0.5</v>
      </c>
      <c r="CG103">
        <v>0</v>
      </c>
      <c r="CH103" s="64">
        <f t="shared" si="124"/>
        <v>13.667761495704903</v>
      </c>
      <c r="CI103" s="64">
        <f t="shared" si="125"/>
        <v>27.349999999999998</v>
      </c>
      <c r="CJ103" s="64">
        <f t="shared" si="126"/>
        <v>3.267761495704903</v>
      </c>
      <c r="CK103" s="64">
        <f t="shared" si="127"/>
        <v>46.95</v>
      </c>
      <c r="CL103" s="64">
        <f t="shared" si="128"/>
        <v>0.1677614957049034</v>
      </c>
      <c r="CM103" s="64">
        <f t="shared" si="129"/>
        <v>73.850000000000009</v>
      </c>
      <c r="CN103" s="64">
        <f t="shared" si="130"/>
        <v>0</v>
      </c>
      <c r="CO103" s="64">
        <f t="shared" si="131"/>
        <v>103.6822385042951</v>
      </c>
      <c r="CP103" s="64">
        <f t="shared" si="132"/>
        <v>0</v>
      </c>
      <c r="CQ103" s="64">
        <f t="shared" si="133"/>
        <v>133.6822385042951</v>
      </c>
      <c r="CR103" s="64">
        <f t="shared" si="134"/>
        <v>0</v>
      </c>
      <c r="CS103" s="64">
        <f t="shared" si="135"/>
        <v>163.68223850429507</v>
      </c>
      <c r="CT103" s="64">
        <f t="shared" si="136"/>
        <v>0</v>
      </c>
      <c r="CU103" s="64">
        <f t="shared" si="137"/>
        <v>193.68223850429504</v>
      </c>
      <c r="CV103" s="69">
        <f t="shared" si="138"/>
        <v>33.380941902233012</v>
      </c>
      <c r="CW103" s="69">
        <f t="shared" si="139"/>
        <v>1219.2087948784429</v>
      </c>
      <c r="CX103" s="69">
        <f t="shared" si="95"/>
        <v>3899.7076087057576</v>
      </c>
      <c r="CY103" s="69">
        <f t="shared" si="140"/>
        <v>27801.363636363636</v>
      </c>
      <c r="CZ103" s="64">
        <f t="shared" si="96"/>
        <v>2859.7855797175557</v>
      </c>
      <c r="DA103" s="64">
        <f t="shared" si="141"/>
        <v>20387.666666666668</v>
      </c>
      <c r="DB103" s="64">
        <f t="shared" si="97"/>
        <v>13.667761495704903</v>
      </c>
      <c r="DC103" s="64">
        <f t="shared" si="98"/>
        <v>27.349999999999998</v>
      </c>
      <c r="DD103" s="64">
        <f t="shared" si="99"/>
        <v>3.267761495704903</v>
      </c>
      <c r="DE103" s="64">
        <f t="shared" si="100"/>
        <v>46.95</v>
      </c>
      <c r="DF103" s="64">
        <f t="shared" si="101"/>
        <v>0.1677614957049034</v>
      </c>
      <c r="DG103" s="64">
        <f t="shared" si="102"/>
        <v>73.850000000000009</v>
      </c>
      <c r="DH103" s="64">
        <f t="shared" si="103"/>
        <v>0</v>
      </c>
      <c r="DI103" s="64">
        <f t="shared" si="104"/>
        <v>103.6822385042951</v>
      </c>
      <c r="DJ103" s="64">
        <f t="shared" si="105"/>
        <v>0</v>
      </c>
      <c r="DK103" s="64">
        <f t="shared" si="106"/>
        <v>133.6822385042951</v>
      </c>
      <c r="DL103" s="64">
        <f t="shared" si="107"/>
        <v>0</v>
      </c>
      <c r="DM103" s="64">
        <f t="shared" si="108"/>
        <v>163.68223850429507</v>
      </c>
      <c r="DN103" s="64">
        <f t="shared" si="109"/>
        <v>0</v>
      </c>
      <c r="DO103" s="64">
        <f t="shared" si="110"/>
        <v>193.68223850429504</v>
      </c>
      <c r="DP103" s="2">
        <f t="shared" si="144"/>
        <v>78</v>
      </c>
      <c r="DQ103" s="2">
        <f t="shared" si="144"/>
        <v>66</v>
      </c>
      <c r="DR103" s="2">
        <f t="shared" si="144"/>
        <v>54</v>
      </c>
      <c r="DS103" s="2">
        <f t="shared" si="144"/>
        <v>42</v>
      </c>
      <c r="DT103" s="2">
        <f t="shared" si="144"/>
        <v>30</v>
      </c>
      <c r="DU103" s="2">
        <f t="shared" si="115"/>
        <v>4</v>
      </c>
      <c r="DV103" s="2">
        <f t="shared" si="116"/>
        <v>20387.666666666668</v>
      </c>
      <c r="DW103" s="2">
        <f t="shared" si="142"/>
        <v>2446520</v>
      </c>
    </row>
    <row r="104" spans="1:127">
      <c r="A104" s="3">
        <v>44743</v>
      </c>
      <c r="B104">
        <f t="shared" si="117"/>
        <v>2022</v>
      </c>
      <c r="C104" s="6">
        <v>33067550</v>
      </c>
      <c r="D104" s="225">
        <f>VLOOKUP(B104,'Historic CDM'!$B$135:$H$147,2,FALSE)/12</f>
        <v>1168945.3950770386</v>
      </c>
      <c r="E104" s="2">
        <f t="shared" si="118"/>
        <v>34236495.395077035</v>
      </c>
      <c r="F104" s="6">
        <v>28738</v>
      </c>
      <c r="G104" s="219">
        <v>6804406</v>
      </c>
      <c r="H104" s="2">
        <f>VLOOKUP(B104,'Historic CDM'!$B$135:$H$147,3,FALSE)/12</f>
        <v>1167742.3523487775</v>
      </c>
      <c r="I104" s="2">
        <f t="shared" si="119"/>
        <v>7972148.3523487775</v>
      </c>
      <c r="J104" s="6">
        <v>2067</v>
      </c>
      <c r="K104" s="219">
        <v>17171379</v>
      </c>
      <c r="L104" s="2">
        <f>VLOOKUP(B104,'Historic CDM'!$B$135:$H$146,4,FALSE)/12</f>
        <v>1290028.8826544937</v>
      </c>
      <c r="M104" s="2">
        <f t="shared" si="123"/>
        <v>18461407.882654496</v>
      </c>
      <c r="N104" s="222">
        <v>53280</v>
      </c>
      <c r="O104" s="220">
        <v>208</v>
      </c>
      <c r="P104" s="219">
        <v>149859</v>
      </c>
      <c r="Q104" s="112">
        <v>605</v>
      </c>
      <c r="R104" s="220">
        <v>2790</v>
      </c>
      <c r="S104" s="219">
        <v>22798</v>
      </c>
      <c r="T104" s="112">
        <v>62</v>
      </c>
      <c r="U104" s="220">
        <v>228</v>
      </c>
      <c r="V104" s="221">
        <v>117392</v>
      </c>
      <c r="W104" s="220">
        <v>125</v>
      </c>
      <c r="X104" s="225">
        <v>2691240</v>
      </c>
      <c r="Y104" s="112">
        <v>7753</v>
      </c>
      <c r="Z104" s="220">
        <v>4</v>
      </c>
      <c r="AA104" s="100">
        <f>'Weather Data'!D260</f>
        <v>0.5</v>
      </c>
      <c r="AB104" s="100">
        <f>'Weather Data'!E260</f>
        <v>95.09999999999998</v>
      </c>
      <c r="AC104" s="100">
        <f>'Weather Data'!F260</f>
        <v>0</v>
      </c>
      <c r="AD104" s="100">
        <f>'Weather Data'!G260</f>
        <v>156.60000000000002</v>
      </c>
      <c r="AE104" s="100">
        <f>'Weather Data'!H260</f>
        <v>0</v>
      </c>
      <c r="AF104" s="100">
        <f>'Weather Data'!I260</f>
        <v>218.60000000000002</v>
      </c>
      <c r="AG104" s="100">
        <f>'Weather Data'!J260</f>
        <v>0</v>
      </c>
      <c r="AH104" s="100">
        <f>'Weather Data'!K260</f>
        <v>280.60000000000002</v>
      </c>
      <c r="AI104" s="100">
        <f>'Weather Data'!L260</f>
        <v>0</v>
      </c>
      <c r="AJ104" s="100">
        <f>'Weather Data'!M260</f>
        <v>342.59999999999997</v>
      </c>
      <c r="AK104" s="100">
        <f>'Weather Data'!N260</f>
        <v>0</v>
      </c>
      <c r="AL104" s="100">
        <f>'Weather Data'!O260</f>
        <v>404.59999999999991</v>
      </c>
      <c r="AM104" s="100">
        <f>'Weather Data'!P260</f>
        <v>0</v>
      </c>
      <c r="AN104" s="100">
        <f>'Weather Data'!Q260</f>
        <v>466.59999999999991</v>
      </c>
      <c r="AO104" s="100">
        <f>'Weather Data'!R260</f>
        <v>23.051612903225802</v>
      </c>
      <c r="AP104" s="5">
        <f>'Economic Data'!D130</f>
        <v>7756.4</v>
      </c>
      <c r="AQ104" s="5">
        <f>'Economic Data'!E130</f>
        <v>7843.6</v>
      </c>
      <c r="AR104" s="5">
        <f>'Economic Data'!F130</f>
        <v>170.6</v>
      </c>
      <c r="AS104" s="5">
        <f>'Economic Data'!G130</f>
        <v>170.6</v>
      </c>
      <c r="AT104" s="5">
        <f>'Economic Data'!H130</f>
        <v>839497.4</v>
      </c>
      <c r="AU104" s="5">
        <f>'Economic Data'!I130</f>
        <v>8788.9</v>
      </c>
      <c r="AV104" s="5">
        <f>'Economic Data'!J130</f>
        <v>7781.9</v>
      </c>
      <c r="AW104" s="5">
        <f>'Economic Data'!K130</f>
        <v>5915.7</v>
      </c>
      <c r="AX104" s="5">
        <f>'Economic Data'!L130</f>
        <v>1230.4000000000001</v>
      </c>
      <c r="AY104" s="5">
        <f>'Economic Data'!M130</f>
        <v>2117.6</v>
      </c>
      <c r="AZ104" s="5">
        <f>'Economic Data'!N130</f>
        <v>6860.3</v>
      </c>
      <c r="BA104" s="5">
        <f>'Economic Data'!O130</f>
        <v>109.5</v>
      </c>
      <c r="BB104" s="5">
        <f>'Economic Data'!P130</f>
        <v>119.5</v>
      </c>
      <c r="BC104" s="5">
        <f>'Economic Data'!Q130</f>
        <v>842100</v>
      </c>
      <c r="BD104" s="5">
        <f>'Economic Data'!R130</f>
        <v>8779</v>
      </c>
      <c r="BE104" s="5">
        <f>'Economic Data'!S130</f>
        <v>4136</v>
      </c>
      <c r="BF104" s="5">
        <f>'Economic Data'!T130</f>
        <v>15900</v>
      </c>
      <c r="BG104" s="5">
        <f>'EV Data'!V69</f>
        <v>85269.333333333285</v>
      </c>
      <c r="BH104" s="5">
        <f>'EV Data'!AB69</f>
        <v>429.99999999999989</v>
      </c>
      <c r="BI104" s="5">
        <f>'EV Data'!W69</f>
        <v>1260.6666666666674</v>
      </c>
      <c r="BJ104" s="5">
        <f t="shared" si="71"/>
        <v>103</v>
      </c>
      <c r="BK104" s="70">
        <f t="shared" si="93"/>
        <v>2.012837224705172</v>
      </c>
      <c r="BL104" s="5">
        <f t="shared" si="94"/>
        <v>10609</v>
      </c>
      <c r="BM104">
        <f t="shared" si="143"/>
        <v>0</v>
      </c>
      <c r="BN104">
        <f t="shared" si="143"/>
        <v>0</v>
      </c>
      <c r="BO104">
        <f t="shared" si="143"/>
        <v>0</v>
      </c>
      <c r="BP104">
        <f t="shared" si="143"/>
        <v>0</v>
      </c>
      <c r="BQ104">
        <f t="shared" si="143"/>
        <v>0</v>
      </c>
      <c r="BR104">
        <f t="shared" si="143"/>
        <v>0</v>
      </c>
      <c r="BS104">
        <f t="shared" si="143"/>
        <v>1</v>
      </c>
      <c r="BT104">
        <f t="shared" si="143"/>
        <v>0</v>
      </c>
      <c r="BU104">
        <f t="shared" si="143"/>
        <v>0</v>
      </c>
      <c r="BV104">
        <f t="shared" si="143"/>
        <v>0</v>
      </c>
      <c r="BW104">
        <f t="shared" si="143"/>
        <v>0</v>
      </c>
      <c r="BX104">
        <f t="shared" si="143"/>
        <v>0</v>
      </c>
      <c r="BY104">
        <f t="shared" si="143"/>
        <v>0</v>
      </c>
      <c r="BZ104">
        <f t="shared" si="143"/>
        <v>0</v>
      </c>
      <c r="CA104">
        <f t="shared" si="143"/>
        <v>0</v>
      </c>
      <c r="CB104">
        <f t="shared" si="113"/>
        <v>31</v>
      </c>
      <c r="CC104">
        <v>20</v>
      </c>
      <c r="CD104">
        <f t="shared" si="145"/>
        <v>0.5</v>
      </c>
      <c r="CE104">
        <f t="shared" si="146"/>
        <v>0.25</v>
      </c>
      <c r="CF104">
        <f t="shared" si="111"/>
        <v>0.5</v>
      </c>
      <c r="CG104">
        <v>0</v>
      </c>
      <c r="CH104" s="64">
        <f t="shared" si="124"/>
        <v>0.25</v>
      </c>
      <c r="CI104" s="64">
        <f t="shared" si="125"/>
        <v>47.54999999999999</v>
      </c>
      <c r="CJ104" s="64">
        <f t="shared" si="126"/>
        <v>0</v>
      </c>
      <c r="CK104" s="64">
        <f t="shared" si="127"/>
        <v>78.300000000000011</v>
      </c>
      <c r="CL104" s="64">
        <f t="shared" si="128"/>
        <v>0</v>
      </c>
      <c r="CM104" s="64">
        <f t="shared" si="129"/>
        <v>109.30000000000001</v>
      </c>
      <c r="CN104" s="64">
        <f t="shared" si="130"/>
        <v>0</v>
      </c>
      <c r="CO104" s="64">
        <f t="shared" si="131"/>
        <v>140.30000000000001</v>
      </c>
      <c r="CP104" s="64">
        <f t="shared" si="132"/>
        <v>0</v>
      </c>
      <c r="CQ104" s="64">
        <f t="shared" si="133"/>
        <v>171.29999999999998</v>
      </c>
      <c r="CR104" s="64">
        <f t="shared" si="134"/>
        <v>0</v>
      </c>
      <c r="CS104" s="64">
        <f t="shared" si="135"/>
        <v>202.29999999999995</v>
      </c>
      <c r="CT104" s="64">
        <f t="shared" si="136"/>
        <v>0</v>
      </c>
      <c r="CU104" s="64">
        <f t="shared" si="137"/>
        <v>233.29999999999995</v>
      </c>
      <c r="CV104" s="69">
        <f t="shared" si="138"/>
        <v>38.430060451685904</v>
      </c>
      <c r="CW104" s="69">
        <f t="shared" si="139"/>
        <v>1236.3753648183588</v>
      </c>
      <c r="CX104" s="69">
        <f t="shared" si="95"/>
        <v>4437.8384333304075</v>
      </c>
      <c r="CY104" s="69">
        <f t="shared" si="140"/>
        <v>33640.5</v>
      </c>
      <c r="CZ104" s="64">
        <f t="shared" si="96"/>
        <v>2863.1215698905853</v>
      </c>
      <c r="DA104" s="64">
        <f t="shared" si="141"/>
        <v>21703.548387096773</v>
      </c>
      <c r="DB104" s="64">
        <f t="shared" si="97"/>
        <v>0.25</v>
      </c>
      <c r="DC104" s="64">
        <f t="shared" si="98"/>
        <v>47.54999999999999</v>
      </c>
      <c r="DD104" s="64">
        <f t="shared" si="99"/>
        <v>0</v>
      </c>
      <c r="DE104" s="64">
        <f t="shared" si="100"/>
        <v>78.300000000000011</v>
      </c>
      <c r="DF104" s="64">
        <f t="shared" si="101"/>
        <v>0</v>
      </c>
      <c r="DG104" s="64">
        <f t="shared" si="102"/>
        <v>109.30000000000001</v>
      </c>
      <c r="DH104" s="64">
        <f t="shared" si="103"/>
        <v>0</v>
      </c>
      <c r="DI104" s="64">
        <f t="shared" si="104"/>
        <v>140.30000000000001</v>
      </c>
      <c r="DJ104" s="64">
        <f t="shared" si="105"/>
        <v>0</v>
      </c>
      <c r="DK104" s="64">
        <f t="shared" si="106"/>
        <v>171.29999999999998</v>
      </c>
      <c r="DL104" s="64">
        <f t="shared" si="107"/>
        <v>0</v>
      </c>
      <c r="DM104" s="64">
        <f t="shared" si="108"/>
        <v>202.29999999999995</v>
      </c>
      <c r="DN104" s="64">
        <f t="shared" si="109"/>
        <v>0</v>
      </c>
      <c r="DO104" s="64">
        <f t="shared" si="110"/>
        <v>233.29999999999995</v>
      </c>
      <c r="DP104" s="2">
        <f t="shared" si="144"/>
        <v>79</v>
      </c>
      <c r="DQ104" s="2">
        <f t="shared" si="144"/>
        <v>67</v>
      </c>
      <c r="DR104" s="2">
        <f t="shared" si="144"/>
        <v>55</v>
      </c>
      <c r="DS104" s="2">
        <f t="shared" si="144"/>
        <v>43</v>
      </c>
      <c r="DT104" s="2">
        <f t="shared" si="144"/>
        <v>31</v>
      </c>
      <c r="DU104" s="2">
        <f t="shared" si="115"/>
        <v>4</v>
      </c>
      <c r="DV104" s="2">
        <f t="shared" si="116"/>
        <v>21703.548387096773</v>
      </c>
      <c r="DW104" s="2">
        <f t="shared" si="142"/>
        <v>2691240</v>
      </c>
    </row>
    <row r="105" spans="1:127">
      <c r="A105" s="3">
        <v>44774</v>
      </c>
      <c r="B105">
        <f t="shared" si="117"/>
        <v>2022</v>
      </c>
      <c r="C105" s="6">
        <v>31705264</v>
      </c>
      <c r="D105" s="225">
        <f>VLOOKUP(B105,'Historic CDM'!$B$135:$H$147,2,FALSE)/12</f>
        <v>1168945.3950770386</v>
      </c>
      <c r="E105" s="2">
        <f t="shared" si="118"/>
        <v>32874209.395077039</v>
      </c>
      <c r="F105" s="6">
        <v>28739</v>
      </c>
      <c r="G105" s="219">
        <v>6742337</v>
      </c>
      <c r="H105" s="2">
        <f>VLOOKUP(B105,'Historic CDM'!$B$135:$H$147,3,FALSE)/12</f>
        <v>1167742.3523487775</v>
      </c>
      <c r="I105" s="2">
        <f t="shared" si="119"/>
        <v>7910079.3523487775</v>
      </c>
      <c r="J105" s="6">
        <v>2070</v>
      </c>
      <c r="K105" s="219">
        <v>18580157</v>
      </c>
      <c r="L105" s="2">
        <f>VLOOKUP(B105,'Historic CDM'!$B$135:$H$146,4,FALSE)/12</f>
        <v>1290028.8826544937</v>
      </c>
      <c r="M105" s="2">
        <f t="shared" si="123"/>
        <v>19870185.882654496</v>
      </c>
      <c r="N105" s="222">
        <v>57687</v>
      </c>
      <c r="O105" s="220">
        <v>208</v>
      </c>
      <c r="P105" s="219">
        <v>168910</v>
      </c>
      <c r="Q105" s="112">
        <v>608</v>
      </c>
      <c r="R105" s="220">
        <v>2798</v>
      </c>
      <c r="S105" s="219">
        <v>22549</v>
      </c>
      <c r="T105" s="112">
        <v>62</v>
      </c>
      <c r="U105" s="220">
        <v>226</v>
      </c>
      <c r="V105" s="221">
        <v>117392</v>
      </c>
      <c r="W105" s="220">
        <v>125</v>
      </c>
      <c r="X105" s="225">
        <v>2769504</v>
      </c>
      <c r="Y105" s="112">
        <v>7189</v>
      </c>
      <c r="Z105" s="220">
        <v>4</v>
      </c>
      <c r="AA105" s="100">
        <f>'Weather Data'!D261</f>
        <v>2.9000000000000021</v>
      </c>
      <c r="AB105" s="100">
        <f>'Weather Data'!E261</f>
        <v>77.828954017180394</v>
      </c>
      <c r="AC105" s="100">
        <f>'Weather Data'!F261</f>
        <v>0</v>
      </c>
      <c r="AD105" s="100">
        <f>'Weather Data'!G261</f>
        <v>136.92895401718036</v>
      </c>
      <c r="AE105" s="100">
        <f>'Weather Data'!H261</f>
        <v>0</v>
      </c>
      <c r="AF105" s="100">
        <f>'Weather Data'!I261</f>
        <v>198.92895401718039</v>
      </c>
      <c r="AG105" s="100">
        <f>'Weather Data'!J261</f>
        <v>0</v>
      </c>
      <c r="AH105" s="100">
        <f>'Weather Data'!K261</f>
        <v>260.92895401718039</v>
      </c>
      <c r="AI105" s="100">
        <f>'Weather Data'!L261</f>
        <v>0</v>
      </c>
      <c r="AJ105" s="100">
        <f>'Weather Data'!M261</f>
        <v>322.92895401718039</v>
      </c>
      <c r="AK105" s="100">
        <f>'Weather Data'!N261</f>
        <v>0</v>
      </c>
      <c r="AL105" s="100">
        <f>'Weather Data'!O261</f>
        <v>384.92895401718044</v>
      </c>
      <c r="AM105" s="100">
        <f>'Weather Data'!P261</f>
        <v>0</v>
      </c>
      <c r="AN105" s="100">
        <f>'Weather Data'!Q261</f>
        <v>446.92895401718044</v>
      </c>
      <c r="AO105" s="100">
        <f>'Weather Data'!R261</f>
        <v>22.417063032812273</v>
      </c>
      <c r="AP105" s="5">
        <f>'Economic Data'!D131</f>
        <v>7746.5</v>
      </c>
      <c r="AQ105" s="5">
        <f>'Economic Data'!E131</f>
        <v>7825.4</v>
      </c>
      <c r="AR105" s="5">
        <f>'Economic Data'!F131</f>
        <v>165.3</v>
      </c>
      <c r="AS105" s="5">
        <f>'Economic Data'!G131</f>
        <v>166.2</v>
      </c>
      <c r="AT105" s="5">
        <f>'Economic Data'!H131</f>
        <v>839497.4</v>
      </c>
      <c r="AU105" s="5">
        <f>'Economic Data'!I131</f>
        <v>8788.9</v>
      </c>
      <c r="AV105" s="5">
        <f>'Economic Data'!J131</f>
        <v>7781.9</v>
      </c>
      <c r="AW105" s="5">
        <f>'Economic Data'!K131</f>
        <v>5915.7</v>
      </c>
      <c r="AX105" s="5">
        <f>'Economic Data'!L131</f>
        <v>1230.4000000000001</v>
      </c>
      <c r="AY105" s="5">
        <f>'Economic Data'!M131</f>
        <v>2117.6</v>
      </c>
      <c r="AZ105" s="5">
        <f>'Economic Data'!N131</f>
        <v>6860.3</v>
      </c>
      <c r="BA105" s="5">
        <f>'Economic Data'!O131</f>
        <v>109.5</v>
      </c>
      <c r="BB105" s="5">
        <f>'Economic Data'!P131</f>
        <v>119.5</v>
      </c>
      <c r="BC105" s="5">
        <f>'Economic Data'!Q131</f>
        <v>842100</v>
      </c>
      <c r="BD105" s="5">
        <f>'Economic Data'!R131</f>
        <v>8779</v>
      </c>
      <c r="BE105" s="5">
        <f>'Economic Data'!S131</f>
        <v>4136</v>
      </c>
      <c r="BF105" s="5">
        <f>'Economic Data'!T131</f>
        <v>15900</v>
      </c>
      <c r="BG105" s="5">
        <f>'EV Data'!V70</f>
        <v>88941.666666666613</v>
      </c>
      <c r="BH105" s="5">
        <f>'EV Data'!AB70</f>
        <v>458.99999999999989</v>
      </c>
      <c r="BI105" s="5">
        <f>'EV Data'!W70</f>
        <v>1329.3333333333342</v>
      </c>
      <c r="BJ105" s="5">
        <f t="shared" si="71"/>
        <v>104</v>
      </c>
      <c r="BK105" s="70">
        <f t="shared" si="93"/>
        <v>2.0170333392987803</v>
      </c>
      <c r="BL105" s="5">
        <f t="shared" si="94"/>
        <v>10816</v>
      </c>
      <c r="BM105">
        <f t="shared" si="143"/>
        <v>0</v>
      </c>
      <c r="BN105">
        <f t="shared" si="143"/>
        <v>0</v>
      </c>
      <c r="BO105">
        <f t="shared" si="143"/>
        <v>0</v>
      </c>
      <c r="BP105">
        <f t="shared" si="143"/>
        <v>0</v>
      </c>
      <c r="BQ105">
        <f t="shared" si="143"/>
        <v>0</v>
      </c>
      <c r="BR105">
        <f t="shared" si="143"/>
        <v>0</v>
      </c>
      <c r="BS105">
        <f t="shared" si="143"/>
        <v>0</v>
      </c>
      <c r="BT105">
        <f t="shared" si="143"/>
        <v>1</v>
      </c>
      <c r="BU105">
        <f t="shared" si="143"/>
        <v>0</v>
      </c>
      <c r="BV105">
        <f t="shared" si="143"/>
        <v>0</v>
      </c>
      <c r="BW105">
        <f t="shared" si="143"/>
        <v>0</v>
      </c>
      <c r="BX105">
        <f t="shared" si="143"/>
        <v>0</v>
      </c>
      <c r="BY105">
        <f t="shared" si="143"/>
        <v>0</v>
      </c>
      <c r="BZ105">
        <f t="shared" si="143"/>
        <v>0</v>
      </c>
      <c r="CA105">
        <f t="shared" si="143"/>
        <v>0</v>
      </c>
      <c r="CB105">
        <f t="shared" si="113"/>
        <v>31</v>
      </c>
      <c r="CC105">
        <v>22</v>
      </c>
      <c r="CD105">
        <f t="shared" si="145"/>
        <v>0.5</v>
      </c>
      <c r="CE105">
        <f t="shared" si="146"/>
        <v>0.25</v>
      </c>
      <c r="CF105">
        <f t="shared" si="111"/>
        <v>0.5</v>
      </c>
      <c r="CG105">
        <v>0</v>
      </c>
      <c r="CH105" s="64">
        <f t="shared" si="124"/>
        <v>1.4500000000000011</v>
      </c>
      <c r="CI105" s="64">
        <f t="shared" si="125"/>
        <v>38.914477008590197</v>
      </c>
      <c r="CJ105" s="64">
        <f t="shared" si="126"/>
        <v>0</v>
      </c>
      <c r="CK105" s="64">
        <f t="shared" si="127"/>
        <v>68.46447700859018</v>
      </c>
      <c r="CL105" s="64">
        <f t="shared" si="128"/>
        <v>0</v>
      </c>
      <c r="CM105" s="64">
        <f t="shared" si="129"/>
        <v>99.464477008590194</v>
      </c>
      <c r="CN105" s="64">
        <f t="shared" si="130"/>
        <v>0</v>
      </c>
      <c r="CO105" s="64">
        <f t="shared" si="131"/>
        <v>130.46447700859019</v>
      </c>
      <c r="CP105" s="64">
        <f t="shared" si="132"/>
        <v>0</v>
      </c>
      <c r="CQ105" s="64">
        <f t="shared" si="133"/>
        <v>161.46447700859019</v>
      </c>
      <c r="CR105" s="64">
        <f t="shared" si="134"/>
        <v>0</v>
      </c>
      <c r="CS105" s="64">
        <f t="shared" si="135"/>
        <v>192.46447700859022</v>
      </c>
      <c r="CT105" s="64">
        <f t="shared" si="136"/>
        <v>0</v>
      </c>
      <c r="CU105" s="64">
        <f t="shared" si="137"/>
        <v>223.46447700859022</v>
      </c>
      <c r="CV105" s="69">
        <f t="shared" si="138"/>
        <v>36.89962655566061</v>
      </c>
      <c r="CW105" s="69">
        <f t="shared" si="139"/>
        <v>1226.7492792104183</v>
      </c>
      <c r="CX105" s="69">
        <f t="shared" si="95"/>
        <v>4342.2609009297412</v>
      </c>
      <c r="CY105" s="69">
        <f t="shared" si="140"/>
        <v>31471.636363636364</v>
      </c>
      <c r="CZ105" s="64">
        <f t="shared" si="96"/>
        <v>3081.6045103372358</v>
      </c>
      <c r="DA105" s="64">
        <f t="shared" si="141"/>
        <v>22334.709677419356</v>
      </c>
      <c r="DB105" s="64">
        <f t="shared" si="97"/>
        <v>1.4500000000000011</v>
      </c>
      <c r="DC105" s="64">
        <f t="shared" si="98"/>
        <v>38.914477008590197</v>
      </c>
      <c r="DD105" s="64">
        <f t="shared" si="99"/>
        <v>0</v>
      </c>
      <c r="DE105" s="64">
        <f t="shared" si="100"/>
        <v>68.46447700859018</v>
      </c>
      <c r="DF105" s="64">
        <f t="shared" si="101"/>
        <v>0</v>
      </c>
      <c r="DG105" s="64">
        <f t="shared" si="102"/>
        <v>99.464477008590194</v>
      </c>
      <c r="DH105" s="64">
        <f t="shared" si="103"/>
        <v>0</v>
      </c>
      <c r="DI105" s="64">
        <f t="shared" si="104"/>
        <v>130.46447700859019</v>
      </c>
      <c r="DJ105" s="64">
        <f t="shared" si="105"/>
        <v>0</v>
      </c>
      <c r="DK105" s="64">
        <f t="shared" si="106"/>
        <v>161.46447700859019</v>
      </c>
      <c r="DL105" s="64">
        <f t="shared" si="107"/>
        <v>0</v>
      </c>
      <c r="DM105" s="64">
        <f t="shared" si="108"/>
        <v>192.46447700859022</v>
      </c>
      <c r="DN105" s="64">
        <f t="shared" si="109"/>
        <v>0</v>
      </c>
      <c r="DO105" s="64">
        <f t="shared" si="110"/>
        <v>223.46447700859022</v>
      </c>
      <c r="DP105" s="2">
        <f t="shared" si="144"/>
        <v>80</v>
      </c>
      <c r="DQ105" s="2">
        <f t="shared" si="144"/>
        <v>68</v>
      </c>
      <c r="DR105" s="2">
        <f t="shared" si="144"/>
        <v>56</v>
      </c>
      <c r="DS105" s="2">
        <f t="shared" si="144"/>
        <v>44</v>
      </c>
      <c r="DT105" s="2">
        <f t="shared" si="144"/>
        <v>32</v>
      </c>
      <c r="DU105" s="2">
        <f t="shared" si="115"/>
        <v>4</v>
      </c>
      <c r="DV105" s="2">
        <f t="shared" si="116"/>
        <v>22334.709677419356</v>
      </c>
      <c r="DW105" s="2">
        <f t="shared" si="142"/>
        <v>2769504</v>
      </c>
    </row>
    <row r="106" spans="1:127">
      <c r="A106" s="3">
        <v>44805</v>
      </c>
      <c r="B106">
        <f t="shared" si="117"/>
        <v>2022</v>
      </c>
      <c r="C106" s="6">
        <v>23884481</v>
      </c>
      <c r="D106" s="225">
        <f>VLOOKUP(B106,'Historic CDM'!$B$135:$H$147,2,FALSE)/12</f>
        <v>1168945.3950770386</v>
      </c>
      <c r="E106" s="2">
        <f t="shared" si="118"/>
        <v>25053426.395077039</v>
      </c>
      <c r="F106" s="6">
        <v>28749</v>
      </c>
      <c r="G106" s="219">
        <v>5730375</v>
      </c>
      <c r="H106" s="2">
        <f>VLOOKUP(B106,'Historic CDM'!$B$135:$H$147,3,FALSE)/12</f>
        <v>1167742.3523487775</v>
      </c>
      <c r="I106" s="2">
        <f t="shared" si="119"/>
        <v>6898117.3523487775</v>
      </c>
      <c r="J106" s="6">
        <v>2068</v>
      </c>
      <c r="K106" s="219">
        <v>17098037</v>
      </c>
      <c r="L106" s="2">
        <f>VLOOKUP(B106,'Historic CDM'!$B$135:$H$146,4,FALSE)/12</f>
        <v>1290028.8826544937</v>
      </c>
      <c r="M106" s="2">
        <f t="shared" si="123"/>
        <v>18388065.882654496</v>
      </c>
      <c r="N106" s="222">
        <v>59922</v>
      </c>
      <c r="O106" s="220">
        <v>211</v>
      </c>
      <c r="P106" s="219">
        <v>190479</v>
      </c>
      <c r="Q106" s="112">
        <v>608</v>
      </c>
      <c r="R106" s="220">
        <v>2798</v>
      </c>
      <c r="S106" s="219">
        <v>22619</v>
      </c>
      <c r="T106" s="112">
        <v>62</v>
      </c>
      <c r="U106" s="220">
        <v>226</v>
      </c>
      <c r="V106" s="221">
        <v>117392</v>
      </c>
      <c r="W106" s="220">
        <v>125</v>
      </c>
      <c r="X106" s="225">
        <v>2440616</v>
      </c>
      <c r="Y106" s="112">
        <v>9676</v>
      </c>
      <c r="Z106" s="220">
        <v>4</v>
      </c>
      <c r="AA106" s="100">
        <f>'Weather Data'!D262</f>
        <v>76.099999999999994</v>
      </c>
      <c r="AB106" s="100">
        <f>'Weather Data'!E262</f>
        <v>26.6</v>
      </c>
      <c r="AC106" s="100">
        <f>'Weather Data'!F262</f>
        <v>47.400000000000006</v>
      </c>
      <c r="AD106" s="100">
        <f>'Weather Data'!G262</f>
        <v>57.899999999999991</v>
      </c>
      <c r="AE106" s="100">
        <f>'Weather Data'!H262</f>
        <v>27.5</v>
      </c>
      <c r="AF106" s="100">
        <f>'Weather Data'!I262</f>
        <v>97.999999999999986</v>
      </c>
      <c r="AG106" s="100">
        <f>'Weather Data'!J262</f>
        <v>10.600000000000001</v>
      </c>
      <c r="AH106" s="100">
        <f>'Weather Data'!K262</f>
        <v>141.1</v>
      </c>
      <c r="AI106" s="100">
        <f>'Weather Data'!L262</f>
        <v>2.5</v>
      </c>
      <c r="AJ106" s="100">
        <f>'Weather Data'!M262</f>
        <v>193.00000000000003</v>
      </c>
      <c r="AK106" s="100">
        <f>'Weather Data'!N262</f>
        <v>0</v>
      </c>
      <c r="AL106" s="100">
        <f>'Weather Data'!O262</f>
        <v>250.50000000000006</v>
      </c>
      <c r="AM106" s="100">
        <f>'Weather Data'!P262</f>
        <v>0</v>
      </c>
      <c r="AN106" s="100">
        <f>'Weather Data'!Q262</f>
        <v>310.50000000000011</v>
      </c>
      <c r="AO106" s="100">
        <f>'Weather Data'!R262</f>
        <v>18.350000000000005</v>
      </c>
      <c r="AP106" s="5">
        <f>'Economic Data'!D132</f>
        <v>7738.7</v>
      </c>
      <c r="AQ106" s="5">
        <f>'Economic Data'!E132</f>
        <v>7766.7</v>
      </c>
      <c r="AR106" s="5">
        <f>'Economic Data'!F132</f>
        <v>162.30000000000001</v>
      </c>
      <c r="AS106" s="5">
        <f>'Economic Data'!G132</f>
        <v>164.4</v>
      </c>
      <c r="AT106" s="5">
        <f>'Economic Data'!H132</f>
        <v>839497.4</v>
      </c>
      <c r="AU106" s="5">
        <f>'Economic Data'!I132</f>
        <v>8788.9</v>
      </c>
      <c r="AV106" s="5">
        <f>'Economic Data'!J132</f>
        <v>7781.9</v>
      </c>
      <c r="AW106" s="5">
        <f>'Economic Data'!K132</f>
        <v>5915.7</v>
      </c>
      <c r="AX106" s="5">
        <f>'Economic Data'!L132</f>
        <v>1230.4000000000001</v>
      </c>
      <c r="AY106" s="5">
        <f>'Economic Data'!M132</f>
        <v>2117.6</v>
      </c>
      <c r="AZ106" s="5">
        <f>'Economic Data'!N132</f>
        <v>6860.3</v>
      </c>
      <c r="BA106" s="5">
        <f>'Economic Data'!O132</f>
        <v>109.5</v>
      </c>
      <c r="BB106" s="5">
        <f>'Economic Data'!P132</f>
        <v>119.5</v>
      </c>
      <c r="BC106" s="5">
        <f>'Economic Data'!Q132</f>
        <v>842100</v>
      </c>
      <c r="BD106" s="5">
        <f>'Economic Data'!R132</f>
        <v>8779</v>
      </c>
      <c r="BE106" s="5">
        <f>'Economic Data'!S132</f>
        <v>4136</v>
      </c>
      <c r="BF106" s="5">
        <f>'Economic Data'!T132</f>
        <v>15900</v>
      </c>
      <c r="BG106" s="5">
        <f>'EV Data'!V71</f>
        <v>92613.999999999942</v>
      </c>
      <c r="BH106" s="5">
        <f>'EV Data'!AB71</f>
        <v>487.99999999999989</v>
      </c>
      <c r="BI106" s="5">
        <f>'EV Data'!W71</f>
        <v>1398.0000000000009</v>
      </c>
      <c r="BJ106" s="5">
        <f t="shared" si="71"/>
        <v>105</v>
      </c>
      <c r="BK106" s="70">
        <f t="shared" si="93"/>
        <v>2.0211892990699383</v>
      </c>
      <c r="BL106" s="5">
        <f t="shared" si="94"/>
        <v>11025</v>
      </c>
      <c r="BM106">
        <f t="shared" si="143"/>
        <v>0</v>
      </c>
      <c r="BN106">
        <f t="shared" si="143"/>
        <v>0</v>
      </c>
      <c r="BO106">
        <f t="shared" si="143"/>
        <v>0</v>
      </c>
      <c r="BP106">
        <f t="shared" si="143"/>
        <v>0</v>
      </c>
      <c r="BQ106">
        <f t="shared" si="143"/>
        <v>0</v>
      </c>
      <c r="BR106">
        <f t="shared" si="143"/>
        <v>0</v>
      </c>
      <c r="BS106">
        <f t="shared" si="143"/>
        <v>0</v>
      </c>
      <c r="BT106">
        <f t="shared" si="143"/>
        <v>0</v>
      </c>
      <c r="BU106">
        <f t="shared" si="143"/>
        <v>1</v>
      </c>
      <c r="BV106">
        <f t="shared" si="143"/>
        <v>0</v>
      </c>
      <c r="BW106">
        <f t="shared" si="143"/>
        <v>0</v>
      </c>
      <c r="BX106">
        <f t="shared" si="143"/>
        <v>0</v>
      </c>
      <c r="BY106">
        <f t="shared" si="143"/>
        <v>0</v>
      </c>
      <c r="BZ106">
        <f t="shared" si="143"/>
        <v>0</v>
      </c>
      <c r="CA106">
        <f t="shared" si="143"/>
        <v>0</v>
      </c>
      <c r="CB106">
        <f t="shared" si="113"/>
        <v>30</v>
      </c>
      <c r="CC106">
        <v>20</v>
      </c>
      <c r="CD106">
        <f t="shared" si="145"/>
        <v>0.5</v>
      </c>
      <c r="CE106">
        <f t="shared" si="146"/>
        <v>0.25</v>
      </c>
      <c r="CF106">
        <f t="shared" si="111"/>
        <v>0.5</v>
      </c>
      <c r="CG106">
        <v>0</v>
      </c>
      <c r="CH106" s="64">
        <f t="shared" si="124"/>
        <v>38.049999999999997</v>
      </c>
      <c r="CI106" s="64">
        <f t="shared" si="125"/>
        <v>13.3</v>
      </c>
      <c r="CJ106" s="64">
        <f t="shared" si="126"/>
        <v>23.700000000000003</v>
      </c>
      <c r="CK106" s="64">
        <f t="shared" si="127"/>
        <v>28.949999999999996</v>
      </c>
      <c r="CL106" s="64">
        <f t="shared" si="128"/>
        <v>13.75</v>
      </c>
      <c r="CM106" s="64">
        <f t="shared" si="129"/>
        <v>48.999999999999993</v>
      </c>
      <c r="CN106" s="64">
        <f t="shared" si="130"/>
        <v>5.3000000000000007</v>
      </c>
      <c r="CO106" s="64">
        <f t="shared" si="131"/>
        <v>70.55</v>
      </c>
      <c r="CP106" s="64">
        <f t="shared" si="132"/>
        <v>1.25</v>
      </c>
      <c r="CQ106" s="64">
        <f t="shared" si="133"/>
        <v>96.500000000000014</v>
      </c>
      <c r="CR106" s="64">
        <f t="shared" si="134"/>
        <v>0</v>
      </c>
      <c r="CS106" s="64">
        <f t="shared" si="135"/>
        <v>125.25000000000003</v>
      </c>
      <c r="CT106" s="64">
        <f t="shared" si="136"/>
        <v>0</v>
      </c>
      <c r="CU106" s="64">
        <f t="shared" si="137"/>
        <v>155.25000000000006</v>
      </c>
      <c r="CV106" s="69">
        <f t="shared" si="138"/>
        <v>29.04846127410465</v>
      </c>
      <c r="CW106" s="69">
        <f t="shared" si="139"/>
        <v>1089.7499766743724</v>
      </c>
      <c r="CX106" s="69">
        <f t="shared" si="95"/>
        <v>4357.3615835674163</v>
      </c>
      <c r="CY106" s="69">
        <f t="shared" si="140"/>
        <v>30507.7</v>
      </c>
      <c r="CZ106" s="64">
        <f t="shared" si="96"/>
        <v>2904.907722378277</v>
      </c>
      <c r="DA106" s="64">
        <f t="shared" si="141"/>
        <v>20338.466666666667</v>
      </c>
      <c r="DB106" s="64">
        <f t="shared" si="97"/>
        <v>38.049999999999997</v>
      </c>
      <c r="DC106" s="64">
        <f t="shared" si="98"/>
        <v>13.3</v>
      </c>
      <c r="DD106" s="64">
        <f t="shared" si="99"/>
        <v>23.700000000000003</v>
      </c>
      <c r="DE106" s="64">
        <f t="shared" si="100"/>
        <v>28.949999999999996</v>
      </c>
      <c r="DF106" s="64">
        <f t="shared" si="101"/>
        <v>13.75</v>
      </c>
      <c r="DG106" s="64">
        <f t="shared" si="102"/>
        <v>48.999999999999993</v>
      </c>
      <c r="DH106" s="64">
        <f t="shared" si="103"/>
        <v>5.3000000000000007</v>
      </c>
      <c r="DI106" s="64">
        <f t="shared" si="104"/>
        <v>70.55</v>
      </c>
      <c r="DJ106" s="64">
        <f t="shared" si="105"/>
        <v>1.25</v>
      </c>
      <c r="DK106" s="64">
        <f t="shared" si="106"/>
        <v>96.500000000000014</v>
      </c>
      <c r="DL106" s="64">
        <f t="shared" si="107"/>
        <v>0</v>
      </c>
      <c r="DM106" s="64">
        <f t="shared" si="108"/>
        <v>125.25000000000003</v>
      </c>
      <c r="DN106" s="64">
        <f t="shared" si="109"/>
        <v>0</v>
      </c>
      <c r="DO106" s="64">
        <f t="shared" si="110"/>
        <v>155.25000000000006</v>
      </c>
      <c r="DP106" s="2">
        <f t="shared" si="144"/>
        <v>81</v>
      </c>
      <c r="DQ106" s="2">
        <f t="shared" si="144"/>
        <v>69</v>
      </c>
      <c r="DR106" s="2">
        <f t="shared" si="144"/>
        <v>57</v>
      </c>
      <c r="DS106" s="2">
        <f t="shared" si="144"/>
        <v>45</v>
      </c>
      <c r="DT106" s="2">
        <f t="shared" si="144"/>
        <v>33</v>
      </c>
      <c r="DU106" s="2">
        <f t="shared" si="115"/>
        <v>4</v>
      </c>
      <c r="DV106" s="2">
        <f t="shared" si="116"/>
        <v>20338.466666666667</v>
      </c>
      <c r="DW106" s="2">
        <f t="shared" si="142"/>
        <v>2440616</v>
      </c>
    </row>
    <row r="107" spans="1:127">
      <c r="A107" s="3">
        <v>44835</v>
      </c>
      <c r="B107">
        <f t="shared" si="117"/>
        <v>2022</v>
      </c>
      <c r="C107" s="6">
        <v>17122283</v>
      </c>
      <c r="D107" s="225">
        <f>VLOOKUP(B107,'Historic CDM'!$B$135:$H$147,2,FALSE)/12</f>
        <v>1168945.3950770386</v>
      </c>
      <c r="E107" s="2">
        <f t="shared" si="118"/>
        <v>18291228.395077039</v>
      </c>
      <c r="F107" s="6">
        <v>28807</v>
      </c>
      <c r="G107" s="219">
        <v>4928502</v>
      </c>
      <c r="H107" s="2">
        <f>VLOOKUP(B107,'Historic CDM'!$B$135:$H$147,3,FALSE)/12</f>
        <v>1167742.3523487775</v>
      </c>
      <c r="I107" s="2">
        <f t="shared" si="119"/>
        <v>6096244.3523487775</v>
      </c>
      <c r="J107" s="6">
        <v>2064</v>
      </c>
      <c r="K107" s="219">
        <v>15289103</v>
      </c>
      <c r="L107" s="2">
        <f>VLOOKUP(B107,'Historic CDM'!$B$135:$H$146,4,FALSE)/12</f>
        <v>1290028.8826544937</v>
      </c>
      <c r="M107" s="2">
        <f t="shared" si="123"/>
        <v>16579131.882654494</v>
      </c>
      <c r="N107" s="222">
        <v>47171</v>
      </c>
      <c r="O107" s="220">
        <v>221</v>
      </c>
      <c r="P107" s="219">
        <v>225112</v>
      </c>
      <c r="Q107" s="112">
        <v>608</v>
      </c>
      <c r="R107" s="220">
        <v>2798</v>
      </c>
      <c r="S107" s="219">
        <v>22542</v>
      </c>
      <c r="T107" s="112">
        <v>62</v>
      </c>
      <c r="U107" s="220">
        <v>226</v>
      </c>
      <c r="V107" s="221">
        <v>117392</v>
      </c>
      <c r="W107" s="220">
        <v>125</v>
      </c>
      <c r="X107" s="225">
        <v>2187893</v>
      </c>
      <c r="Y107" s="112">
        <v>5944</v>
      </c>
      <c r="Z107" s="220">
        <v>4</v>
      </c>
      <c r="AA107" s="100">
        <f>'Weather Data'!D263</f>
        <v>271.5420919656392</v>
      </c>
      <c r="AB107" s="100">
        <f>'Weather Data'!E263</f>
        <v>0</v>
      </c>
      <c r="AC107" s="100">
        <f>'Weather Data'!F263</f>
        <v>209.6420919656392</v>
      </c>
      <c r="AD107" s="100">
        <f>'Weather Data'!G263</f>
        <v>0.10000000000000142</v>
      </c>
      <c r="AE107" s="100">
        <f>'Weather Data'!H263</f>
        <v>155.24209196563922</v>
      </c>
      <c r="AF107" s="100">
        <f>'Weather Data'!I263</f>
        <v>7.7000000000000028</v>
      </c>
      <c r="AG107" s="100">
        <f>'Weather Data'!J263</f>
        <v>109.40656897422942</v>
      </c>
      <c r="AH107" s="100">
        <f>'Weather Data'!K263</f>
        <v>23.8644770085902</v>
      </c>
      <c r="AI107" s="100">
        <f>'Weather Data'!L263</f>
        <v>70.871045982819609</v>
      </c>
      <c r="AJ107" s="100">
        <f>'Weather Data'!M263</f>
        <v>47.328954017180394</v>
      </c>
      <c r="AK107" s="100">
        <f>'Weather Data'!N263</f>
        <v>40.135522991409808</v>
      </c>
      <c r="AL107" s="100">
        <f>'Weather Data'!O263</f>
        <v>78.59343102577057</v>
      </c>
      <c r="AM107" s="100">
        <f>'Weather Data'!P263</f>
        <v>18.535522991409803</v>
      </c>
      <c r="AN107" s="100">
        <f>'Weather Data'!Q263</f>
        <v>118.9934310257706</v>
      </c>
      <c r="AO107" s="100">
        <f>'Weather Data'!R263</f>
        <v>11.240577678527769</v>
      </c>
      <c r="AP107" s="5">
        <f>'Economic Data'!D133</f>
        <v>7731.5</v>
      </c>
      <c r="AQ107" s="5">
        <f>'Economic Data'!E133</f>
        <v>7743.5</v>
      </c>
      <c r="AR107" s="5">
        <f>'Economic Data'!F133</f>
        <v>168.4</v>
      </c>
      <c r="AS107" s="5">
        <f>'Economic Data'!G133</f>
        <v>170.6</v>
      </c>
      <c r="AT107" s="5">
        <f>'Economic Data'!H133</f>
        <v>839497.4</v>
      </c>
      <c r="AU107" s="5">
        <f>'Economic Data'!I133</f>
        <v>8788.9</v>
      </c>
      <c r="AV107" s="5">
        <f>'Economic Data'!J133</f>
        <v>7781.9</v>
      </c>
      <c r="AW107" s="5">
        <f>'Economic Data'!K133</f>
        <v>5915.7</v>
      </c>
      <c r="AX107" s="5">
        <f>'Economic Data'!L133</f>
        <v>1230.4000000000001</v>
      </c>
      <c r="AY107" s="5">
        <f>'Economic Data'!M133</f>
        <v>2117.6</v>
      </c>
      <c r="AZ107" s="5">
        <f>'Economic Data'!N133</f>
        <v>6860.3</v>
      </c>
      <c r="BA107" s="5">
        <f>'Economic Data'!O133</f>
        <v>109.5</v>
      </c>
      <c r="BB107" s="5">
        <f>'Economic Data'!P133</f>
        <v>119.5</v>
      </c>
      <c r="BC107" s="5">
        <f>'Economic Data'!Q133</f>
        <v>841987</v>
      </c>
      <c r="BD107" s="5">
        <f>'Economic Data'!R133</f>
        <v>8741</v>
      </c>
      <c r="BE107" s="5">
        <f>'Economic Data'!S133</f>
        <v>4053</v>
      </c>
      <c r="BF107" s="5">
        <f>'Economic Data'!T133</f>
        <v>15653</v>
      </c>
      <c r="BG107" s="5">
        <f>'EV Data'!V72</f>
        <v>96274.666666666613</v>
      </c>
      <c r="BH107" s="5">
        <f>'EV Data'!AB72</f>
        <v>501.99999999999989</v>
      </c>
      <c r="BI107" s="5">
        <f>'EV Data'!W72</f>
        <v>1440.6666666666677</v>
      </c>
      <c r="BJ107" s="5">
        <f t="shared" si="71"/>
        <v>106</v>
      </c>
      <c r="BK107" s="70">
        <f t="shared" si="93"/>
        <v>2.0253058652647704</v>
      </c>
      <c r="BL107" s="5">
        <f t="shared" si="94"/>
        <v>11236</v>
      </c>
      <c r="BM107">
        <f t="shared" ref="BM107:CA115" si="147">BM95</f>
        <v>0</v>
      </c>
      <c r="BN107">
        <f t="shared" si="147"/>
        <v>0</v>
      </c>
      <c r="BO107">
        <f t="shared" si="147"/>
        <v>0</v>
      </c>
      <c r="BP107">
        <f t="shared" si="147"/>
        <v>0</v>
      </c>
      <c r="BQ107">
        <f t="shared" si="147"/>
        <v>0</v>
      </c>
      <c r="BR107">
        <f t="shared" si="147"/>
        <v>0</v>
      </c>
      <c r="BS107">
        <f t="shared" si="147"/>
        <v>0</v>
      </c>
      <c r="BT107">
        <f t="shared" si="147"/>
        <v>0</v>
      </c>
      <c r="BU107">
        <f t="shared" si="147"/>
        <v>0</v>
      </c>
      <c r="BV107">
        <f t="shared" si="147"/>
        <v>1</v>
      </c>
      <c r="BW107">
        <f t="shared" si="147"/>
        <v>0</v>
      </c>
      <c r="BX107">
        <f t="shared" si="147"/>
        <v>0</v>
      </c>
      <c r="BY107">
        <f t="shared" si="147"/>
        <v>0</v>
      </c>
      <c r="BZ107">
        <f t="shared" si="147"/>
        <v>1</v>
      </c>
      <c r="CA107">
        <f t="shared" si="147"/>
        <v>1</v>
      </c>
      <c r="CB107">
        <f t="shared" si="113"/>
        <v>31</v>
      </c>
      <c r="CC107">
        <v>20</v>
      </c>
      <c r="CD107">
        <f t="shared" si="145"/>
        <v>0.5</v>
      </c>
      <c r="CE107">
        <f t="shared" si="146"/>
        <v>0.25</v>
      </c>
      <c r="CF107">
        <f t="shared" si="111"/>
        <v>0.5</v>
      </c>
      <c r="CG107">
        <v>0</v>
      </c>
      <c r="CH107" s="64">
        <f t="shared" si="124"/>
        <v>135.7710459828196</v>
      </c>
      <c r="CI107" s="64">
        <f t="shared" si="125"/>
        <v>0</v>
      </c>
      <c r="CJ107" s="64">
        <f t="shared" si="126"/>
        <v>104.8210459828196</v>
      </c>
      <c r="CK107" s="64">
        <f t="shared" si="127"/>
        <v>5.0000000000000711E-2</v>
      </c>
      <c r="CL107" s="64">
        <f t="shared" si="128"/>
        <v>77.621045982819609</v>
      </c>
      <c r="CM107" s="64">
        <f t="shared" si="129"/>
        <v>3.8500000000000014</v>
      </c>
      <c r="CN107" s="64">
        <f t="shared" si="130"/>
        <v>54.703284487114708</v>
      </c>
      <c r="CO107" s="64">
        <f t="shared" si="131"/>
        <v>11.9322385042951</v>
      </c>
      <c r="CP107" s="64">
        <f t="shared" si="132"/>
        <v>35.435522991409805</v>
      </c>
      <c r="CQ107" s="64">
        <f t="shared" si="133"/>
        <v>23.664477008590197</v>
      </c>
      <c r="CR107" s="64">
        <f t="shared" si="134"/>
        <v>20.067761495704904</v>
      </c>
      <c r="CS107" s="64">
        <f t="shared" si="135"/>
        <v>39.296715512885285</v>
      </c>
      <c r="CT107" s="64">
        <f t="shared" si="136"/>
        <v>9.2677614957049013</v>
      </c>
      <c r="CU107" s="64">
        <f t="shared" si="137"/>
        <v>59.496715512885302</v>
      </c>
      <c r="CV107" s="69">
        <f t="shared" si="138"/>
        <v>20.482508614144006</v>
      </c>
      <c r="CW107" s="69">
        <f t="shared" si="139"/>
        <v>889.83277657988288</v>
      </c>
      <c r="CX107" s="69">
        <f t="shared" si="95"/>
        <v>3750.934815080202</v>
      </c>
      <c r="CY107" s="69">
        <f t="shared" si="140"/>
        <v>27348.662499999999</v>
      </c>
      <c r="CZ107" s="64">
        <f t="shared" si="96"/>
        <v>2419.9579452130338</v>
      </c>
      <c r="DA107" s="64">
        <f t="shared" si="141"/>
        <v>17644.298387096773</v>
      </c>
      <c r="DB107" s="64">
        <f t="shared" si="97"/>
        <v>135.7710459828196</v>
      </c>
      <c r="DC107" s="64">
        <f t="shared" si="98"/>
        <v>0</v>
      </c>
      <c r="DD107" s="64">
        <f t="shared" si="99"/>
        <v>104.8210459828196</v>
      </c>
      <c r="DE107" s="64">
        <f t="shared" si="100"/>
        <v>5.0000000000000711E-2</v>
      </c>
      <c r="DF107" s="64">
        <f t="shared" si="101"/>
        <v>77.621045982819609</v>
      </c>
      <c r="DG107" s="64">
        <f t="shared" si="102"/>
        <v>3.8500000000000014</v>
      </c>
      <c r="DH107" s="64">
        <f t="shared" si="103"/>
        <v>54.703284487114708</v>
      </c>
      <c r="DI107" s="64">
        <f t="shared" si="104"/>
        <v>11.9322385042951</v>
      </c>
      <c r="DJ107" s="64">
        <f t="shared" si="105"/>
        <v>35.435522991409805</v>
      </c>
      <c r="DK107" s="64">
        <f t="shared" si="106"/>
        <v>23.664477008590197</v>
      </c>
      <c r="DL107" s="64">
        <f t="shared" si="107"/>
        <v>20.067761495704904</v>
      </c>
      <c r="DM107" s="64">
        <f t="shared" si="108"/>
        <v>39.296715512885285</v>
      </c>
      <c r="DN107" s="64">
        <f t="shared" si="109"/>
        <v>9.2677614957049013</v>
      </c>
      <c r="DO107" s="64">
        <f t="shared" si="110"/>
        <v>59.496715512885302</v>
      </c>
      <c r="DP107" s="2">
        <f t="shared" si="144"/>
        <v>82</v>
      </c>
      <c r="DQ107" s="2">
        <f t="shared" si="144"/>
        <v>70</v>
      </c>
      <c r="DR107" s="2">
        <f t="shared" si="144"/>
        <v>58</v>
      </c>
      <c r="DS107" s="2">
        <f t="shared" si="144"/>
        <v>46</v>
      </c>
      <c r="DT107" s="2">
        <f t="shared" si="144"/>
        <v>34</v>
      </c>
      <c r="DU107" s="2">
        <f t="shared" si="115"/>
        <v>4</v>
      </c>
      <c r="DV107" s="2">
        <f t="shared" si="116"/>
        <v>17644.298387096773</v>
      </c>
      <c r="DW107" s="2">
        <f t="shared" si="142"/>
        <v>2187893</v>
      </c>
    </row>
    <row r="108" spans="1:127">
      <c r="A108" s="3">
        <v>44866</v>
      </c>
      <c r="B108">
        <f t="shared" si="117"/>
        <v>2022</v>
      </c>
      <c r="C108" s="6">
        <v>17835575</v>
      </c>
      <c r="D108" s="225">
        <f>VLOOKUP(B108,'Historic CDM'!$B$135:$H$147,2,FALSE)/12</f>
        <v>1168945.3950770386</v>
      </c>
      <c r="E108" s="2">
        <f t="shared" si="118"/>
        <v>19004520.395077039</v>
      </c>
      <c r="F108" s="6">
        <v>28840</v>
      </c>
      <c r="G108" s="219">
        <v>4997795</v>
      </c>
      <c r="H108" s="2">
        <f>VLOOKUP(B108,'Historic CDM'!$B$135:$H$147,3,FALSE)/12</f>
        <v>1167742.3523487775</v>
      </c>
      <c r="I108" s="2">
        <f t="shared" si="119"/>
        <v>6165537.3523487775</v>
      </c>
      <c r="J108" s="6">
        <v>2064</v>
      </c>
      <c r="K108" s="219">
        <v>14903542</v>
      </c>
      <c r="L108" s="2">
        <f>VLOOKUP(B108,'Historic CDM'!$B$135:$H$146,4,FALSE)/12</f>
        <v>1290028.8826544937</v>
      </c>
      <c r="M108" s="2">
        <f t="shared" si="123"/>
        <v>16193570.882654494</v>
      </c>
      <c r="N108" s="222">
        <v>42930</v>
      </c>
      <c r="O108" s="220">
        <v>223</v>
      </c>
      <c r="P108" s="219">
        <v>236352</v>
      </c>
      <c r="Q108" s="112">
        <v>608</v>
      </c>
      <c r="R108" s="220">
        <v>2798</v>
      </c>
      <c r="S108" s="219">
        <v>21925</v>
      </c>
      <c r="T108" s="112">
        <v>60</v>
      </c>
      <c r="U108" s="220">
        <v>223</v>
      </c>
      <c r="V108" s="221">
        <v>117392</v>
      </c>
      <c r="W108" s="220">
        <v>125</v>
      </c>
      <c r="X108" s="225">
        <v>2451162</v>
      </c>
      <c r="Y108" s="112">
        <v>7052</v>
      </c>
      <c r="Z108" s="220">
        <v>4</v>
      </c>
      <c r="AA108" s="100">
        <f>'Weather Data'!D264</f>
        <v>428.6</v>
      </c>
      <c r="AB108" s="100">
        <f>'Weather Data'!E264</f>
        <v>0</v>
      </c>
      <c r="AC108" s="100">
        <f>'Weather Data'!F264</f>
        <v>368.6</v>
      </c>
      <c r="AD108" s="100">
        <f>'Weather Data'!G264</f>
        <v>0</v>
      </c>
      <c r="AE108" s="100">
        <f>'Weather Data'!H264</f>
        <v>310.89999999999998</v>
      </c>
      <c r="AF108" s="100">
        <f>'Weather Data'!I264</f>
        <v>2.2999999999999972</v>
      </c>
      <c r="AG108" s="100">
        <f>'Weather Data'!J264</f>
        <v>256.09999999999997</v>
      </c>
      <c r="AH108" s="100">
        <f>'Weather Data'!K264</f>
        <v>7.4999999999999964</v>
      </c>
      <c r="AI108" s="100">
        <f>'Weather Data'!L264</f>
        <v>203.69999999999996</v>
      </c>
      <c r="AJ108" s="100">
        <f>'Weather Data'!M264</f>
        <v>15.099999999999996</v>
      </c>
      <c r="AK108" s="100">
        <f>'Weather Data'!N264</f>
        <v>155.89999999999995</v>
      </c>
      <c r="AL108" s="100">
        <f>'Weather Data'!O264</f>
        <v>27.299999999999994</v>
      </c>
      <c r="AM108" s="100">
        <f>'Weather Data'!P264</f>
        <v>114.3</v>
      </c>
      <c r="AN108" s="100">
        <f>'Weather Data'!Q264</f>
        <v>45.7</v>
      </c>
      <c r="AO108" s="100">
        <f>'Weather Data'!R264</f>
        <v>5.7133333333333329</v>
      </c>
      <c r="AP108" s="5">
        <f>'Economic Data'!D134</f>
        <v>7736.9</v>
      </c>
      <c r="AQ108" s="5">
        <f>'Economic Data'!E134</f>
        <v>7738.9</v>
      </c>
      <c r="AR108" s="5">
        <f>'Economic Data'!F134</f>
        <v>176.3</v>
      </c>
      <c r="AS108" s="5">
        <f>'Economic Data'!G134</f>
        <v>178.1</v>
      </c>
      <c r="AT108" s="5">
        <f>'Economic Data'!H134</f>
        <v>839497.4</v>
      </c>
      <c r="AU108" s="5">
        <f>'Economic Data'!I134</f>
        <v>8788.9</v>
      </c>
      <c r="AV108" s="5">
        <f>'Economic Data'!J134</f>
        <v>7781.9</v>
      </c>
      <c r="AW108" s="5">
        <f>'Economic Data'!K134</f>
        <v>5915.7</v>
      </c>
      <c r="AX108" s="5">
        <f>'Economic Data'!L134</f>
        <v>1230.4000000000001</v>
      </c>
      <c r="AY108" s="5">
        <f>'Economic Data'!M134</f>
        <v>2117.6</v>
      </c>
      <c r="AZ108" s="5">
        <f>'Economic Data'!N134</f>
        <v>6860.3</v>
      </c>
      <c r="BA108" s="5">
        <f>'Economic Data'!O134</f>
        <v>109.5</v>
      </c>
      <c r="BB108" s="5">
        <f>'Economic Data'!P134</f>
        <v>119.5</v>
      </c>
      <c r="BC108" s="5">
        <f>'Economic Data'!Q134</f>
        <v>841987</v>
      </c>
      <c r="BD108" s="5">
        <f>'Economic Data'!R134</f>
        <v>8741</v>
      </c>
      <c r="BE108" s="5">
        <f>'Economic Data'!S134</f>
        <v>4053</v>
      </c>
      <c r="BF108" s="5">
        <f>'Economic Data'!T134</f>
        <v>15653</v>
      </c>
      <c r="BG108" s="5">
        <f>'EV Data'!V73</f>
        <v>99935.333333333285</v>
      </c>
      <c r="BH108" s="5">
        <f>'EV Data'!AB73</f>
        <v>515.99999999999989</v>
      </c>
      <c r="BI108" s="5">
        <f>'EV Data'!W73</f>
        <v>1483.3333333333344</v>
      </c>
      <c r="BJ108" s="5">
        <f t="shared" si="71"/>
        <v>107</v>
      </c>
      <c r="BK108" s="70">
        <f t="shared" si="93"/>
        <v>2.0293837776852097</v>
      </c>
      <c r="BL108" s="5">
        <f t="shared" si="94"/>
        <v>11449</v>
      </c>
      <c r="BM108">
        <f t="shared" si="147"/>
        <v>0</v>
      </c>
      <c r="BN108">
        <f t="shared" si="147"/>
        <v>0</v>
      </c>
      <c r="BO108">
        <f t="shared" si="147"/>
        <v>0</v>
      </c>
      <c r="BP108">
        <f t="shared" si="147"/>
        <v>0</v>
      </c>
      <c r="BQ108">
        <f t="shared" si="147"/>
        <v>0</v>
      </c>
      <c r="BR108">
        <f t="shared" si="147"/>
        <v>0</v>
      </c>
      <c r="BS108">
        <f t="shared" si="147"/>
        <v>0</v>
      </c>
      <c r="BT108">
        <f t="shared" si="147"/>
        <v>0</v>
      </c>
      <c r="BU108">
        <f t="shared" si="147"/>
        <v>0</v>
      </c>
      <c r="BV108">
        <f t="shared" si="147"/>
        <v>0</v>
      </c>
      <c r="BW108">
        <f t="shared" si="147"/>
        <v>1</v>
      </c>
      <c r="BX108">
        <f t="shared" si="147"/>
        <v>0</v>
      </c>
      <c r="BY108">
        <f t="shared" si="147"/>
        <v>0</v>
      </c>
      <c r="BZ108">
        <f t="shared" si="147"/>
        <v>1</v>
      </c>
      <c r="CA108">
        <f t="shared" si="147"/>
        <v>1</v>
      </c>
      <c r="CB108">
        <f t="shared" si="113"/>
        <v>30</v>
      </c>
      <c r="CC108">
        <v>22</v>
      </c>
      <c r="CD108">
        <f t="shared" si="145"/>
        <v>0.5</v>
      </c>
      <c r="CE108">
        <f t="shared" si="146"/>
        <v>0.25</v>
      </c>
      <c r="CF108">
        <f t="shared" si="146"/>
        <v>0.5</v>
      </c>
      <c r="CG108">
        <v>0</v>
      </c>
      <c r="CH108" s="64">
        <f t="shared" si="124"/>
        <v>214.3</v>
      </c>
      <c r="CI108" s="64">
        <f t="shared" si="125"/>
        <v>0</v>
      </c>
      <c r="CJ108" s="64">
        <f t="shared" si="126"/>
        <v>184.3</v>
      </c>
      <c r="CK108" s="64">
        <f t="shared" si="127"/>
        <v>0</v>
      </c>
      <c r="CL108" s="64">
        <f t="shared" si="128"/>
        <v>155.44999999999999</v>
      </c>
      <c r="CM108" s="64">
        <f t="shared" si="129"/>
        <v>1.1499999999999986</v>
      </c>
      <c r="CN108" s="64">
        <f t="shared" si="130"/>
        <v>128.04999999999998</v>
      </c>
      <c r="CO108" s="64">
        <f t="shared" si="131"/>
        <v>3.7499999999999982</v>
      </c>
      <c r="CP108" s="64">
        <f t="shared" si="132"/>
        <v>101.84999999999998</v>
      </c>
      <c r="CQ108" s="64">
        <f t="shared" si="133"/>
        <v>7.549999999999998</v>
      </c>
      <c r="CR108" s="64">
        <f t="shared" si="134"/>
        <v>77.949999999999974</v>
      </c>
      <c r="CS108" s="64">
        <f t="shared" si="135"/>
        <v>13.649999999999997</v>
      </c>
      <c r="CT108" s="64">
        <f t="shared" si="136"/>
        <v>57.15</v>
      </c>
      <c r="CU108" s="64">
        <f t="shared" si="137"/>
        <v>22.85</v>
      </c>
      <c r="CV108" s="69">
        <f t="shared" si="138"/>
        <v>21.965465089085804</v>
      </c>
      <c r="CW108" s="69">
        <f t="shared" si="139"/>
        <v>921.60498540340473</v>
      </c>
      <c r="CX108" s="69">
        <f t="shared" si="95"/>
        <v>3300.7686267131053</v>
      </c>
      <c r="CY108" s="69">
        <f t="shared" si="140"/>
        <v>27854.113636363636</v>
      </c>
      <c r="CZ108" s="64">
        <f t="shared" si="96"/>
        <v>2420.5636595896103</v>
      </c>
      <c r="DA108" s="64">
        <f t="shared" si="141"/>
        <v>20426.349999999999</v>
      </c>
      <c r="DB108" s="64">
        <f t="shared" si="97"/>
        <v>214.3</v>
      </c>
      <c r="DC108" s="64">
        <f t="shared" si="98"/>
        <v>0</v>
      </c>
      <c r="DD108" s="64">
        <f t="shared" si="99"/>
        <v>184.3</v>
      </c>
      <c r="DE108" s="64">
        <f t="shared" si="100"/>
        <v>0</v>
      </c>
      <c r="DF108" s="64">
        <f t="shared" si="101"/>
        <v>155.44999999999999</v>
      </c>
      <c r="DG108" s="64">
        <f t="shared" si="102"/>
        <v>1.1499999999999986</v>
      </c>
      <c r="DH108" s="64">
        <f t="shared" si="103"/>
        <v>128.04999999999998</v>
      </c>
      <c r="DI108" s="64">
        <f t="shared" si="104"/>
        <v>3.7499999999999982</v>
      </c>
      <c r="DJ108" s="64">
        <f t="shared" si="105"/>
        <v>101.84999999999998</v>
      </c>
      <c r="DK108" s="64">
        <f t="shared" si="106"/>
        <v>7.549999999999998</v>
      </c>
      <c r="DL108" s="64">
        <f t="shared" si="107"/>
        <v>77.949999999999974</v>
      </c>
      <c r="DM108" s="64">
        <f t="shared" si="108"/>
        <v>13.649999999999997</v>
      </c>
      <c r="DN108" s="64">
        <f t="shared" si="109"/>
        <v>57.15</v>
      </c>
      <c r="DO108" s="64">
        <f t="shared" si="110"/>
        <v>22.85</v>
      </c>
      <c r="DP108" s="2">
        <f t="shared" ref="DP108:DT115" si="148">DP107+1</f>
        <v>83</v>
      </c>
      <c r="DQ108" s="2">
        <f t="shared" si="148"/>
        <v>71</v>
      </c>
      <c r="DR108" s="2">
        <f t="shared" si="148"/>
        <v>59</v>
      </c>
      <c r="DS108" s="2">
        <f t="shared" si="148"/>
        <v>47</v>
      </c>
      <c r="DT108" s="2">
        <f t="shared" si="148"/>
        <v>35</v>
      </c>
      <c r="DU108" s="2">
        <f t="shared" si="115"/>
        <v>4</v>
      </c>
      <c r="DV108" s="2">
        <f t="shared" si="116"/>
        <v>20426.349999999999</v>
      </c>
      <c r="DW108" s="2">
        <f t="shared" si="142"/>
        <v>2451162</v>
      </c>
    </row>
    <row r="109" spans="1:127">
      <c r="A109" s="3">
        <v>44896</v>
      </c>
      <c r="B109">
        <f t="shared" si="117"/>
        <v>2022</v>
      </c>
      <c r="C109" s="6">
        <v>21898882</v>
      </c>
      <c r="D109" s="225">
        <f>VLOOKUP(B109,'Historic CDM'!$B$135:$H$147,2,FALSE)/12</f>
        <v>1168945.3950770386</v>
      </c>
      <c r="E109" s="2">
        <f t="shared" si="118"/>
        <v>23067827.395077039</v>
      </c>
      <c r="F109" s="6">
        <v>28847</v>
      </c>
      <c r="G109" s="219">
        <v>5466808</v>
      </c>
      <c r="H109" s="2">
        <f>VLOOKUP(B109,'Historic CDM'!$B$135:$H$147,3,FALSE)/12</f>
        <v>1167742.3523487775</v>
      </c>
      <c r="I109" s="2">
        <f t="shared" si="119"/>
        <v>6634550.3523487775</v>
      </c>
      <c r="J109" s="6">
        <v>2064</v>
      </c>
      <c r="K109" s="219">
        <v>14518130</v>
      </c>
      <c r="L109" s="225">
        <f>VLOOKUP(B109,'Historic CDM'!$B$135:$H$147,4,FALSE)/12</f>
        <v>1290028.8826544937</v>
      </c>
      <c r="M109" s="225">
        <f t="shared" si="123"/>
        <v>15808158.882654494</v>
      </c>
      <c r="N109" s="222">
        <v>51440</v>
      </c>
      <c r="O109" s="220">
        <v>224</v>
      </c>
      <c r="P109" s="219">
        <v>258529</v>
      </c>
      <c r="Q109" s="112">
        <v>608</v>
      </c>
      <c r="R109" s="220">
        <v>2799</v>
      </c>
      <c r="S109" s="219">
        <v>21833</v>
      </c>
      <c r="T109" s="112">
        <v>60</v>
      </c>
      <c r="U109" s="220">
        <v>223</v>
      </c>
      <c r="V109" s="221">
        <v>117392</v>
      </c>
      <c r="W109" s="220">
        <v>125</v>
      </c>
      <c r="X109" s="225">
        <v>2831510</v>
      </c>
      <c r="Y109" s="112">
        <v>7244</v>
      </c>
      <c r="Z109" s="220">
        <v>4</v>
      </c>
      <c r="AA109" s="100">
        <f>'Weather Data'!D265</f>
        <v>618.1</v>
      </c>
      <c r="AB109" s="100">
        <f>'Weather Data'!E265</f>
        <v>0</v>
      </c>
      <c r="AC109" s="100">
        <f>'Weather Data'!F265</f>
        <v>556.1</v>
      </c>
      <c r="AD109" s="100">
        <f>'Weather Data'!G265</f>
        <v>0</v>
      </c>
      <c r="AE109" s="100">
        <f>'Weather Data'!H265</f>
        <v>494.09999999999997</v>
      </c>
      <c r="AF109" s="100">
        <f>'Weather Data'!I265</f>
        <v>0</v>
      </c>
      <c r="AG109" s="100">
        <f>'Weather Data'!J265</f>
        <v>432.09999999999997</v>
      </c>
      <c r="AH109" s="100">
        <f>'Weather Data'!K265</f>
        <v>0</v>
      </c>
      <c r="AI109" s="100">
        <f>'Weather Data'!L265</f>
        <v>370.1</v>
      </c>
      <c r="AJ109" s="100">
        <f>'Weather Data'!M265</f>
        <v>0</v>
      </c>
      <c r="AK109" s="100">
        <f>'Weather Data'!N265</f>
        <v>308.3</v>
      </c>
      <c r="AL109" s="100">
        <f>'Weather Data'!O265</f>
        <v>0.19999999999999929</v>
      </c>
      <c r="AM109" s="100">
        <f>'Weather Data'!P265</f>
        <v>248.29999999999998</v>
      </c>
      <c r="AN109" s="100">
        <f>'Weather Data'!Q265</f>
        <v>2.1999999999999993</v>
      </c>
      <c r="AO109" s="100">
        <f>'Weather Data'!R265</f>
        <v>6.1290322580645144E-2</v>
      </c>
      <c r="AP109" s="5">
        <f>'Economic Data'!D135</f>
        <v>7760.9</v>
      </c>
      <c r="AQ109" s="5">
        <f>'Economic Data'!E135</f>
        <v>7777.2</v>
      </c>
      <c r="AR109" s="5">
        <f>'Economic Data'!F135</f>
        <v>183.1</v>
      </c>
      <c r="AS109" s="5">
        <f>'Economic Data'!G135</f>
        <v>184.9</v>
      </c>
      <c r="AT109" s="5">
        <f>'Economic Data'!H135</f>
        <v>839497.4</v>
      </c>
      <c r="AU109" s="5">
        <f>'Economic Data'!I135</f>
        <v>8788.9</v>
      </c>
      <c r="AV109" s="5">
        <f>'Economic Data'!J135</f>
        <v>7781.9</v>
      </c>
      <c r="AW109" s="5">
        <f>'Economic Data'!K135</f>
        <v>5915.7</v>
      </c>
      <c r="AX109" s="5">
        <f>'Economic Data'!L135</f>
        <v>1230.4000000000001</v>
      </c>
      <c r="AY109" s="5">
        <f>'Economic Data'!M135</f>
        <v>2117.6</v>
      </c>
      <c r="AZ109" s="5">
        <f>'Economic Data'!N135</f>
        <v>6860.3</v>
      </c>
      <c r="BA109" s="5">
        <f>'Economic Data'!O135</f>
        <v>109.5</v>
      </c>
      <c r="BB109" s="5">
        <f>'Economic Data'!P135</f>
        <v>119.5</v>
      </c>
      <c r="BC109" s="5">
        <f>'Economic Data'!Q135</f>
        <v>841987</v>
      </c>
      <c r="BD109" s="5">
        <f>'Economic Data'!R135</f>
        <v>8741</v>
      </c>
      <c r="BE109" s="5">
        <f>'Economic Data'!S135</f>
        <v>4053</v>
      </c>
      <c r="BF109" s="5">
        <f>'Economic Data'!T135</f>
        <v>15653</v>
      </c>
      <c r="BG109" s="5">
        <f>'EV Data'!V74</f>
        <v>103595.99999999996</v>
      </c>
      <c r="BH109" s="5">
        <f>'EV Data'!AB74</f>
        <v>529.99999999999989</v>
      </c>
      <c r="BI109" s="5">
        <f>'EV Data'!W74</f>
        <v>1526.0000000000011</v>
      </c>
      <c r="BJ109" s="5">
        <f t="shared" ref="BJ109:BJ121" si="149">BJ108+1</f>
        <v>108</v>
      </c>
      <c r="BK109" s="70">
        <f t="shared" si="93"/>
        <v>2.0334237554869499</v>
      </c>
      <c r="BL109" s="5">
        <f t="shared" si="94"/>
        <v>11664</v>
      </c>
      <c r="BM109">
        <f t="shared" si="147"/>
        <v>0</v>
      </c>
      <c r="BN109">
        <f t="shared" si="147"/>
        <v>0</v>
      </c>
      <c r="BO109">
        <f t="shared" si="147"/>
        <v>0</v>
      </c>
      <c r="BP109">
        <f t="shared" si="147"/>
        <v>0</v>
      </c>
      <c r="BQ109">
        <f t="shared" si="147"/>
        <v>0</v>
      </c>
      <c r="BR109">
        <f t="shared" si="147"/>
        <v>0</v>
      </c>
      <c r="BS109">
        <f t="shared" si="147"/>
        <v>0</v>
      </c>
      <c r="BT109">
        <f t="shared" si="147"/>
        <v>0</v>
      </c>
      <c r="BU109">
        <f t="shared" si="147"/>
        <v>0</v>
      </c>
      <c r="BV109">
        <f t="shared" si="147"/>
        <v>0</v>
      </c>
      <c r="BW109">
        <f t="shared" si="147"/>
        <v>0</v>
      </c>
      <c r="BX109">
        <f t="shared" si="147"/>
        <v>1</v>
      </c>
      <c r="BY109">
        <f t="shared" si="147"/>
        <v>0</v>
      </c>
      <c r="BZ109">
        <f t="shared" si="147"/>
        <v>0</v>
      </c>
      <c r="CA109">
        <f t="shared" si="147"/>
        <v>0</v>
      </c>
      <c r="CB109">
        <f t="shared" si="113"/>
        <v>31</v>
      </c>
      <c r="CC109">
        <v>20</v>
      </c>
      <c r="CD109">
        <f t="shared" si="145"/>
        <v>0.5</v>
      </c>
      <c r="CE109">
        <f t="shared" si="146"/>
        <v>0.25</v>
      </c>
      <c r="CF109">
        <f t="shared" si="146"/>
        <v>0.5</v>
      </c>
      <c r="CG109">
        <v>0</v>
      </c>
      <c r="CH109" s="64">
        <f t="shared" si="124"/>
        <v>309.05</v>
      </c>
      <c r="CI109" s="64">
        <f t="shared" si="125"/>
        <v>0</v>
      </c>
      <c r="CJ109" s="64">
        <f t="shared" si="126"/>
        <v>278.05</v>
      </c>
      <c r="CK109" s="64">
        <f t="shared" si="127"/>
        <v>0</v>
      </c>
      <c r="CL109" s="64">
        <f t="shared" si="128"/>
        <v>247.04999999999998</v>
      </c>
      <c r="CM109" s="64">
        <f t="shared" si="129"/>
        <v>0</v>
      </c>
      <c r="CN109" s="64">
        <f t="shared" si="130"/>
        <v>216.04999999999998</v>
      </c>
      <c r="CO109" s="64">
        <f t="shared" si="131"/>
        <v>0</v>
      </c>
      <c r="CP109" s="64">
        <f t="shared" si="132"/>
        <v>185.05</v>
      </c>
      <c r="CQ109" s="64">
        <f t="shared" si="133"/>
        <v>0</v>
      </c>
      <c r="CR109" s="64">
        <f t="shared" si="134"/>
        <v>154.15</v>
      </c>
      <c r="CS109" s="64">
        <f t="shared" si="135"/>
        <v>9.9999999999999645E-2</v>
      </c>
      <c r="CT109" s="64">
        <f t="shared" si="136"/>
        <v>124.14999999999999</v>
      </c>
      <c r="CU109" s="64">
        <f t="shared" si="137"/>
        <v>1.0999999999999996</v>
      </c>
      <c r="CV109" s="69">
        <f t="shared" si="138"/>
        <v>25.795523429033306</v>
      </c>
      <c r="CW109" s="69">
        <f t="shared" si="139"/>
        <v>955.43639866773879</v>
      </c>
      <c r="CX109" s="69">
        <f t="shared" si="95"/>
        <v>3528.6068934496639</v>
      </c>
      <c r="CY109" s="69">
        <f t="shared" si="140"/>
        <v>35393.875</v>
      </c>
      <c r="CZ109" s="64">
        <f t="shared" si="96"/>
        <v>2276.5205764191378</v>
      </c>
      <c r="DA109" s="64">
        <f t="shared" si="141"/>
        <v>22834.758064516129</v>
      </c>
      <c r="DB109" s="64">
        <f t="shared" si="97"/>
        <v>309.05</v>
      </c>
      <c r="DC109" s="64">
        <f t="shared" si="98"/>
        <v>0</v>
      </c>
      <c r="DD109" s="64">
        <f t="shared" si="99"/>
        <v>278.05</v>
      </c>
      <c r="DE109" s="64">
        <f t="shared" si="100"/>
        <v>0</v>
      </c>
      <c r="DF109" s="64">
        <f t="shared" si="101"/>
        <v>247.04999999999998</v>
      </c>
      <c r="DG109" s="64">
        <f t="shared" si="102"/>
        <v>0</v>
      </c>
      <c r="DH109" s="64">
        <f t="shared" si="103"/>
        <v>216.04999999999998</v>
      </c>
      <c r="DI109" s="64">
        <f t="shared" si="104"/>
        <v>0</v>
      </c>
      <c r="DJ109" s="64">
        <f t="shared" si="105"/>
        <v>185.05</v>
      </c>
      <c r="DK109" s="64">
        <f t="shared" si="106"/>
        <v>0</v>
      </c>
      <c r="DL109" s="64">
        <f t="shared" si="107"/>
        <v>154.15</v>
      </c>
      <c r="DM109" s="64">
        <f t="shared" si="108"/>
        <v>9.9999999999999645E-2</v>
      </c>
      <c r="DN109" s="64">
        <f t="shared" si="109"/>
        <v>124.14999999999999</v>
      </c>
      <c r="DO109" s="64">
        <f t="shared" si="110"/>
        <v>1.0999999999999996</v>
      </c>
      <c r="DP109" s="2">
        <f t="shared" si="148"/>
        <v>84</v>
      </c>
      <c r="DQ109" s="2">
        <f t="shared" si="148"/>
        <v>72</v>
      </c>
      <c r="DR109" s="2">
        <f t="shared" si="148"/>
        <v>60</v>
      </c>
      <c r="DS109" s="2">
        <f t="shared" si="148"/>
        <v>48</v>
      </c>
      <c r="DT109" s="2">
        <f t="shared" si="148"/>
        <v>36</v>
      </c>
      <c r="DU109" s="2">
        <f t="shared" si="115"/>
        <v>4</v>
      </c>
      <c r="DV109" s="2">
        <f t="shared" si="116"/>
        <v>22834.758064516129</v>
      </c>
      <c r="DW109" s="2">
        <f t="shared" si="142"/>
        <v>2831510</v>
      </c>
    </row>
    <row r="110" spans="1:127">
      <c r="A110" s="3">
        <v>44927</v>
      </c>
      <c r="B110">
        <f t="shared" si="117"/>
        <v>2023</v>
      </c>
      <c r="C110" s="112">
        <v>20559513.70522679</v>
      </c>
      <c r="D110" s="225">
        <f>VLOOKUP(B110,'Historic CDM'!$B$135:$H$147,2,FALSE)/12</f>
        <v>1180139.3153653573</v>
      </c>
      <c r="E110" s="2">
        <f t="shared" si="118"/>
        <v>21739653.020592146</v>
      </c>
      <c r="F110" s="6">
        <v>28855</v>
      </c>
      <c r="G110" s="219">
        <v>5435431.2866580132</v>
      </c>
      <c r="H110" s="2">
        <f>VLOOKUP(B110,'Historic CDM'!$B$135:$H$147,3,FALSE)/12</f>
        <v>1197125.69573412</v>
      </c>
      <c r="I110" s="2">
        <f t="shared" si="119"/>
        <v>6632556.9823921332</v>
      </c>
      <c r="J110" s="6">
        <v>2063</v>
      </c>
      <c r="K110" s="219">
        <v>14330957.547002995</v>
      </c>
      <c r="L110" s="225">
        <f>VLOOKUP(B110,'Historic CDM'!$B$135:$H$147,4,FALSE)/12</f>
        <v>1499293.7806216448</v>
      </c>
      <c r="M110" s="225">
        <f t="shared" si="123"/>
        <v>15830251.327624639</v>
      </c>
      <c r="N110" s="225">
        <v>42429</v>
      </c>
      <c r="O110" s="220">
        <v>225</v>
      </c>
      <c r="P110" s="112">
        <v>254276.19507484304</v>
      </c>
      <c r="Q110" s="112">
        <v>607.6</v>
      </c>
      <c r="R110" s="220">
        <v>2799</v>
      </c>
      <c r="S110" s="112">
        <v>23004.345726702075</v>
      </c>
      <c r="T110" s="112">
        <v>62.76</v>
      </c>
      <c r="U110" s="220">
        <v>223</v>
      </c>
      <c r="V110" s="112">
        <v>117391.59826170931</v>
      </c>
      <c r="W110" s="220">
        <v>125</v>
      </c>
      <c r="X110" s="225">
        <v>3051532.49</v>
      </c>
      <c r="Y110" s="112">
        <v>7954</v>
      </c>
      <c r="Z110" s="220">
        <v>4</v>
      </c>
      <c r="AA110" s="100">
        <f>'Weather Data'!D266</f>
        <v>610.70000000000005</v>
      </c>
      <c r="AB110" s="100">
        <f>'Weather Data'!E266</f>
        <v>0</v>
      </c>
      <c r="AC110" s="100">
        <f>'Weather Data'!F266</f>
        <v>548.70000000000005</v>
      </c>
      <c r="AD110" s="100">
        <f>'Weather Data'!G266</f>
        <v>0</v>
      </c>
      <c r="AE110" s="100">
        <f>'Weather Data'!H266</f>
        <v>486.7000000000001</v>
      </c>
      <c r="AF110" s="100">
        <f>'Weather Data'!I266</f>
        <v>0</v>
      </c>
      <c r="AG110" s="100">
        <f>'Weather Data'!J266</f>
        <v>424.7000000000001</v>
      </c>
      <c r="AH110" s="100">
        <f>'Weather Data'!K266</f>
        <v>0</v>
      </c>
      <c r="AI110" s="100">
        <f>'Weather Data'!L266</f>
        <v>362.7000000000001</v>
      </c>
      <c r="AJ110" s="100">
        <f>'Weather Data'!M266</f>
        <v>0</v>
      </c>
      <c r="AK110" s="100">
        <f>'Weather Data'!N266</f>
        <v>300.70000000000005</v>
      </c>
      <c r="AL110" s="100">
        <f>'Weather Data'!O266</f>
        <v>0</v>
      </c>
      <c r="AM110" s="100">
        <f>'Weather Data'!P266</f>
        <v>239.3</v>
      </c>
      <c r="AN110" s="100">
        <f>'Weather Data'!Q266</f>
        <v>0.59999999999999964</v>
      </c>
      <c r="AO110" s="100">
        <f>'Weather Data'!R266</f>
        <v>0.29999999999999949</v>
      </c>
      <c r="AP110" s="5">
        <f>'Economic Data'!D136</f>
        <v>7795.7</v>
      </c>
      <c r="AQ110" s="5">
        <f>'Economic Data'!E136</f>
        <v>7776.6</v>
      </c>
      <c r="AR110" s="5">
        <f>'Economic Data'!F136</f>
        <v>189.2</v>
      </c>
      <c r="AS110" s="5">
        <f>'Economic Data'!G136</f>
        <v>189.3</v>
      </c>
      <c r="AT110" s="5">
        <f>'Economic Data'!H136</f>
        <v>849571.36880000005</v>
      </c>
      <c r="AU110" s="5">
        <f>'Economic Data'!I136</f>
        <v>8894.3667999999998</v>
      </c>
      <c r="AV110" s="5">
        <f>'Economic Data'!J136</f>
        <v>7875.2828</v>
      </c>
      <c r="AW110" s="5">
        <f>'Economic Data'!K136</f>
        <v>5986.6884</v>
      </c>
      <c r="AX110" s="5">
        <f>'Economic Data'!L136</f>
        <v>1245.1648</v>
      </c>
      <c r="AY110" s="5">
        <f>'Economic Data'!M136</f>
        <v>2143.0111999999999</v>
      </c>
      <c r="AZ110" s="5">
        <f>'Economic Data'!N136</f>
        <v>6942.6235999999999</v>
      </c>
      <c r="BA110" s="5">
        <f>'Economic Data'!O136</f>
        <v>110.81400000000001</v>
      </c>
      <c r="BB110" s="5">
        <f>'Economic Data'!P136</f>
        <v>120.934</v>
      </c>
      <c r="BC110" s="5">
        <f>'Economic Data'!Q136</f>
        <v>848873</v>
      </c>
      <c r="BD110" s="5">
        <f>'Economic Data'!R136</f>
        <v>8403</v>
      </c>
      <c r="BE110" s="5">
        <f>'Economic Data'!S136</f>
        <v>4025</v>
      </c>
      <c r="BF110" s="5">
        <f>'Economic Data'!T136</f>
        <v>15838</v>
      </c>
      <c r="BG110" s="5">
        <f>'EV Data'!V75</f>
        <v>106413.66666666663</v>
      </c>
      <c r="BH110" s="5">
        <f>'EV Data'!AB75</f>
        <v>543.99999999999989</v>
      </c>
      <c r="BI110" s="5">
        <f>'EV Data'!W75</f>
        <v>1569.6666666666679</v>
      </c>
      <c r="BJ110" s="5">
        <f t="shared" si="149"/>
        <v>109</v>
      </c>
      <c r="BK110" s="70">
        <f t="shared" si="93"/>
        <v>2.0374264979406238</v>
      </c>
      <c r="BL110" s="5">
        <f t="shared" si="94"/>
        <v>11881</v>
      </c>
      <c r="BM110">
        <f t="shared" si="147"/>
        <v>1</v>
      </c>
      <c r="BN110">
        <f t="shared" si="147"/>
        <v>0</v>
      </c>
      <c r="BO110">
        <f t="shared" si="147"/>
        <v>0</v>
      </c>
      <c r="BP110">
        <f t="shared" si="147"/>
        <v>0</v>
      </c>
      <c r="BQ110">
        <f t="shared" si="147"/>
        <v>0</v>
      </c>
      <c r="BR110">
        <f t="shared" si="147"/>
        <v>0</v>
      </c>
      <c r="BS110">
        <f t="shared" si="147"/>
        <v>0</v>
      </c>
      <c r="BT110">
        <f t="shared" si="147"/>
        <v>0</v>
      </c>
      <c r="BU110">
        <f t="shared" si="147"/>
        <v>0</v>
      </c>
      <c r="BV110">
        <f t="shared" si="147"/>
        <v>0</v>
      </c>
      <c r="BW110">
        <f t="shared" si="147"/>
        <v>0</v>
      </c>
      <c r="BX110">
        <f t="shared" si="147"/>
        <v>0</v>
      </c>
      <c r="BY110">
        <f t="shared" si="147"/>
        <v>0</v>
      </c>
      <c r="BZ110">
        <f t="shared" si="147"/>
        <v>0</v>
      </c>
      <c r="CA110">
        <f t="shared" si="147"/>
        <v>0</v>
      </c>
      <c r="CB110">
        <f t="shared" si="113"/>
        <v>31</v>
      </c>
      <c r="CC110">
        <v>21</v>
      </c>
      <c r="CD110">
        <v>0</v>
      </c>
      <c r="CE110">
        <v>0</v>
      </c>
      <c r="CF110">
        <v>0.25</v>
      </c>
      <c r="CG110">
        <v>0</v>
      </c>
      <c r="CH110" s="64">
        <f t="shared" ref="CH110:CU115" si="150">AA110*$CD110</f>
        <v>0</v>
      </c>
      <c r="CI110" s="64">
        <f t="shared" si="150"/>
        <v>0</v>
      </c>
      <c r="CJ110" s="64">
        <f t="shared" si="150"/>
        <v>0</v>
      </c>
      <c r="CK110" s="64">
        <f t="shared" si="150"/>
        <v>0</v>
      </c>
      <c r="CL110" s="64">
        <f t="shared" si="150"/>
        <v>0</v>
      </c>
      <c r="CM110" s="64">
        <f t="shared" si="150"/>
        <v>0</v>
      </c>
      <c r="CN110" s="64">
        <f t="shared" si="150"/>
        <v>0</v>
      </c>
      <c r="CO110" s="64">
        <f t="shared" si="150"/>
        <v>0</v>
      </c>
      <c r="CP110" s="64">
        <f t="shared" si="150"/>
        <v>0</v>
      </c>
      <c r="CQ110" s="64">
        <f t="shared" si="150"/>
        <v>0</v>
      </c>
      <c r="CR110" s="64">
        <f t="shared" si="150"/>
        <v>0</v>
      </c>
      <c r="CS110" s="64">
        <f t="shared" si="150"/>
        <v>0</v>
      </c>
      <c r="CT110" s="64">
        <f t="shared" si="150"/>
        <v>0</v>
      </c>
      <c r="CU110" s="64">
        <f t="shared" si="150"/>
        <v>0</v>
      </c>
      <c r="CV110" s="69">
        <f t="shared" ref="CV110:CV115" si="151">E110/$CB110/F110</f>
        <v>24.303556738746174</v>
      </c>
      <c r="CW110" s="69">
        <f t="shared" ref="CW110:CW115" si="152">I110/$CB110/O110</f>
        <v>950.90422686625573</v>
      </c>
      <c r="CX110" s="69">
        <f t="shared" si="95"/>
        <v>3350.31774129622</v>
      </c>
      <c r="CY110" s="69">
        <f t="shared" ref="CY110:CY115" si="153">X110/$CC110/Z110</f>
        <v>36327.767738095237</v>
      </c>
      <c r="CZ110" s="64">
        <f t="shared" si="96"/>
        <v>2269.5700828135682</v>
      </c>
      <c r="DA110" s="64">
        <f t="shared" ref="DA110:DA115" si="154">X110/$CB110/Z110</f>
        <v>24609.132983870968</v>
      </c>
      <c r="DB110" s="64">
        <f t="shared" si="97"/>
        <v>152.67500000000001</v>
      </c>
      <c r="DC110" s="64">
        <f t="shared" si="98"/>
        <v>0</v>
      </c>
      <c r="DD110" s="64">
        <f t="shared" si="99"/>
        <v>137.17500000000001</v>
      </c>
      <c r="DE110" s="64">
        <f t="shared" si="100"/>
        <v>0</v>
      </c>
      <c r="DF110" s="64">
        <f t="shared" si="101"/>
        <v>121.67500000000003</v>
      </c>
      <c r="DG110" s="64">
        <f t="shared" si="102"/>
        <v>0</v>
      </c>
      <c r="DH110" s="64">
        <f t="shared" si="103"/>
        <v>106.17500000000003</v>
      </c>
      <c r="DI110" s="64">
        <f t="shared" si="104"/>
        <v>0</v>
      </c>
      <c r="DJ110" s="64">
        <f t="shared" si="105"/>
        <v>90.675000000000026</v>
      </c>
      <c r="DK110" s="64">
        <f t="shared" si="106"/>
        <v>0</v>
      </c>
      <c r="DL110" s="64">
        <f t="shared" si="107"/>
        <v>75.175000000000011</v>
      </c>
      <c r="DM110" s="64">
        <f t="shared" si="108"/>
        <v>0</v>
      </c>
      <c r="DN110" s="64">
        <f t="shared" si="109"/>
        <v>59.825000000000003</v>
      </c>
      <c r="DO110" s="64">
        <f t="shared" si="110"/>
        <v>0.14999999999999991</v>
      </c>
      <c r="DP110" s="2">
        <f t="shared" si="148"/>
        <v>85</v>
      </c>
      <c r="DQ110" s="2">
        <f t="shared" si="148"/>
        <v>73</v>
      </c>
      <c r="DR110" s="2">
        <f t="shared" si="148"/>
        <v>61</v>
      </c>
      <c r="DS110" s="2">
        <f t="shared" si="148"/>
        <v>49</v>
      </c>
      <c r="DT110" s="2">
        <f t="shared" si="148"/>
        <v>37</v>
      </c>
      <c r="DU110" s="2">
        <f t="shared" si="115"/>
        <v>4</v>
      </c>
      <c r="DV110" s="2">
        <f t="shared" si="116"/>
        <v>24609.132983870968</v>
      </c>
      <c r="DW110" s="2">
        <f t="shared" si="142"/>
        <v>3051532.49</v>
      </c>
    </row>
    <row r="111" spans="1:127">
      <c r="A111" s="3">
        <v>44958</v>
      </c>
      <c r="B111">
        <f t="shared" si="117"/>
        <v>2023</v>
      </c>
      <c r="C111" s="112">
        <v>18145361.049486008</v>
      </c>
      <c r="D111" s="225">
        <f>VLOOKUP(B111,'Historic CDM'!$B$135:$H$147,2,FALSE)/12</f>
        <v>1180139.3153653573</v>
      </c>
      <c r="E111" s="2">
        <f t="shared" si="118"/>
        <v>19325500.364851363</v>
      </c>
      <c r="F111" s="6">
        <v>28868</v>
      </c>
      <c r="G111" s="112">
        <v>4894875.5573279932</v>
      </c>
      <c r="H111" s="2">
        <f>VLOOKUP(B111,'Historic CDM'!$B$135:$H$147,3,FALSE)/12</f>
        <v>1197125.69573412</v>
      </c>
      <c r="I111" s="2">
        <f t="shared" si="119"/>
        <v>6092001.2530621132</v>
      </c>
      <c r="J111" s="6">
        <v>2063</v>
      </c>
      <c r="K111" s="112">
        <v>13054925.880000012</v>
      </c>
      <c r="L111" s="225">
        <f>VLOOKUP(B111,'Historic CDM'!$B$135:$H$147,4,FALSE)/12</f>
        <v>1499293.7806216448</v>
      </c>
      <c r="M111" s="225">
        <f t="shared" si="123"/>
        <v>14554219.660621656</v>
      </c>
      <c r="N111" s="112">
        <v>51519</v>
      </c>
      <c r="O111" s="220">
        <v>225</v>
      </c>
      <c r="P111" s="112">
        <v>229668.75905359728</v>
      </c>
      <c r="Q111" s="112">
        <v>607.6</v>
      </c>
      <c r="R111" s="220">
        <v>2799</v>
      </c>
      <c r="S111" s="112">
        <v>22593.915982617091</v>
      </c>
      <c r="T111" s="112">
        <v>61.64</v>
      </c>
      <c r="U111" s="220">
        <v>223</v>
      </c>
      <c r="V111" s="112">
        <v>117391.59826170931</v>
      </c>
      <c r="W111" s="220">
        <v>125</v>
      </c>
      <c r="X111" s="225">
        <v>2758376.97</v>
      </c>
      <c r="Y111" s="112">
        <v>7783</v>
      </c>
      <c r="Z111" s="220">
        <v>4</v>
      </c>
      <c r="AA111" s="100">
        <f>'Weather Data'!D267</f>
        <v>547.23552299140999</v>
      </c>
      <c r="AB111" s="100">
        <f>'Weather Data'!E267</f>
        <v>0</v>
      </c>
      <c r="AC111" s="100">
        <f>'Weather Data'!F267</f>
        <v>491.23552299140994</v>
      </c>
      <c r="AD111" s="100">
        <f>'Weather Data'!G267</f>
        <v>0</v>
      </c>
      <c r="AE111" s="100">
        <f>'Weather Data'!H267</f>
        <v>435.23552299140994</v>
      </c>
      <c r="AF111" s="100">
        <f>'Weather Data'!I267</f>
        <v>0</v>
      </c>
      <c r="AG111" s="100">
        <f>'Weather Data'!J267</f>
        <v>379.23552299140988</v>
      </c>
      <c r="AH111" s="100">
        <f>'Weather Data'!K267</f>
        <v>0</v>
      </c>
      <c r="AI111" s="100">
        <f>'Weather Data'!L267</f>
        <v>323.23552299140982</v>
      </c>
      <c r="AJ111" s="100">
        <f>'Weather Data'!M267</f>
        <v>0</v>
      </c>
      <c r="AK111" s="100">
        <f>'Weather Data'!N267</f>
        <v>267.23552299140982</v>
      </c>
      <c r="AL111" s="100">
        <f>'Weather Data'!O267</f>
        <v>0</v>
      </c>
      <c r="AM111" s="100">
        <f>'Weather Data'!P267</f>
        <v>213.03552299140983</v>
      </c>
      <c r="AN111" s="100">
        <f>'Weather Data'!Q267</f>
        <v>1.8000000000000007</v>
      </c>
      <c r="AO111" s="100">
        <f>'Weather Data'!R267</f>
        <v>0.45587417887822124</v>
      </c>
      <c r="AP111" s="5">
        <f>'Economic Data'!D137</f>
        <v>7833.9</v>
      </c>
      <c r="AQ111" s="5">
        <f>'Economic Data'!E137</f>
        <v>7780.5</v>
      </c>
      <c r="AR111" s="5">
        <f>'Economic Data'!F137</f>
        <v>190</v>
      </c>
      <c r="AS111" s="5">
        <f>'Economic Data'!G137</f>
        <v>189.5</v>
      </c>
      <c r="AT111" s="5">
        <f>'Economic Data'!H137</f>
        <v>849571.36880000005</v>
      </c>
      <c r="AU111" s="5">
        <f>'Economic Data'!I137</f>
        <v>8894.3667999999998</v>
      </c>
      <c r="AV111" s="5">
        <f>'Economic Data'!J137</f>
        <v>7875.2828</v>
      </c>
      <c r="AW111" s="5">
        <f>'Economic Data'!K137</f>
        <v>5986.6884</v>
      </c>
      <c r="AX111" s="5">
        <f>'Economic Data'!L137</f>
        <v>1245.1648</v>
      </c>
      <c r="AY111" s="5">
        <f>'Economic Data'!M137</f>
        <v>2143.0111999999999</v>
      </c>
      <c r="AZ111" s="5">
        <f>'Economic Data'!N137</f>
        <v>6942.6235999999999</v>
      </c>
      <c r="BA111" s="5">
        <f>'Economic Data'!O137</f>
        <v>110.81400000000001</v>
      </c>
      <c r="BB111" s="5">
        <f>'Economic Data'!P137</f>
        <v>120.934</v>
      </c>
      <c r="BC111" s="5">
        <f>'Economic Data'!Q137</f>
        <v>848873</v>
      </c>
      <c r="BD111" s="5">
        <f>'Economic Data'!R137</f>
        <v>8403</v>
      </c>
      <c r="BE111" s="5">
        <f>'Economic Data'!S137</f>
        <v>4025</v>
      </c>
      <c r="BF111" s="5">
        <f>'Economic Data'!T137</f>
        <v>15838</v>
      </c>
      <c r="BG111" s="5">
        <f>'EV Data'!V76</f>
        <v>109231.3333333333</v>
      </c>
      <c r="BH111" s="5">
        <f>'EV Data'!AB76</f>
        <v>557.99999999999989</v>
      </c>
      <c r="BI111" s="5">
        <f>'EV Data'!W76</f>
        <v>1613.3333333333346</v>
      </c>
      <c r="BJ111" s="5">
        <f t="shared" si="149"/>
        <v>110</v>
      </c>
      <c r="BK111" s="70">
        <f t="shared" si="93"/>
        <v>2.0413926851582249</v>
      </c>
      <c r="BL111" s="5">
        <f t="shared" si="94"/>
        <v>12100</v>
      </c>
      <c r="BM111">
        <f t="shared" si="147"/>
        <v>0</v>
      </c>
      <c r="BN111">
        <f t="shared" si="147"/>
        <v>1</v>
      </c>
      <c r="BO111">
        <f t="shared" si="147"/>
        <v>0</v>
      </c>
      <c r="BP111">
        <f t="shared" si="147"/>
        <v>0</v>
      </c>
      <c r="BQ111">
        <f t="shared" si="147"/>
        <v>0</v>
      </c>
      <c r="BR111">
        <f t="shared" si="147"/>
        <v>0</v>
      </c>
      <c r="BS111">
        <f t="shared" si="147"/>
        <v>0</v>
      </c>
      <c r="BT111">
        <f t="shared" si="147"/>
        <v>0</v>
      </c>
      <c r="BU111">
        <f t="shared" si="147"/>
        <v>0</v>
      </c>
      <c r="BV111">
        <f t="shared" si="147"/>
        <v>0</v>
      </c>
      <c r="BW111">
        <f t="shared" si="147"/>
        <v>0</v>
      </c>
      <c r="BX111">
        <f t="shared" si="147"/>
        <v>0</v>
      </c>
      <c r="BY111">
        <f t="shared" si="147"/>
        <v>0</v>
      </c>
      <c r="BZ111">
        <f t="shared" si="147"/>
        <v>0</v>
      </c>
      <c r="CA111">
        <f t="shared" si="147"/>
        <v>0</v>
      </c>
      <c r="CB111">
        <f t="shared" si="113"/>
        <v>28</v>
      </c>
      <c r="CC111">
        <v>19</v>
      </c>
      <c r="CD111">
        <v>0</v>
      </c>
      <c r="CE111">
        <f t="shared" ref="CE111:CE121" si="155">CE110</f>
        <v>0</v>
      </c>
      <c r="CF111">
        <f t="shared" ref="CF111:CF121" si="156">CF110</f>
        <v>0.25</v>
      </c>
      <c r="CG111">
        <v>0</v>
      </c>
      <c r="CH111" s="64">
        <f t="shared" si="150"/>
        <v>0</v>
      </c>
      <c r="CI111" s="64">
        <f t="shared" si="150"/>
        <v>0</v>
      </c>
      <c r="CJ111" s="64">
        <f t="shared" si="150"/>
        <v>0</v>
      </c>
      <c r="CK111" s="64">
        <f t="shared" si="150"/>
        <v>0</v>
      </c>
      <c r="CL111" s="64">
        <f t="shared" si="150"/>
        <v>0</v>
      </c>
      <c r="CM111" s="64">
        <f t="shared" si="150"/>
        <v>0</v>
      </c>
      <c r="CN111" s="64">
        <f t="shared" si="150"/>
        <v>0</v>
      </c>
      <c r="CO111" s="64">
        <f t="shared" si="150"/>
        <v>0</v>
      </c>
      <c r="CP111" s="64">
        <f t="shared" si="150"/>
        <v>0</v>
      </c>
      <c r="CQ111" s="64">
        <f t="shared" si="150"/>
        <v>0</v>
      </c>
      <c r="CR111" s="64">
        <f t="shared" si="150"/>
        <v>0</v>
      </c>
      <c r="CS111" s="64">
        <f t="shared" si="150"/>
        <v>0</v>
      </c>
      <c r="CT111" s="64">
        <f t="shared" si="150"/>
        <v>0</v>
      </c>
      <c r="CU111" s="64">
        <f t="shared" si="150"/>
        <v>0</v>
      </c>
      <c r="CV111" s="69">
        <f t="shared" si="151"/>
        <v>23.908703117702451</v>
      </c>
      <c r="CW111" s="69">
        <f t="shared" si="152"/>
        <v>966.98432588287517</v>
      </c>
      <c r="CX111" s="69">
        <f t="shared" si="95"/>
        <v>3404.4958270460015</v>
      </c>
      <c r="CY111" s="69">
        <f t="shared" si="153"/>
        <v>36294.433815789474</v>
      </c>
      <c r="CZ111" s="64">
        <f t="shared" si="96"/>
        <v>2310.1935969240722</v>
      </c>
      <c r="DA111" s="64">
        <f t="shared" si="154"/>
        <v>24628.365803571429</v>
      </c>
      <c r="DB111" s="64">
        <f t="shared" si="97"/>
        <v>136.8088807478525</v>
      </c>
      <c r="DC111" s="64">
        <f t="shared" si="98"/>
        <v>0</v>
      </c>
      <c r="DD111" s="64">
        <f t="shared" si="99"/>
        <v>122.80888074785248</v>
      </c>
      <c r="DE111" s="64">
        <f t="shared" si="100"/>
        <v>0</v>
      </c>
      <c r="DF111" s="64">
        <f t="shared" si="101"/>
        <v>108.80888074785248</v>
      </c>
      <c r="DG111" s="64">
        <f t="shared" si="102"/>
        <v>0</v>
      </c>
      <c r="DH111" s="64">
        <f t="shared" si="103"/>
        <v>94.80888074785247</v>
      </c>
      <c r="DI111" s="64">
        <f t="shared" si="104"/>
        <v>0</v>
      </c>
      <c r="DJ111" s="64">
        <f t="shared" si="105"/>
        <v>80.808880747852456</v>
      </c>
      <c r="DK111" s="64">
        <f t="shared" si="106"/>
        <v>0</v>
      </c>
      <c r="DL111" s="64">
        <f t="shared" si="107"/>
        <v>66.808880747852456</v>
      </c>
      <c r="DM111" s="64">
        <f t="shared" si="108"/>
        <v>0</v>
      </c>
      <c r="DN111" s="64">
        <f t="shared" si="109"/>
        <v>53.258880747852459</v>
      </c>
      <c r="DO111" s="64">
        <f t="shared" si="110"/>
        <v>0.45000000000000018</v>
      </c>
      <c r="DP111" s="2">
        <f t="shared" si="148"/>
        <v>86</v>
      </c>
      <c r="DQ111" s="2">
        <f t="shared" si="148"/>
        <v>74</v>
      </c>
      <c r="DR111" s="2">
        <f t="shared" si="148"/>
        <v>62</v>
      </c>
      <c r="DS111" s="2">
        <f t="shared" si="148"/>
        <v>50</v>
      </c>
      <c r="DT111" s="2">
        <f t="shared" si="148"/>
        <v>38</v>
      </c>
      <c r="DU111" s="2">
        <f t="shared" si="115"/>
        <v>4</v>
      </c>
      <c r="DV111" s="2">
        <f t="shared" si="116"/>
        <v>24628.365803571429</v>
      </c>
      <c r="DW111" s="2">
        <f t="shared" si="142"/>
        <v>2758376.97</v>
      </c>
    </row>
    <row r="112" spans="1:127">
      <c r="A112" s="3">
        <v>44986</v>
      </c>
      <c r="B112">
        <f t="shared" si="117"/>
        <v>2023</v>
      </c>
      <c r="C112" s="6">
        <v>19223053.108577978</v>
      </c>
      <c r="D112" s="225">
        <f>VLOOKUP(B112,'Historic CDM'!$B$135:$H$147,2,FALSE)/12</f>
        <v>1180139.3153653573</v>
      </c>
      <c r="E112" s="2">
        <f t="shared" si="118"/>
        <v>20403192.423943333</v>
      </c>
      <c r="F112" s="6">
        <v>28871</v>
      </c>
      <c r="G112" s="6">
        <v>5313988.2727750065</v>
      </c>
      <c r="H112" s="2">
        <f>VLOOKUP(B112,'Historic CDM'!$B$135:$H$147,3,FALSE)/12</f>
        <v>1197125.69573412</v>
      </c>
      <c r="I112" s="2">
        <f t="shared" si="119"/>
        <v>6511113.9685091265</v>
      </c>
      <c r="J112" s="6">
        <v>2061</v>
      </c>
      <c r="K112" s="6">
        <v>14453807.679999996</v>
      </c>
      <c r="L112" s="225">
        <f>VLOOKUP(B112,'Historic CDM'!$B$135:$H$147,4,FALSE)/12</f>
        <v>1499293.7806216448</v>
      </c>
      <c r="M112" s="225">
        <f t="shared" si="123"/>
        <v>15953101.46062164</v>
      </c>
      <c r="N112" s="6">
        <v>46259</v>
      </c>
      <c r="O112" s="220">
        <v>225</v>
      </c>
      <c r="P112" s="6">
        <v>214709.80202800577</v>
      </c>
      <c r="Q112" s="6">
        <v>609.6</v>
      </c>
      <c r="R112" s="220">
        <v>2808</v>
      </c>
      <c r="S112" s="6">
        <v>22207.629164654754</v>
      </c>
      <c r="T112" s="6">
        <v>60.58</v>
      </c>
      <c r="U112" s="220">
        <v>223</v>
      </c>
      <c r="V112" s="6">
        <v>117391.59826170931</v>
      </c>
      <c r="W112" s="220">
        <v>125</v>
      </c>
      <c r="X112" s="225">
        <v>2464136.4899999998</v>
      </c>
      <c r="Y112" s="6">
        <v>7150</v>
      </c>
      <c r="Z112" s="220">
        <v>4</v>
      </c>
      <c r="AA112" s="100">
        <f>'Weather Data'!D268</f>
        <v>542.1</v>
      </c>
      <c r="AB112" s="100">
        <f>'Weather Data'!E268</f>
        <v>0</v>
      </c>
      <c r="AC112" s="100">
        <f>'Weather Data'!F268</f>
        <v>480.09999999999997</v>
      </c>
      <c r="AD112" s="100">
        <f>'Weather Data'!G268</f>
        <v>0</v>
      </c>
      <c r="AE112" s="100">
        <f>'Weather Data'!H268</f>
        <v>418.09999999999997</v>
      </c>
      <c r="AF112" s="100">
        <f>'Weather Data'!I268</f>
        <v>0</v>
      </c>
      <c r="AG112" s="100">
        <f>'Weather Data'!J268</f>
        <v>356.09999999999997</v>
      </c>
      <c r="AH112" s="100">
        <f>'Weather Data'!K268</f>
        <v>0</v>
      </c>
      <c r="AI112" s="100">
        <f>'Weather Data'!L268</f>
        <v>294.10000000000002</v>
      </c>
      <c r="AJ112" s="100">
        <f>'Weather Data'!M268</f>
        <v>0</v>
      </c>
      <c r="AK112" s="100">
        <f>'Weather Data'!N268</f>
        <v>232.10000000000008</v>
      </c>
      <c r="AL112" s="100">
        <f>'Weather Data'!O268</f>
        <v>0</v>
      </c>
      <c r="AM112" s="100">
        <f>'Weather Data'!P268</f>
        <v>170.10000000000008</v>
      </c>
      <c r="AN112" s="100">
        <f>'Weather Data'!Q268</f>
        <v>0</v>
      </c>
      <c r="AO112" s="100">
        <f>'Weather Data'!R268</f>
        <v>2.5129032258064519</v>
      </c>
      <c r="AP112" s="5">
        <f>'Economic Data'!D138</f>
        <v>7867.2</v>
      </c>
      <c r="AQ112" s="5">
        <f>'Economic Data'!E138</f>
        <v>7781.3</v>
      </c>
      <c r="AR112" s="5">
        <f>'Economic Data'!F138</f>
        <v>192</v>
      </c>
      <c r="AS112" s="5">
        <f>'Economic Data'!G138</f>
        <v>189.8</v>
      </c>
      <c r="AT112" s="5">
        <f>'Economic Data'!H138</f>
        <v>849571.36880000005</v>
      </c>
      <c r="AU112" s="5">
        <f>'Economic Data'!I138</f>
        <v>8894.3667999999998</v>
      </c>
      <c r="AV112" s="5">
        <f>'Economic Data'!J138</f>
        <v>7875.2828</v>
      </c>
      <c r="AW112" s="5">
        <f>'Economic Data'!K138</f>
        <v>5986.6884</v>
      </c>
      <c r="AX112" s="5">
        <f>'Economic Data'!L138</f>
        <v>1245.1648</v>
      </c>
      <c r="AY112" s="5">
        <f>'Economic Data'!M138</f>
        <v>2143.0111999999999</v>
      </c>
      <c r="AZ112" s="5">
        <f>'Economic Data'!N138</f>
        <v>6942.6235999999999</v>
      </c>
      <c r="BA112" s="5">
        <f>'Economic Data'!O138</f>
        <v>110.81400000000001</v>
      </c>
      <c r="BB112" s="5">
        <f>'Economic Data'!P138</f>
        <v>120.934</v>
      </c>
      <c r="BC112" s="5">
        <f>'Economic Data'!Q138</f>
        <v>848873</v>
      </c>
      <c r="BD112" s="5">
        <f>'Economic Data'!R138</f>
        <v>8403</v>
      </c>
      <c r="BE112" s="5">
        <f>'Economic Data'!S138</f>
        <v>4025</v>
      </c>
      <c r="BF112" s="5">
        <f>'Economic Data'!T138</f>
        <v>15838</v>
      </c>
      <c r="BG112" s="5">
        <f>'EV Data'!V77</f>
        <v>112048.99999999997</v>
      </c>
      <c r="BH112" s="5">
        <f>'EV Data'!AB77</f>
        <v>571.99999999999989</v>
      </c>
      <c r="BI112" s="5">
        <f>'EV Data'!W77</f>
        <v>1657.0000000000014</v>
      </c>
      <c r="BJ112" s="5">
        <f t="shared" si="149"/>
        <v>111</v>
      </c>
      <c r="BK112" s="70">
        <f t="shared" si="93"/>
        <v>2.0453229787866576</v>
      </c>
      <c r="BL112" s="5">
        <f t="shared" si="94"/>
        <v>12321</v>
      </c>
      <c r="BM112">
        <f t="shared" si="147"/>
        <v>0</v>
      </c>
      <c r="BN112">
        <f t="shared" si="147"/>
        <v>0</v>
      </c>
      <c r="BO112">
        <f t="shared" si="147"/>
        <v>1</v>
      </c>
      <c r="BP112">
        <f t="shared" si="147"/>
        <v>0</v>
      </c>
      <c r="BQ112">
        <f t="shared" si="147"/>
        <v>0</v>
      </c>
      <c r="BR112">
        <f t="shared" si="147"/>
        <v>0</v>
      </c>
      <c r="BS112">
        <f t="shared" si="147"/>
        <v>0</v>
      </c>
      <c r="BT112">
        <f t="shared" si="147"/>
        <v>0</v>
      </c>
      <c r="BU112">
        <f t="shared" si="147"/>
        <v>0</v>
      </c>
      <c r="BV112">
        <f t="shared" si="147"/>
        <v>0</v>
      </c>
      <c r="BW112">
        <f t="shared" si="147"/>
        <v>0</v>
      </c>
      <c r="BX112">
        <f t="shared" si="147"/>
        <v>0</v>
      </c>
      <c r="BY112">
        <f t="shared" si="147"/>
        <v>1</v>
      </c>
      <c r="BZ112">
        <f t="shared" si="147"/>
        <v>0</v>
      </c>
      <c r="CA112">
        <f t="shared" si="147"/>
        <v>1</v>
      </c>
      <c r="CB112">
        <f t="shared" si="113"/>
        <v>31</v>
      </c>
      <c r="CC112">
        <v>23</v>
      </c>
      <c r="CD112">
        <v>0</v>
      </c>
      <c r="CE112">
        <f t="shared" si="155"/>
        <v>0</v>
      </c>
      <c r="CF112">
        <f t="shared" si="156"/>
        <v>0.25</v>
      </c>
      <c r="CG112">
        <v>0</v>
      </c>
      <c r="CH112" s="64">
        <f t="shared" si="150"/>
        <v>0</v>
      </c>
      <c r="CI112" s="64">
        <f t="shared" si="150"/>
        <v>0</v>
      </c>
      <c r="CJ112" s="64">
        <f t="shared" si="150"/>
        <v>0</v>
      </c>
      <c r="CK112" s="64">
        <f t="shared" si="150"/>
        <v>0</v>
      </c>
      <c r="CL112" s="64">
        <f t="shared" si="150"/>
        <v>0</v>
      </c>
      <c r="CM112" s="64">
        <f t="shared" si="150"/>
        <v>0</v>
      </c>
      <c r="CN112" s="64">
        <f t="shared" si="150"/>
        <v>0</v>
      </c>
      <c r="CO112" s="64">
        <f t="shared" si="150"/>
        <v>0</v>
      </c>
      <c r="CP112" s="64">
        <f t="shared" si="150"/>
        <v>0</v>
      </c>
      <c r="CQ112" s="64">
        <f t="shared" si="150"/>
        <v>0</v>
      </c>
      <c r="CR112" s="64">
        <f t="shared" si="150"/>
        <v>0</v>
      </c>
      <c r="CS112" s="64">
        <f t="shared" si="150"/>
        <v>0</v>
      </c>
      <c r="CT112" s="64">
        <f t="shared" si="150"/>
        <v>0</v>
      </c>
      <c r="CU112" s="64">
        <f t="shared" si="150"/>
        <v>0</v>
      </c>
      <c r="CV112" s="69">
        <f t="shared" si="151"/>
        <v>22.796837572185208</v>
      </c>
      <c r="CW112" s="69">
        <f t="shared" si="152"/>
        <v>933.49304208016156</v>
      </c>
      <c r="CX112" s="69">
        <f t="shared" si="95"/>
        <v>3082.7249199268867</v>
      </c>
      <c r="CY112" s="69">
        <f t="shared" si="153"/>
        <v>26784.092282608693</v>
      </c>
      <c r="CZ112" s="64">
        <f t="shared" si="96"/>
        <v>2287.1830051070451</v>
      </c>
      <c r="DA112" s="64">
        <f t="shared" si="154"/>
        <v>19872.068467741934</v>
      </c>
      <c r="DB112" s="64">
        <f t="shared" si="97"/>
        <v>135.52500000000001</v>
      </c>
      <c r="DC112" s="64">
        <f t="shared" si="98"/>
        <v>0</v>
      </c>
      <c r="DD112" s="64">
        <f t="shared" si="99"/>
        <v>120.02499999999999</v>
      </c>
      <c r="DE112" s="64">
        <f t="shared" si="100"/>
        <v>0</v>
      </c>
      <c r="DF112" s="64">
        <f t="shared" si="101"/>
        <v>104.52499999999999</v>
      </c>
      <c r="DG112" s="64">
        <f t="shared" si="102"/>
        <v>0</v>
      </c>
      <c r="DH112" s="64">
        <f t="shared" si="103"/>
        <v>89.024999999999991</v>
      </c>
      <c r="DI112" s="64">
        <f t="shared" si="104"/>
        <v>0</v>
      </c>
      <c r="DJ112" s="64">
        <f t="shared" si="105"/>
        <v>73.525000000000006</v>
      </c>
      <c r="DK112" s="64">
        <f t="shared" si="106"/>
        <v>0</v>
      </c>
      <c r="DL112" s="64">
        <f t="shared" si="107"/>
        <v>58.02500000000002</v>
      </c>
      <c r="DM112" s="64">
        <f t="shared" si="108"/>
        <v>0</v>
      </c>
      <c r="DN112" s="64">
        <f t="shared" si="109"/>
        <v>42.52500000000002</v>
      </c>
      <c r="DO112" s="64">
        <f t="shared" si="110"/>
        <v>0</v>
      </c>
      <c r="DP112" s="2">
        <f t="shared" si="148"/>
        <v>87</v>
      </c>
      <c r="DQ112" s="2">
        <f t="shared" si="148"/>
        <v>75</v>
      </c>
      <c r="DR112" s="2">
        <f t="shared" si="148"/>
        <v>63</v>
      </c>
      <c r="DS112" s="2">
        <f t="shared" si="148"/>
        <v>51</v>
      </c>
      <c r="DT112" s="2">
        <f t="shared" si="148"/>
        <v>39</v>
      </c>
      <c r="DU112" s="2">
        <f t="shared" si="115"/>
        <v>4</v>
      </c>
      <c r="DV112" s="2">
        <f t="shared" si="116"/>
        <v>19872.068467741934</v>
      </c>
      <c r="DW112" s="2">
        <f t="shared" si="142"/>
        <v>2464136.4899999998</v>
      </c>
    </row>
    <row r="113" spans="1:127">
      <c r="A113" s="3">
        <v>45017</v>
      </c>
      <c r="B113">
        <f t="shared" si="117"/>
        <v>2023</v>
      </c>
      <c r="C113" s="6">
        <v>17088738.537889868</v>
      </c>
      <c r="D113" s="225">
        <f>VLOOKUP(B113,'Historic CDM'!$B$135:$H$147,2,FALSE)/12</f>
        <v>1180139.3153653573</v>
      </c>
      <c r="E113" s="2">
        <f t="shared" si="118"/>
        <v>18268877.853255227</v>
      </c>
      <c r="F113" s="6">
        <v>28872</v>
      </c>
      <c r="G113" s="6">
        <v>4785878.6498959986</v>
      </c>
      <c r="H113" s="2">
        <f>VLOOKUP(B113,'Historic CDM'!$B$135:$H$147,3,FALSE)/12</f>
        <v>1197125.69573412</v>
      </c>
      <c r="I113" s="2">
        <f t="shared" si="119"/>
        <v>5983004.3456301186</v>
      </c>
      <c r="J113" s="6">
        <v>2059</v>
      </c>
      <c r="K113" s="6">
        <v>13125174.35</v>
      </c>
      <c r="L113" s="225">
        <f>VLOOKUP(B113,'Historic CDM'!$B$135:$H$147,4,FALSE)/12</f>
        <v>1499293.7806216448</v>
      </c>
      <c r="M113" s="225">
        <f t="shared" si="123"/>
        <v>14624468.130621644</v>
      </c>
      <c r="N113" s="6">
        <v>46015</v>
      </c>
      <c r="O113" s="220">
        <v>225</v>
      </c>
      <c r="P113" s="6">
        <v>179203.28343795266</v>
      </c>
      <c r="Q113" s="6">
        <v>609.5</v>
      </c>
      <c r="R113" s="220">
        <v>2808</v>
      </c>
      <c r="S113" s="6">
        <v>21977.788507967165</v>
      </c>
      <c r="T113" s="6">
        <v>59.96</v>
      </c>
      <c r="U113" s="220">
        <v>222</v>
      </c>
      <c r="V113" s="6">
        <v>117391.59826170931</v>
      </c>
      <c r="W113" s="220">
        <v>125</v>
      </c>
      <c r="X113" s="225">
        <v>2549361.0900000003</v>
      </c>
      <c r="Y113" s="6">
        <v>6981</v>
      </c>
      <c r="Z113" s="220">
        <v>4</v>
      </c>
      <c r="AA113" s="100">
        <f>'Weather Data'!D269</f>
        <v>319.59999999999997</v>
      </c>
      <c r="AB113" s="100">
        <f>'Weather Data'!E269</f>
        <v>0</v>
      </c>
      <c r="AC113" s="100">
        <f>'Weather Data'!F269</f>
        <v>263.89999999999998</v>
      </c>
      <c r="AD113" s="100">
        <f>'Weather Data'!G269</f>
        <v>4.2999999999999972</v>
      </c>
      <c r="AE113" s="100">
        <f>'Weather Data'!H269</f>
        <v>211.8</v>
      </c>
      <c r="AF113" s="100">
        <f>'Weather Data'!I269</f>
        <v>12.2</v>
      </c>
      <c r="AG113" s="100">
        <f>'Weather Data'!J269</f>
        <v>164.3</v>
      </c>
      <c r="AH113" s="100">
        <f>'Weather Data'!K269</f>
        <v>24.699999999999996</v>
      </c>
      <c r="AI113" s="100">
        <f>'Weather Data'!L269</f>
        <v>118.80000000000001</v>
      </c>
      <c r="AJ113" s="100">
        <f>'Weather Data'!M269</f>
        <v>39.199999999999996</v>
      </c>
      <c r="AK113" s="100">
        <f>'Weather Data'!N269</f>
        <v>78.7</v>
      </c>
      <c r="AL113" s="100">
        <f>'Weather Data'!O269</f>
        <v>59.099999999999994</v>
      </c>
      <c r="AM113" s="100">
        <f>'Weather Data'!P269</f>
        <v>44.4</v>
      </c>
      <c r="AN113" s="100">
        <f>'Weather Data'!Q269</f>
        <v>84.800000000000011</v>
      </c>
      <c r="AO113" s="100">
        <f>'Weather Data'!R269</f>
        <v>9.3466666666666676</v>
      </c>
      <c r="AP113" s="5">
        <f>'Economic Data'!D139</f>
        <v>7890.5</v>
      </c>
      <c r="AQ113" s="5">
        <f>'Economic Data'!E139</f>
        <v>7819.6</v>
      </c>
      <c r="AR113" s="5">
        <f>'Economic Data'!F139</f>
        <v>190.9</v>
      </c>
      <c r="AS113" s="5">
        <f>'Economic Data'!G139</f>
        <v>190.1</v>
      </c>
      <c r="AT113" s="5">
        <f>'Economic Data'!H139</f>
        <v>849571.36880000005</v>
      </c>
      <c r="AU113" s="5">
        <f>'Economic Data'!I139</f>
        <v>8894.3667999999998</v>
      </c>
      <c r="AV113" s="5">
        <f>'Economic Data'!J139</f>
        <v>7875.2828</v>
      </c>
      <c r="AW113" s="5">
        <f>'Economic Data'!K139</f>
        <v>5986.6884</v>
      </c>
      <c r="AX113" s="5">
        <f>'Economic Data'!L139</f>
        <v>1245.1648</v>
      </c>
      <c r="AY113" s="5">
        <f>'Economic Data'!M139</f>
        <v>2143.0111999999999</v>
      </c>
      <c r="AZ113" s="5">
        <f>'Economic Data'!N139</f>
        <v>6942.6235999999999</v>
      </c>
      <c r="BA113" s="5">
        <f>'Economic Data'!O139</f>
        <v>110.81400000000001</v>
      </c>
      <c r="BB113" s="5">
        <f>'Economic Data'!P139</f>
        <v>120.934</v>
      </c>
      <c r="BC113" s="5">
        <f>'Economic Data'!Q139</f>
        <v>852586</v>
      </c>
      <c r="BD113" s="5">
        <f>'Economic Data'!R139</f>
        <v>8060</v>
      </c>
      <c r="BE113" s="5">
        <f>'Economic Data'!S139</f>
        <v>4050</v>
      </c>
      <c r="BF113" s="5">
        <f>'Economic Data'!T139</f>
        <v>16563</v>
      </c>
      <c r="BG113" s="5">
        <f>'EV Data'!V78</f>
        <v>116299.3333333333</v>
      </c>
      <c r="BH113" s="5">
        <f>'EV Data'!AB78</f>
        <v>592.99999999999989</v>
      </c>
      <c r="BI113" s="5">
        <f>'EV Data'!W78</f>
        <v>1720.0000000000014</v>
      </c>
      <c r="BJ113" s="5">
        <f t="shared" si="149"/>
        <v>112</v>
      </c>
      <c r="BK113" s="70">
        <f t="shared" si="93"/>
        <v>2.0492180226701815</v>
      </c>
      <c r="BL113" s="5">
        <f t="shared" si="94"/>
        <v>12544</v>
      </c>
      <c r="BM113">
        <f t="shared" si="147"/>
        <v>0</v>
      </c>
      <c r="BN113">
        <f t="shared" si="147"/>
        <v>0</v>
      </c>
      <c r="BO113">
        <f t="shared" si="147"/>
        <v>0</v>
      </c>
      <c r="BP113">
        <f t="shared" si="147"/>
        <v>1</v>
      </c>
      <c r="BQ113">
        <f t="shared" si="147"/>
        <v>0</v>
      </c>
      <c r="BR113">
        <f t="shared" si="147"/>
        <v>0</v>
      </c>
      <c r="BS113">
        <f t="shared" si="147"/>
        <v>0</v>
      </c>
      <c r="BT113">
        <f t="shared" si="147"/>
        <v>0</v>
      </c>
      <c r="BU113">
        <f t="shared" si="147"/>
        <v>0</v>
      </c>
      <c r="BV113">
        <f t="shared" si="147"/>
        <v>0</v>
      </c>
      <c r="BW113">
        <f t="shared" si="147"/>
        <v>0</v>
      </c>
      <c r="BX113">
        <f t="shared" si="147"/>
        <v>0</v>
      </c>
      <c r="BY113">
        <f t="shared" si="147"/>
        <v>1</v>
      </c>
      <c r="BZ113">
        <f t="shared" si="147"/>
        <v>0</v>
      </c>
      <c r="CA113">
        <f t="shared" si="147"/>
        <v>1</v>
      </c>
      <c r="CB113">
        <f t="shared" si="113"/>
        <v>30</v>
      </c>
      <c r="CC113">
        <v>19</v>
      </c>
      <c r="CD113">
        <v>0</v>
      </c>
      <c r="CE113">
        <f t="shared" si="155"/>
        <v>0</v>
      </c>
      <c r="CF113">
        <f t="shared" si="156"/>
        <v>0.25</v>
      </c>
      <c r="CG113">
        <v>0</v>
      </c>
      <c r="CH113" s="64">
        <f t="shared" si="150"/>
        <v>0</v>
      </c>
      <c r="CI113" s="64">
        <f t="shared" si="150"/>
        <v>0</v>
      </c>
      <c r="CJ113" s="64">
        <f t="shared" si="150"/>
        <v>0</v>
      </c>
      <c r="CK113" s="64">
        <f t="shared" si="150"/>
        <v>0</v>
      </c>
      <c r="CL113" s="64">
        <f t="shared" si="150"/>
        <v>0</v>
      </c>
      <c r="CM113" s="64">
        <f t="shared" si="150"/>
        <v>0</v>
      </c>
      <c r="CN113" s="64">
        <f t="shared" si="150"/>
        <v>0</v>
      </c>
      <c r="CO113" s="64">
        <f t="shared" si="150"/>
        <v>0</v>
      </c>
      <c r="CP113" s="64">
        <f t="shared" si="150"/>
        <v>0</v>
      </c>
      <c r="CQ113" s="64">
        <f t="shared" si="150"/>
        <v>0</v>
      </c>
      <c r="CR113" s="64">
        <f t="shared" si="150"/>
        <v>0</v>
      </c>
      <c r="CS113" s="64">
        <f t="shared" si="150"/>
        <v>0</v>
      </c>
      <c r="CT113" s="64">
        <f t="shared" si="150"/>
        <v>0</v>
      </c>
      <c r="CU113" s="64">
        <f t="shared" si="150"/>
        <v>0</v>
      </c>
      <c r="CV113" s="69">
        <f t="shared" si="151"/>
        <v>21.091805039779285</v>
      </c>
      <c r="CW113" s="69">
        <f t="shared" si="152"/>
        <v>886.37101416742496</v>
      </c>
      <c r="CX113" s="69">
        <f t="shared" si="95"/>
        <v>3420.9282176892734</v>
      </c>
      <c r="CY113" s="69">
        <f t="shared" si="153"/>
        <v>33544.224868421057</v>
      </c>
      <c r="CZ113" s="64">
        <f t="shared" si="96"/>
        <v>2166.5878712032063</v>
      </c>
      <c r="DA113" s="64">
        <f t="shared" si="154"/>
        <v>21244.675750000002</v>
      </c>
      <c r="DB113" s="64">
        <f t="shared" si="97"/>
        <v>79.899999999999991</v>
      </c>
      <c r="DC113" s="64">
        <f t="shared" si="98"/>
        <v>0</v>
      </c>
      <c r="DD113" s="64">
        <f t="shared" si="99"/>
        <v>65.974999999999994</v>
      </c>
      <c r="DE113" s="64">
        <f t="shared" si="100"/>
        <v>1.0749999999999993</v>
      </c>
      <c r="DF113" s="64">
        <f t="shared" si="101"/>
        <v>52.95</v>
      </c>
      <c r="DG113" s="64">
        <f t="shared" si="102"/>
        <v>3.05</v>
      </c>
      <c r="DH113" s="64">
        <f t="shared" si="103"/>
        <v>41.075000000000003</v>
      </c>
      <c r="DI113" s="64">
        <f t="shared" si="104"/>
        <v>6.1749999999999989</v>
      </c>
      <c r="DJ113" s="64">
        <f t="shared" si="105"/>
        <v>29.700000000000003</v>
      </c>
      <c r="DK113" s="64">
        <f t="shared" si="106"/>
        <v>9.7999999999999989</v>
      </c>
      <c r="DL113" s="64">
        <f t="shared" si="107"/>
        <v>19.675000000000001</v>
      </c>
      <c r="DM113" s="64">
        <f t="shared" si="108"/>
        <v>14.774999999999999</v>
      </c>
      <c r="DN113" s="64">
        <f t="shared" si="109"/>
        <v>11.1</v>
      </c>
      <c r="DO113" s="64">
        <f t="shared" si="110"/>
        <v>21.200000000000003</v>
      </c>
      <c r="DP113" s="2">
        <f t="shared" si="148"/>
        <v>88</v>
      </c>
      <c r="DQ113" s="2">
        <f t="shared" si="148"/>
        <v>76</v>
      </c>
      <c r="DR113" s="2">
        <f t="shared" si="148"/>
        <v>64</v>
      </c>
      <c r="DS113" s="2">
        <f t="shared" si="148"/>
        <v>52</v>
      </c>
      <c r="DT113" s="2">
        <f t="shared" si="148"/>
        <v>40</v>
      </c>
      <c r="DU113" s="2">
        <f t="shared" si="115"/>
        <v>4</v>
      </c>
      <c r="DV113" s="2">
        <f t="shared" si="116"/>
        <v>21244.675750000002</v>
      </c>
      <c r="DW113" s="2">
        <f t="shared" si="142"/>
        <v>2549361.0900000003</v>
      </c>
    </row>
    <row r="114" spans="1:127">
      <c r="A114" s="3">
        <v>45047</v>
      </c>
      <c r="B114">
        <f t="shared" si="117"/>
        <v>2023</v>
      </c>
      <c r="C114" s="6">
        <v>18514978.430059962</v>
      </c>
      <c r="D114" s="225">
        <f>VLOOKUP(B114,'Historic CDM'!$B$135:$H$147,2,FALSE)/12</f>
        <v>1180139.3153653573</v>
      </c>
      <c r="E114" s="2">
        <f t="shared" si="118"/>
        <v>19695117.745425321</v>
      </c>
      <c r="F114" s="6">
        <v>28872</v>
      </c>
      <c r="G114" s="6">
        <v>4981458.0243930062</v>
      </c>
      <c r="H114" s="2">
        <f>VLOOKUP(B114,'Historic CDM'!$B$135:$H$147,3,FALSE)/12</f>
        <v>1197125.69573412</v>
      </c>
      <c r="I114" s="2">
        <f t="shared" si="119"/>
        <v>6178583.7201271262</v>
      </c>
      <c r="J114" s="6">
        <v>2050</v>
      </c>
      <c r="K114" s="6">
        <v>14302940.489630006</v>
      </c>
      <c r="L114" s="225">
        <f>VLOOKUP(B114,'Historic CDM'!$B$135:$H$147,4,FALSE)/12</f>
        <v>1499293.7806216448</v>
      </c>
      <c r="M114" s="225">
        <f t="shared" si="123"/>
        <v>15802234.27025165</v>
      </c>
      <c r="N114" s="6">
        <v>49342</v>
      </c>
      <c r="O114" s="220">
        <v>232</v>
      </c>
      <c r="P114" s="6">
        <v>161373.24963785609</v>
      </c>
      <c r="Q114" s="6">
        <v>609.5</v>
      </c>
      <c r="R114" s="220">
        <v>2808</v>
      </c>
      <c r="S114" s="6">
        <v>23410.912602607434</v>
      </c>
      <c r="T114" s="6">
        <v>63.86</v>
      </c>
      <c r="U114" s="220">
        <v>222</v>
      </c>
      <c r="V114" s="6">
        <v>117391.59826170931</v>
      </c>
      <c r="W114" s="220">
        <v>125</v>
      </c>
      <c r="X114" s="225">
        <v>2835930.8300000005</v>
      </c>
      <c r="Y114" s="6">
        <v>7015</v>
      </c>
      <c r="Z114" s="220">
        <v>4</v>
      </c>
      <c r="AA114" s="100">
        <f>'Weather Data'!D270</f>
        <v>176.7</v>
      </c>
      <c r="AB114" s="100">
        <f>'Weather Data'!E270</f>
        <v>6.2999999999999972</v>
      </c>
      <c r="AC114" s="100">
        <f>'Weather Data'!F270</f>
        <v>122.5</v>
      </c>
      <c r="AD114" s="100">
        <f>'Weather Data'!G270</f>
        <v>14.099999999999998</v>
      </c>
      <c r="AE114" s="100">
        <f>'Weather Data'!H270</f>
        <v>80.299999999999983</v>
      </c>
      <c r="AF114" s="100">
        <f>'Weather Data'!I270</f>
        <v>33.9</v>
      </c>
      <c r="AG114" s="100">
        <f>'Weather Data'!J270</f>
        <v>46.400000000000006</v>
      </c>
      <c r="AH114" s="100">
        <f>'Weather Data'!K270</f>
        <v>62.000000000000007</v>
      </c>
      <c r="AI114" s="100">
        <f>'Weather Data'!L270</f>
        <v>27</v>
      </c>
      <c r="AJ114" s="100">
        <f>'Weather Data'!M270</f>
        <v>104.60000000000002</v>
      </c>
      <c r="AK114" s="100">
        <f>'Weather Data'!N270</f>
        <v>14.5</v>
      </c>
      <c r="AL114" s="100">
        <f>'Weather Data'!O270</f>
        <v>154.1</v>
      </c>
      <c r="AM114" s="100">
        <f>'Weather Data'!P270</f>
        <v>6.0000000000000009</v>
      </c>
      <c r="AN114" s="100">
        <f>'Weather Data'!Q270</f>
        <v>207.59999999999997</v>
      </c>
      <c r="AO114" s="100">
        <f>'Weather Data'!R270</f>
        <v>14.503225806451612</v>
      </c>
      <c r="AP114" s="5">
        <f>'Economic Data'!D140</f>
        <v>7900.6</v>
      </c>
      <c r="AQ114" s="5">
        <f>'Economic Data'!E140</f>
        <v>7882.6</v>
      </c>
      <c r="AR114" s="5">
        <f>'Economic Data'!F140</f>
        <v>191.7</v>
      </c>
      <c r="AS114" s="5">
        <f>'Economic Data'!G140</f>
        <v>190.8</v>
      </c>
      <c r="AT114" s="5">
        <f>'Economic Data'!H140</f>
        <v>849571.36880000005</v>
      </c>
      <c r="AU114" s="5">
        <f>'Economic Data'!I140</f>
        <v>8894.3667999999998</v>
      </c>
      <c r="AV114" s="5">
        <f>'Economic Data'!J140</f>
        <v>7875.2828</v>
      </c>
      <c r="AW114" s="5">
        <f>'Economic Data'!K140</f>
        <v>5986.6884</v>
      </c>
      <c r="AX114" s="5">
        <f>'Economic Data'!L140</f>
        <v>1245.1648</v>
      </c>
      <c r="AY114" s="5">
        <f>'Economic Data'!M140</f>
        <v>2143.0111999999999</v>
      </c>
      <c r="AZ114" s="5">
        <f>'Economic Data'!N140</f>
        <v>6942.6235999999999</v>
      </c>
      <c r="BA114" s="5">
        <f>'Economic Data'!O140</f>
        <v>110.81400000000001</v>
      </c>
      <c r="BB114" s="5">
        <f>'Economic Data'!P140</f>
        <v>120.934</v>
      </c>
      <c r="BC114" s="5">
        <f>'Economic Data'!Q140</f>
        <v>852586</v>
      </c>
      <c r="BD114" s="5">
        <f>'Economic Data'!R140</f>
        <v>8060</v>
      </c>
      <c r="BE114" s="5">
        <f>'Economic Data'!S140</f>
        <v>4050</v>
      </c>
      <c r="BF114" s="5">
        <f>'Economic Data'!T140</f>
        <v>16563</v>
      </c>
      <c r="BG114" s="5">
        <f>'EV Data'!V79</f>
        <v>120549.66666666663</v>
      </c>
      <c r="BH114" s="5">
        <f>'EV Data'!AB79</f>
        <v>613.99999999999989</v>
      </c>
      <c r="BI114" s="5">
        <f>'EV Data'!W79</f>
        <v>1783.0000000000014</v>
      </c>
      <c r="BJ114" s="5">
        <f t="shared" si="149"/>
        <v>113</v>
      </c>
      <c r="BK114" s="70">
        <f t="shared" si="93"/>
        <v>2.0530784434834195</v>
      </c>
      <c r="BL114" s="5">
        <f t="shared" si="94"/>
        <v>12769</v>
      </c>
      <c r="BM114">
        <f t="shared" si="147"/>
        <v>0</v>
      </c>
      <c r="BN114">
        <f t="shared" si="147"/>
        <v>0</v>
      </c>
      <c r="BO114">
        <f t="shared" si="147"/>
        <v>0</v>
      </c>
      <c r="BP114">
        <f t="shared" si="147"/>
        <v>0</v>
      </c>
      <c r="BQ114">
        <f t="shared" si="147"/>
        <v>1</v>
      </c>
      <c r="BR114">
        <f t="shared" si="147"/>
        <v>0</v>
      </c>
      <c r="BS114">
        <f t="shared" si="147"/>
        <v>0</v>
      </c>
      <c r="BT114">
        <f t="shared" si="147"/>
        <v>0</v>
      </c>
      <c r="BU114">
        <f t="shared" si="147"/>
        <v>0</v>
      </c>
      <c r="BV114">
        <f t="shared" si="147"/>
        <v>0</v>
      </c>
      <c r="BW114">
        <f t="shared" si="147"/>
        <v>0</v>
      </c>
      <c r="BX114">
        <f t="shared" si="147"/>
        <v>0</v>
      </c>
      <c r="BY114">
        <f t="shared" si="147"/>
        <v>1</v>
      </c>
      <c r="BZ114">
        <f t="shared" si="147"/>
        <v>0</v>
      </c>
      <c r="CA114">
        <f t="shared" si="147"/>
        <v>1</v>
      </c>
      <c r="CB114">
        <f t="shared" si="113"/>
        <v>31</v>
      </c>
      <c r="CC114">
        <v>22</v>
      </c>
      <c r="CD114">
        <v>0</v>
      </c>
      <c r="CE114">
        <f t="shared" si="155"/>
        <v>0</v>
      </c>
      <c r="CF114">
        <f t="shared" si="156"/>
        <v>0.25</v>
      </c>
      <c r="CG114">
        <v>0</v>
      </c>
      <c r="CH114" s="64">
        <f t="shared" si="150"/>
        <v>0</v>
      </c>
      <c r="CI114" s="64">
        <f t="shared" si="150"/>
        <v>0</v>
      </c>
      <c r="CJ114" s="64">
        <f t="shared" si="150"/>
        <v>0</v>
      </c>
      <c r="CK114" s="64">
        <f t="shared" si="150"/>
        <v>0</v>
      </c>
      <c r="CL114" s="64">
        <f t="shared" si="150"/>
        <v>0</v>
      </c>
      <c r="CM114" s="64">
        <f t="shared" si="150"/>
        <v>0</v>
      </c>
      <c r="CN114" s="64">
        <f t="shared" si="150"/>
        <v>0</v>
      </c>
      <c r="CO114" s="64">
        <f t="shared" si="150"/>
        <v>0</v>
      </c>
      <c r="CP114" s="64">
        <f t="shared" si="150"/>
        <v>0</v>
      </c>
      <c r="CQ114" s="64">
        <f t="shared" si="150"/>
        <v>0</v>
      </c>
      <c r="CR114" s="64">
        <f t="shared" si="150"/>
        <v>0</v>
      </c>
      <c r="CS114" s="64">
        <f t="shared" si="150"/>
        <v>0</v>
      </c>
      <c r="CT114" s="64">
        <f t="shared" si="150"/>
        <v>0</v>
      </c>
      <c r="CU114" s="64">
        <f t="shared" si="150"/>
        <v>0</v>
      </c>
      <c r="CV114" s="69">
        <f t="shared" si="151"/>
        <v>22.004931382816839</v>
      </c>
      <c r="CW114" s="69">
        <f t="shared" si="152"/>
        <v>859.09117354381624</v>
      </c>
      <c r="CX114" s="69">
        <f t="shared" si="95"/>
        <v>3096.0490341402137</v>
      </c>
      <c r="CY114" s="69">
        <f t="shared" si="153"/>
        <v>32226.486704545459</v>
      </c>
      <c r="CZ114" s="64">
        <f t="shared" si="96"/>
        <v>2197.1960887446676</v>
      </c>
      <c r="DA114" s="64">
        <f t="shared" si="154"/>
        <v>22870.409919354843</v>
      </c>
      <c r="DB114" s="64">
        <f t="shared" si="97"/>
        <v>44.174999999999997</v>
      </c>
      <c r="DC114" s="64">
        <f t="shared" si="98"/>
        <v>1.5749999999999993</v>
      </c>
      <c r="DD114" s="64">
        <f t="shared" si="99"/>
        <v>30.625</v>
      </c>
      <c r="DE114" s="64">
        <f t="shared" si="100"/>
        <v>3.5249999999999995</v>
      </c>
      <c r="DF114" s="64">
        <f t="shared" si="101"/>
        <v>20.074999999999996</v>
      </c>
      <c r="DG114" s="64">
        <f t="shared" si="102"/>
        <v>8.4749999999999996</v>
      </c>
      <c r="DH114" s="64">
        <f t="shared" si="103"/>
        <v>11.600000000000001</v>
      </c>
      <c r="DI114" s="64">
        <f t="shared" si="104"/>
        <v>15.500000000000002</v>
      </c>
      <c r="DJ114" s="64">
        <f t="shared" si="105"/>
        <v>6.75</v>
      </c>
      <c r="DK114" s="64">
        <f t="shared" si="106"/>
        <v>26.150000000000006</v>
      </c>
      <c r="DL114" s="64">
        <f t="shared" si="107"/>
        <v>3.625</v>
      </c>
      <c r="DM114" s="64">
        <f t="shared" si="108"/>
        <v>38.524999999999999</v>
      </c>
      <c r="DN114" s="64">
        <f t="shared" si="109"/>
        <v>1.5000000000000002</v>
      </c>
      <c r="DO114" s="64">
        <f t="shared" si="110"/>
        <v>51.899999999999991</v>
      </c>
      <c r="DP114" s="2">
        <f t="shared" si="148"/>
        <v>89</v>
      </c>
      <c r="DQ114" s="2">
        <f t="shared" si="148"/>
        <v>77</v>
      </c>
      <c r="DR114" s="2">
        <f t="shared" si="148"/>
        <v>65</v>
      </c>
      <c r="DS114" s="2">
        <f t="shared" si="148"/>
        <v>53</v>
      </c>
      <c r="DT114" s="2">
        <f t="shared" si="148"/>
        <v>41</v>
      </c>
      <c r="DU114" s="2">
        <f t="shared" si="115"/>
        <v>4</v>
      </c>
      <c r="DV114" s="2">
        <f t="shared" si="116"/>
        <v>22870.409919354843</v>
      </c>
      <c r="DW114" s="2">
        <f t="shared" si="142"/>
        <v>2835930.8300000005</v>
      </c>
    </row>
    <row r="115" spans="1:127">
      <c r="A115" s="3">
        <v>45078</v>
      </c>
      <c r="B115">
        <f t="shared" si="117"/>
        <v>2023</v>
      </c>
      <c r="C115" s="6">
        <v>24356271.339371812</v>
      </c>
      <c r="D115" s="225">
        <f>VLOOKUP(B115,'Historic CDM'!$B$135:$H$147,2,FALSE)/12</f>
        <v>1180139.3153653573</v>
      </c>
      <c r="E115" s="2">
        <f t="shared" si="118"/>
        <v>25536410.654737167</v>
      </c>
      <c r="F115" s="6">
        <v>28873</v>
      </c>
      <c r="G115" s="6">
        <v>5430932.5728670005</v>
      </c>
      <c r="H115" s="2">
        <f>VLOOKUP(B115,'Historic CDM'!$B$135:$H$147,3,FALSE)/12</f>
        <v>1197125.69573412</v>
      </c>
      <c r="I115" s="2">
        <f t="shared" si="119"/>
        <v>6628058.2686011204</v>
      </c>
      <c r="J115" s="6">
        <v>2052</v>
      </c>
      <c r="K115" s="6">
        <v>15814922.760000002</v>
      </c>
      <c r="L115" s="225">
        <f>VLOOKUP(B115,'Historic CDM'!$B$135:$H$147,4,FALSE)/12</f>
        <v>1499293.7806216448</v>
      </c>
      <c r="M115" s="225">
        <f t="shared" si="123"/>
        <v>17314216.540621646</v>
      </c>
      <c r="N115" s="6">
        <v>53502</v>
      </c>
      <c r="O115" s="220">
        <v>232</v>
      </c>
      <c r="P115" s="6">
        <v>142173.82906808305</v>
      </c>
      <c r="Q115" s="6">
        <v>609.5</v>
      </c>
      <c r="R115" s="220">
        <v>2808</v>
      </c>
      <c r="S115" s="6">
        <v>22172.863351038144</v>
      </c>
      <c r="T115" s="6">
        <v>60.49</v>
      </c>
      <c r="U115" s="220">
        <v>222</v>
      </c>
      <c r="V115" s="6">
        <v>117391.59826170931</v>
      </c>
      <c r="W115" s="220">
        <v>125</v>
      </c>
      <c r="X115" s="225">
        <v>3027700.49</v>
      </c>
      <c r="Y115" s="6">
        <v>7846</v>
      </c>
      <c r="Z115" s="220">
        <v>4</v>
      </c>
      <c r="AA115" s="100">
        <f>'Weather Data'!D271</f>
        <v>40.699999999999996</v>
      </c>
      <c r="AB115" s="100">
        <f>'Weather Data'!E271</f>
        <v>31.299999999999997</v>
      </c>
      <c r="AC115" s="100">
        <f>'Weather Data'!F271</f>
        <v>14.600000000000001</v>
      </c>
      <c r="AD115" s="100">
        <f>'Weather Data'!G271</f>
        <v>65.2</v>
      </c>
      <c r="AE115" s="100">
        <f>'Weather Data'!H271</f>
        <v>3.5</v>
      </c>
      <c r="AF115" s="100">
        <f>'Weather Data'!I271</f>
        <v>114.10000000000001</v>
      </c>
      <c r="AG115" s="100">
        <f>'Weather Data'!J271</f>
        <v>9.9999999999999645E-2</v>
      </c>
      <c r="AH115" s="100">
        <f>'Weather Data'!K271</f>
        <v>170.69999999999996</v>
      </c>
      <c r="AI115" s="100">
        <f>'Weather Data'!L271</f>
        <v>0</v>
      </c>
      <c r="AJ115" s="100">
        <f>'Weather Data'!M271</f>
        <v>230.59999999999994</v>
      </c>
      <c r="AK115" s="100">
        <f>'Weather Data'!N271</f>
        <v>0</v>
      </c>
      <c r="AL115" s="100">
        <f>'Weather Data'!O271</f>
        <v>290.59999999999997</v>
      </c>
      <c r="AM115" s="100">
        <f>'Weather Data'!P271</f>
        <v>0</v>
      </c>
      <c r="AN115" s="100">
        <f>'Weather Data'!Q271</f>
        <v>350.59999999999997</v>
      </c>
      <c r="AO115" s="100">
        <f>'Weather Data'!R271</f>
        <v>19.686666666666667</v>
      </c>
      <c r="AP115" s="5">
        <f>'Economic Data'!D141</f>
        <v>7922.1</v>
      </c>
      <c r="AQ115" s="5">
        <f>'Economic Data'!E141</f>
        <v>7971.2</v>
      </c>
      <c r="AR115" s="5">
        <f>'Economic Data'!F141</f>
        <v>192</v>
      </c>
      <c r="AS115" s="5">
        <f>'Economic Data'!G141</f>
        <v>191.9</v>
      </c>
      <c r="AT115" s="5">
        <f>'Economic Data'!H141</f>
        <v>849571.36880000005</v>
      </c>
      <c r="AU115" s="5">
        <f>'Economic Data'!I141</f>
        <v>8894.3667999999998</v>
      </c>
      <c r="AV115" s="5">
        <f>'Economic Data'!J141</f>
        <v>7875.2828</v>
      </c>
      <c r="AW115" s="5">
        <f>'Economic Data'!K141</f>
        <v>5986.6884</v>
      </c>
      <c r="AX115" s="5">
        <f>'Economic Data'!L141</f>
        <v>1245.1648</v>
      </c>
      <c r="AY115" s="5">
        <f>'Economic Data'!M141</f>
        <v>2143.0111999999999</v>
      </c>
      <c r="AZ115" s="5">
        <f>'Economic Data'!N141</f>
        <v>6942.6235999999999</v>
      </c>
      <c r="BA115" s="5">
        <f>'Economic Data'!O141</f>
        <v>110.81400000000001</v>
      </c>
      <c r="BB115" s="5">
        <f>'Economic Data'!P141</f>
        <v>120.934</v>
      </c>
      <c r="BC115" s="5">
        <f>'Economic Data'!Q141</f>
        <v>852586</v>
      </c>
      <c r="BD115" s="5">
        <f>'Economic Data'!R141</f>
        <v>8060</v>
      </c>
      <c r="BE115" s="5">
        <f>'Economic Data'!S141</f>
        <v>4050</v>
      </c>
      <c r="BF115" s="5">
        <f>'Economic Data'!T141</f>
        <v>16563</v>
      </c>
      <c r="BG115" s="5">
        <f>'EV Data'!V80</f>
        <v>124799.99999999996</v>
      </c>
      <c r="BH115" s="5">
        <f>'EV Data'!AB80</f>
        <v>634.99999999999989</v>
      </c>
      <c r="BI115" s="5">
        <f>'EV Data'!W80</f>
        <v>1846.0000000000014</v>
      </c>
      <c r="BJ115" s="5">
        <f t="shared" si="149"/>
        <v>114</v>
      </c>
      <c r="BK115" s="70">
        <f t="shared" si="93"/>
        <v>2.0569048513364727</v>
      </c>
      <c r="BL115" s="5">
        <f t="shared" si="94"/>
        <v>12996</v>
      </c>
      <c r="BM115">
        <f t="shared" si="147"/>
        <v>0</v>
      </c>
      <c r="BN115">
        <f t="shared" si="147"/>
        <v>0</v>
      </c>
      <c r="BO115">
        <f t="shared" si="147"/>
        <v>0</v>
      </c>
      <c r="BP115">
        <f t="shared" si="147"/>
        <v>0</v>
      </c>
      <c r="BQ115">
        <f t="shared" si="147"/>
        <v>0</v>
      </c>
      <c r="BR115">
        <f t="shared" si="147"/>
        <v>1</v>
      </c>
      <c r="BS115">
        <f t="shared" si="147"/>
        <v>0</v>
      </c>
      <c r="BT115">
        <f t="shared" si="147"/>
        <v>0</v>
      </c>
      <c r="BU115">
        <f t="shared" si="147"/>
        <v>0</v>
      </c>
      <c r="BV115">
        <f t="shared" si="147"/>
        <v>0</v>
      </c>
      <c r="BW115">
        <f t="shared" si="147"/>
        <v>0</v>
      </c>
      <c r="BX115">
        <f t="shared" si="147"/>
        <v>0</v>
      </c>
      <c r="BY115">
        <f t="shared" si="147"/>
        <v>0</v>
      </c>
      <c r="BZ115">
        <f t="shared" si="147"/>
        <v>0</v>
      </c>
      <c r="CA115">
        <f t="shared" si="147"/>
        <v>0</v>
      </c>
      <c r="CB115">
        <f t="shared" si="113"/>
        <v>30</v>
      </c>
      <c r="CC115">
        <v>22</v>
      </c>
      <c r="CD115">
        <v>0</v>
      </c>
      <c r="CE115">
        <f t="shared" si="155"/>
        <v>0</v>
      </c>
      <c r="CF115">
        <f t="shared" si="156"/>
        <v>0.25</v>
      </c>
      <c r="CG115">
        <v>0</v>
      </c>
      <c r="CH115" s="64">
        <f t="shared" si="150"/>
        <v>0</v>
      </c>
      <c r="CI115" s="64">
        <f t="shared" si="150"/>
        <v>0</v>
      </c>
      <c r="CJ115" s="64">
        <f t="shared" si="150"/>
        <v>0</v>
      </c>
      <c r="CK115" s="64">
        <f t="shared" si="150"/>
        <v>0</v>
      </c>
      <c r="CL115" s="64">
        <f t="shared" si="150"/>
        <v>0</v>
      </c>
      <c r="CM115" s="64">
        <f t="shared" si="150"/>
        <v>0</v>
      </c>
      <c r="CN115" s="64">
        <f t="shared" si="150"/>
        <v>0</v>
      </c>
      <c r="CO115" s="64">
        <f t="shared" si="150"/>
        <v>0</v>
      </c>
      <c r="CP115" s="64">
        <f t="shared" si="150"/>
        <v>0</v>
      </c>
      <c r="CQ115" s="64">
        <f t="shared" si="150"/>
        <v>0</v>
      </c>
      <c r="CR115" s="64">
        <f t="shared" si="150"/>
        <v>0</v>
      </c>
      <c r="CS115" s="64">
        <f t="shared" si="150"/>
        <v>0</v>
      </c>
      <c r="CT115" s="64">
        <f t="shared" si="150"/>
        <v>0</v>
      </c>
      <c r="CU115" s="64">
        <f t="shared" si="150"/>
        <v>0</v>
      </c>
      <c r="CV115" s="69">
        <f t="shared" si="151"/>
        <v>29.481303934168213</v>
      </c>
      <c r="CW115" s="69">
        <f t="shared" si="152"/>
        <v>952.30722250016095</v>
      </c>
      <c r="CX115" s="69">
        <f t="shared" si="95"/>
        <v>3392.2838049807297</v>
      </c>
      <c r="CY115" s="69">
        <f t="shared" si="153"/>
        <v>34405.687386363636</v>
      </c>
      <c r="CZ115" s="64">
        <f t="shared" si="96"/>
        <v>2487.6747903192017</v>
      </c>
      <c r="DA115" s="64">
        <f t="shared" si="154"/>
        <v>25230.837416666669</v>
      </c>
      <c r="DB115" s="64">
        <f t="shared" si="97"/>
        <v>10.174999999999999</v>
      </c>
      <c r="DC115" s="64">
        <f t="shared" si="98"/>
        <v>7.8249999999999993</v>
      </c>
      <c r="DD115" s="64">
        <f t="shared" si="99"/>
        <v>3.6500000000000004</v>
      </c>
      <c r="DE115" s="64">
        <f t="shared" si="100"/>
        <v>16.3</v>
      </c>
      <c r="DF115" s="64">
        <f t="shared" si="101"/>
        <v>0.875</v>
      </c>
      <c r="DG115" s="64">
        <f t="shared" si="102"/>
        <v>28.525000000000002</v>
      </c>
      <c r="DH115" s="64">
        <f t="shared" si="103"/>
        <v>2.4999999999999911E-2</v>
      </c>
      <c r="DI115" s="64">
        <f t="shared" si="104"/>
        <v>42.67499999999999</v>
      </c>
      <c r="DJ115" s="64">
        <f t="shared" si="105"/>
        <v>0</v>
      </c>
      <c r="DK115" s="64">
        <f t="shared" si="106"/>
        <v>57.649999999999984</v>
      </c>
      <c r="DL115" s="64">
        <f t="shared" si="107"/>
        <v>0</v>
      </c>
      <c r="DM115" s="64">
        <f t="shared" si="108"/>
        <v>72.649999999999991</v>
      </c>
      <c r="DN115" s="64">
        <f t="shared" si="109"/>
        <v>0</v>
      </c>
      <c r="DO115" s="64">
        <f t="shared" si="110"/>
        <v>87.649999999999991</v>
      </c>
      <c r="DP115" s="2">
        <f t="shared" si="148"/>
        <v>90</v>
      </c>
      <c r="DQ115" s="2">
        <f t="shared" si="148"/>
        <v>78</v>
      </c>
      <c r="DR115" s="2">
        <f t="shared" si="148"/>
        <v>66</v>
      </c>
      <c r="DS115" s="2">
        <f t="shared" si="148"/>
        <v>54</v>
      </c>
      <c r="DT115" s="2">
        <f t="shared" si="148"/>
        <v>42</v>
      </c>
      <c r="DU115" s="2">
        <f t="shared" si="115"/>
        <v>4</v>
      </c>
      <c r="DV115" s="2">
        <f t="shared" si="116"/>
        <v>25230.837416666669</v>
      </c>
      <c r="DW115" s="2">
        <f t="shared" si="142"/>
        <v>3027700.49</v>
      </c>
    </row>
    <row r="116" spans="1:127">
      <c r="A116" s="3">
        <v>45108</v>
      </c>
      <c r="B116">
        <f t="shared" si="117"/>
        <v>2023</v>
      </c>
      <c r="C116" s="6">
        <v>31831877.621228062</v>
      </c>
      <c r="D116" s="225">
        <f>VLOOKUP(B116,'Historic CDM'!$B$135:$H$147,2,FALSE)/12</f>
        <v>1180139.3153653573</v>
      </c>
      <c r="E116" s="2">
        <f t="shared" si="118"/>
        <v>33012016.936593421</v>
      </c>
      <c r="F116" s="6">
        <v>28891</v>
      </c>
      <c r="G116" s="6">
        <v>6269977.3074689908</v>
      </c>
      <c r="H116" s="2">
        <f>VLOOKUP(B116,'Historic CDM'!$B$135:$H$147,3,FALSE)/12</f>
        <v>1197125.69573412</v>
      </c>
      <c r="I116" s="2">
        <f t="shared" si="119"/>
        <v>7467103.0032031108</v>
      </c>
      <c r="J116" s="6">
        <v>2056</v>
      </c>
      <c r="K116" s="6">
        <v>19000085.780000001</v>
      </c>
      <c r="L116" s="225">
        <f>VLOOKUP(B116,'Historic CDM'!$B$135:$H$147,4,FALSE)/12</f>
        <v>1499293.7806216448</v>
      </c>
      <c r="M116" s="225">
        <f t="shared" si="123"/>
        <v>20499379.560621645</v>
      </c>
      <c r="N116" s="6">
        <v>51555</v>
      </c>
      <c r="O116" s="220">
        <v>232</v>
      </c>
      <c r="P116" s="6">
        <v>151009.19999999998</v>
      </c>
      <c r="Q116" s="6">
        <v>609.5</v>
      </c>
      <c r="R116" s="220">
        <v>2808</v>
      </c>
      <c r="S116" s="6">
        <v>22577.49879285369</v>
      </c>
      <c r="T116" s="6">
        <v>61.59</v>
      </c>
      <c r="U116" s="220">
        <v>222</v>
      </c>
      <c r="V116" s="6">
        <v>117391.59826170931</v>
      </c>
      <c r="W116" s="220">
        <v>125</v>
      </c>
      <c r="X116" s="6">
        <v>3284416.84</v>
      </c>
      <c r="Y116" s="6">
        <v>8547</v>
      </c>
      <c r="Z116" s="220">
        <v>4</v>
      </c>
      <c r="AA116" s="100">
        <f>'Weather Data'!D272</f>
        <v>0.39999999999999858</v>
      </c>
      <c r="AB116" s="100">
        <f>'Weather Data'!E272</f>
        <v>71.264477008590177</v>
      </c>
      <c r="AC116" s="100">
        <f>'Weather Data'!F272</f>
        <v>0</v>
      </c>
      <c r="AD116" s="100">
        <f>'Weather Data'!G272</f>
        <v>132.86447700859017</v>
      </c>
      <c r="AE116" s="100">
        <f>'Weather Data'!H272</f>
        <v>0</v>
      </c>
      <c r="AF116" s="100">
        <f>'Weather Data'!I272</f>
        <v>194.8644770085902</v>
      </c>
      <c r="AG116" s="100">
        <f>'Weather Data'!J272</f>
        <v>0</v>
      </c>
      <c r="AH116" s="100">
        <f>'Weather Data'!K272</f>
        <v>256.86447700859026</v>
      </c>
      <c r="AI116" s="100">
        <f>'Weather Data'!L272</f>
        <v>0</v>
      </c>
      <c r="AJ116" s="100">
        <f>'Weather Data'!M272</f>
        <v>318.86447700859026</v>
      </c>
      <c r="AK116" s="100">
        <f>'Weather Data'!N272</f>
        <v>0</v>
      </c>
      <c r="AL116" s="100">
        <f>'Weather Data'!O272</f>
        <v>380.8644770085902</v>
      </c>
      <c r="AM116" s="100">
        <f>'Weather Data'!P272</f>
        <v>0</v>
      </c>
      <c r="AN116" s="100">
        <f>'Weather Data'!Q272</f>
        <v>442.8644770085902</v>
      </c>
      <c r="AO116" s="100">
        <f>'Weather Data'!R272</f>
        <v>22.285950871244843</v>
      </c>
      <c r="AP116" s="5">
        <f>'Economic Data'!D142</f>
        <v>7932</v>
      </c>
      <c r="AQ116" s="5">
        <f>'Economic Data'!E142</f>
        <v>8016.9</v>
      </c>
      <c r="AR116" s="5">
        <f>'Economic Data'!F142</f>
        <v>189.7</v>
      </c>
      <c r="AS116" s="5">
        <f>'Economic Data'!G142</f>
        <v>190</v>
      </c>
      <c r="AT116" s="5">
        <f>'Economic Data'!H142</f>
        <v>849571.36880000005</v>
      </c>
      <c r="AU116" s="5">
        <f>'Economic Data'!I142</f>
        <v>8894.3667999999998</v>
      </c>
      <c r="AV116" s="5">
        <f>'Economic Data'!J142</f>
        <v>7875.2828</v>
      </c>
      <c r="AW116" s="5">
        <f>'Economic Data'!K142</f>
        <v>5986.6884</v>
      </c>
      <c r="AX116" s="5">
        <f>'Economic Data'!L142</f>
        <v>1245.1648</v>
      </c>
      <c r="AY116" s="5">
        <f>'Economic Data'!M142</f>
        <v>2143.0111999999999</v>
      </c>
      <c r="AZ116" s="5">
        <f>'Economic Data'!N142</f>
        <v>6942.6235999999999</v>
      </c>
      <c r="BA116" s="5">
        <f>'Economic Data'!O142</f>
        <v>110.81400000000001</v>
      </c>
      <c r="BB116" s="5">
        <f>'Economic Data'!P142</f>
        <v>120.934</v>
      </c>
      <c r="BC116" s="5">
        <f>'Economic Data'!Q142</f>
        <v>852629</v>
      </c>
      <c r="BD116" s="5">
        <f>'Economic Data'!R142</f>
        <v>7512</v>
      </c>
      <c r="BE116" s="5">
        <f>'Economic Data'!S142</f>
        <v>4225</v>
      </c>
      <c r="BF116" s="5">
        <f>'Economic Data'!T142</f>
        <v>15442</v>
      </c>
      <c r="BG116" s="5">
        <f>'EV Data'!V81</f>
        <v>129674.66666666663</v>
      </c>
      <c r="BH116" s="5">
        <f>'EV Data'!AB81</f>
        <v>659.66666666666652</v>
      </c>
      <c r="BI116" s="5">
        <f>'EV Data'!W81</f>
        <v>1918.6666666666681</v>
      </c>
      <c r="BJ116" s="5">
        <f t="shared" si="149"/>
        <v>115</v>
      </c>
      <c r="BK116" s="70">
        <f t="shared" ref="BK116:BK121" si="157">LOG(BJ116)</f>
        <v>2.0606978403536118</v>
      </c>
      <c r="BL116" s="5">
        <f t="shared" ref="BL116:BL121" si="158">BJ116^2</f>
        <v>13225</v>
      </c>
      <c r="BM116">
        <f t="shared" ref="BM116:CA116" si="159">BM104</f>
        <v>0</v>
      </c>
      <c r="BN116">
        <f t="shared" si="159"/>
        <v>0</v>
      </c>
      <c r="BO116">
        <f t="shared" si="159"/>
        <v>0</v>
      </c>
      <c r="BP116">
        <f t="shared" si="159"/>
        <v>0</v>
      </c>
      <c r="BQ116">
        <f t="shared" si="159"/>
        <v>0</v>
      </c>
      <c r="BR116">
        <f t="shared" si="159"/>
        <v>0</v>
      </c>
      <c r="BS116">
        <f t="shared" si="159"/>
        <v>1</v>
      </c>
      <c r="BT116">
        <f t="shared" si="159"/>
        <v>0</v>
      </c>
      <c r="BU116">
        <f t="shared" si="159"/>
        <v>0</v>
      </c>
      <c r="BV116">
        <f t="shared" si="159"/>
        <v>0</v>
      </c>
      <c r="BW116">
        <f t="shared" si="159"/>
        <v>0</v>
      </c>
      <c r="BX116">
        <f t="shared" si="159"/>
        <v>0</v>
      </c>
      <c r="BY116">
        <f t="shared" si="159"/>
        <v>0</v>
      </c>
      <c r="BZ116">
        <f t="shared" si="159"/>
        <v>0</v>
      </c>
      <c r="CA116">
        <f t="shared" si="159"/>
        <v>0</v>
      </c>
      <c r="CB116">
        <f t="shared" si="113"/>
        <v>31</v>
      </c>
      <c r="CC116">
        <v>20</v>
      </c>
      <c r="CD116">
        <v>0</v>
      </c>
      <c r="CE116">
        <f t="shared" si="155"/>
        <v>0</v>
      </c>
      <c r="CF116">
        <f t="shared" si="156"/>
        <v>0.25</v>
      </c>
      <c r="CG116">
        <v>0</v>
      </c>
      <c r="CH116" s="64">
        <f t="shared" ref="CH116:CH121" si="160">AA116*$CD116</f>
        <v>0</v>
      </c>
      <c r="CI116" s="64">
        <f t="shared" ref="CI116:CI121" si="161">AB116*$CD116</f>
        <v>0</v>
      </c>
      <c r="CJ116" s="64">
        <f t="shared" ref="CJ116:CJ121" si="162">AC116*$CD116</f>
        <v>0</v>
      </c>
      <c r="CK116" s="64">
        <f t="shared" ref="CK116:CK121" si="163">AD116*$CD116</f>
        <v>0</v>
      </c>
      <c r="CL116" s="64">
        <f t="shared" ref="CL116:CL121" si="164">AE116*$CD116</f>
        <v>0</v>
      </c>
      <c r="CM116" s="64">
        <f t="shared" ref="CM116:CM121" si="165">AF116*$CD116</f>
        <v>0</v>
      </c>
      <c r="CN116" s="64">
        <f t="shared" ref="CN116:CN121" si="166">AG116*$CD116</f>
        <v>0</v>
      </c>
      <c r="CO116" s="64">
        <f t="shared" ref="CO116:CO121" si="167">AH116*$CD116</f>
        <v>0</v>
      </c>
      <c r="CP116" s="64">
        <f t="shared" ref="CP116:CP121" si="168">AI116*$CD116</f>
        <v>0</v>
      </c>
      <c r="CQ116" s="64">
        <f t="shared" ref="CQ116:CQ121" si="169">AJ116*$CD116</f>
        <v>0</v>
      </c>
      <c r="CR116" s="64">
        <f t="shared" ref="CR116:CR121" si="170">AK116*$CD116</f>
        <v>0</v>
      </c>
      <c r="CS116" s="64">
        <f t="shared" ref="CS116:CS121" si="171">AL116*$CD116</f>
        <v>0</v>
      </c>
      <c r="CT116" s="64">
        <f t="shared" ref="CT116:CT121" si="172">AM116*$CD116</f>
        <v>0</v>
      </c>
      <c r="CU116" s="64">
        <f t="shared" ref="CU116:CU121" si="173">AN116*$CD116</f>
        <v>0</v>
      </c>
      <c r="CV116" s="69">
        <f t="shared" ref="CV116:CV121" si="174">E116/$CB116/F116</f>
        <v>36.859360082661553</v>
      </c>
      <c r="CW116" s="69">
        <f t="shared" ref="CW116:CW121" si="175">I116/$CB116/O116</f>
        <v>1038.2512518358051</v>
      </c>
      <c r="CX116" s="69">
        <f t="shared" ref="CX116:CX121" si="176">M116/$CC116/O116</f>
        <v>4417.9697328925959</v>
      </c>
      <c r="CY116" s="69">
        <f t="shared" ref="CY116:CY121" si="177">X116/$CC116/Z116</f>
        <v>41055.210500000001</v>
      </c>
      <c r="CZ116" s="64">
        <f t="shared" ref="CZ116:CZ121" si="178">M116/$CB116/O116</f>
        <v>2850.3030534790942</v>
      </c>
      <c r="DA116" s="64">
        <f t="shared" ref="DA116:DA121" si="179">X116/$CB116/Z116</f>
        <v>26487.232580645159</v>
      </c>
      <c r="DB116" s="64">
        <f t="shared" ref="DB116:DB121" si="180">$CF116*AA116</f>
        <v>9.9999999999999645E-2</v>
      </c>
      <c r="DC116" s="64">
        <f t="shared" ref="DC116:DC121" si="181">$CF116*AB116</f>
        <v>17.816119252147544</v>
      </c>
      <c r="DD116" s="64">
        <f t="shared" ref="DD116:DD121" si="182">$CF116*AC116</f>
        <v>0</v>
      </c>
      <c r="DE116" s="64">
        <f t="shared" ref="DE116:DE121" si="183">$CF116*AD116</f>
        <v>33.216119252147543</v>
      </c>
      <c r="DF116" s="64">
        <f t="shared" ref="DF116:DF121" si="184">$CF116*AE116</f>
        <v>0</v>
      </c>
      <c r="DG116" s="64">
        <f t="shared" ref="DG116:DG121" si="185">$CF116*AF116</f>
        <v>48.71611925214755</v>
      </c>
      <c r="DH116" s="64">
        <f t="shared" ref="DH116:DH121" si="186">$CF116*AG116</f>
        <v>0</v>
      </c>
      <c r="DI116" s="64">
        <f t="shared" ref="DI116:DI121" si="187">$CF116*AH116</f>
        <v>64.216119252147564</v>
      </c>
      <c r="DJ116" s="64">
        <f t="shared" ref="DJ116:DJ121" si="188">$CF116*AI116</f>
        <v>0</v>
      </c>
      <c r="DK116" s="64">
        <f t="shared" ref="DK116:DK121" si="189">$CF116*AJ116</f>
        <v>79.716119252147564</v>
      </c>
      <c r="DL116" s="64">
        <f t="shared" ref="DL116:DL121" si="190">$CF116*AK116</f>
        <v>0</v>
      </c>
      <c r="DM116" s="64">
        <f t="shared" ref="DM116:DM121" si="191">$CF116*AL116</f>
        <v>95.21611925214755</v>
      </c>
      <c r="DN116" s="64">
        <f t="shared" ref="DN116:DN121" si="192">$CF116*AM116</f>
        <v>0</v>
      </c>
      <c r="DO116" s="64">
        <f t="shared" ref="DO116:DO121" si="193">$CF116*AN116</f>
        <v>110.71611925214755</v>
      </c>
      <c r="DP116" s="2">
        <f t="shared" ref="DP116:DT121" si="194">DP115+1</f>
        <v>91</v>
      </c>
      <c r="DQ116" s="2">
        <f t="shared" si="194"/>
        <v>79</v>
      </c>
      <c r="DR116" s="2">
        <f t="shared" si="194"/>
        <v>67</v>
      </c>
      <c r="DS116" s="2">
        <f t="shared" si="194"/>
        <v>55</v>
      </c>
      <c r="DT116" s="2">
        <f t="shared" si="194"/>
        <v>43</v>
      </c>
      <c r="DU116" s="2">
        <f t="shared" si="115"/>
        <v>4</v>
      </c>
      <c r="DV116" s="2">
        <f t="shared" si="116"/>
        <v>26487.232580645159</v>
      </c>
      <c r="DW116" s="2">
        <f t="shared" si="142"/>
        <v>3284416.84</v>
      </c>
    </row>
    <row r="117" spans="1:127">
      <c r="A117" s="3">
        <v>45139</v>
      </c>
      <c r="B117">
        <f t="shared" si="117"/>
        <v>2023</v>
      </c>
      <c r="C117" s="6">
        <v>28611405.276762921</v>
      </c>
      <c r="D117" s="225">
        <f>VLOOKUP(B117,'Historic CDM'!$B$135:$H$147,2,FALSE)/12</f>
        <v>1180139.3153653573</v>
      </c>
      <c r="E117" s="2">
        <f t="shared" si="118"/>
        <v>29791544.592128277</v>
      </c>
      <c r="F117" s="6">
        <v>28894</v>
      </c>
      <c r="G117" s="6">
        <v>6044115.3833650015</v>
      </c>
      <c r="H117" s="2">
        <f>VLOOKUP(B117,'Historic CDM'!$B$135:$H$147,3,FALSE)/12</f>
        <v>1197125.69573412</v>
      </c>
      <c r="I117" s="2">
        <f t="shared" si="119"/>
        <v>7241241.0790991215</v>
      </c>
      <c r="J117" s="6">
        <v>2058</v>
      </c>
      <c r="K117" s="6">
        <v>17795204.819999989</v>
      </c>
      <c r="L117" s="225">
        <f>VLOOKUP(B117,'Historic CDM'!$B$135:$H$147,4,FALSE)/12</f>
        <v>1499293.7806216448</v>
      </c>
      <c r="M117" s="225">
        <f t="shared" si="123"/>
        <v>19294498.600621633</v>
      </c>
      <c r="N117" s="6">
        <v>48958</v>
      </c>
      <c r="O117" s="220">
        <v>232</v>
      </c>
      <c r="P117" s="6">
        <v>169447.47999999998</v>
      </c>
      <c r="Q117" s="6">
        <v>609.5</v>
      </c>
      <c r="R117" s="220">
        <v>2809</v>
      </c>
      <c r="S117" s="6">
        <v>22452.921294060838</v>
      </c>
      <c r="T117" s="6">
        <v>61.25</v>
      </c>
      <c r="U117" s="220">
        <v>222</v>
      </c>
      <c r="V117" s="6">
        <v>117391.59826170931</v>
      </c>
      <c r="W117" s="220">
        <v>125</v>
      </c>
      <c r="X117" s="6">
        <v>3286746.61</v>
      </c>
      <c r="Y117" s="6">
        <v>8183</v>
      </c>
      <c r="Z117" s="220">
        <v>4</v>
      </c>
      <c r="AA117" s="100">
        <f>'Weather Data'!D273</f>
        <v>25.371045982819613</v>
      </c>
      <c r="AB117" s="100">
        <f>'Weather Data'!E273</f>
        <v>38.986862051541152</v>
      </c>
      <c r="AC117" s="100">
        <f>'Weather Data'!F273</f>
        <v>8.5710459828196122</v>
      </c>
      <c r="AD117" s="100">
        <f>'Weather Data'!G273</f>
        <v>84.186862051541155</v>
      </c>
      <c r="AE117" s="100">
        <f>'Weather Data'!H273</f>
        <v>2.3999999999999986</v>
      </c>
      <c r="AF117" s="100">
        <f>'Weather Data'!I273</f>
        <v>140.01581606872151</v>
      </c>
      <c r="AG117" s="100">
        <f>'Weather Data'!J273</f>
        <v>0</v>
      </c>
      <c r="AH117" s="100">
        <f>'Weather Data'!K273</f>
        <v>199.61581606872156</v>
      </c>
      <c r="AI117" s="100">
        <f>'Weather Data'!L273</f>
        <v>0</v>
      </c>
      <c r="AJ117" s="100">
        <f>'Weather Data'!M273</f>
        <v>261.61581606872153</v>
      </c>
      <c r="AK117" s="100">
        <f>'Weather Data'!N273</f>
        <v>0</v>
      </c>
      <c r="AL117" s="100">
        <f>'Weather Data'!O273</f>
        <v>323.6158160687217</v>
      </c>
      <c r="AM117" s="100">
        <f>'Weather Data'!P273</f>
        <v>0</v>
      </c>
      <c r="AN117" s="100">
        <f>'Weather Data'!Q273</f>
        <v>385.6158160687217</v>
      </c>
      <c r="AO117" s="100">
        <f>'Weather Data'!R273</f>
        <v>20.439219873184562</v>
      </c>
      <c r="AP117" s="5">
        <f>'Economic Data'!D143</f>
        <v>7947</v>
      </c>
      <c r="AQ117" s="5">
        <f>'Economic Data'!E143</f>
        <v>8020.3</v>
      </c>
      <c r="AR117" s="5">
        <f>'Economic Data'!F143</f>
        <v>190.3</v>
      </c>
      <c r="AS117" s="5">
        <f>'Economic Data'!G143</f>
        <v>191.4</v>
      </c>
      <c r="AT117" s="5">
        <f>'Economic Data'!H143</f>
        <v>849571.36880000005</v>
      </c>
      <c r="AU117" s="5">
        <f>'Economic Data'!I143</f>
        <v>8894.3667999999998</v>
      </c>
      <c r="AV117" s="5">
        <f>'Economic Data'!J143</f>
        <v>7875.2828</v>
      </c>
      <c r="AW117" s="5">
        <f>'Economic Data'!K143</f>
        <v>5986.6884</v>
      </c>
      <c r="AX117" s="5">
        <f>'Economic Data'!L143</f>
        <v>1245.1648</v>
      </c>
      <c r="AY117" s="5">
        <f>'Economic Data'!M143</f>
        <v>2143.0111999999999</v>
      </c>
      <c r="AZ117" s="5">
        <f>'Economic Data'!N143</f>
        <v>6942.6235999999999</v>
      </c>
      <c r="BA117" s="5">
        <f>'Economic Data'!O143</f>
        <v>110.81400000000001</v>
      </c>
      <c r="BB117" s="5">
        <f>'Economic Data'!P143</f>
        <v>120.934</v>
      </c>
      <c r="BC117" s="5">
        <f>'Economic Data'!Q143</f>
        <v>852629</v>
      </c>
      <c r="BD117" s="5">
        <f>'Economic Data'!R143</f>
        <v>7512</v>
      </c>
      <c r="BE117" s="5">
        <f>'Economic Data'!S143</f>
        <v>4225</v>
      </c>
      <c r="BF117" s="5">
        <f>'Economic Data'!T143</f>
        <v>15442</v>
      </c>
      <c r="BG117" s="5">
        <f>'EV Data'!V82</f>
        <v>134549.33333333328</v>
      </c>
      <c r="BH117" s="5">
        <f>'EV Data'!AB82</f>
        <v>684.33333333333314</v>
      </c>
      <c r="BI117" s="5">
        <f>'EV Data'!W82</f>
        <v>1991.3333333333348</v>
      </c>
      <c r="BJ117" s="5">
        <f t="shared" si="149"/>
        <v>116</v>
      </c>
      <c r="BK117" s="70">
        <f t="shared" si="157"/>
        <v>2.0644579892269186</v>
      </c>
      <c r="BL117" s="5">
        <f t="shared" si="158"/>
        <v>13456</v>
      </c>
      <c r="BM117">
        <f t="shared" ref="BM117:CA117" si="195">BM105</f>
        <v>0</v>
      </c>
      <c r="BN117">
        <f t="shared" si="195"/>
        <v>0</v>
      </c>
      <c r="BO117">
        <f t="shared" si="195"/>
        <v>0</v>
      </c>
      <c r="BP117">
        <f t="shared" si="195"/>
        <v>0</v>
      </c>
      <c r="BQ117">
        <f t="shared" si="195"/>
        <v>0</v>
      </c>
      <c r="BR117">
        <f t="shared" si="195"/>
        <v>0</v>
      </c>
      <c r="BS117">
        <f t="shared" si="195"/>
        <v>0</v>
      </c>
      <c r="BT117">
        <f t="shared" si="195"/>
        <v>1</v>
      </c>
      <c r="BU117">
        <f t="shared" si="195"/>
        <v>0</v>
      </c>
      <c r="BV117">
        <f t="shared" si="195"/>
        <v>0</v>
      </c>
      <c r="BW117">
        <f t="shared" si="195"/>
        <v>0</v>
      </c>
      <c r="BX117">
        <f t="shared" si="195"/>
        <v>0</v>
      </c>
      <c r="BY117">
        <f t="shared" si="195"/>
        <v>0</v>
      </c>
      <c r="BZ117">
        <f t="shared" si="195"/>
        <v>0</v>
      </c>
      <c r="CA117">
        <f t="shared" si="195"/>
        <v>0</v>
      </c>
      <c r="CB117">
        <f t="shared" si="113"/>
        <v>31</v>
      </c>
      <c r="CC117" s="6">
        <v>22</v>
      </c>
      <c r="CD117">
        <v>0</v>
      </c>
      <c r="CE117">
        <f t="shared" si="155"/>
        <v>0</v>
      </c>
      <c r="CF117">
        <f t="shared" si="156"/>
        <v>0.25</v>
      </c>
      <c r="CG117">
        <v>0</v>
      </c>
      <c r="CH117" s="64">
        <f t="shared" si="160"/>
        <v>0</v>
      </c>
      <c r="CI117" s="64">
        <f t="shared" si="161"/>
        <v>0</v>
      </c>
      <c r="CJ117" s="64">
        <f t="shared" si="162"/>
        <v>0</v>
      </c>
      <c r="CK117" s="64">
        <f t="shared" si="163"/>
        <v>0</v>
      </c>
      <c r="CL117" s="64">
        <f t="shared" si="164"/>
        <v>0</v>
      </c>
      <c r="CM117" s="64">
        <f t="shared" si="165"/>
        <v>0</v>
      </c>
      <c r="CN117" s="64">
        <f t="shared" si="166"/>
        <v>0</v>
      </c>
      <c r="CO117" s="64">
        <f t="shared" si="167"/>
        <v>0</v>
      </c>
      <c r="CP117" s="64">
        <f t="shared" si="168"/>
        <v>0</v>
      </c>
      <c r="CQ117" s="64">
        <f t="shared" si="169"/>
        <v>0</v>
      </c>
      <c r="CR117" s="64">
        <f t="shared" si="170"/>
        <v>0</v>
      </c>
      <c r="CS117" s="64">
        <f t="shared" si="171"/>
        <v>0</v>
      </c>
      <c r="CT117" s="64">
        <f t="shared" si="172"/>
        <v>0</v>
      </c>
      <c r="CU117" s="64">
        <f t="shared" si="173"/>
        <v>0</v>
      </c>
      <c r="CV117" s="69">
        <f t="shared" si="174"/>
        <v>33.260108240050144</v>
      </c>
      <c r="CW117" s="69">
        <f t="shared" si="175"/>
        <v>1006.8466461483761</v>
      </c>
      <c r="CX117" s="69">
        <f t="shared" si="176"/>
        <v>3780.2701020026711</v>
      </c>
      <c r="CY117" s="69">
        <f t="shared" si="177"/>
        <v>37349.393295454545</v>
      </c>
      <c r="CZ117" s="64">
        <f t="shared" si="178"/>
        <v>2682.7723304535084</v>
      </c>
      <c r="DA117" s="64">
        <f t="shared" si="179"/>
        <v>26506.021048387094</v>
      </c>
      <c r="DB117" s="64">
        <f t="shared" si="180"/>
        <v>6.3427614957049032</v>
      </c>
      <c r="DC117" s="64">
        <f t="shared" si="181"/>
        <v>9.746715512885288</v>
      </c>
      <c r="DD117" s="64">
        <f t="shared" si="182"/>
        <v>2.142761495704903</v>
      </c>
      <c r="DE117" s="64">
        <f t="shared" si="183"/>
        <v>21.046715512885289</v>
      </c>
      <c r="DF117" s="64">
        <f t="shared" si="184"/>
        <v>0.59999999999999964</v>
      </c>
      <c r="DG117" s="64">
        <f t="shared" si="185"/>
        <v>35.003954017180376</v>
      </c>
      <c r="DH117" s="64">
        <f t="shared" si="186"/>
        <v>0</v>
      </c>
      <c r="DI117" s="64">
        <f t="shared" si="187"/>
        <v>49.903954017180389</v>
      </c>
      <c r="DJ117" s="64">
        <f t="shared" si="188"/>
        <v>0</v>
      </c>
      <c r="DK117" s="64">
        <f t="shared" si="189"/>
        <v>65.403954017180382</v>
      </c>
      <c r="DL117" s="64">
        <f t="shared" si="190"/>
        <v>0</v>
      </c>
      <c r="DM117" s="64">
        <f t="shared" si="191"/>
        <v>80.903954017180425</v>
      </c>
      <c r="DN117" s="64">
        <f t="shared" si="192"/>
        <v>0</v>
      </c>
      <c r="DO117" s="64">
        <f t="shared" si="193"/>
        <v>96.403954017180425</v>
      </c>
      <c r="DP117" s="2">
        <f t="shared" si="194"/>
        <v>92</v>
      </c>
      <c r="DQ117" s="2">
        <f t="shared" si="194"/>
        <v>80</v>
      </c>
      <c r="DR117" s="2">
        <f t="shared" si="194"/>
        <v>68</v>
      </c>
      <c r="DS117" s="2">
        <f t="shared" si="194"/>
        <v>56</v>
      </c>
      <c r="DT117" s="2">
        <f t="shared" si="194"/>
        <v>44</v>
      </c>
      <c r="DU117" s="2">
        <f t="shared" si="115"/>
        <v>4</v>
      </c>
      <c r="DV117" s="2">
        <f t="shared" si="116"/>
        <v>26506.021048387094</v>
      </c>
      <c r="DW117" s="2">
        <f t="shared" si="142"/>
        <v>3286746.61</v>
      </c>
    </row>
    <row r="118" spans="1:127">
      <c r="A118" s="3">
        <v>45170</v>
      </c>
      <c r="B118">
        <f t="shared" si="117"/>
        <v>2023</v>
      </c>
      <c r="C118" s="6">
        <v>23099477.534333855</v>
      </c>
      <c r="D118" s="225">
        <f>VLOOKUP(B118,'Historic CDM'!$B$135:$H$147,2,FALSE)/12</f>
        <v>1180139.3153653573</v>
      </c>
      <c r="E118" s="2">
        <f t="shared" si="118"/>
        <v>24279616.849699214</v>
      </c>
      <c r="F118" s="6">
        <v>28907</v>
      </c>
      <c r="G118" s="6">
        <v>5362028.9451080002</v>
      </c>
      <c r="H118" s="2">
        <f>VLOOKUP(B118,'Historic CDM'!$B$135:$H$147,3,FALSE)/12</f>
        <v>1197125.69573412</v>
      </c>
      <c r="I118" s="2">
        <f t="shared" si="119"/>
        <v>6559154.6408421202</v>
      </c>
      <c r="J118" s="6">
        <v>2059</v>
      </c>
      <c r="K118" s="6">
        <v>16923728.340000004</v>
      </c>
      <c r="L118" s="225">
        <f>VLOOKUP(B118,'Historic CDM'!$B$135:$H$147,4,FALSE)/12</f>
        <v>1499293.7806216448</v>
      </c>
      <c r="M118" s="225">
        <f t="shared" si="123"/>
        <v>18423022.120621648</v>
      </c>
      <c r="N118" s="6">
        <v>42254</v>
      </c>
      <c r="O118" s="220">
        <v>233</v>
      </c>
      <c r="P118" s="6">
        <v>191085.42</v>
      </c>
      <c r="Q118" s="6">
        <v>609.5</v>
      </c>
      <c r="R118" s="220">
        <v>2809</v>
      </c>
      <c r="S118" s="6">
        <v>21791.405118300336</v>
      </c>
      <c r="T118" s="6">
        <v>59.45</v>
      </c>
      <c r="U118" s="220">
        <v>222</v>
      </c>
      <c r="V118" s="6">
        <v>117391.59826170931</v>
      </c>
      <c r="W118" s="220">
        <v>125</v>
      </c>
      <c r="X118" s="6">
        <v>2966546.81</v>
      </c>
      <c r="Y118" s="6">
        <v>8567</v>
      </c>
      <c r="Z118" s="220">
        <v>4</v>
      </c>
      <c r="AA118" s="100">
        <f>'Weather Data'!D274</f>
        <v>69.071045982819612</v>
      </c>
      <c r="AB118" s="100">
        <f>'Weather Data'!E274</f>
        <v>17.7</v>
      </c>
      <c r="AC118" s="100">
        <f>'Weather Data'!F274</f>
        <v>26.171045982819621</v>
      </c>
      <c r="AD118" s="100">
        <f>'Weather Data'!G274</f>
        <v>34.799999999999997</v>
      </c>
      <c r="AE118" s="100">
        <f>'Weather Data'!H274</f>
        <v>5.4355229914098082</v>
      </c>
      <c r="AF118" s="100">
        <f>'Weather Data'!I274</f>
        <v>74.064477008590188</v>
      </c>
      <c r="AG118" s="100">
        <f>'Weather Data'!J274</f>
        <v>0</v>
      </c>
      <c r="AH118" s="100">
        <f>'Weather Data'!K274</f>
        <v>128.6289540171804</v>
      </c>
      <c r="AI118" s="100">
        <f>'Weather Data'!L274</f>
        <v>0</v>
      </c>
      <c r="AJ118" s="100">
        <f>'Weather Data'!M274</f>
        <v>188.62895401718038</v>
      </c>
      <c r="AK118" s="100">
        <f>'Weather Data'!N274</f>
        <v>0</v>
      </c>
      <c r="AL118" s="100">
        <f>'Weather Data'!O274</f>
        <v>248.62895401718038</v>
      </c>
      <c r="AM118" s="100">
        <f>'Weather Data'!P274</f>
        <v>0</v>
      </c>
      <c r="AN118" s="100">
        <f>'Weather Data'!Q274</f>
        <v>308.62895401718038</v>
      </c>
      <c r="AO118" s="100">
        <f>'Weather Data'!R274</f>
        <v>18.287631800572683</v>
      </c>
      <c r="AP118" s="5">
        <f>'Economic Data'!D144</f>
        <v>7950</v>
      </c>
      <c r="AQ118" s="5">
        <f>'Economic Data'!E144</f>
        <v>7968.4</v>
      </c>
      <c r="AR118" s="5">
        <f>'Economic Data'!F144</f>
        <v>188.1</v>
      </c>
      <c r="AS118" s="5">
        <f>'Economic Data'!G144</f>
        <v>189.7</v>
      </c>
      <c r="AT118" s="5">
        <f>'Economic Data'!H144</f>
        <v>849571.36880000005</v>
      </c>
      <c r="AU118" s="5">
        <f>'Economic Data'!I144</f>
        <v>8894.3667999999998</v>
      </c>
      <c r="AV118" s="5">
        <f>'Economic Data'!J144</f>
        <v>7875.2828</v>
      </c>
      <c r="AW118" s="5">
        <f>'Economic Data'!K144</f>
        <v>5986.6884</v>
      </c>
      <c r="AX118" s="5">
        <f>'Economic Data'!L144</f>
        <v>1245.1648</v>
      </c>
      <c r="AY118" s="5">
        <f>'Economic Data'!M144</f>
        <v>2143.0111999999999</v>
      </c>
      <c r="AZ118" s="5">
        <f>'Economic Data'!N144</f>
        <v>6942.6235999999999</v>
      </c>
      <c r="BA118" s="5">
        <f>'Economic Data'!O144</f>
        <v>110.81400000000001</v>
      </c>
      <c r="BB118" s="5">
        <f>'Economic Data'!P144</f>
        <v>120.934</v>
      </c>
      <c r="BC118" s="5">
        <f>'Economic Data'!Q144</f>
        <v>852629</v>
      </c>
      <c r="BD118" s="5">
        <f>'Economic Data'!R144</f>
        <v>7512</v>
      </c>
      <c r="BE118" s="5">
        <f>'Economic Data'!S144</f>
        <v>4225</v>
      </c>
      <c r="BF118" s="5">
        <f>'Economic Data'!T144</f>
        <v>15442</v>
      </c>
      <c r="BG118" s="5">
        <f>'EV Data'!V83</f>
        <v>139423.99999999994</v>
      </c>
      <c r="BH118" s="5">
        <f>'EV Data'!AB83</f>
        <v>708.99999999999977</v>
      </c>
      <c r="BI118" s="5">
        <f>'EV Data'!W83</f>
        <v>2064.0000000000014</v>
      </c>
      <c r="BJ118" s="5">
        <f t="shared" si="149"/>
        <v>117</v>
      </c>
      <c r="BK118" s="70">
        <f t="shared" si="157"/>
        <v>2.0681858617461617</v>
      </c>
      <c r="BL118" s="5">
        <f t="shared" si="158"/>
        <v>13689</v>
      </c>
      <c r="BM118">
        <f t="shared" ref="BM118:CA118" si="196">BM106</f>
        <v>0</v>
      </c>
      <c r="BN118">
        <f t="shared" si="196"/>
        <v>0</v>
      </c>
      <c r="BO118">
        <f t="shared" si="196"/>
        <v>0</v>
      </c>
      <c r="BP118">
        <f t="shared" si="196"/>
        <v>0</v>
      </c>
      <c r="BQ118">
        <f t="shared" si="196"/>
        <v>0</v>
      </c>
      <c r="BR118">
        <f t="shared" si="196"/>
        <v>0</v>
      </c>
      <c r="BS118">
        <f t="shared" si="196"/>
        <v>0</v>
      </c>
      <c r="BT118">
        <f t="shared" si="196"/>
        <v>0</v>
      </c>
      <c r="BU118">
        <f t="shared" si="196"/>
        <v>1</v>
      </c>
      <c r="BV118">
        <f t="shared" si="196"/>
        <v>0</v>
      </c>
      <c r="BW118">
        <f t="shared" si="196"/>
        <v>0</v>
      </c>
      <c r="BX118">
        <f t="shared" si="196"/>
        <v>0</v>
      </c>
      <c r="BY118">
        <f t="shared" si="196"/>
        <v>0</v>
      </c>
      <c r="BZ118">
        <f t="shared" si="196"/>
        <v>0</v>
      </c>
      <c r="CA118">
        <f t="shared" si="196"/>
        <v>0</v>
      </c>
      <c r="CB118">
        <f t="shared" si="113"/>
        <v>30</v>
      </c>
      <c r="CC118" s="6">
        <v>20</v>
      </c>
      <c r="CD118">
        <v>0</v>
      </c>
      <c r="CE118">
        <f t="shared" si="155"/>
        <v>0</v>
      </c>
      <c r="CF118">
        <f t="shared" si="156"/>
        <v>0.25</v>
      </c>
      <c r="CG118">
        <v>0</v>
      </c>
      <c r="CH118" s="64">
        <f t="shared" si="160"/>
        <v>0</v>
      </c>
      <c r="CI118" s="64">
        <f t="shared" si="161"/>
        <v>0</v>
      </c>
      <c r="CJ118" s="64">
        <f t="shared" si="162"/>
        <v>0</v>
      </c>
      <c r="CK118" s="64">
        <f t="shared" si="163"/>
        <v>0</v>
      </c>
      <c r="CL118" s="64">
        <f t="shared" si="164"/>
        <v>0</v>
      </c>
      <c r="CM118" s="64">
        <f t="shared" si="165"/>
        <v>0</v>
      </c>
      <c r="CN118" s="64">
        <f t="shared" si="166"/>
        <v>0</v>
      </c>
      <c r="CO118" s="64">
        <f t="shared" si="167"/>
        <v>0</v>
      </c>
      <c r="CP118" s="64">
        <f t="shared" si="168"/>
        <v>0</v>
      </c>
      <c r="CQ118" s="64">
        <f t="shared" si="169"/>
        <v>0</v>
      </c>
      <c r="CR118" s="64">
        <f t="shared" si="170"/>
        <v>0</v>
      </c>
      <c r="CS118" s="64">
        <f t="shared" si="171"/>
        <v>0</v>
      </c>
      <c r="CT118" s="64">
        <f t="shared" si="172"/>
        <v>0</v>
      </c>
      <c r="CU118" s="64">
        <f t="shared" si="173"/>
        <v>0</v>
      </c>
      <c r="CV118" s="69">
        <f t="shared" si="174"/>
        <v>27.997390308805496</v>
      </c>
      <c r="CW118" s="69">
        <f t="shared" si="175"/>
        <v>938.36260956253511</v>
      </c>
      <c r="CX118" s="69">
        <f t="shared" si="176"/>
        <v>3953.4382233093661</v>
      </c>
      <c r="CY118" s="69">
        <f t="shared" si="177"/>
        <v>37081.835124999998</v>
      </c>
      <c r="CZ118" s="64">
        <f t="shared" si="178"/>
        <v>2635.6254822062442</v>
      </c>
      <c r="DA118" s="64">
        <f t="shared" si="179"/>
        <v>24721.223416666668</v>
      </c>
      <c r="DB118" s="64">
        <f t="shared" si="180"/>
        <v>17.267761495704903</v>
      </c>
      <c r="DC118" s="64">
        <f t="shared" si="181"/>
        <v>4.4249999999999998</v>
      </c>
      <c r="DD118" s="64">
        <f t="shared" si="182"/>
        <v>6.5427614957049052</v>
      </c>
      <c r="DE118" s="64">
        <f t="shared" si="183"/>
        <v>8.6999999999999993</v>
      </c>
      <c r="DF118" s="64">
        <f t="shared" si="184"/>
        <v>1.3588807478524521</v>
      </c>
      <c r="DG118" s="64">
        <f t="shared" si="185"/>
        <v>18.516119252147547</v>
      </c>
      <c r="DH118" s="64">
        <f t="shared" si="186"/>
        <v>0</v>
      </c>
      <c r="DI118" s="64">
        <f t="shared" si="187"/>
        <v>32.157238504295101</v>
      </c>
      <c r="DJ118" s="64">
        <f t="shared" si="188"/>
        <v>0</v>
      </c>
      <c r="DK118" s="64">
        <f t="shared" si="189"/>
        <v>47.157238504295094</v>
      </c>
      <c r="DL118" s="64">
        <f t="shared" si="190"/>
        <v>0</v>
      </c>
      <c r="DM118" s="64">
        <f t="shared" si="191"/>
        <v>62.157238504295094</v>
      </c>
      <c r="DN118" s="64">
        <f t="shared" si="192"/>
        <v>0</v>
      </c>
      <c r="DO118" s="64">
        <f t="shared" si="193"/>
        <v>77.157238504295094</v>
      </c>
      <c r="DP118" s="2">
        <f t="shared" si="194"/>
        <v>93</v>
      </c>
      <c r="DQ118" s="2">
        <f t="shared" si="194"/>
        <v>81</v>
      </c>
      <c r="DR118" s="2">
        <f t="shared" si="194"/>
        <v>69</v>
      </c>
      <c r="DS118" s="2">
        <f t="shared" si="194"/>
        <v>57</v>
      </c>
      <c r="DT118" s="2">
        <f t="shared" si="194"/>
        <v>45</v>
      </c>
      <c r="DU118" s="2">
        <f t="shared" si="115"/>
        <v>4</v>
      </c>
      <c r="DV118" s="2">
        <f t="shared" si="116"/>
        <v>24721.223416666668</v>
      </c>
      <c r="DW118" s="2">
        <f t="shared" si="142"/>
        <v>2966546.81</v>
      </c>
    </row>
    <row r="119" spans="1:127">
      <c r="A119" s="3">
        <v>45200</v>
      </c>
      <c r="B119">
        <f t="shared" si="117"/>
        <v>2023</v>
      </c>
      <c r="C119" s="6">
        <v>18482132.450139821</v>
      </c>
      <c r="D119" s="225">
        <f>VLOOKUP(B119,'Historic CDM'!$B$135:$H$147,2,FALSE)/12</f>
        <v>1180139.3153653573</v>
      </c>
      <c r="E119" s="2">
        <f t="shared" si="118"/>
        <v>19662271.76550518</v>
      </c>
      <c r="F119" s="6">
        <v>28980</v>
      </c>
      <c r="G119" s="6">
        <v>4859280.9082360035</v>
      </c>
      <c r="H119" s="2">
        <f>VLOOKUP(B119,'Historic CDM'!$B$135:$H$147,3,FALSE)/12</f>
        <v>1197125.69573412</v>
      </c>
      <c r="I119" s="2">
        <f t="shared" si="119"/>
        <v>6056406.6039701235</v>
      </c>
      <c r="J119" s="6">
        <v>2062</v>
      </c>
      <c r="K119" s="6">
        <v>15749655.390000006</v>
      </c>
      <c r="L119" s="225">
        <f>VLOOKUP(B119,'Historic CDM'!$B$135:$H$147,4,FALSE)/12</f>
        <v>1499293.7806216448</v>
      </c>
      <c r="M119" s="225">
        <f t="shared" si="123"/>
        <v>17248949.170621652</v>
      </c>
      <c r="N119" s="6">
        <v>50983</v>
      </c>
      <c r="O119" s="220">
        <v>234</v>
      </c>
      <c r="P119" s="6">
        <v>225828.38999999996</v>
      </c>
      <c r="Q119" s="6">
        <v>609.5</v>
      </c>
      <c r="R119" s="220">
        <v>2809</v>
      </c>
      <c r="S119" s="6">
        <v>22977.305649444712</v>
      </c>
      <c r="T119" s="6">
        <v>62.68</v>
      </c>
      <c r="U119" s="220">
        <v>222</v>
      </c>
      <c r="V119" s="6">
        <v>117391.59826170931</v>
      </c>
      <c r="W119" s="220">
        <v>125</v>
      </c>
      <c r="X119" s="6">
        <v>2745572.4499999997</v>
      </c>
      <c r="Y119" s="6">
        <v>7276</v>
      </c>
      <c r="Z119" s="220">
        <v>4</v>
      </c>
      <c r="AA119" s="100">
        <f>'Weather Data'!D275</f>
        <v>243</v>
      </c>
      <c r="AB119" s="100">
        <f>'Weather Data'!E275</f>
        <v>3.3999999999999986</v>
      </c>
      <c r="AC119" s="100">
        <f>'Weather Data'!F275</f>
        <v>191.00000000000003</v>
      </c>
      <c r="AD119" s="100">
        <f>'Weather Data'!G275</f>
        <v>13.399999999999995</v>
      </c>
      <c r="AE119" s="100">
        <f>'Weather Data'!H275</f>
        <v>144.19999999999999</v>
      </c>
      <c r="AF119" s="100">
        <f>'Weather Data'!I275</f>
        <v>28.599999999999994</v>
      </c>
      <c r="AG119" s="100">
        <f>'Weather Data'!J275</f>
        <v>100.29999999999998</v>
      </c>
      <c r="AH119" s="100">
        <f>'Weather Data'!K275</f>
        <v>46.699999999999996</v>
      </c>
      <c r="AI119" s="100">
        <f>'Weather Data'!L275</f>
        <v>60.400000000000006</v>
      </c>
      <c r="AJ119" s="100">
        <f>'Weather Data'!M275</f>
        <v>68.799999999999983</v>
      </c>
      <c r="AK119" s="100">
        <f>'Weather Data'!N275</f>
        <v>31</v>
      </c>
      <c r="AL119" s="100">
        <f>'Weather Data'!O275</f>
        <v>101.4</v>
      </c>
      <c r="AM119" s="100">
        <f>'Weather Data'!P275</f>
        <v>16</v>
      </c>
      <c r="AN119" s="100">
        <f>'Weather Data'!Q275</f>
        <v>148.4</v>
      </c>
      <c r="AO119" s="100">
        <f>'Weather Data'!R275</f>
        <v>12.270967741935481</v>
      </c>
      <c r="AP119" s="5">
        <f>'Economic Data'!D145</f>
        <v>7948.8</v>
      </c>
      <c r="AQ119" s="5">
        <f>'Economic Data'!E145</f>
        <v>7947.2</v>
      </c>
      <c r="AR119" s="5">
        <f>'Economic Data'!F145</f>
        <v>185.2</v>
      </c>
      <c r="AS119" s="5">
        <f>'Economic Data'!G145</f>
        <v>186.5</v>
      </c>
      <c r="AT119" s="5">
        <f>'Economic Data'!H145</f>
        <v>849571.36880000005</v>
      </c>
      <c r="AU119" s="5">
        <f>'Economic Data'!I145</f>
        <v>8894.3667999999998</v>
      </c>
      <c r="AV119" s="5">
        <f>'Economic Data'!J145</f>
        <v>7875.2828</v>
      </c>
      <c r="AW119" s="5">
        <f>'Economic Data'!K145</f>
        <v>5986.6884</v>
      </c>
      <c r="AX119" s="5">
        <f>'Economic Data'!L145</f>
        <v>1245.1648</v>
      </c>
      <c r="AY119" s="5">
        <f>'Economic Data'!M145</f>
        <v>2143.0111999999999</v>
      </c>
      <c r="AZ119" s="5">
        <f>'Economic Data'!N145</f>
        <v>6942.6235999999999</v>
      </c>
      <c r="BA119" s="5">
        <f>'Economic Data'!O145</f>
        <v>110.81400000000001</v>
      </c>
      <c r="BB119" s="5">
        <f>'Economic Data'!P145</f>
        <v>120.934</v>
      </c>
      <c r="BC119" s="5">
        <f>'Economic Data'!Q145</f>
        <v>852090.84400000004</v>
      </c>
      <c r="BD119" s="5">
        <f>'Economic Data'!R145</f>
        <v>8845.8919999999998</v>
      </c>
      <c r="BE119" s="5">
        <f>'Economic Data'!S145</f>
        <v>4101.6360000000004</v>
      </c>
      <c r="BF119" s="5">
        <f>'Economic Data'!T145</f>
        <v>15840.835999999999</v>
      </c>
      <c r="BG119" s="5">
        <f>'EV Data'!V84</f>
        <v>144082.33333333328</v>
      </c>
      <c r="BH119" s="5">
        <f>'EV Data'!AB84</f>
        <v>741.33333333333314</v>
      </c>
      <c r="BI119" s="5">
        <f>'EV Data'!W84</f>
        <v>2140.6666666666679</v>
      </c>
      <c r="BJ119" s="5">
        <f t="shared" si="149"/>
        <v>118</v>
      </c>
      <c r="BK119" s="70">
        <f t="shared" si="157"/>
        <v>2.0718820073061255</v>
      </c>
      <c r="BL119" s="5">
        <f t="shared" si="158"/>
        <v>13924</v>
      </c>
      <c r="BM119">
        <f t="shared" ref="BM119:CA119" si="197">BM107</f>
        <v>0</v>
      </c>
      <c r="BN119">
        <f t="shared" si="197"/>
        <v>0</v>
      </c>
      <c r="BO119">
        <f t="shared" si="197"/>
        <v>0</v>
      </c>
      <c r="BP119">
        <f t="shared" si="197"/>
        <v>0</v>
      </c>
      <c r="BQ119">
        <f t="shared" si="197"/>
        <v>0</v>
      </c>
      <c r="BR119">
        <f t="shared" si="197"/>
        <v>0</v>
      </c>
      <c r="BS119">
        <f t="shared" si="197"/>
        <v>0</v>
      </c>
      <c r="BT119">
        <f t="shared" si="197"/>
        <v>0</v>
      </c>
      <c r="BU119">
        <f t="shared" si="197"/>
        <v>0</v>
      </c>
      <c r="BV119">
        <f t="shared" si="197"/>
        <v>1</v>
      </c>
      <c r="BW119">
        <f t="shared" si="197"/>
        <v>0</v>
      </c>
      <c r="BX119">
        <f t="shared" si="197"/>
        <v>0</v>
      </c>
      <c r="BY119">
        <f t="shared" si="197"/>
        <v>0</v>
      </c>
      <c r="BZ119">
        <f t="shared" si="197"/>
        <v>1</v>
      </c>
      <c r="CA119">
        <f t="shared" si="197"/>
        <v>1</v>
      </c>
      <c r="CB119">
        <f t="shared" si="113"/>
        <v>31</v>
      </c>
      <c r="CC119" s="6">
        <v>21</v>
      </c>
      <c r="CD119">
        <v>0</v>
      </c>
      <c r="CE119">
        <f t="shared" si="155"/>
        <v>0</v>
      </c>
      <c r="CF119">
        <f t="shared" si="156"/>
        <v>0.25</v>
      </c>
      <c r="CG119">
        <v>0</v>
      </c>
      <c r="CH119" s="64">
        <f t="shared" si="160"/>
        <v>0</v>
      </c>
      <c r="CI119" s="64">
        <f t="shared" si="161"/>
        <v>0</v>
      </c>
      <c r="CJ119" s="64">
        <f t="shared" si="162"/>
        <v>0</v>
      </c>
      <c r="CK119" s="64">
        <f t="shared" si="163"/>
        <v>0</v>
      </c>
      <c r="CL119" s="64">
        <f t="shared" si="164"/>
        <v>0</v>
      </c>
      <c r="CM119" s="64">
        <f t="shared" si="165"/>
        <v>0</v>
      </c>
      <c r="CN119" s="64">
        <f t="shared" si="166"/>
        <v>0</v>
      </c>
      <c r="CO119" s="64">
        <f t="shared" si="167"/>
        <v>0</v>
      </c>
      <c r="CP119" s="64">
        <f t="shared" si="168"/>
        <v>0</v>
      </c>
      <c r="CQ119" s="64">
        <f t="shared" si="169"/>
        <v>0</v>
      </c>
      <c r="CR119" s="64">
        <f t="shared" si="170"/>
        <v>0</v>
      </c>
      <c r="CS119" s="64">
        <f t="shared" si="171"/>
        <v>0</v>
      </c>
      <c r="CT119" s="64">
        <f t="shared" si="172"/>
        <v>0</v>
      </c>
      <c r="CU119" s="64">
        <f t="shared" si="173"/>
        <v>0</v>
      </c>
      <c r="CV119" s="69">
        <f t="shared" si="174"/>
        <v>21.886364083689728</v>
      </c>
      <c r="CW119" s="69">
        <f t="shared" si="175"/>
        <v>834.90579045631694</v>
      </c>
      <c r="CX119" s="69">
        <f t="shared" si="176"/>
        <v>3510.1646663861725</v>
      </c>
      <c r="CY119" s="69">
        <f t="shared" si="177"/>
        <v>32685.386309523805</v>
      </c>
      <c r="CZ119" s="64">
        <f t="shared" si="178"/>
        <v>2377.8534836809554</v>
      </c>
      <c r="DA119" s="64">
        <f t="shared" si="179"/>
        <v>22141.713306451609</v>
      </c>
      <c r="DB119" s="64">
        <f t="shared" si="180"/>
        <v>60.75</v>
      </c>
      <c r="DC119" s="64">
        <f t="shared" si="181"/>
        <v>0.84999999999999964</v>
      </c>
      <c r="DD119" s="64">
        <f t="shared" si="182"/>
        <v>47.750000000000007</v>
      </c>
      <c r="DE119" s="64">
        <f t="shared" si="183"/>
        <v>3.3499999999999988</v>
      </c>
      <c r="DF119" s="64">
        <f t="shared" si="184"/>
        <v>36.049999999999997</v>
      </c>
      <c r="DG119" s="64">
        <f t="shared" si="185"/>
        <v>7.1499999999999986</v>
      </c>
      <c r="DH119" s="64">
        <f t="shared" si="186"/>
        <v>25.074999999999996</v>
      </c>
      <c r="DI119" s="64">
        <f t="shared" si="187"/>
        <v>11.674999999999999</v>
      </c>
      <c r="DJ119" s="64">
        <f t="shared" si="188"/>
        <v>15.100000000000001</v>
      </c>
      <c r="DK119" s="64">
        <f t="shared" si="189"/>
        <v>17.199999999999996</v>
      </c>
      <c r="DL119" s="64">
        <f t="shared" si="190"/>
        <v>7.75</v>
      </c>
      <c r="DM119" s="64">
        <f t="shared" si="191"/>
        <v>25.35</v>
      </c>
      <c r="DN119" s="64">
        <f t="shared" si="192"/>
        <v>4</v>
      </c>
      <c r="DO119" s="64">
        <f t="shared" si="193"/>
        <v>37.1</v>
      </c>
      <c r="DP119" s="2">
        <f t="shared" si="194"/>
        <v>94</v>
      </c>
      <c r="DQ119" s="2">
        <f t="shared" si="194"/>
        <v>82</v>
      </c>
      <c r="DR119" s="2">
        <f t="shared" si="194"/>
        <v>70</v>
      </c>
      <c r="DS119" s="2">
        <f t="shared" si="194"/>
        <v>58</v>
      </c>
      <c r="DT119" s="2">
        <f t="shared" si="194"/>
        <v>46</v>
      </c>
      <c r="DU119" s="2">
        <f t="shared" si="115"/>
        <v>4</v>
      </c>
      <c r="DV119" s="2">
        <f t="shared" si="116"/>
        <v>22141.713306451609</v>
      </c>
      <c r="DW119" s="2">
        <f t="shared" si="142"/>
        <v>2745572.4499999997</v>
      </c>
    </row>
    <row r="120" spans="1:127">
      <c r="A120" s="3">
        <v>45231</v>
      </c>
      <c r="B120">
        <f t="shared" si="117"/>
        <v>2023</v>
      </c>
      <c r="C120" s="6">
        <v>18318230.712452941</v>
      </c>
      <c r="D120" s="225">
        <f>VLOOKUP(B120,'Historic CDM'!$B$135:$H$147,2,FALSE)/12</f>
        <v>1180139.3153653573</v>
      </c>
      <c r="E120" s="2">
        <f t="shared" si="118"/>
        <v>19498370.0278183</v>
      </c>
      <c r="F120" s="6">
        <v>29025</v>
      </c>
      <c r="G120" s="6">
        <v>4862462.3811229998</v>
      </c>
      <c r="H120" s="2">
        <f>VLOOKUP(B120,'Historic CDM'!$B$135:$H$147,3,FALSE)/12</f>
        <v>1197125.69573412</v>
      </c>
      <c r="I120" s="2">
        <f t="shared" si="119"/>
        <v>6059588.0768571198</v>
      </c>
      <c r="J120" s="6">
        <v>2080</v>
      </c>
      <c r="K120" s="6">
        <v>14974843.080000008</v>
      </c>
      <c r="L120" s="225">
        <f>VLOOKUP(B120,'Historic CDM'!$B$135:$H$147,4,FALSE)/12</f>
        <v>1499293.7806216448</v>
      </c>
      <c r="M120" s="225">
        <f t="shared" si="123"/>
        <v>16474136.860621652</v>
      </c>
      <c r="N120" s="6">
        <v>42002</v>
      </c>
      <c r="O120" s="220">
        <v>234</v>
      </c>
      <c r="P120" s="6">
        <v>237104.77</v>
      </c>
      <c r="Q120" s="6">
        <v>609.5</v>
      </c>
      <c r="R120" s="220">
        <v>2809</v>
      </c>
      <c r="S120" s="6">
        <v>22383.389666827617</v>
      </c>
      <c r="T120" s="6">
        <v>61.06</v>
      </c>
      <c r="U120" s="220">
        <v>222</v>
      </c>
      <c r="V120" s="6">
        <v>117391.59826170931</v>
      </c>
      <c r="W120" s="220">
        <v>125</v>
      </c>
      <c r="X120" s="6">
        <v>2746667.53</v>
      </c>
      <c r="Y120" s="6">
        <v>6837</v>
      </c>
      <c r="Z120" s="220">
        <v>4</v>
      </c>
      <c r="AA120" s="100">
        <f>'Weather Data'!D276</f>
        <v>462.39999999999992</v>
      </c>
      <c r="AB120" s="100">
        <f>'Weather Data'!E276</f>
        <v>0</v>
      </c>
      <c r="AC120" s="100">
        <f>'Weather Data'!F276</f>
        <v>402.39999999999992</v>
      </c>
      <c r="AD120" s="100">
        <f>'Weather Data'!G276</f>
        <v>0</v>
      </c>
      <c r="AE120" s="100">
        <f>'Weather Data'!H276</f>
        <v>342.39999999999992</v>
      </c>
      <c r="AF120" s="100">
        <f>'Weather Data'!I276</f>
        <v>0</v>
      </c>
      <c r="AG120" s="100">
        <f>'Weather Data'!J276</f>
        <v>282.40000000000003</v>
      </c>
      <c r="AH120" s="100">
        <f>'Weather Data'!K276</f>
        <v>0</v>
      </c>
      <c r="AI120" s="100">
        <f>'Weather Data'!L276</f>
        <v>222.40000000000003</v>
      </c>
      <c r="AJ120" s="100">
        <f>'Weather Data'!M276</f>
        <v>0</v>
      </c>
      <c r="AK120" s="100">
        <f>'Weather Data'!N276</f>
        <v>164.3</v>
      </c>
      <c r="AL120" s="100">
        <f>'Weather Data'!O276</f>
        <v>1.9000000000000004</v>
      </c>
      <c r="AM120" s="100">
        <f>'Weather Data'!P276</f>
        <v>113.20000000000002</v>
      </c>
      <c r="AN120" s="100">
        <f>'Weather Data'!Q276</f>
        <v>10.8</v>
      </c>
      <c r="AO120" s="100">
        <f>'Weather Data'!R276</f>
        <v>4.5866666666666642</v>
      </c>
      <c r="AP120" s="5">
        <f>'Economic Data'!D146</f>
        <v>7952.8</v>
      </c>
      <c r="AQ120" s="5">
        <f>'Economic Data'!E146</f>
        <v>7939.3</v>
      </c>
      <c r="AR120" s="5">
        <f>'Economic Data'!F146</f>
        <v>184.2</v>
      </c>
      <c r="AS120" s="5">
        <f>'Economic Data'!G146</f>
        <v>185.3</v>
      </c>
      <c r="AT120" s="5">
        <f>'Economic Data'!H146</f>
        <v>849571.36880000005</v>
      </c>
      <c r="AU120" s="5">
        <f>'Economic Data'!I146</f>
        <v>8894.3667999999998</v>
      </c>
      <c r="AV120" s="5">
        <f>'Economic Data'!J146</f>
        <v>7875.2828</v>
      </c>
      <c r="AW120" s="5">
        <f>'Economic Data'!K146</f>
        <v>5986.6884</v>
      </c>
      <c r="AX120" s="5">
        <f>'Economic Data'!L146</f>
        <v>1245.1648</v>
      </c>
      <c r="AY120" s="5">
        <f>'Economic Data'!M146</f>
        <v>2143.0111999999999</v>
      </c>
      <c r="AZ120" s="5">
        <f>'Economic Data'!N146</f>
        <v>6942.6235999999999</v>
      </c>
      <c r="BA120" s="5">
        <f>'Economic Data'!O146</f>
        <v>110.81400000000001</v>
      </c>
      <c r="BB120" s="5">
        <f>'Economic Data'!P146</f>
        <v>120.934</v>
      </c>
      <c r="BC120" s="5">
        <f>'Economic Data'!Q146</f>
        <v>852090.84400000004</v>
      </c>
      <c r="BD120" s="5">
        <f>'Economic Data'!R146</f>
        <v>8845.8919999999998</v>
      </c>
      <c r="BE120" s="5">
        <f>'Economic Data'!S146</f>
        <v>4101.6360000000004</v>
      </c>
      <c r="BF120" s="5">
        <f>'Economic Data'!T146</f>
        <v>15840.835999999999</v>
      </c>
      <c r="BG120" s="5">
        <f>'EV Data'!V85</f>
        <v>148740.66666666663</v>
      </c>
      <c r="BH120" s="5">
        <f>'EV Data'!AB85</f>
        <v>773.66666666666652</v>
      </c>
      <c r="BI120" s="5">
        <f>'EV Data'!W85</f>
        <v>2217.3333333333344</v>
      </c>
      <c r="BJ120" s="5">
        <f t="shared" si="149"/>
        <v>119</v>
      </c>
      <c r="BK120" s="70">
        <f t="shared" si="157"/>
        <v>2.0755469613925306</v>
      </c>
      <c r="BL120" s="5">
        <f t="shared" si="158"/>
        <v>14161</v>
      </c>
      <c r="BM120">
        <f t="shared" ref="BM120:CA120" si="198">BM108</f>
        <v>0</v>
      </c>
      <c r="BN120">
        <f t="shared" si="198"/>
        <v>0</v>
      </c>
      <c r="BO120">
        <f t="shared" si="198"/>
        <v>0</v>
      </c>
      <c r="BP120">
        <f t="shared" si="198"/>
        <v>0</v>
      </c>
      <c r="BQ120">
        <f t="shared" si="198"/>
        <v>0</v>
      </c>
      <c r="BR120">
        <f t="shared" si="198"/>
        <v>0</v>
      </c>
      <c r="BS120">
        <f t="shared" si="198"/>
        <v>0</v>
      </c>
      <c r="BT120">
        <f t="shared" si="198"/>
        <v>0</v>
      </c>
      <c r="BU120">
        <f t="shared" si="198"/>
        <v>0</v>
      </c>
      <c r="BV120">
        <f t="shared" si="198"/>
        <v>0</v>
      </c>
      <c r="BW120">
        <f t="shared" si="198"/>
        <v>1</v>
      </c>
      <c r="BX120">
        <f t="shared" si="198"/>
        <v>0</v>
      </c>
      <c r="BY120">
        <f t="shared" si="198"/>
        <v>0</v>
      </c>
      <c r="BZ120">
        <f t="shared" si="198"/>
        <v>1</v>
      </c>
      <c r="CA120">
        <f t="shared" si="198"/>
        <v>1</v>
      </c>
      <c r="CB120">
        <f t="shared" si="113"/>
        <v>30</v>
      </c>
      <c r="CC120">
        <v>22</v>
      </c>
      <c r="CD120">
        <v>0</v>
      </c>
      <c r="CE120">
        <f t="shared" si="155"/>
        <v>0</v>
      </c>
      <c r="CF120">
        <f t="shared" si="156"/>
        <v>0.25</v>
      </c>
      <c r="CG120">
        <v>0</v>
      </c>
      <c r="CH120" s="64">
        <f t="shared" si="160"/>
        <v>0</v>
      </c>
      <c r="CI120" s="64">
        <f t="shared" si="161"/>
        <v>0</v>
      </c>
      <c r="CJ120" s="64">
        <f t="shared" si="162"/>
        <v>0</v>
      </c>
      <c r="CK120" s="64">
        <f t="shared" si="163"/>
        <v>0</v>
      </c>
      <c r="CL120" s="64">
        <f t="shared" si="164"/>
        <v>0</v>
      </c>
      <c r="CM120" s="64">
        <f t="shared" si="165"/>
        <v>0</v>
      </c>
      <c r="CN120" s="64">
        <f t="shared" si="166"/>
        <v>0</v>
      </c>
      <c r="CO120" s="64">
        <f t="shared" si="167"/>
        <v>0</v>
      </c>
      <c r="CP120" s="64">
        <f t="shared" si="168"/>
        <v>0</v>
      </c>
      <c r="CQ120" s="64">
        <f t="shared" si="169"/>
        <v>0</v>
      </c>
      <c r="CR120" s="64">
        <f t="shared" si="170"/>
        <v>0</v>
      </c>
      <c r="CS120" s="64">
        <f t="shared" si="171"/>
        <v>0</v>
      </c>
      <c r="CT120" s="64">
        <f t="shared" si="172"/>
        <v>0</v>
      </c>
      <c r="CU120" s="64">
        <f t="shared" si="173"/>
        <v>0</v>
      </c>
      <c r="CV120" s="69">
        <f t="shared" si="174"/>
        <v>22.392615593245246</v>
      </c>
      <c r="CW120" s="69">
        <f t="shared" si="175"/>
        <v>863.18918473748147</v>
      </c>
      <c r="CX120" s="69">
        <f t="shared" si="176"/>
        <v>3200.104285280041</v>
      </c>
      <c r="CY120" s="69">
        <f t="shared" si="177"/>
        <v>31212.13102272727</v>
      </c>
      <c r="CZ120" s="64">
        <f t="shared" si="178"/>
        <v>2346.7431425386972</v>
      </c>
      <c r="DA120" s="64">
        <f t="shared" si="179"/>
        <v>22888.896083333333</v>
      </c>
      <c r="DB120" s="64">
        <f t="shared" si="180"/>
        <v>115.59999999999998</v>
      </c>
      <c r="DC120" s="64">
        <f t="shared" si="181"/>
        <v>0</v>
      </c>
      <c r="DD120" s="64">
        <f t="shared" si="182"/>
        <v>100.59999999999998</v>
      </c>
      <c r="DE120" s="64">
        <f t="shared" si="183"/>
        <v>0</v>
      </c>
      <c r="DF120" s="64">
        <f t="shared" si="184"/>
        <v>85.59999999999998</v>
      </c>
      <c r="DG120" s="64">
        <f t="shared" si="185"/>
        <v>0</v>
      </c>
      <c r="DH120" s="64">
        <f t="shared" si="186"/>
        <v>70.600000000000009</v>
      </c>
      <c r="DI120" s="64">
        <f t="shared" si="187"/>
        <v>0</v>
      </c>
      <c r="DJ120" s="64">
        <f t="shared" si="188"/>
        <v>55.600000000000009</v>
      </c>
      <c r="DK120" s="64">
        <f t="shared" si="189"/>
        <v>0</v>
      </c>
      <c r="DL120" s="64">
        <f t="shared" si="190"/>
        <v>41.075000000000003</v>
      </c>
      <c r="DM120" s="64">
        <f t="shared" si="191"/>
        <v>0.47500000000000009</v>
      </c>
      <c r="DN120" s="64">
        <f t="shared" si="192"/>
        <v>28.300000000000004</v>
      </c>
      <c r="DO120" s="64">
        <f t="shared" si="193"/>
        <v>2.7</v>
      </c>
      <c r="DP120" s="2">
        <f t="shared" si="194"/>
        <v>95</v>
      </c>
      <c r="DQ120" s="2">
        <f t="shared" si="194"/>
        <v>83</v>
      </c>
      <c r="DR120" s="2">
        <f t="shared" si="194"/>
        <v>71</v>
      </c>
      <c r="DS120" s="2">
        <f t="shared" si="194"/>
        <v>59</v>
      </c>
      <c r="DT120" s="2">
        <f t="shared" si="194"/>
        <v>47</v>
      </c>
      <c r="DU120" s="2">
        <f t="shared" si="115"/>
        <v>4</v>
      </c>
      <c r="DV120" s="2">
        <f t="shared" si="116"/>
        <v>22888.896083333333</v>
      </c>
      <c r="DW120" s="2">
        <f t="shared" si="142"/>
        <v>2746667.53</v>
      </c>
    </row>
    <row r="121" spans="1:127">
      <c r="A121" s="3">
        <v>45261</v>
      </c>
      <c r="B121">
        <f t="shared" si="117"/>
        <v>2023</v>
      </c>
      <c r="C121" s="6">
        <v>20769593.879999999</v>
      </c>
      <c r="D121" s="225">
        <f>VLOOKUP(B121,'Historic CDM'!$B$135:$H$147,2,FALSE)/12</f>
        <v>1180139.3153653573</v>
      </c>
      <c r="E121" s="2">
        <f t="shared" si="118"/>
        <v>21949733.195365354</v>
      </c>
      <c r="F121" s="6">
        <v>29030</v>
      </c>
      <c r="G121" s="6">
        <v>5052978.8</v>
      </c>
      <c r="H121" s="2">
        <f>VLOOKUP(B121,'Historic CDM'!$B$135:$H$147,3,FALSE)/12</f>
        <v>1197125.69573412</v>
      </c>
      <c r="I121" s="2">
        <f t="shared" si="119"/>
        <v>6250104.4957341198</v>
      </c>
      <c r="J121" s="6">
        <v>2084</v>
      </c>
      <c r="K121" s="6">
        <v>13894456.609999999</v>
      </c>
      <c r="L121" s="225">
        <f>VLOOKUP(B121,'Historic CDM'!$B$135:$H$147,4,FALSE)/12</f>
        <v>1499293.7806216448</v>
      </c>
      <c r="M121" s="225">
        <f t="shared" si="123"/>
        <v>15393750.390621644</v>
      </c>
      <c r="N121" s="310">
        <v>41496.550000000003</v>
      </c>
      <c r="O121" s="220">
        <v>235</v>
      </c>
      <c r="P121" s="6">
        <v>259352.31</v>
      </c>
      <c r="Q121" s="6">
        <v>609.5</v>
      </c>
      <c r="R121" s="220">
        <v>2809</v>
      </c>
      <c r="S121" s="6">
        <v>22436.504104297437</v>
      </c>
      <c r="T121" s="297">
        <f>T120</f>
        <v>61.06</v>
      </c>
      <c r="U121" s="220">
        <v>222</v>
      </c>
      <c r="V121" s="6">
        <v>117391.59826170931</v>
      </c>
      <c r="W121" s="220">
        <v>125</v>
      </c>
      <c r="X121" s="6">
        <v>2567239.4</v>
      </c>
      <c r="Y121" s="297">
        <f>Y120</f>
        <v>6837</v>
      </c>
      <c r="Z121" s="220">
        <v>4</v>
      </c>
      <c r="AA121" s="100">
        <f>'Weather Data'!D277</f>
        <v>493.4</v>
      </c>
      <c r="AB121" s="100">
        <f>'Weather Data'!E277</f>
        <v>0</v>
      </c>
      <c r="AC121" s="100">
        <f>'Weather Data'!F277</f>
        <v>431.4</v>
      </c>
      <c r="AD121" s="100">
        <f>'Weather Data'!G277</f>
        <v>0</v>
      </c>
      <c r="AE121" s="100">
        <f>'Weather Data'!H277</f>
        <v>369.40000000000003</v>
      </c>
      <c r="AF121" s="100">
        <f>'Weather Data'!I277</f>
        <v>0</v>
      </c>
      <c r="AG121" s="100">
        <f>'Weather Data'!J277</f>
        <v>307.40000000000009</v>
      </c>
      <c r="AH121" s="100">
        <f>'Weather Data'!K277</f>
        <v>0</v>
      </c>
      <c r="AI121" s="100">
        <f>'Weather Data'!L277</f>
        <v>245.40000000000006</v>
      </c>
      <c r="AJ121" s="100">
        <f>'Weather Data'!M277</f>
        <v>0</v>
      </c>
      <c r="AK121" s="100">
        <f>'Weather Data'!N277</f>
        <v>183.90000000000006</v>
      </c>
      <c r="AL121" s="100">
        <f>'Weather Data'!O277</f>
        <v>0.5</v>
      </c>
      <c r="AM121" s="100">
        <f>'Weather Data'!P277</f>
        <v>126.10000000000001</v>
      </c>
      <c r="AN121" s="100">
        <f>'Weather Data'!Q277</f>
        <v>4.6999999999999993</v>
      </c>
      <c r="AO121" s="100">
        <f>'Weather Data'!R277</f>
        <v>4.0838709677419356</v>
      </c>
      <c r="AP121" s="5">
        <f>'Economic Data'!D147</f>
        <v>7934.2</v>
      </c>
      <c r="AQ121" s="5">
        <f>'Economic Data'!E147</f>
        <v>7938.2</v>
      </c>
      <c r="AR121" s="5">
        <f>'Economic Data'!F147</f>
        <v>184</v>
      </c>
      <c r="AS121" s="5">
        <f>'Economic Data'!G147</f>
        <v>185.1</v>
      </c>
      <c r="AT121" s="5">
        <f>'Economic Data'!H147</f>
        <v>849571.36880000005</v>
      </c>
      <c r="AU121" s="5">
        <f>'Economic Data'!I147</f>
        <v>8894.3667999999998</v>
      </c>
      <c r="AV121" s="5">
        <f>'Economic Data'!J147</f>
        <v>7875.2828</v>
      </c>
      <c r="AW121" s="5">
        <f>'Economic Data'!K147</f>
        <v>5986.6884</v>
      </c>
      <c r="AX121" s="5">
        <f>'Economic Data'!L147</f>
        <v>1245.1648</v>
      </c>
      <c r="AY121" s="5">
        <f>'Economic Data'!M147</f>
        <v>2143.0111999999999</v>
      </c>
      <c r="AZ121" s="5">
        <f>'Economic Data'!N147</f>
        <v>6942.6235999999999</v>
      </c>
      <c r="BA121" s="5">
        <f>'Economic Data'!O147</f>
        <v>110.81400000000001</v>
      </c>
      <c r="BB121" s="5">
        <f>'Economic Data'!P147</f>
        <v>120.934</v>
      </c>
      <c r="BC121" s="5">
        <f>'Economic Data'!Q147</f>
        <v>852090.84400000004</v>
      </c>
      <c r="BD121" s="5">
        <f>'Economic Data'!R147</f>
        <v>8845.8919999999998</v>
      </c>
      <c r="BE121" s="5">
        <f>'Economic Data'!S147</f>
        <v>4101.6360000000004</v>
      </c>
      <c r="BF121" s="5">
        <f>'Economic Data'!T147</f>
        <v>15840.835999999999</v>
      </c>
      <c r="BG121" s="5">
        <f>'EV Data'!V86</f>
        <v>153398.99999999997</v>
      </c>
      <c r="BH121" s="5">
        <f>'EV Data'!AB86</f>
        <v>805.99999999999989</v>
      </c>
      <c r="BI121" s="5">
        <f>'EV Data'!W86</f>
        <v>2294.0000000000009</v>
      </c>
      <c r="BJ121" s="5">
        <f t="shared" si="149"/>
        <v>120</v>
      </c>
      <c r="BK121" s="70">
        <f t="shared" si="157"/>
        <v>2.0791812460476247</v>
      </c>
      <c r="BL121" s="5">
        <f t="shared" si="158"/>
        <v>14400</v>
      </c>
      <c r="BM121">
        <f t="shared" ref="BM121:CA121" si="199">BM109</f>
        <v>0</v>
      </c>
      <c r="BN121">
        <f t="shared" si="199"/>
        <v>0</v>
      </c>
      <c r="BO121">
        <f t="shared" si="199"/>
        <v>0</v>
      </c>
      <c r="BP121">
        <f t="shared" si="199"/>
        <v>0</v>
      </c>
      <c r="BQ121">
        <f t="shared" si="199"/>
        <v>0</v>
      </c>
      <c r="BR121">
        <f t="shared" si="199"/>
        <v>0</v>
      </c>
      <c r="BS121">
        <f t="shared" si="199"/>
        <v>0</v>
      </c>
      <c r="BT121">
        <f t="shared" si="199"/>
        <v>0</v>
      </c>
      <c r="BU121">
        <f t="shared" si="199"/>
        <v>0</v>
      </c>
      <c r="BV121">
        <f t="shared" si="199"/>
        <v>0</v>
      </c>
      <c r="BW121">
        <f t="shared" si="199"/>
        <v>0</v>
      </c>
      <c r="BX121">
        <f t="shared" si="199"/>
        <v>1</v>
      </c>
      <c r="BY121">
        <f t="shared" si="199"/>
        <v>0</v>
      </c>
      <c r="BZ121">
        <f t="shared" si="199"/>
        <v>0</v>
      </c>
      <c r="CA121">
        <f t="shared" si="199"/>
        <v>0</v>
      </c>
      <c r="CB121">
        <f t="shared" si="113"/>
        <v>31</v>
      </c>
      <c r="CC121">
        <v>19</v>
      </c>
      <c r="CD121">
        <v>0</v>
      </c>
      <c r="CE121">
        <f t="shared" si="155"/>
        <v>0</v>
      </c>
      <c r="CF121">
        <f t="shared" si="156"/>
        <v>0.25</v>
      </c>
      <c r="CG121">
        <v>0</v>
      </c>
      <c r="CH121" s="64">
        <f t="shared" si="160"/>
        <v>0</v>
      </c>
      <c r="CI121" s="64">
        <f t="shared" si="161"/>
        <v>0</v>
      </c>
      <c r="CJ121" s="64">
        <f t="shared" si="162"/>
        <v>0</v>
      </c>
      <c r="CK121" s="64">
        <f t="shared" si="163"/>
        <v>0</v>
      </c>
      <c r="CL121" s="64">
        <f t="shared" si="164"/>
        <v>0</v>
      </c>
      <c r="CM121" s="64">
        <f t="shared" si="165"/>
        <v>0</v>
      </c>
      <c r="CN121" s="64">
        <f t="shared" si="166"/>
        <v>0</v>
      </c>
      <c r="CO121" s="64">
        <f t="shared" si="167"/>
        <v>0</v>
      </c>
      <c r="CP121" s="64">
        <f t="shared" si="168"/>
        <v>0</v>
      </c>
      <c r="CQ121" s="64">
        <f t="shared" si="169"/>
        <v>0</v>
      </c>
      <c r="CR121" s="64">
        <f t="shared" si="170"/>
        <v>0</v>
      </c>
      <c r="CS121" s="64">
        <f t="shared" si="171"/>
        <v>0</v>
      </c>
      <c r="CT121" s="64">
        <f t="shared" si="172"/>
        <v>0</v>
      </c>
      <c r="CU121" s="64">
        <f t="shared" si="173"/>
        <v>0</v>
      </c>
      <c r="CV121" s="69">
        <f t="shared" si="174"/>
        <v>24.390489477365303</v>
      </c>
      <c r="CW121" s="69">
        <f t="shared" si="175"/>
        <v>857.94159172740149</v>
      </c>
      <c r="CX121" s="69">
        <f t="shared" si="176"/>
        <v>3447.648463745049</v>
      </c>
      <c r="CY121" s="69">
        <f t="shared" si="177"/>
        <v>33779.465789473681</v>
      </c>
      <c r="CZ121" s="64">
        <f t="shared" si="178"/>
        <v>2113.0748648759977</v>
      </c>
      <c r="DA121" s="64">
        <f t="shared" si="179"/>
        <v>20703.543548387097</v>
      </c>
      <c r="DB121" s="64">
        <f t="shared" si="180"/>
        <v>123.35</v>
      </c>
      <c r="DC121" s="64">
        <f t="shared" si="181"/>
        <v>0</v>
      </c>
      <c r="DD121" s="64">
        <f t="shared" si="182"/>
        <v>107.85</v>
      </c>
      <c r="DE121" s="64">
        <f t="shared" si="183"/>
        <v>0</v>
      </c>
      <c r="DF121" s="64">
        <f t="shared" si="184"/>
        <v>92.350000000000009</v>
      </c>
      <c r="DG121" s="64">
        <f t="shared" si="185"/>
        <v>0</v>
      </c>
      <c r="DH121" s="64">
        <f t="shared" si="186"/>
        <v>76.850000000000023</v>
      </c>
      <c r="DI121" s="64">
        <f t="shared" si="187"/>
        <v>0</v>
      </c>
      <c r="DJ121" s="64">
        <f t="shared" si="188"/>
        <v>61.350000000000016</v>
      </c>
      <c r="DK121" s="64">
        <f t="shared" si="189"/>
        <v>0</v>
      </c>
      <c r="DL121" s="64">
        <f t="shared" si="190"/>
        <v>45.975000000000016</v>
      </c>
      <c r="DM121" s="64">
        <f t="shared" si="191"/>
        <v>0.125</v>
      </c>
      <c r="DN121" s="64">
        <f t="shared" si="192"/>
        <v>31.525000000000002</v>
      </c>
      <c r="DO121" s="64">
        <f t="shared" si="193"/>
        <v>1.1749999999999998</v>
      </c>
      <c r="DP121" s="2">
        <f t="shared" si="194"/>
        <v>96</v>
      </c>
      <c r="DQ121" s="2">
        <f t="shared" si="194"/>
        <v>84</v>
      </c>
      <c r="DR121" s="2">
        <f t="shared" si="194"/>
        <v>72</v>
      </c>
      <c r="DS121" s="2">
        <f t="shared" si="194"/>
        <v>60</v>
      </c>
      <c r="DT121" s="2">
        <f t="shared" si="194"/>
        <v>48</v>
      </c>
      <c r="DU121" s="2">
        <f t="shared" si="115"/>
        <v>4</v>
      </c>
      <c r="DV121" s="2">
        <f t="shared" si="116"/>
        <v>20703.543548387097</v>
      </c>
      <c r="DW121" s="2">
        <f t="shared" si="142"/>
        <v>2567239.4</v>
      </c>
    </row>
    <row r="123" spans="1:127">
      <c r="A123" s="3"/>
      <c r="B123" s="3"/>
      <c r="W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</row>
    <row r="124" spans="1:127">
      <c r="A124" s="3"/>
      <c r="B124" s="3"/>
      <c r="W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</row>
    <row r="125" spans="1:127">
      <c r="A125" s="3"/>
      <c r="B125" s="3"/>
      <c r="W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</row>
    <row r="126" spans="1:127">
      <c r="A126" s="3"/>
      <c r="B126" s="3"/>
      <c r="W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</row>
    <row r="127" spans="1:127">
      <c r="A127" s="3"/>
      <c r="B127" s="3"/>
      <c r="W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</row>
    <row r="128" spans="1:127">
      <c r="A128" s="3"/>
      <c r="B128" s="3"/>
      <c r="W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</row>
    <row r="129" spans="1:57">
      <c r="A129" s="3"/>
      <c r="B129" s="3"/>
      <c r="W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</row>
    <row r="130" spans="1:57">
      <c r="A130" s="3"/>
      <c r="B130" s="3"/>
      <c r="W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</row>
    <row r="131" spans="1:57">
      <c r="A131" s="3"/>
      <c r="B131" s="3"/>
      <c r="W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</row>
    <row r="132" spans="1:57">
      <c r="A132" s="3"/>
      <c r="B132" s="3"/>
      <c r="W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</row>
    <row r="133" spans="1:57">
      <c r="A133" s="3"/>
      <c r="B133" s="3"/>
      <c r="W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</row>
    <row r="134" spans="1:57">
      <c r="A134" s="3"/>
      <c r="B134" s="3"/>
      <c r="W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</row>
    <row r="135" spans="1:57">
      <c r="A135" s="3"/>
      <c r="B135" s="3"/>
      <c r="W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</row>
    <row r="136" spans="1:57">
      <c r="A136" s="3"/>
      <c r="B136" s="3"/>
      <c r="W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</row>
    <row r="137" spans="1:57">
      <c r="A137" s="3"/>
      <c r="B137" s="3"/>
      <c r="W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</row>
    <row r="138" spans="1:57">
      <c r="A138" s="3"/>
      <c r="B138" s="3"/>
      <c r="W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</row>
    <row r="139" spans="1:57">
      <c r="A139" s="3"/>
      <c r="B139" s="3"/>
      <c r="W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</row>
    <row r="140" spans="1:57">
      <c r="A140" s="3"/>
      <c r="B140" s="3"/>
      <c r="W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</row>
    <row r="141" spans="1:57">
      <c r="A141" s="3"/>
      <c r="B141" s="3"/>
      <c r="W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</row>
    <row r="142" spans="1:57">
      <c r="A142" s="3"/>
      <c r="B142" s="3"/>
      <c r="W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</row>
    <row r="143" spans="1:57">
      <c r="A143" s="3"/>
      <c r="B143" s="3"/>
      <c r="W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</row>
    <row r="144" spans="1:57">
      <c r="A144" s="3"/>
      <c r="B144" s="3"/>
      <c r="W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</row>
    <row r="145" spans="1:57">
      <c r="A145" s="3"/>
      <c r="B145" s="3"/>
      <c r="W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</row>
    <row r="146" spans="1:57">
      <c r="A146" s="3"/>
      <c r="B146" s="3"/>
      <c r="W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</row>
    <row r="147" spans="1:57">
      <c r="A147" s="3"/>
      <c r="B147" s="3"/>
      <c r="W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</row>
    <row r="148" spans="1:57">
      <c r="A148" s="3"/>
      <c r="B148" s="3"/>
      <c r="W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</row>
    <row r="149" spans="1:57">
      <c r="A149" s="3"/>
      <c r="B149" s="3"/>
      <c r="W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</row>
    <row r="150" spans="1:57">
      <c r="A150" s="3"/>
      <c r="B150" s="3"/>
      <c r="W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</row>
    <row r="151" spans="1:57">
      <c r="A151" s="3"/>
      <c r="B151" s="3"/>
      <c r="W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</row>
    <row r="152" spans="1:57">
      <c r="A152" s="3"/>
      <c r="B152" s="3"/>
      <c r="W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</row>
    <row r="153" spans="1:57">
      <c r="A153" s="3"/>
      <c r="B153" s="3"/>
      <c r="W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</row>
    <row r="154" spans="1:57">
      <c r="A154" s="3"/>
      <c r="B154" s="3"/>
      <c r="W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</row>
    <row r="155" spans="1:57">
      <c r="A155" s="3"/>
      <c r="B155" s="3"/>
      <c r="W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</row>
    <row r="156" spans="1:57">
      <c r="A156" s="3"/>
      <c r="B156" s="3"/>
      <c r="W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</row>
    <row r="157" spans="1:57">
      <c r="A157" s="3"/>
      <c r="B157" s="3"/>
      <c r="W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</row>
    <row r="158" spans="1:57">
      <c r="A158" s="3"/>
      <c r="B158" s="3"/>
      <c r="W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</row>
    <row r="159" spans="1:57">
      <c r="A159" s="3"/>
      <c r="B159" s="3"/>
      <c r="W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</row>
    <row r="160" spans="1:57">
      <c r="A160" s="3"/>
      <c r="B160" s="3"/>
      <c r="W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</row>
    <row r="161" spans="1:57">
      <c r="A161" s="3"/>
      <c r="B161" s="3"/>
      <c r="W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</row>
    <row r="162" spans="1:57">
      <c r="A162" s="3"/>
      <c r="B162" s="3"/>
      <c r="W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</row>
    <row r="163" spans="1:57">
      <c r="A163" s="3"/>
      <c r="B163" s="3"/>
      <c r="W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</row>
    <row r="164" spans="1:57">
      <c r="A164" s="3"/>
      <c r="B164" s="3"/>
      <c r="W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</row>
    <row r="165" spans="1:57">
      <c r="A165" s="3"/>
      <c r="B165" s="3"/>
      <c r="W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</row>
    <row r="166" spans="1:57">
      <c r="A166" s="3"/>
      <c r="B166" s="3"/>
      <c r="W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</row>
    <row r="167" spans="1:57">
      <c r="A167" s="3"/>
      <c r="B167" s="3"/>
      <c r="W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</row>
    <row r="168" spans="1:57">
      <c r="A168" s="3"/>
      <c r="B168" s="3"/>
      <c r="W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</row>
    <row r="169" spans="1:57">
      <c r="A169" s="3"/>
      <c r="B169" s="3"/>
      <c r="W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</row>
    <row r="170" spans="1:57">
      <c r="A170" s="3"/>
      <c r="B170" s="3"/>
      <c r="W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</row>
    <row r="171" spans="1:57">
      <c r="A171" s="3"/>
      <c r="B171" s="3"/>
      <c r="W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</row>
    <row r="172" spans="1:57">
      <c r="A172" s="3"/>
      <c r="B172" s="3"/>
      <c r="W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</row>
    <row r="173" spans="1:57">
      <c r="A173" s="3"/>
      <c r="B173" s="3"/>
      <c r="W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</row>
    <row r="174" spans="1:57">
      <c r="A174" s="3"/>
      <c r="B174" s="3"/>
      <c r="W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</row>
    <row r="175" spans="1:57">
      <c r="A175" s="3"/>
      <c r="B175" s="3"/>
      <c r="W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</row>
    <row r="176" spans="1:57">
      <c r="A176" s="3"/>
      <c r="B176" s="3"/>
      <c r="W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</row>
    <row r="177" spans="1:57">
      <c r="A177" s="3"/>
      <c r="B177" s="3"/>
      <c r="W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</row>
    <row r="178" spans="1:57">
      <c r="A178" s="3"/>
      <c r="B178" s="3"/>
      <c r="W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</row>
    <row r="179" spans="1:57">
      <c r="A179" s="3"/>
      <c r="B179" s="3"/>
      <c r="W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</row>
    <row r="180" spans="1:57">
      <c r="A180" s="3"/>
      <c r="B180" s="3"/>
      <c r="W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</row>
    <row r="181" spans="1:57">
      <c r="A181" s="3"/>
      <c r="B181" s="3"/>
      <c r="W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</row>
    <row r="182" spans="1:57">
      <c r="A182" s="3"/>
      <c r="B182" s="3"/>
      <c r="W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</row>
    <row r="183" spans="1:57">
      <c r="A183" s="3"/>
      <c r="B183" s="3"/>
      <c r="W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</row>
    <row r="184" spans="1:57">
      <c r="A184" s="3"/>
      <c r="B184" s="3"/>
      <c r="W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</row>
    <row r="185" spans="1:57">
      <c r="A185" s="3"/>
      <c r="B185" s="3"/>
      <c r="W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</row>
    <row r="186" spans="1:57">
      <c r="A186" s="3"/>
      <c r="B186" s="3"/>
      <c r="W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</row>
    <row r="187" spans="1:57">
      <c r="A187" s="3"/>
      <c r="B187" s="3"/>
      <c r="W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</row>
    <row r="188" spans="1:57">
      <c r="A188" s="3"/>
      <c r="B188" s="3"/>
      <c r="W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</row>
    <row r="189" spans="1:57">
      <c r="A189" s="3"/>
      <c r="B189" s="3"/>
      <c r="W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</row>
    <row r="190" spans="1:57">
      <c r="A190" s="3"/>
      <c r="B190" s="3"/>
      <c r="W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</row>
    <row r="191" spans="1:57">
      <c r="A191" s="3"/>
      <c r="B191" s="3"/>
      <c r="W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</row>
    <row r="192" spans="1:57">
      <c r="A192" s="3"/>
      <c r="B192" s="3"/>
      <c r="W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</row>
    <row r="193" spans="1:57">
      <c r="A193" s="3"/>
      <c r="B193" s="3"/>
      <c r="W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</row>
    <row r="194" spans="1:57">
      <c r="A194" s="3"/>
      <c r="B194" s="3"/>
      <c r="W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</row>
    <row r="195" spans="1:57">
      <c r="A195" s="3"/>
      <c r="B195" s="3"/>
      <c r="W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</row>
    <row r="196" spans="1:57">
      <c r="A196" s="3"/>
      <c r="B196" s="3"/>
      <c r="W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</row>
    <row r="197" spans="1:57">
      <c r="A197" s="3"/>
      <c r="B197" s="3"/>
      <c r="W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</row>
    <row r="198" spans="1:57">
      <c r="A198" s="3"/>
      <c r="B198" s="3"/>
      <c r="W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</row>
    <row r="199" spans="1:57">
      <c r="A199" s="3"/>
      <c r="B199" s="3"/>
      <c r="W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</row>
    <row r="200" spans="1:57">
      <c r="A200" s="3"/>
      <c r="B200" s="3"/>
      <c r="W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</row>
    <row r="201" spans="1:57">
      <c r="A201" s="3"/>
      <c r="B201" s="3"/>
      <c r="W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</row>
    <row r="202" spans="1:57">
      <c r="A202" s="3"/>
      <c r="B202" s="3"/>
      <c r="W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</row>
    <row r="203" spans="1:57">
      <c r="A203" s="3"/>
      <c r="B203" s="3"/>
      <c r="W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</row>
    <row r="204" spans="1:57">
      <c r="A204" s="3"/>
      <c r="B204" s="3"/>
      <c r="W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</row>
    <row r="205" spans="1:57">
      <c r="A205" s="3"/>
      <c r="B205" s="3"/>
      <c r="W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</row>
    <row r="206" spans="1:57">
      <c r="A206" s="3"/>
      <c r="B206" s="3"/>
      <c r="W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</row>
    <row r="207" spans="1:57">
      <c r="A207" s="3"/>
      <c r="B207" s="3"/>
      <c r="W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</row>
    <row r="208" spans="1:57">
      <c r="A208" s="3"/>
      <c r="B208" s="3"/>
      <c r="W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</row>
    <row r="209" spans="1:57">
      <c r="A209" s="3"/>
      <c r="B209" s="3"/>
      <c r="W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</row>
    <row r="210" spans="1:57">
      <c r="A210" s="3"/>
      <c r="B210" s="3"/>
      <c r="W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</row>
    <row r="211" spans="1:57">
      <c r="A211" s="3"/>
      <c r="B211" s="3"/>
      <c r="W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</row>
    <row r="212" spans="1:57">
      <c r="A212" s="3"/>
      <c r="B212" s="3"/>
      <c r="W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</row>
    <row r="213" spans="1:57">
      <c r="A213" s="3"/>
      <c r="B213" s="3"/>
      <c r="W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</row>
    <row r="214" spans="1:57">
      <c r="A214" s="3"/>
      <c r="B214" s="3"/>
      <c r="W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</row>
    <row r="215" spans="1:57">
      <c r="A215" s="3"/>
      <c r="B215" s="3"/>
      <c r="W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</row>
    <row r="216" spans="1:57">
      <c r="A216" s="3"/>
      <c r="B216" s="3"/>
      <c r="W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</row>
    <row r="217" spans="1:57">
      <c r="A217" s="3"/>
      <c r="B217" s="3"/>
      <c r="W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</row>
    <row r="218" spans="1:57">
      <c r="A218" s="3"/>
      <c r="B218" s="3"/>
      <c r="W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</row>
    <row r="219" spans="1:57">
      <c r="A219" s="3"/>
      <c r="B219" s="3"/>
      <c r="W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</row>
    <row r="220" spans="1:57">
      <c r="A220" s="3"/>
      <c r="B220" s="3"/>
      <c r="W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</row>
    <row r="221" spans="1:57">
      <c r="A221" s="3"/>
      <c r="B221" s="3"/>
      <c r="W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</row>
    <row r="222" spans="1:57">
      <c r="A222" s="3"/>
      <c r="B222" s="3"/>
      <c r="W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</row>
    <row r="223" spans="1:57">
      <c r="A223" s="3"/>
      <c r="B223" s="3"/>
      <c r="W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</row>
    <row r="224" spans="1:57">
      <c r="A224" s="3"/>
      <c r="B224" s="3"/>
      <c r="W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</row>
    <row r="225" spans="1:57">
      <c r="A225" s="3"/>
      <c r="B225" s="3"/>
      <c r="W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</row>
    <row r="226" spans="1:57">
      <c r="A226" s="3"/>
      <c r="B226" s="3"/>
      <c r="W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</row>
    <row r="227" spans="1:57">
      <c r="A227" s="3"/>
      <c r="B227" s="3"/>
      <c r="W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</row>
    <row r="228" spans="1:57">
      <c r="A228" s="3"/>
      <c r="B228" s="3"/>
      <c r="W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</row>
    <row r="229" spans="1:57">
      <c r="A229" s="3"/>
      <c r="B229" s="3"/>
      <c r="W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</row>
    <row r="230" spans="1:57">
      <c r="A230" s="3"/>
      <c r="B230" s="3"/>
      <c r="W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</row>
    <row r="231" spans="1:57">
      <c r="A231" s="3"/>
      <c r="B231" s="3"/>
      <c r="W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</row>
    <row r="232" spans="1:57">
      <c r="A232" s="3"/>
      <c r="B232" s="3"/>
      <c r="W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</row>
    <row r="233" spans="1:57">
      <c r="A233" s="3"/>
      <c r="B233" s="3"/>
      <c r="W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</row>
    <row r="234" spans="1:57">
      <c r="A234" s="3"/>
      <c r="B234" s="3"/>
      <c r="W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</row>
    <row r="235" spans="1:57">
      <c r="A235" s="3"/>
      <c r="B235" s="3"/>
      <c r="W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</row>
    <row r="236" spans="1:57">
      <c r="A236" s="3"/>
      <c r="B236" s="3"/>
      <c r="W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</row>
    <row r="237" spans="1:57">
      <c r="A237" s="3"/>
      <c r="B237" s="3"/>
      <c r="W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</row>
    <row r="238" spans="1:57">
      <c r="A238" s="3"/>
      <c r="B238" s="3"/>
      <c r="W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</row>
    <row r="239" spans="1:57">
      <c r="A239" s="3"/>
      <c r="B239" s="3"/>
      <c r="W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</row>
    <row r="240" spans="1:57">
      <c r="A240" s="3"/>
      <c r="B240" s="3"/>
      <c r="W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</row>
    <row r="241" spans="1:57">
      <c r="A241" s="3"/>
      <c r="B241" s="3"/>
      <c r="W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</row>
    <row r="242" spans="1:57">
      <c r="A242" s="3"/>
      <c r="B242" s="3"/>
      <c r="W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</row>
    <row r="243" spans="1:57">
      <c r="A243" s="3"/>
      <c r="B243" s="3"/>
    </row>
    <row r="244" spans="1:57">
      <c r="A244" s="3"/>
      <c r="B244" s="3"/>
    </row>
    <row r="245" spans="1:57">
      <c r="A245" s="3"/>
      <c r="B245" s="3"/>
    </row>
    <row r="246" spans="1:57">
      <c r="A246" s="3"/>
      <c r="B246" s="3"/>
    </row>
    <row r="247" spans="1:57">
      <c r="A247" s="3"/>
      <c r="B247" s="3"/>
    </row>
    <row r="248" spans="1:57">
      <c r="A248" s="3"/>
      <c r="B248" s="3"/>
    </row>
    <row r="249" spans="1:57">
      <c r="A249" s="3"/>
      <c r="B249" s="3"/>
    </row>
    <row r="250" spans="1:57">
      <c r="A250" s="3"/>
      <c r="B250" s="3"/>
    </row>
    <row r="251" spans="1:57">
      <c r="A251" s="3"/>
      <c r="B251" s="3"/>
    </row>
    <row r="252" spans="1:57">
      <c r="A252" s="3"/>
      <c r="B252" s="3"/>
    </row>
    <row r="253" spans="1:57">
      <c r="A253" s="3"/>
      <c r="B253" s="3"/>
    </row>
    <row r="254" spans="1:57">
      <c r="A254" s="3"/>
      <c r="B254" s="3"/>
    </row>
    <row r="255" spans="1:57">
      <c r="A255" s="3"/>
      <c r="B255" s="3"/>
    </row>
  </sheetData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81865-FCC2-4E8A-9D44-DC6246563A9B}">
  <sheetPr>
    <tabColor theme="3" tint="0.79998168889431442"/>
  </sheetPr>
  <dimension ref="A1:AE168"/>
  <sheetViews>
    <sheetView topLeftCell="M4" workbookViewId="0">
      <selection activeCell="T15" sqref="T15:W18"/>
    </sheetView>
  </sheetViews>
  <sheetFormatPr defaultRowHeight="14.45"/>
  <cols>
    <col min="1" max="1" width="12.28515625" customWidth="1"/>
    <col min="4" max="4" width="11.42578125" customWidth="1"/>
    <col min="5" max="8" width="11.7109375" customWidth="1"/>
    <col min="10" max="10" width="14" bestFit="1" customWidth="1"/>
    <col min="11" max="11" width="14.28515625" bestFit="1" customWidth="1"/>
    <col min="12" max="14" width="14.28515625" customWidth="1"/>
    <col min="15" max="15" width="13.7109375" customWidth="1"/>
    <col min="16" max="16" width="12.28515625" customWidth="1"/>
    <col min="20" max="20" width="13.28515625" customWidth="1"/>
    <col min="21" max="21" width="12.5703125" customWidth="1"/>
    <col min="22" max="22" width="12" customWidth="1"/>
    <col min="23" max="23" width="11.140625" bestFit="1" customWidth="1"/>
  </cols>
  <sheetData>
    <row r="1" spans="1:31">
      <c r="A1" t="s">
        <v>0</v>
      </c>
      <c r="B1" t="s">
        <v>151</v>
      </c>
      <c r="C1" t="s">
        <v>1</v>
      </c>
      <c r="D1" s="6" t="str">
        <f>'Monthly Data (14-23) Used'!DW1</f>
        <v>EDkWh2016</v>
      </c>
      <c r="E1" t="str">
        <f>'Monthly Data (14-23) Used'!AG1</f>
        <v>HDD14</v>
      </c>
      <c r="F1" t="str">
        <f>'Monthly Data (14-23) Used'!AF1</f>
        <v>CDD16</v>
      </c>
      <c r="G1" t="str">
        <f>'Monthly Data (14-23) Used'!BZ1</f>
        <v>Fall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Fall</v>
      </c>
      <c r="N1" t="str">
        <f>H1</f>
        <v>Adj.Windsor_FTE</v>
      </c>
      <c r="O1" t="s">
        <v>242</v>
      </c>
      <c r="P1" t="s">
        <v>248</v>
      </c>
      <c r="Q1" t="s">
        <v>243</v>
      </c>
    </row>
    <row r="2" spans="1:31">
      <c r="A2" s="197">
        <v>41640</v>
      </c>
      <c r="B2">
        <f t="shared" ref="B2:B23" si="0">MONTH(A2)</f>
        <v>1</v>
      </c>
      <c r="C2">
        <f t="shared" ref="C2:C23" si="1">YEAR(A2)</f>
        <v>2014</v>
      </c>
      <c r="D2" s="451">
        <f>'Monthly Data (14-23) Used'!X2</f>
        <v>3490024</v>
      </c>
      <c r="E2" s="100"/>
      <c r="F2" s="100"/>
      <c r="J2" s="6"/>
      <c r="K2" s="6"/>
      <c r="L2" s="6"/>
      <c r="M2" s="6"/>
      <c r="N2" s="6"/>
      <c r="O2" s="6"/>
      <c r="P2" s="6"/>
      <c r="Q2" s="14"/>
    </row>
    <row r="3" spans="1:31">
      <c r="A3" s="197">
        <v>41671</v>
      </c>
      <c r="B3">
        <f t="shared" si="0"/>
        <v>2</v>
      </c>
      <c r="C3">
        <f t="shared" si="1"/>
        <v>2014</v>
      </c>
      <c r="D3" s="451">
        <f>'Monthly Data (14-23) Used'!X3</f>
        <v>3101238</v>
      </c>
      <c r="E3" s="100"/>
      <c r="F3" s="100"/>
      <c r="J3" s="6"/>
      <c r="K3" s="6"/>
      <c r="L3" s="6"/>
      <c r="M3" s="6"/>
      <c r="N3" s="6"/>
      <c r="O3" s="6"/>
      <c r="P3" s="6"/>
      <c r="Q3" s="14"/>
      <c r="T3" t="s">
        <v>258</v>
      </c>
    </row>
    <row r="4" spans="1:31">
      <c r="A4" s="197">
        <v>41699</v>
      </c>
      <c r="B4">
        <f t="shared" si="0"/>
        <v>3</v>
      </c>
      <c r="C4">
        <f t="shared" si="1"/>
        <v>2014</v>
      </c>
      <c r="D4" s="451">
        <f>'Monthly Data (14-23) Used'!X4</f>
        <v>3182338</v>
      </c>
      <c r="E4" s="100"/>
      <c r="F4" s="100"/>
      <c r="J4" s="6"/>
      <c r="K4" s="6"/>
      <c r="L4" s="6"/>
      <c r="M4" s="6"/>
      <c r="N4" s="6"/>
      <c r="O4" s="6"/>
      <c r="P4" s="6"/>
      <c r="Q4" s="14"/>
      <c r="T4" t="s">
        <v>259</v>
      </c>
    </row>
    <row r="5" spans="1:31">
      <c r="A5" s="197">
        <v>41730</v>
      </c>
      <c r="B5">
        <f t="shared" si="0"/>
        <v>4</v>
      </c>
      <c r="C5">
        <f t="shared" si="1"/>
        <v>2014</v>
      </c>
      <c r="D5" s="451">
        <f>'Monthly Data (14-23) Used'!X5</f>
        <v>2976481</v>
      </c>
      <c r="E5" s="100"/>
      <c r="F5" s="100"/>
      <c r="J5" s="6"/>
      <c r="K5" s="6"/>
      <c r="L5" s="6"/>
      <c r="M5" s="6"/>
      <c r="N5" s="6"/>
      <c r="O5" s="6"/>
      <c r="P5" s="6"/>
      <c r="Q5" s="14"/>
      <c r="T5" t="s">
        <v>260</v>
      </c>
    </row>
    <row r="6" spans="1:31">
      <c r="A6" s="197">
        <v>41760</v>
      </c>
      <c r="B6">
        <f t="shared" si="0"/>
        <v>5</v>
      </c>
      <c r="C6">
        <f t="shared" si="1"/>
        <v>2014</v>
      </c>
      <c r="D6" s="451">
        <f>'Monthly Data (14-23) Used'!X6</f>
        <v>3042348</v>
      </c>
      <c r="E6" s="100"/>
      <c r="F6" s="100"/>
      <c r="J6" s="6"/>
      <c r="K6" s="6"/>
      <c r="L6" s="6"/>
      <c r="M6" s="6"/>
      <c r="N6" s="6"/>
      <c r="O6" s="6"/>
      <c r="P6" s="6"/>
      <c r="Q6" s="14"/>
    </row>
    <row r="7" spans="1:31">
      <c r="A7" s="197">
        <v>41791</v>
      </c>
      <c r="B7">
        <f t="shared" si="0"/>
        <v>6</v>
      </c>
      <c r="C7">
        <f t="shared" si="1"/>
        <v>2014</v>
      </c>
      <c r="D7" s="451">
        <f>'Monthly Data (14-23) Used'!X7</f>
        <v>3409531</v>
      </c>
      <c r="E7" s="100"/>
      <c r="F7" s="100"/>
      <c r="J7" s="6"/>
      <c r="K7" s="6"/>
      <c r="L7" s="6"/>
      <c r="M7" s="6"/>
      <c r="N7" s="6"/>
      <c r="O7" s="6"/>
      <c r="P7" s="6"/>
      <c r="Q7" s="14"/>
      <c r="U7" t="s">
        <v>217</v>
      </c>
      <c r="V7" t="s">
        <v>218</v>
      </c>
      <c r="W7" t="s">
        <v>219</v>
      </c>
      <c r="X7" t="s">
        <v>220</v>
      </c>
    </row>
    <row r="8" spans="1:31">
      <c r="A8" s="197">
        <v>41821</v>
      </c>
      <c r="B8">
        <f t="shared" si="0"/>
        <v>7</v>
      </c>
      <c r="C8">
        <f t="shared" si="1"/>
        <v>2014</v>
      </c>
      <c r="D8" s="451">
        <f>'Monthly Data (14-23) Used'!X8</f>
        <v>3573547</v>
      </c>
      <c r="E8" s="100"/>
      <c r="F8" s="100"/>
      <c r="J8" s="6"/>
      <c r="K8" s="6"/>
      <c r="L8" s="6"/>
      <c r="M8" s="6"/>
      <c r="N8" s="6"/>
      <c r="O8" s="6"/>
      <c r="P8" s="6"/>
      <c r="Q8" s="14"/>
      <c r="T8" t="s">
        <v>221</v>
      </c>
      <c r="U8" s="6">
        <v>788660.63968622696</v>
      </c>
      <c r="V8" s="64">
        <v>686069.17124835495</v>
      </c>
      <c r="W8" s="75">
        <v>1.1495351674980501</v>
      </c>
      <c r="X8" s="192">
        <v>0.25328303444139499</v>
      </c>
    </row>
    <row r="9" spans="1:31">
      <c r="A9" s="197">
        <v>41852</v>
      </c>
      <c r="B9">
        <f t="shared" si="0"/>
        <v>8</v>
      </c>
      <c r="C9">
        <f t="shared" si="1"/>
        <v>2014</v>
      </c>
      <c r="D9" s="451">
        <f>'Monthly Data (14-23) Used'!X9</f>
        <v>2693259</v>
      </c>
      <c r="E9" s="100"/>
      <c r="F9" s="100"/>
      <c r="J9" s="6"/>
      <c r="K9" s="6"/>
      <c r="L9" s="6"/>
      <c r="M9" s="6"/>
      <c r="N9" s="6"/>
      <c r="O9" s="6"/>
      <c r="P9" s="6"/>
      <c r="Q9" s="14"/>
      <c r="T9" t="s">
        <v>32</v>
      </c>
      <c r="U9" s="6">
        <v>898.69649581366298</v>
      </c>
      <c r="V9" s="64">
        <v>169.291252540172</v>
      </c>
      <c r="W9" s="75">
        <v>5.3085819989453302</v>
      </c>
      <c r="X9" s="192">
        <v>7.4822858322693899E-7</v>
      </c>
      <c r="AD9" s="18"/>
      <c r="AE9" s="18"/>
    </row>
    <row r="10" spans="1:31">
      <c r="A10" s="197">
        <v>41883</v>
      </c>
      <c r="B10">
        <f t="shared" si="0"/>
        <v>9</v>
      </c>
      <c r="C10">
        <f t="shared" si="1"/>
        <v>2014</v>
      </c>
      <c r="D10" s="451">
        <f>'Monthly Data (14-23) Used'!X10</f>
        <v>3111799</v>
      </c>
      <c r="E10" s="100"/>
      <c r="F10" s="100"/>
      <c r="J10" s="6"/>
      <c r="K10" s="6"/>
      <c r="L10" s="6"/>
      <c r="M10" s="6"/>
      <c r="N10" s="6"/>
      <c r="O10" s="6"/>
      <c r="P10" s="6"/>
      <c r="Q10" s="14"/>
      <c r="T10" t="s">
        <v>31</v>
      </c>
      <c r="U10" s="6">
        <v>3715.5321852586399</v>
      </c>
      <c r="V10" s="64">
        <v>385.626829116284</v>
      </c>
      <c r="W10" s="75">
        <v>9.6350458648670401</v>
      </c>
      <c r="X10" s="192">
        <v>1.21031191444027E-15</v>
      </c>
      <c r="AD10" s="18"/>
      <c r="AE10" s="18"/>
    </row>
    <row r="11" spans="1:31">
      <c r="A11" s="197">
        <v>41913</v>
      </c>
      <c r="B11">
        <f t="shared" si="0"/>
        <v>10</v>
      </c>
      <c r="C11">
        <f t="shared" si="1"/>
        <v>2014</v>
      </c>
      <c r="D11" s="451">
        <f>'Monthly Data (14-23) Used'!X11</f>
        <v>2963385</v>
      </c>
      <c r="E11" s="100"/>
      <c r="F11" s="100"/>
      <c r="J11" s="6"/>
      <c r="K11" s="6"/>
      <c r="L11" s="6"/>
      <c r="M11" s="6"/>
      <c r="N11" s="6"/>
      <c r="O11" s="6"/>
      <c r="P11" s="6"/>
      <c r="Q11" s="14"/>
      <c r="T11" t="s">
        <v>77</v>
      </c>
      <c r="U11" s="6">
        <v>135311.078711176</v>
      </c>
      <c r="V11" s="64">
        <v>50967.033692320998</v>
      </c>
      <c r="W11" s="75">
        <v>2.6548745121802702</v>
      </c>
      <c r="X11" s="192">
        <v>9.3337138866790206E-3</v>
      </c>
      <c r="AD11" s="18"/>
      <c r="AE11" s="18"/>
    </row>
    <row r="12" spans="1:31">
      <c r="A12" s="197">
        <v>41944</v>
      </c>
      <c r="B12">
        <f t="shared" si="0"/>
        <v>11</v>
      </c>
      <c r="C12">
        <f t="shared" si="1"/>
        <v>2014</v>
      </c>
      <c r="D12" s="451">
        <f>'Monthly Data (14-23) Used'!X12</f>
        <v>3181573</v>
      </c>
      <c r="E12" s="100"/>
      <c r="F12" s="100"/>
      <c r="J12" s="6"/>
      <c r="K12" s="6"/>
      <c r="L12" s="6"/>
      <c r="M12" s="6"/>
      <c r="N12" s="6"/>
      <c r="O12" s="6"/>
      <c r="P12" s="6"/>
      <c r="Q12" s="14"/>
      <c r="T12" t="s">
        <v>222</v>
      </c>
      <c r="U12" s="6">
        <v>8460.5654149567908</v>
      </c>
      <c r="V12" s="64">
        <v>4069.53676136374</v>
      </c>
      <c r="W12" s="75">
        <v>2.0789996284789898</v>
      </c>
      <c r="X12" s="192">
        <v>4.03706035778938E-2</v>
      </c>
      <c r="AD12" s="18"/>
      <c r="AE12" s="18"/>
    </row>
    <row r="13" spans="1:31">
      <c r="A13" s="197">
        <v>41974</v>
      </c>
      <c r="B13">
        <f t="shared" si="0"/>
        <v>12</v>
      </c>
      <c r="C13">
        <f t="shared" si="1"/>
        <v>2014</v>
      </c>
      <c r="D13" s="451">
        <f>'Monthly Data (14-23) Used'!X13</f>
        <v>3333306</v>
      </c>
      <c r="E13" s="100"/>
      <c r="F13" s="100"/>
      <c r="J13" s="6"/>
      <c r="K13" s="6"/>
      <c r="L13" s="6"/>
      <c r="M13" s="6"/>
      <c r="N13" s="6"/>
      <c r="O13" s="6"/>
      <c r="P13" s="6"/>
      <c r="Q13" s="14"/>
      <c r="U13" s="6"/>
      <c r="V13" s="64"/>
      <c r="W13" s="75"/>
      <c r="X13" s="192"/>
      <c r="AD13" s="18"/>
    </row>
    <row r="14" spans="1:31">
      <c r="A14" s="197">
        <v>42005</v>
      </c>
      <c r="B14">
        <f t="shared" si="0"/>
        <v>1</v>
      </c>
      <c r="C14">
        <f t="shared" si="1"/>
        <v>2015</v>
      </c>
      <c r="D14" s="451">
        <f>'Monthly Data (14-23) Used'!X14</f>
        <v>3747992</v>
      </c>
      <c r="E14" s="100"/>
      <c r="F14" s="100"/>
      <c r="J14" s="6"/>
      <c r="K14" s="6"/>
      <c r="L14" s="6"/>
      <c r="M14" s="6"/>
      <c r="N14" s="6"/>
      <c r="O14" s="6"/>
      <c r="P14" s="6"/>
      <c r="Q14" s="14"/>
      <c r="T14" t="s">
        <v>223</v>
      </c>
      <c r="U14" s="6"/>
      <c r="W14" s="193"/>
      <c r="X14" s="192"/>
      <c r="AE14" s="18"/>
    </row>
    <row r="15" spans="1:31">
      <c r="A15" s="197">
        <v>42036</v>
      </c>
      <c r="B15">
        <f t="shared" si="0"/>
        <v>2</v>
      </c>
      <c r="C15">
        <f t="shared" si="1"/>
        <v>2015</v>
      </c>
      <c r="D15" s="451">
        <f>'Monthly Data (14-23) Used'!X15</f>
        <v>3564671</v>
      </c>
      <c r="E15" s="100"/>
      <c r="F15" s="100"/>
      <c r="J15" s="6"/>
      <c r="K15" s="6"/>
      <c r="L15" s="6"/>
      <c r="M15" s="6"/>
      <c r="N15" s="6"/>
      <c r="O15" s="6"/>
      <c r="P15" s="6"/>
      <c r="Q15" s="14"/>
      <c r="T15" t="s">
        <v>226</v>
      </c>
      <c r="U15" s="193">
        <v>2954331005515.73</v>
      </c>
      <c r="V15" t="s">
        <v>227</v>
      </c>
      <c r="W15" s="193">
        <v>178232.99374501</v>
      </c>
    </row>
    <row r="16" spans="1:31">
      <c r="A16" s="197">
        <v>42064</v>
      </c>
      <c r="B16">
        <f t="shared" si="0"/>
        <v>3</v>
      </c>
      <c r="C16">
        <f t="shared" si="1"/>
        <v>2015</v>
      </c>
      <c r="D16" s="451">
        <f>'Monthly Data (14-23) Used'!X16</f>
        <v>3449912</v>
      </c>
      <c r="E16" s="100"/>
      <c r="F16" s="100"/>
      <c r="J16" s="6"/>
      <c r="K16" s="6"/>
      <c r="L16" s="6"/>
      <c r="M16" s="6"/>
      <c r="N16" s="6"/>
      <c r="O16" s="6"/>
      <c r="P16" s="6"/>
      <c r="Q16" s="14"/>
      <c r="T16" t="s">
        <v>228</v>
      </c>
      <c r="U16" s="192">
        <v>0.71005468765533997</v>
      </c>
      <c r="V16" t="s">
        <v>229</v>
      </c>
      <c r="W16" s="192">
        <v>0.69758392153298998</v>
      </c>
    </row>
    <row r="17" spans="1:30">
      <c r="A17" s="197">
        <v>42095</v>
      </c>
      <c r="B17">
        <f t="shared" si="0"/>
        <v>4</v>
      </c>
      <c r="C17">
        <f t="shared" si="1"/>
        <v>2015</v>
      </c>
      <c r="D17" s="451">
        <f>'Monthly Data (14-23) Used'!X17</f>
        <v>3013821</v>
      </c>
      <c r="E17" s="100"/>
      <c r="F17" s="100"/>
      <c r="J17" s="6"/>
      <c r="K17" s="6"/>
      <c r="L17" s="6"/>
      <c r="M17" s="6"/>
      <c r="N17" s="6"/>
      <c r="O17" s="6"/>
      <c r="P17" s="6"/>
      <c r="Q17" s="14"/>
      <c r="T17" t="s">
        <v>261</v>
      </c>
      <c r="U17" s="75">
        <v>33.8751322886624</v>
      </c>
      <c r="V17" t="s">
        <v>231</v>
      </c>
      <c r="W17" s="192">
        <v>2.0053011183048799E-17</v>
      </c>
    </row>
    <row r="18" spans="1:30">
      <c r="A18" s="197">
        <v>42125</v>
      </c>
      <c r="B18">
        <f t="shared" si="0"/>
        <v>5</v>
      </c>
      <c r="C18">
        <f t="shared" si="1"/>
        <v>2015</v>
      </c>
      <c r="D18" s="451">
        <f>'Monthly Data (14-23) Used'!X18</f>
        <v>2960403</v>
      </c>
      <c r="E18" s="100"/>
      <c r="F18" s="100"/>
      <c r="J18" s="6"/>
      <c r="K18" s="6"/>
      <c r="L18" s="6"/>
      <c r="M18" s="6"/>
      <c r="N18" s="6"/>
      <c r="O18" s="6"/>
      <c r="P18" s="6"/>
      <c r="Q18" s="14"/>
      <c r="T18" t="s">
        <v>232</v>
      </c>
      <c r="U18" s="75">
        <v>-0.16792790457037601</v>
      </c>
      <c r="V18" t="s">
        <v>233</v>
      </c>
      <c r="W18" s="105">
        <v>2.3279667385312899</v>
      </c>
    </row>
    <row r="19" spans="1:30">
      <c r="A19" s="197">
        <v>42156</v>
      </c>
      <c r="B19">
        <f t="shared" si="0"/>
        <v>6</v>
      </c>
      <c r="C19">
        <f t="shared" si="1"/>
        <v>2015</v>
      </c>
      <c r="D19" s="451">
        <f>'Monthly Data (14-23) Used'!X19</f>
        <v>3221522</v>
      </c>
      <c r="E19" s="100"/>
      <c r="F19" s="100"/>
      <c r="J19" s="6"/>
      <c r="K19" s="6"/>
      <c r="L19" s="6"/>
      <c r="M19" s="6"/>
      <c r="N19" s="6"/>
      <c r="O19" s="6"/>
      <c r="P19" s="6"/>
      <c r="Q19" s="14"/>
      <c r="U19" s="195"/>
      <c r="W19" s="105"/>
    </row>
    <row r="20" spans="1:30">
      <c r="A20" s="197">
        <v>42186</v>
      </c>
      <c r="B20">
        <f t="shared" si="0"/>
        <v>7</v>
      </c>
      <c r="C20">
        <f t="shared" si="1"/>
        <v>2015</v>
      </c>
      <c r="D20" s="451">
        <f>'Monthly Data (14-23) Used'!X20</f>
        <v>4072605</v>
      </c>
      <c r="E20" s="100"/>
      <c r="F20" s="100"/>
      <c r="J20" s="6"/>
      <c r="K20" s="6"/>
      <c r="L20" s="6"/>
      <c r="M20" s="6"/>
      <c r="N20" s="6"/>
      <c r="O20" s="6"/>
      <c r="P20" s="6"/>
      <c r="Q20" s="14"/>
      <c r="T20" t="s">
        <v>247</v>
      </c>
      <c r="U20" s="196"/>
      <c r="W20" s="105"/>
      <c r="AC20" s="18"/>
      <c r="AD20" s="18"/>
    </row>
    <row r="21" spans="1:30">
      <c r="A21" s="197">
        <v>42217</v>
      </c>
      <c r="B21">
        <f t="shared" si="0"/>
        <v>8</v>
      </c>
      <c r="C21">
        <f t="shared" si="1"/>
        <v>2015</v>
      </c>
      <c r="D21" s="451">
        <f>'Monthly Data (14-23) Used'!X21</f>
        <v>3555685</v>
      </c>
      <c r="E21" s="100"/>
      <c r="F21" s="100"/>
      <c r="J21" s="6"/>
      <c r="K21" s="6"/>
      <c r="L21" s="6"/>
      <c r="M21" s="6"/>
      <c r="N21" s="6"/>
      <c r="O21" s="6"/>
      <c r="P21" s="6"/>
      <c r="Q21" s="14"/>
      <c r="T21" t="s">
        <v>224</v>
      </c>
      <c r="U21" s="6">
        <v>2630297.8673469401</v>
      </c>
      <c r="V21" t="s">
        <v>225</v>
      </c>
      <c r="W21" s="6">
        <v>323420.23204287002</v>
      </c>
    </row>
    <row r="22" spans="1:30">
      <c r="A22" s="197">
        <v>42248</v>
      </c>
      <c r="B22">
        <f t="shared" si="0"/>
        <v>9</v>
      </c>
      <c r="C22">
        <f t="shared" si="1"/>
        <v>2015</v>
      </c>
      <c r="D22" s="451">
        <f>'Monthly Data (14-23) Used'!X22</f>
        <v>3226818</v>
      </c>
      <c r="E22" s="100"/>
      <c r="F22" s="100"/>
      <c r="J22" s="6"/>
      <c r="K22" s="6"/>
      <c r="L22" s="6"/>
      <c r="M22" s="6"/>
      <c r="N22" s="6"/>
      <c r="O22" s="6"/>
      <c r="P22" s="6"/>
      <c r="Q22" s="14"/>
    </row>
    <row r="23" spans="1:30">
      <c r="A23" s="197">
        <v>42278</v>
      </c>
      <c r="B23">
        <f t="shared" si="0"/>
        <v>10</v>
      </c>
      <c r="C23">
        <f t="shared" si="1"/>
        <v>2015</v>
      </c>
      <c r="D23" s="451">
        <f>'Monthly Data (14-23) Used'!X23</f>
        <v>2870641</v>
      </c>
      <c r="E23" s="100"/>
      <c r="F23" s="100"/>
      <c r="J23" s="6"/>
      <c r="K23" s="6"/>
      <c r="L23" s="6"/>
      <c r="M23" s="6"/>
      <c r="N23" s="6"/>
      <c r="O23" s="6"/>
      <c r="P23" s="6"/>
      <c r="Q23" s="14"/>
    </row>
    <row r="24" spans="1:30">
      <c r="A24" s="197">
        <v>42309</v>
      </c>
      <c r="B24">
        <f t="shared" ref="B24:B61" si="2">MONTH(A24)</f>
        <v>11</v>
      </c>
      <c r="C24">
        <f t="shared" ref="C24:C61" si="3">YEAR(A24)</f>
        <v>2015</v>
      </c>
      <c r="D24" s="6">
        <f>'Monthly Data (14-23) Used'!DW24</f>
        <v>2607047</v>
      </c>
      <c r="E24" s="100">
        <f>'Monthly Data (14-23) Used'!AG24</f>
        <v>210.49999999999997</v>
      </c>
      <c r="F24" s="100">
        <f>'Monthly Data (14-23) Used'!AF24</f>
        <v>0.89999999999999858</v>
      </c>
      <c r="G24">
        <f>'Monthly Data (14-23) Used'!BZ24</f>
        <v>1</v>
      </c>
      <c r="H24">
        <f>'Monthly Data (14-23) Used'!AR24</f>
        <v>153.4</v>
      </c>
      <c r="J24" s="6">
        <f t="shared" ref="J24:J65" si="4">$U$8</f>
        <v>788660.63968622696</v>
      </c>
      <c r="K24" s="6">
        <f t="shared" ref="K24:K55" si="5">E24*$U$9</f>
        <v>189175.61236877603</v>
      </c>
      <c r="L24" s="6">
        <f t="shared" ref="L24:L55" si="6">F24*$U$10</f>
        <v>3343.9789667327705</v>
      </c>
      <c r="M24" s="6">
        <f t="shared" ref="M24:M55" si="7">G24*$U$11</f>
        <v>135311.078711176</v>
      </c>
      <c r="N24" s="6">
        <f>H24*$U$12</f>
        <v>1297850.7346543719</v>
      </c>
      <c r="O24" s="6">
        <f>SUM(J24:N24)</f>
        <v>2414342.0443872837</v>
      </c>
      <c r="P24" s="6">
        <f t="shared" ref="P24:P66" si="8">O24-D24</f>
        <v>-192704.95561271627</v>
      </c>
      <c r="Q24" s="14">
        <f t="shared" ref="Q24:Q66" si="9">ABS(O24-D24)/D24</f>
        <v>7.3916947263596045E-2</v>
      </c>
    </row>
    <row r="25" spans="1:30">
      <c r="A25" s="197">
        <v>42339</v>
      </c>
      <c r="B25">
        <f t="shared" si="2"/>
        <v>12</v>
      </c>
      <c r="C25">
        <f t="shared" si="3"/>
        <v>2015</v>
      </c>
      <c r="D25" s="6">
        <f>'Monthly Data (14-23) Used'!DW25</f>
        <v>2364501</v>
      </c>
      <c r="E25" s="100">
        <f>'Monthly Data (14-23) Used'!AG25</f>
        <v>293.29999999999995</v>
      </c>
      <c r="F25" s="100">
        <f>'Monthly Data (14-23) Used'!AF25</f>
        <v>0</v>
      </c>
      <c r="G25">
        <f>'Monthly Data (14-23) Used'!BZ25</f>
        <v>0</v>
      </c>
      <c r="H25">
        <f>'Monthly Data (14-23) Used'!AR25</f>
        <v>153.9</v>
      </c>
      <c r="J25" s="6">
        <f t="shared" si="4"/>
        <v>788660.63968622696</v>
      </c>
      <c r="K25" s="6">
        <f t="shared" si="5"/>
        <v>263587.6822221473</v>
      </c>
      <c r="L25" s="6">
        <f t="shared" si="6"/>
        <v>0</v>
      </c>
      <c r="M25" s="6">
        <f t="shared" si="7"/>
        <v>0</v>
      </c>
      <c r="N25" s="6">
        <f t="shared" ref="N25:N88" si="10">H25*$U$12</f>
        <v>1302081.0173618502</v>
      </c>
      <c r="O25" s="6">
        <f t="shared" ref="O25:O88" si="11">SUM(J25:N25)</f>
        <v>2354329.3392702248</v>
      </c>
      <c r="P25" s="6">
        <f t="shared" si="8"/>
        <v>-10171.660729775205</v>
      </c>
      <c r="Q25" s="14">
        <f t="shared" si="9"/>
        <v>4.3018212848187441E-3</v>
      </c>
    </row>
    <row r="26" spans="1:30">
      <c r="A26" s="197">
        <v>42370</v>
      </c>
      <c r="B26">
        <f t="shared" si="2"/>
        <v>1</v>
      </c>
      <c r="C26">
        <f t="shared" si="3"/>
        <v>2016</v>
      </c>
      <c r="D26" s="6">
        <f>'Monthly Data (14-23) Used'!DW26</f>
        <v>2580598</v>
      </c>
      <c r="E26" s="100">
        <f>'Monthly Data (14-23) Used'!AG26</f>
        <v>520.9</v>
      </c>
      <c r="F26" s="100">
        <f>'Monthly Data (14-23) Used'!AF26</f>
        <v>0</v>
      </c>
      <c r="G26">
        <f>'Monthly Data (14-23) Used'!BZ26</f>
        <v>0</v>
      </c>
      <c r="H26">
        <f>'Monthly Data (14-23) Used'!AR26</f>
        <v>156</v>
      </c>
      <c r="J26" s="6">
        <f t="shared" si="4"/>
        <v>788660.63968622696</v>
      </c>
      <c r="K26" s="6">
        <f t="shared" si="5"/>
        <v>468131.00466933701</v>
      </c>
      <c r="L26" s="6">
        <f t="shared" si="6"/>
        <v>0</v>
      </c>
      <c r="M26" s="6">
        <f t="shared" si="7"/>
        <v>0</v>
      </c>
      <c r="N26" s="6">
        <f t="shared" si="10"/>
        <v>1319848.2047332593</v>
      </c>
      <c r="O26" s="6">
        <f t="shared" si="11"/>
        <v>2576639.8490888234</v>
      </c>
      <c r="P26" s="6">
        <f t="shared" si="8"/>
        <v>-3958.1509111765772</v>
      </c>
      <c r="Q26" s="14">
        <f t="shared" si="9"/>
        <v>1.5338115084862413E-3</v>
      </c>
    </row>
    <row r="27" spans="1:30">
      <c r="A27" s="197">
        <v>42401</v>
      </c>
      <c r="B27">
        <f t="shared" si="2"/>
        <v>2</v>
      </c>
      <c r="C27">
        <f t="shared" si="3"/>
        <v>2016</v>
      </c>
      <c r="D27" s="6">
        <f>'Monthly Data (14-23) Used'!DW27</f>
        <v>2518509</v>
      </c>
      <c r="E27" s="100">
        <f>'Monthly Data (14-23) Used'!AG27</f>
        <v>434.20000000000005</v>
      </c>
      <c r="F27" s="100">
        <f>'Monthly Data (14-23) Used'!AF27</f>
        <v>0</v>
      </c>
      <c r="G27">
        <f>'Monthly Data (14-23) Used'!BZ27</f>
        <v>0</v>
      </c>
      <c r="H27">
        <f>'Monthly Data (14-23) Used'!AR27</f>
        <v>158.4</v>
      </c>
      <c r="J27" s="6">
        <f t="shared" si="4"/>
        <v>788660.63968622696</v>
      </c>
      <c r="K27" s="6">
        <f t="shared" si="5"/>
        <v>390214.01848229248</v>
      </c>
      <c r="L27" s="6">
        <f t="shared" si="6"/>
        <v>0</v>
      </c>
      <c r="M27" s="6">
        <f t="shared" si="7"/>
        <v>0</v>
      </c>
      <c r="N27" s="6">
        <f t="shared" si="10"/>
        <v>1340153.5617291557</v>
      </c>
      <c r="O27" s="6">
        <f t="shared" si="11"/>
        <v>2519028.2198976753</v>
      </c>
      <c r="P27" s="6">
        <f t="shared" si="8"/>
        <v>519.21989767532796</v>
      </c>
      <c r="Q27" s="14">
        <f t="shared" si="9"/>
        <v>2.0616162089368272E-4</v>
      </c>
    </row>
    <row r="28" spans="1:30">
      <c r="A28" s="197">
        <v>42430</v>
      </c>
      <c r="B28">
        <f t="shared" si="2"/>
        <v>3</v>
      </c>
      <c r="C28">
        <f t="shared" si="3"/>
        <v>2016</v>
      </c>
      <c r="D28" s="6">
        <f>'Monthly Data (14-23) Used'!DW28</f>
        <v>2565586</v>
      </c>
      <c r="E28" s="100">
        <f>'Monthly Data (14-23) Used'!AG28</f>
        <v>281</v>
      </c>
      <c r="F28" s="100">
        <f>'Monthly Data (14-23) Used'!AF28</f>
        <v>0</v>
      </c>
      <c r="G28">
        <f>'Monthly Data (14-23) Used'!BZ28</f>
        <v>0</v>
      </c>
      <c r="H28">
        <f>'Monthly Data (14-23) Used'!AR28</f>
        <v>160.69999999999999</v>
      </c>
      <c r="J28" s="6">
        <f t="shared" si="4"/>
        <v>788660.63968622696</v>
      </c>
      <c r="K28" s="6">
        <f t="shared" si="5"/>
        <v>252533.71532363931</v>
      </c>
      <c r="L28" s="6">
        <f t="shared" si="6"/>
        <v>0</v>
      </c>
      <c r="M28" s="6">
        <f t="shared" si="7"/>
        <v>0</v>
      </c>
      <c r="N28" s="6">
        <f t="shared" si="10"/>
        <v>1359612.8621835562</v>
      </c>
      <c r="O28" s="6">
        <f t="shared" si="11"/>
        <v>2400807.2171934224</v>
      </c>
      <c r="P28" s="6">
        <f t="shared" si="8"/>
        <v>-164778.78280657763</v>
      </c>
      <c r="Q28" s="14">
        <f t="shared" si="9"/>
        <v>6.4226567656113509E-2</v>
      </c>
    </row>
    <row r="29" spans="1:30">
      <c r="A29" s="197">
        <v>42461</v>
      </c>
      <c r="B29">
        <f t="shared" si="2"/>
        <v>4</v>
      </c>
      <c r="C29">
        <f t="shared" si="3"/>
        <v>2016</v>
      </c>
      <c r="D29" s="6">
        <f>'Monthly Data (14-23) Used'!DW29</f>
        <v>2289773</v>
      </c>
      <c r="E29" s="100">
        <f>'Monthly Data (14-23) Used'!AG29</f>
        <v>214.6</v>
      </c>
      <c r="F29" s="100">
        <f>'Monthly Data (14-23) Used'!AF29</f>
        <v>0</v>
      </c>
      <c r="G29">
        <f>'Monthly Data (14-23) Used'!BZ29</f>
        <v>0</v>
      </c>
      <c r="H29">
        <f>'Monthly Data (14-23) Used'!AR29</f>
        <v>162.6</v>
      </c>
      <c r="J29" s="6">
        <f t="shared" si="4"/>
        <v>788660.63968622696</v>
      </c>
      <c r="K29" s="6">
        <f t="shared" si="5"/>
        <v>192860.26800161207</v>
      </c>
      <c r="L29" s="6">
        <f t="shared" si="6"/>
        <v>0</v>
      </c>
      <c r="M29" s="6">
        <f t="shared" si="7"/>
        <v>0</v>
      </c>
      <c r="N29" s="6">
        <f t="shared" si="10"/>
        <v>1375687.9364719742</v>
      </c>
      <c r="O29" s="6">
        <f t="shared" si="11"/>
        <v>2357208.8441598131</v>
      </c>
      <c r="P29" s="6">
        <f t="shared" si="8"/>
        <v>67435.844159813132</v>
      </c>
      <c r="Q29" s="14">
        <f t="shared" si="9"/>
        <v>2.945088624934137E-2</v>
      </c>
    </row>
    <row r="30" spans="1:30">
      <c r="A30" s="197">
        <v>42491</v>
      </c>
      <c r="B30">
        <f t="shared" si="2"/>
        <v>5</v>
      </c>
      <c r="C30">
        <f t="shared" si="3"/>
        <v>2016</v>
      </c>
      <c r="D30" s="6">
        <f>'Monthly Data (14-23) Used'!DW30</f>
        <v>2326556</v>
      </c>
      <c r="E30" s="100">
        <f>'Monthly Data (14-23) Used'!AG30</f>
        <v>46.099999999999994</v>
      </c>
      <c r="F30" s="100">
        <f>'Monthly Data (14-23) Used'!AF30</f>
        <v>55.2</v>
      </c>
      <c r="G30">
        <f>'Monthly Data (14-23) Used'!BZ30</f>
        <v>0</v>
      </c>
      <c r="H30">
        <f>'Monthly Data (14-23) Used'!AR30</f>
        <v>164.5</v>
      </c>
      <c r="J30" s="6">
        <f t="shared" si="4"/>
        <v>788660.63968622696</v>
      </c>
      <c r="K30" s="6">
        <f t="shared" si="5"/>
        <v>41429.908457009857</v>
      </c>
      <c r="L30" s="6">
        <f t="shared" si="6"/>
        <v>205097.37662627693</v>
      </c>
      <c r="M30" s="6">
        <f t="shared" si="7"/>
        <v>0</v>
      </c>
      <c r="N30" s="6">
        <f t="shared" si="10"/>
        <v>1391763.0107603921</v>
      </c>
      <c r="O30" s="6">
        <f t="shared" si="11"/>
        <v>2426950.9355299058</v>
      </c>
      <c r="P30" s="6">
        <f t="shared" si="8"/>
        <v>100394.93552990584</v>
      </c>
      <c r="Q30" s="14">
        <f t="shared" si="9"/>
        <v>4.3151738247394794E-2</v>
      </c>
    </row>
    <row r="31" spans="1:30">
      <c r="A31" s="197">
        <v>42522</v>
      </c>
      <c r="B31">
        <f t="shared" si="2"/>
        <v>6</v>
      </c>
      <c r="C31">
        <f t="shared" si="3"/>
        <v>2016</v>
      </c>
      <c r="D31" s="6">
        <f>'Monthly Data (14-23) Used'!DW31</f>
        <v>2706683</v>
      </c>
      <c r="E31" s="100">
        <f>'Monthly Data (14-23) Used'!AG31</f>
        <v>0</v>
      </c>
      <c r="F31" s="100">
        <f>'Monthly Data (14-23) Used'!AF31</f>
        <v>155.4</v>
      </c>
      <c r="G31">
        <f>'Monthly Data (14-23) Used'!BZ31</f>
        <v>0</v>
      </c>
      <c r="H31">
        <f>'Monthly Data (14-23) Used'!AR31</f>
        <v>166.4</v>
      </c>
      <c r="J31" s="6">
        <f t="shared" si="4"/>
        <v>788660.63968622696</v>
      </c>
      <c r="K31" s="6">
        <f t="shared" si="5"/>
        <v>0</v>
      </c>
      <c r="L31" s="6">
        <f t="shared" si="6"/>
        <v>577393.70158919261</v>
      </c>
      <c r="M31" s="6">
        <f t="shared" si="7"/>
        <v>0</v>
      </c>
      <c r="N31" s="6">
        <f t="shared" si="10"/>
        <v>1407838.0850488101</v>
      </c>
      <c r="O31" s="6">
        <f t="shared" si="11"/>
        <v>2773892.4263242297</v>
      </c>
      <c r="P31" s="6">
        <f t="shared" si="8"/>
        <v>67209.426324229687</v>
      </c>
      <c r="Q31" s="14">
        <f t="shared" si="9"/>
        <v>2.4830918997248548E-2</v>
      </c>
    </row>
    <row r="32" spans="1:30">
      <c r="A32" s="197">
        <v>42552</v>
      </c>
      <c r="B32">
        <f t="shared" si="2"/>
        <v>7</v>
      </c>
      <c r="C32">
        <f t="shared" si="3"/>
        <v>2016</v>
      </c>
      <c r="D32" s="6">
        <f>'Monthly Data (14-23) Used'!DW32</f>
        <v>3094570</v>
      </c>
      <c r="E32" s="100">
        <f>'Monthly Data (14-23) Used'!AG32</f>
        <v>0</v>
      </c>
      <c r="F32" s="100">
        <f>'Monthly Data (14-23) Used'!AF32</f>
        <v>240.29999999999998</v>
      </c>
      <c r="G32">
        <f>'Monthly Data (14-23) Used'!BZ32</f>
        <v>0</v>
      </c>
      <c r="H32">
        <f>'Monthly Data (14-23) Used'!AR32</f>
        <v>167.9</v>
      </c>
      <c r="J32" s="6">
        <f t="shared" si="4"/>
        <v>788660.63968622696</v>
      </c>
      <c r="K32" s="6">
        <f t="shared" si="5"/>
        <v>0</v>
      </c>
      <c r="L32" s="6">
        <f t="shared" si="6"/>
        <v>892842.38411765115</v>
      </c>
      <c r="M32" s="6">
        <f t="shared" si="7"/>
        <v>0</v>
      </c>
      <c r="N32" s="6">
        <f t="shared" si="10"/>
        <v>1420528.9331712453</v>
      </c>
      <c r="O32" s="6">
        <f t="shared" si="11"/>
        <v>3102031.9569751234</v>
      </c>
      <c r="P32" s="6">
        <f t="shared" si="8"/>
        <v>7461.9569751233794</v>
      </c>
      <c r="Q32" s="14">
        <f t="shared" si="9"/>
        <v>2.4113065709043193E-3</v>
      </c>
    </row>
    <row r="33" spans="1:17">
      <c r="A33" s="197">
        <v>42583</v>
      </c>
      <c r="B33">
        <f t="shared" si="2"/>
        <v>8</v>
      </c>
      <c r="C33">
        <f t="shared" si="3"/>
        <v>2016</v>
      </c>
      <c r="D33" s="6">
        <f>'Monthly Data (14-23) Used'!DW33</f>
        <v>3564597</v>
      </c>
      <c r="E33" s="100">
        <f>'Monthly Data (14-23) Used'!AG33</f>
        <v>0</v>
      </c>
      <c r="F33" s="100">
        <f>'Monthly Data (14-23) Used'!AF33</f>
        <v>236.90000000000003</v>
      </c>
      <c r="G33">
        <f>'Monthly Data (14-23) Used'!BZ33</f>
        <v>0</v>
      </c>
      <c r="H33">
        <f>'Monthly Data (14-23) Used'!AR33</f>
        <v>167.8</v>
      </c>
      <c r="J33" s="6">
        <f t="shared" si="4"/>
        <v>788660.63968622696</v>
      </c>
      <c r="K33" s="6">
        <f t="shared" si="5"/>
        <v>0</v>
      </c>
      <c r="L33" s="6">
        <f t="shared" si="6"/>
        <v>880209.57468777196</v>
      </c>
      <c r="M33" s="6">
        <f t="shared" si="7"/>
        <v>0</v>
      </c>
      <c r="N33" s="6">
        <f t="shared" si="10"/>
        <v>1419682.8766297495</v>
      </c>
      <c r="O33" s="6">
        <f t="shared" si="11"/>
        <v>3088553.0910037486</v>
      </c>
      <c r="P33" s="6">
        <f t="shared" si="8"/>
        <v>-476043.90899625141</v>
      </c>
      <c r="Q33" s="14">
        <f t="shared" si="9"/>
        <v>0.13354774999705477</v>
      </c>
    </row>
    <row r="34" spans="1:17">
      <c r="A34" s="197">
        <v>42614</v>
      </c>
      <c r="B34">
        <f t="shared" si="2"/>
        <v>9</v>
      </c>
      <c r="C34">
        <f t="shared" si="3"/>
        <v>2016</v>
      </c>
      <c r="D34" s="6">
        <f>'Monthly Data (14-23) Used'!DW34</f>
        <v>2934361</v>
      </c>
      <c r="E34" s="100">
        <f>'Monthly Data (14-23) Used'!AG34</f>
        <v>0.19999999999999929</v>
      </c>
      <c r="F34" s="100">
        <f>'Monthly Data (14-23) Used'!AF34</f>
        <v>104.9</v>
      </c>
      <c r="G34">
        <f>'Monthly Data (14-23) Used'!BZ34</f>
        <v>0</v>
      </c>
      <c r="H34">
        <f>'Monthly Data (14-23) Used'!AR34</f>
        <v>167.6</v>
      </c>
      <c r="J34" s="6">
        <f t="shared" si="4"/>
        <v>788660.63968622696</v>
      </c>
      <c r="K34" s="6">
        <f t="shared" si="5"/>
        <v>179.73929916273195</v>
      </c>
      <c r="L34" s="6">
        <f t="shared" si="6"/>
        <v>389759.32623363135</v>
      </c>
      <c r="M34" s="6">
        <f t="shared" si="7"/>
        <v>0</v>
      </c>
      <c r="N34" s="6">
        <f t="shared" si="10"/>
        <v>1417990.7635467581</v>
      </c>
      <c r="O34" s="6">
        <f t="shared" si="11"/>
        <v>2596590.4687657794</v>
      </c>
      <c r="P34" s="6">
        <f t="shared" si="8"/>
        <v>-337770.5312342206</v>
      </c>
      <c r="Q34" s="14">
        <f t="shared" si="9"/>
        <v>0.11510871744622445</v>
      </c>
    </row>
    <row r="35" spans="1:17">
      <c r="A35" s="197">
        <v>42644</v>
      </c>
      <c r="B35">
        <f t="shared" si="2"/>
        <v>10</v>
      </c>
      <c r="C35">
        <f t="shared" si="3"/>
        <v>2016</v>
      </c>
      <c r="D35" s="6">
        <f>'Monthly Data (14-23) Used'!DW35</f>
        <v>2701535</v>
      </c>
      <c r="E35" s="100">
        <f>'Monthly Data (14-23) Used'!AG35</f>
        <v>88.9</v>
      </c>
      <c r="F35" s="100">
        <f>'Monthly Data (14-23) Used'!AF35</f>
        <v>29.9</v>
      </c>
      <c r="G35">
        <f>'Monthly Data (14-23) Used'!BZ35</f>
        <v>1</v>
      </c>
      <c r="H35">
        <f>'Monthly Data (14-23) Used'!AR35</f>
        <v>166.9</v>
      </c>
      <c r="J35" s="6">
        <f t="shared" si="4"/>
        <v>788660.63968622696</v>
      </c>
      <c r="K35" s="6">
        <f t="shared" si="5"/>
        <v>79894.118477834651</v>
      </c>
      <c r="L35" s="6">
        <f t="shared" si="6"/>
        <v>111094.41233923333</v>
      </c>
      <c r="M35" s="6">
        <f t="shared" si="7"/>
        <v>135311.078711176</v>
      </c>
      <c r="N35" s="6">
        <f t="shared" si="10"/>
        <v>1412068.3677562885</v>
      </c>
      <c r="O35" s="6">
        <f t="shared" si="11"/>
        <v>2527028.6169707594</v>
      </c>
      <c r="P35" s="6">
        <f t="shared" si="8"/>
        <v>-174506.38302924065</v>
      </c>
      <c r="Q35" s="14">
        <f t="shared" si="9"/>
        <v>6.4595270107268885E-2</v>
      </c>
    </row>
    <row r="36" spans="1:17">
      <c r="A36" s="197">
        <v>42675</v>
      </c>
      <c r="B36">
        <f t="shared" si="2"/>
        <v>11</v>
      </c>
      <c r="C36">
        <f t="shared" si="3"/>
        <v>2016</v>
      </c>
      <c r="D36" s="6">
        <f>'Monthly Data (14-23) Used'!DW36</f>
        <v>2668913</v>
      </c>
      <c r="E36" s="100">
        <f>'Monthly Data (14-23) Used'!AG36</f>
        <v>200.29999999999998</v>
      </c>
      <c r="F36" s="100">
        <f>'Monthly Data (14-23) Used'!AF36</f>
        <v>0.10000000000000142</v>
      </c>
      <c r="G36">
        <f>'Monthly Data (14-23) Used'!BZ36</f>
        <v>1</v>
      </c>
      <c r="H36">
        <f>'Monthly Data (14-23) Used'!AR36</f>
        <v>163.80000000000001</v>
      </c>
      <c r="J36" s="6">
        <f t="shared" si="4"/>
        <v>788660.63968622696</v>
      </c>
      <c r="K36" s="6">
        <f t="shared" si="5"/>
        <v>180008.90811147669</v>
      </c>
      <c r="L36" s="6">
        <f t="shared" si="6"/>
        <v>371.55321852586928</v>
      </c>
      <c r="M36" s="6">
        <f t="shared" si="7"/>
        <v>135311.078711176</v>
      </c>
      <c r="N36" s="6">
        <f t="shared" si="10"/>
        <v>1385840.6149699225</v>
      </c>
      <c r="O36" s="6">
        <f t="shared" si="11"/>
        <v>2490192.794697328</v>
      </c>
      <c r="P36" s="6">
        <f t="shared" si="8"/>
        <v>-178720.205302672</v>
      </c>
      <c r="Q36" s="14">
        <f t="shared" si="9"/>
        <v>6.6963668468276033E-2</v>
      </c>
    </row>
    <row r="37" spans="1:17">
      <c r="A37" s="197">
        <v>42705</v>
      </c>
      <c r="B37">
        <f t="shared" si="2"/>
        <v>12</v>
      </c>
      <c r="C37">
        <f t="shared" si="3"/>
        <v>2016</v>
      </c>
      <c r="D37" s="6">
        <f>'Monthly Data (14-23) Used'!DW37</f>
        <v>2635161</v>
      </c>
      <c r="E37" s="100">
        <f>'Monthly Data (14-23) Used'!AG37</f>
        <v>499.20000000000005</v>
      </c>
      <c r="F37" s="100">
        <f>'Monthly Data (14-23) Used'!AF37</f>
        <v>0</v>
      </c>
      <c r="G37">
        <f>'Monthly Data (14-23) Used'!BZ37</f>
        <v>0</v>
      </c>
      <c r="H37">
        <f>'Monthly Data (14-23) Used'!AR37</f>
        <v>161.19999999999999</v>
      </c>
      <c r="J37" s="6">
        <f t="shared" si="4"/>
        <v>788660.63968622696</v>
      </c>
      <c r="K37" s="6">
        <f t="shared" si="5"/>
        <v>448629.29071018059</v>
      </c>
      <c r="L37" s="6">
        <f t="shared" si="6"/>
        <v>0</v>
      </c>
      <c r="M37" s="6">
        <f t="shared" si="7"/>
        <v>0</v>
      </c>
      <c r="N37" s="6">
        <f t="shared" si="10"/>
        <v>1363843.1448910346</v>
      </c>
      <c r="O37" s="6">
        <f t="shared" si="11"/>
        <v>2601133.0752874422</v>
      </c>
      <c r="P37" s="6">
        <f t="shared" si="8"/>
        <v>-34027.924712557811</v>
      </c>
      <c r="Q37" s="14">
        <f t="shared" si="9"/>
        <v>1.2913034426571207E-2</v>
      </c>
    </row>
    <row r="38" spans="1:17">
      <c r="A38" s="197">
        <v>42736</v>
      </c>
      <c r="B38">
        <f t="shared" si="2"/>
        <v>1</v>
      </c>
      <c r="C38">
        <f t="shared" si="3"/>
        <v>2017</v>
      </c>
      <c r="D38" s="6">
        <f>'Monthly Data (14-23) Used'!DW38</f>
        <v>3109978</v>
      </c>
      <c r="E38" s="100">
        <f>'Monthly Data (14-23) Used'!AG38</f>
        <v>460.19999999999993</v>
      </c>
      <c r="F38" s="100">
        <f>'Monthly Data (14-23) Used'!AF38</f>
        <v>0</v>
      </c>
      <c r="G38">
        <f>'Monthly Data (14-23) Used'!BZ38</f>
        <v>0</v>
      </c>
      <c r="H38">
        <f>'Monthly Data (14-23) Used'!AR38</f>
        <v>160.5</v>
      </c>
      <c r="J38" s="6">
        <f t="shared" si="4"/>
        <v>788660.63968622696</v>
      </c>
      <c r="K38" s="6">
        <f t="shared" si="5"/>
        <v>413580.12737344764</v>
      </c>
      <c r="L38" s="6">
        <f t="shared" si="6"/>
        <v>0</v>
      </c>
      <c r="M38" s="6">
        <f t="shared" si="7"/>
        <v>0</v>
      </c>
      <c r="N38" s="6">
        <f t="shared" si="10"/>
        <v>1357920.749100565</v>
      </c>
      <c r="O38" s="6">
        <f t="shared" si="11"/>
        <v>2560161.5161602395</v>
      </c>
      <c r="P38" s="6">
        <f t="shared" si="8"/>
        <v>-549816.48383976053</v>
      </c>
      <c r="Q38" s="14">
        <f t="shared" si="9"/>
        <v>0.17679111679881998</v>
      </c>
    </row>
    <row r="39" spans="1:17">
      <c r="A39" s="197">
        <v>42767</v>
      </c>
      <c r="B39">
        <f t="shared" si="2"/>
        <v>2</v>
      </c>
      <c r="C39">
        <f t="shared" si="3"/>
        <v>2017</v>
      </c>
      <c r="D39" s="6">
        <f>'Monthly Data (14-23) Used'!DW39</f>
        <v>2736036</v>
      </c>
      <c r="E39" s="100">
        <f>'Monthly Data (14-23) Used'!AG39</f>
        <v>328.69999999999993</v>
      </c>
      <c r="F39" s="100">
        <f>'Monthly Data (14-23) Used'!AF39</f>
        <v>0</v>
      </c>
      <c r="G39">
        <f>'Monthly Data (14-23) Used'!BZ39</f>
        <v>0</v>
      </c>
      <c r="H39">
        <f>'Monthly Data (14-23) Used'!AR39</f>
        <v>160.6</v>
      </c>
      <c r="J39" s="6">
        <f t="shared" si="4"/>
        <v>788660.63968622696</v>
      </c>
      <c r="K39" s="6">
        <f t="shared" si="5"/>
        <v>295401.53817395098</v>
      </c>
      <c r="L39" s="6">
        <f t="shared" si="6"/>
        <v>0</v>
      </c>
      <c r="M39" s="6">
        <f t="shared" si="7"/>
        <v>0</v>
      </c>
      <c r="N39" s="6">
        <f t="shared" si="10"/>
        <v>1358766.8056420605</v>
      </c>
      <c r="O39" s="6">
        <f t="shared" si="11"/>
        <v>2442828.9835022385</v>
      </c>
      <c r="P39" s="6">
        <f t="shared" si="8"/>
        <v>-293207.01649776148</v>
      </c>
      <c r="Q39" s="14">
        <f t="shared" si="9"/>
        <v>0.10716489713503824</v>
      </c>
    </row>
    <row r="40" spans="1:17">
      <c r="A40" s="197">
        <v>42795</v>
      </c>
      <c r="B40">
        <f t="shared" si="2"/>
        <v>3</v>
      </c>
      <c r="C40">
        <f t="shared" si="3"/>
        <v>2017</v>
      </c>
      <c r="D40" s="6">
        <f>'Monthly Data (14-23) Used'!DW40</f>
        <v>2956591</v>
      </c>
      <c r="E40" s="100">
        <f>'Monthly Data (14-23) Used'!AG40</f>
        <v>383.30000000000007</v>
      </c>
      <c r="F40" s="100">
        <f>'Monthly Data (14-23) Used'!AF40</f>
        <v>0</v>
      </c>
      <c r="G40">
        <f>'Monthly Data (14-23) Used'!BZ40</f>
        <v>0</v>
      </c>
      <c r="H40">
        <f>'Monthly Data (14-23) Used'!AR40</f>
        <v>160.69999999999999</v>
      </c>
      <c r="J40" s="6">
        <f t="shared" si="4"/>
        <v>788660.63968622696</v>
      </c>
      <c r="K40" s="6">
        <f t="shared" si="5"/>
        <v>344470.36684537708</v>
      </c>
      <c r="L40" s="6">
        <f t="shared" si="6"/>
        <v>0</v>
      </c>
      <c r="M40" s="6">
        <f t="shared" si="7"/>
        <v>0</v>
      </c>
      <c r="N40" s="6">
        <f t="shared" si="10"/>
        <v>1359612.8621835562</v>
      </c>
      <c r="O40" s="6">
        <f t="shared" si="11"/>
        <v>2492743.8687151605</v>
      </c>
      <c r="P40" s="6">
        <f t="shared" si="8"/>
        <v>-463847.13128483947</v>
      </c>
      <c r="Q40" s="14">
        <f t="shared" si="9"/>
        <v>0.15688579559527829</v>
      </c>
    </row>
    <row r="41" spans="1:17">
      <c r="A41" s="197">
        <v>42826</v>
      </c>
      <c r="B41">
        <f t="shared" si="2"/>
        <v>4</v>
      </c>
      <c r="C41">
        <f t="shared" si="3"/>
        <v>2017</v>
      </c>
      <c r="D41" s="6">
        <f>'Monthly Data (14-23) Used'!DW41</f>
        <v>2405329</v>
      </c>
      <c r="E41" s="100">
        <f>'Monthly Data (14-23) Used'!AG41</f>
        <v>100.79999999999997</v>
      </c>
      <c r="F41" s="100">
        <f>'Monthly Data (14-23) Used'!AF41</f>
        <v>7.9000000000000021</v>
      </c>
      <c r="G41">
        <f>'Monthly Data (14-23) Used'!BZ41</f>
        <v>0</v>
      </c>
      <c r="H41">
        <f>'Monthly Data (14-23) Used'!AR41</f>
        <v>159.30000000000001</v>
      </c>
      <c r="J41" s="6">
        <f t="shared" si="4"/>
        <v>788660.63968622696</v>
      </c>
      <c r="K41" s="6">
        <f t="shared" si="5"/>
        <v>90588.606778017202</v>
      </c>
      <c r="L41" s="6">
        <f t="shared" si="6"/>
        <v>29352.704263543263</v>
      </c>
      <c r="M41" s="6">
        <f t="shared" si="7"/>
        <v>0</v>
      </c>
      <c r="N41" s="6">
        <f t="shared" si="10"/>
        <v>1347768.070602617</v>
      </c>
      <c r="O41" s="6">
        <f t="shared" si="11"/>
        <v>2256370.0213304046</v>
      </c>
      <c r="P41" s="6">
        <f t="shared" si="8"/>
        <v>-148958.97866959544</v>
      </c>
      <c r="Q41" s="14">
        <f t="shared" si="9"/>
        <v>6.1928733520277453E-2</v>
      </c>
    </row>
    <row r="42" spans="1:17">
      <c r="A42" s="197">
        <v>42856</v>
      </c>
      <c r="B42">
        <f t="shared" si="2"/>
        <v>5</v>
      </c>
      <c r="C42">
        <f t="shared" si="3"/>
        <v>2017</v>
      </c>
      <c r="D42" s="6">
        <f>'Monthly Data (14-23) Used'!DW42</f>
        <v>2604156</v>
      </c>
      <c r="E42" s="100">
        <f>'Monthly Data (14-23) Used'!AG42</f>
        <v>58.300000000000004</v>
      </c>
      <c r="F42" s="100">
        <f>'Monthly Data (14-23) Used'!AF42</f>
        <v>38.100000000000009</v>
      </c>
      <c r="G42">
        <f>'Monthly Data (14-23) Used'!BZ42</f>
        <v>0</v>
      </c>
      <c r="H42">
        <f>'Monthly Data (14-23) Used'!AR42</f>
        <v>158.5</v>
      </c>
      <c r="J42" s="6">
        <f t="shared" si="4"/>
        <v>788660.63968622696</v>
      </c>
      <c r="K42" s="6">
        <f t="shared" si="5"/>
        <v>52394.005705936557</v>
      </c>
      <c r="L42" s="6">
        <f t="shared" si="6"/>
        <v>141561.77625835422</v>
      </c>
      <c r="M42" s="6">
        <f t="shared" si="7"/>
        <v>0</v>
      </c>
      <c r="N42" s="6">
        <f t="shared" si="10"/>
        <v>1340999.6182706514</v>
      </c>
      <c r="O42" s="6">
        <f t="shared" si="11"/>
        <v>2323616.0399211692</v>
      </c>
      <c r="P42" s="6">
        <f t="shared" si="8"/>
        <v>-280539.96007883083</v>
      </c>
      <c r="Q42" s="14">
        <f t="shared" si="9"/>
        <v>0.10772778592328218</v>
      </c>
    </row>
    <row r="43" spans="1:17">
      <c r="A43" s="197">
        <v>42887</v>
      </c>
      <c r="B43">
        <f t="shared" si="2"/>
        <v>6</v>
      </c>
      <c r="C43">
        <f t="shared" si="3"/>
        <v>2017</v>
      </c>
      <c r="D43" s="6">
        <f>'Monthly Data (14-23) Used'!DW43</f>
        <v>2874524</v>
      </c>
      <c r="E43" s="100">
        <f>'Monthly Data (14-23) Used'!AG43</f>
        <v>0</v>
      </c>
      <c r="F43" s="100">
        <f>'Monthly Data (14-23) Used'!AF43</f>
        <v>153.29999999999998</v>
      </c>
      <c r="G43">
        <f>'Monthly Data (14-23) Used'!BZ43</f>
        <v>0</v>
      </c>
      <c r="H43">
        <f>'Monthly Data (14-23) Used'!AR43</f>
        <v>160</v>
      </c>
      <c r="J43" s="6">
        <f t="shared" si="4"/>
        <v>788660.63968622696</v>
      </c>
      <c r="K43" s="6">
        <f t="shared" si="5"/>
        <v>0</v>
      </c>
      <c r="L43" s="6">
        <f t="shared" si="6"/>
        <v>569591.08400014939</v>
      </c>
      <c r="M43" s="6">
        <f t="shared" si="7"/>
        <v>0</v>
      </c>
      <c r="N43" s="6">
        <f t="shared" si="10"/>
        <v>1353690.4663930866</v>
      </c>
      <c r="O43" s="6">
        <f t="shared" si="11"/>
        <v>2711942.1900794627</v>
      </c>
      <c r="P43" s="6">
        <f t="shared" si="8"/>
        <v>-162581.80992053729</v>
      </c>
      <c r="Q43" s="14">
        <f t="shared" si="9"/>
        <v>5.6559559050659271E-2</v>
      </c>
    </row>
    <row r="44" spans="1:17">
      <c r="A44" s="197">
        <v>42917</v>
      </c>
      <c r="B44">
        <f t="shared" si="2"/>
        <v>7</v>
      </c>
      <c r="C44">
        <f t="shared" si="3"/>
        <v>2017</v>
      </c>
      <c r="D44" s="6">
        <f>'Monthly Data (14-23) Used'!DW44</f>
        <v>2922427</v>
      </c>
      <c r="E44" s="100">
        <f>'Monthly Data (14-23) Used'!AG44</f>
        <v>0</v>
      </c>
      <c r="F44" s="100">
        <f>'Monthly Data (14-23) Used'!AF44</f>
        <v>198.99999999999997</v>
      </c>
      <c r="G44">
        <f>'Monthly Data (14-23) Used'!BZ44</f>
        <v>0</v>
      </c>
      <c r="H44">
        <f>'Monthly Data (14-23) Used'!AR44</f>
        <v>161.1</v>
      </c>
      <c r="J44" s="6">
        <f t="shared" si="4"/>
        <v>788660.63968622696</v>
      </c>
      <c r="K44" s="6">
        <f t="shared" si="5"/>
        <v>0</v>
      </c>
      <c r="L44" s="6">
        <f t="shared" si="6"/>
        <v>739390.90486646921</v>
      </c>
      <c r="M44" s="6">
        <f t="shared" si="7"/>
        <v>0</v>
      </c>
      <c r="N44" s="6">
        <f t="shared" si="10"/>
        <v>1362997.0883495389</v>
      </c>
      <c r="O44" s="6">
        <f t="shared" si="11"/>
        <v>2891048.6329022348</v>
      </c>
      <c r="P44" s="6">
        <f t="shared" si="8"/>
        <v>-31378.367097765207</v>
      </c>
      <c r="Q44" s="14">
        <f t="shared" si="9"/>
        <v>1.0737091841050334E-2</v>
      </c>
    </row>
    <row r="45" spans="1:17">
      <c r="A45" s="197">
        <v>42948</v>
      </c>
      <c r="B45">
        <f t="shared" si="2"/>
        <v>8</v>
      </c>
      <c r="C45">
        <f t="shared" si="3"/>
        <v>2017</v>
      </c>
      <c r="D45" s="6">
        <f>'Monthly Data (14-23) Used'!DW45</f>
        <v>3048623</v>
      </c>
      <c r="E45" s="100">
        <f>'Monthly Data (14-23) Used'!AG45</f>
        <v>0</v>
      </c>
      <c r="F45" s="100">
        <f>'Monthly Data (14-23) Used'!AF45</f>
        <v>136.4</v>
      </c>
      <c r="G45">
        <f>'Monthly Data (14-23) Used'!BZ45</f>
        <v>0</v>
      </c>
      <c r="H45">
        <f>'Monthly Data (14-23) Used'!AR45</f>
        <v>165</v>
      </c>
      <c r="J45" s="6">
        <f t="shared" si="4"/>
        <v>788660.63968622696</v>
      </c>
      <c r="K45" s="6">
        <f t="shared" si="5"/>
        <v>0</v>
      </c>
      <c r="L45" s="6">
        <f t="shared" si="6"/>
        <v>506798.59006927849</v>
      </c>
      <c r="M45" s="6">
        <f t="shared" si="7"/>
        <v>0</v>
      </c>
      <c r="N45" s="6">
        <f t="shared" si="10"/>
        <v>1395993.2934678704</v>
      </c>
      <c r="O45" s="6">
        <f t="shared" si="11"/>
        <v>2691452.5232233759</v>
      </c>
      <c r="P45" s="6">
        <f t="shared" si="8"/>
        <v>-357170.4767766241</v>
      </c>
      <c r="Q45" s="14">
        <f t="shared" si="9"/>
        <v>0.11715796829474294</v>
      </c>
    </row>
    <row r="46" spans="1:17">
      <c r="A46" s="197">
        <v>42979</v>
      </c>
      <c r="B46">
        <f t="shared" si="2"/>
        <v>9</v>
      </c>
      <c r="C46">
        <f t="shared" si="3"/>
        <v>2017</v>
      </c>
      <c r="D46" s="6">
        <f>'Monthly Data (14-23) Used'!DW46</f>
        <v>2734668</v>
      </c>
      <c r="E46" s="100">
        <f>'Monthly Data (14-23) Used'!AG46</f>
        <v>4.8000000000000007</v>
      </c>
      <c r="F46" s="100">
        <f>'Monthly Data (14-23) Used'!AF46</f>
        <v>90.999999999999986</v>
      </c>
      <c r="G46">
        <f>'Monthly Data (14-23) Used'!BZ46</f>
        <v>0</v>
      </c>
      <c r="H46">
        <f>'Monthly Data (14-23) Used'!AR46</f>
        <v>166</v>
      </c>
      <c r="J46" s="6">
        <f t="shared" si="4"/>
        <v>788660.63968622696</v>
      </c>
      <c r="K46" s="6">
        <f t="shared" si="5"/>
        <v>4313.743179905583</v>
      </c>
      <c r="L46" s="6">
        <f t="shared" si="6"/>
        <v>338113.42885853618</v>
      </c>
      <c r="M46" s="6">
        <f t="shared" si="7"/>
        <v>0</v>
      </c>
      <c r="N46" s="6">
        <f t="shared" si="10"/>
        <v>1404453.8588828272</v>
      </c>
      <c r="O46" s="6">
        <f t="shared" si="11"/>
        <v>2535541.6706074961</v>
      </c>
      <c r="P46" s="6">
        <f t="shared" si="8"/>
        <v>-199126.32939250395</v>
      </c>
      <c r="Q46" s="14">
        <f t="shared" si="9"/>
        <v>7.2815540823421329E-2</v>
      </c>
    </row>
    <row r="47" spans="1:17">
      <c r="A47" s="197">
        <v>43009</v>
      </c>
      <c r="B47">
        <f t="shared" si="2"/>
        <v>10</v>
      </c>
      <c r="C47">
        <f t="shared" si="3"/>
        <v>2017</v>
      </c>
      <c r="D47" s="6">
        <f>'Monthly Data (14-23) Used'!DW47</f>
        <v>2665747</v>
      </c>
      <c r="E47" s="100">
        <f>'Monthly Data (14-23) Used'!AG47</f>
        <v>71</v>
      </c>
      <c r="F47" s="100">
        <f>'Monthly Data (14-23) Used'!AF47</f>
        <v>27.5</v>
      </c>
      <c r="G47">
        <f>'Monthly Data (14-23) Used'!BZ47</f>
        <v>1</v>
      </c>
      <c r="H47">
        <f>'Monthly Data (14-23) Used'!AR47</f>
        <v>164</v>
      </c>
      <c r="J47" s="6">
        <f t="shared" si="4"/>
        <v>788660.63968622696</v>
      </c>
      <c r="K47" s="6">
        <f t="shared" si="5"/>
        <v>63807.451202770069</v>
      </c>
      <c r="L47" s="6">
        <f t="shared" si="6"/>
        <v>102177.13509461259</v>
      </c>
      <c r="M47" s="6">
        <f t="shared" si="7"/>
        <v>135311.078711176</v>
      </c>
      <c r="N47" s="6">
        <f t="shared" si="10"/>
        <v>1387532.7280529137</v>
      </c>
      <c r="O47" s="6">
        <f t="shared" si="11"/>
        <v>2477489.0327476994</v>
      </c>
      <c r="P47" s="6">
        <f t="shared" si="8"/>
        <v>-188257.96725230059</v>
      </c>
      <c r="Q47" s="14">
        <f t="shared" si="9"/>
        <v>7.0621093169119423E-2</v>
      </c>
    </row>
    <row r="48" spans="1:17">
      <c r="A48" s="197">
        <v>43040</v>
      </c>
      <c r="B48">
        <f t="shared" si="2"/>
        <v>11</v>
      </c>
      <c r="C48">
        <f t="shared" si="3"/>
        <v>2017</v>
      </c>
      <c r="D48" s="6">
        <f>'Monthly Data (14-23) Used'!DW48</f>
        <v>2738878</v>
      </c>
      <c r="E48" s="100">
        <f>'Monthly Data (14-23) Used'!AG48</f>
        <v>294.93552299140987</v>
      </c>
      <c r="F48" s="100">
        <f>'Monthly Data (14-23) Used'!AF48</f>
        <v>0</v>
      </c>
      <c r="G48">
        <f>'Monthly Data (14-23) Used'!BZ48</f>
        <v>1</v>
      </c>
      <c r="H48">
        <f>'Monthly Data (14-23) Used'!AR48</f>
        <v>165.3</v>
      </c>
      <c r="J48" s="6">
        <f t="shared" si="4"/>
        <v>788660.63968622696</v>
      </c>
      <c r="K48" s="6">
        <f t="shared" si="5"/>
        <v>265057.52100335009</v>
      </c>
      <c r="L48" s="6">
        <f t="shared" si="6"/>
        <v>0</v>
      </c>
      <c r="M48" s="6">
        <f t="shared" si="7"/>
        <v>135311.078711176</v>
      </c>
      <c r="N48" s="6">
        <f t="shared" si="10"/>
        <v>1398531.4630923576</v>
      </c>
      <c r="O48" s="6">
        <f t="shared" si="11"/>
        <v>2587560.7024931107</v>
      </c>
      <c r="P48" s="6">
        <f t="shared" si="8"/>
        <v>-151317.29750688933</v>
      </c>
      <c r="Q48" s="14">
        <f t="shared" si="9"/>
        <v>5.5247914476982664E-2</v>
      </c>
    </row>
    <row r="49" spans="1:17">
      <c r="A49" s="197">
        <v>43070</v>
      </c>
      <c r="B49">
        <f t="shared" si="2"/>
        <v>12</v>
      </c>
      <c r="C49">
        <f t="shared" si="3"/>
        <v>2017</v>
      </c>
      <c r="D49" s="6">
        <f>'Monthly Data (14-23) Used'!DW49</f>
        <v>2623050</v>
      </c>
      <c r="E49" s="100">
        <f>'Monthly Data (14-23) Used'!AG49</f>
        <v>548.00000000000011</v>
      </c>
      <c r="F49" s="100">
        <f>'Monthly Data (14-23) Used'!AF49</f>
        <v>0</v>
      </c>
      <c r="G49">
        <f>'Monthly Data (14-23) Used'!BZ49</f>
        <v>0</v>
      </c>
      <c r="H49">
        <f>'Monthly Data (14-23) Used'!AR49</f>
        <v>165.8</v>
      </c>
      <c r="J49" s="6">
        <f t="shared" si="4"/>
        <v>788660.63968622696</v>
      </c>
      <c r="K49" s="6">
        <f t="shared" si="5"/>
        <v>492485.67970588739</v>
      </c>
      <c r="L49" s="6">
        <f t="shared" si="6"/>
        <v>0</v>
      </c>
      <c r="M49" s="6">
        <f t="shared" si="7"/>
        <v>0</v>
      </c>
      <c r="N49" s="6">
        <f t="shared" si="10"/>
        <v>1402761.745799836</v>
      </c>
      <c r="O49" s="6">
        <f t="shared" si="11"/>
        <v>2683908.0651919506</v>
      </c>
      <c r="P49" s="6">
        <f t="shared" si="8"/>
        <v>60858.065191950649</v>
      </c>
      <c r="Q49" s="14">
        <f t="shared" si="9"/>
        <v>2.3201260056785286E-2</v>
      </c>
    </row>
    <row r="50" spans="1:17">
      <c r="A50" s="197">
        <v>43101</v>
      </c>
      <c r="B50">
        <f t="shared" si="2"/>
        <v>1</v>
      </c>
      <c r="C50">
        <f t="shared" si="3"/>
        <v>2018</v>
      </c>
      <c r="D50" s="6">
        <f>'Monthly Data (14-23) Used'!DW50</f>
        <v>2945901</v>
      </c>
      <c r="E50" s="100">
        <f>'Monthly Data (14-23) Used'!AG50</f>
        <v>581.6</v>
      </c>
      <c r="F50" s="100">
        <f>'Monthly Data (14-23) Used'!AF50</f>
        <v>0</v>
      </c>
      <c r="G50">
        <f>'Monthly Data (14-23) Used'!BZ50</f>
        <v>0</v>
      </c>
      <c r="H50">
        <f>'Monthly Data (14-23) Used'!AR50</f>
        <v>168.3</v>
      </c>
      <c r="J50" s="6">
        <f t="shared" si="4"/>
        <v>788660.63968622696</v>
      </c>
      <c r="K50" s="6">
        <f t="shared" si="5"/>
        <v>522681.88196522644</v>
      </c>
      <c r="L50" s="6">
        <f t="shared" si="6"/>
        <v>0</v>
      </c>
      <c r="M50" s="6">
        <f t="shared" si="7"/>
        <v>0</v>
      </c>
      <c r="N50" s="6">
        <f t="shared" si="10"/>
        <v>1423913.1593372279</v>
      </c>
      <c r="O50" s="6">
        <f t="shared" si="11"/>
        <v>2735255.6809886815</v>
      </c>
      <c r="P50" s="6">
        <f t="shared" si="8"/>
        <v>-210645.3190113185</v>
      </c>
      <c r="Q50" s="14">
        <f t="shared" si="9"/>
        <v>7.1504547848457403E-2</v>
      </c>
    </row>
    <row r="51" spans="1:17">
      <c r="A51" s="197">
        <v>43132</v>
      </c>
      <c r="B51">
        <f t="shared" si="2"/>
        <v>2</v>
      </c>
      <c r="C51">
        <f t="shared" si="3"/>
        <v>2018</v>
      </c>
      <c r="D51" s="6">
        <f>'Monthly Data (14-23) Used'!DW51</f>
        <v>2641888</v>
      </c>
      <c r="E51" s="100">
        <f>'Monthly Data (14-23) Used'!AG51</f>
        <v>432.49999999999994</v>
      </c>
      <c r="F51" s="100">
        <f>'Monthly Data (14-23) Used'!AF51</f>
        <v>0</v>
      </c>
      <c r="G51">
        <f>'Monthly Data (14-23) Used'!BZ51</f>
        <v>0</v>
      </c>
      <c r="H51">
        <f>'Monthly Data (14-23) Used'!AR51</f>
        <v>165.4</v>
      </c>
      <c r="J51" s="6">
        <f t="shared" si="4"/>
        <v>788660.63968622696</v>
      </c>
      <c r="K51" s="6">
        <f t="shared" si="5"/>
        <v>388686.23443940916</v>
      </c>
      <c r="L51" s="6">
        <f t="shared" si="6"/>
        <v>0</v>
      </c>
      <c r="M51" s="6">
        <f t="shared" si="7"/>
        <v>0</v>
      </c>
      <c r="N51" s="6">
        <f t="shared" si="10"/>
        <v>1399377.5196338533</v>
      </c>
      <c r="O51" s="6">
        <f t="shared" si="11"/>
        <v>2576724.3937594895</v>
      </c>
      <c r="P51" s="6">
        <f t="shared" si="8"/>
        <v>-65163.606240510475</v>
      </c>
      <c r="Q51" s="14">
        <f t="shared" si="9"/>
        <v>2.4665544580432811E-2</v>
      </c>
    </row>
    <row r="52" spans="1:17">
      <c r="A52" s="197">
        <v>43160</v>
      </c>
      <c r="B52">
        <f t="shared" si="2"/>
        <v>3</v>
      </c>
      <c r="C52">
        <f t="shared" si="3"/>
        <v>2018</v>
      </c>
      <c r="D52" s="6">
        <f>'Monthly Data (14-23) Used'!DW52</f>
        <v>2707092</v>
      </c>
      <c r="E52" s="100">
        <f>'Monthly Data (14-23) Used'!AG52</f>
        <v>410.40000000000009</v>
      </c>
      <c r="F52" s="100">
        <f>'Monthly Data (14-23) Used'!AF52</f>
        <v>0</v>
      </c>
      <c r="G52">
        <f>'Monthly Data (14-23) Used'!BZ52</f>
        <v>0</v>
      </c>
      <c r="H52">
        <f>'Monthly Data (14-23) Used'!AR52</f>
        <v>165.6</v>
      </c>
      <c r="J52" s="6">
        <f t="shared" si="4"/>
        <v>788660.63968622696</v>
      </c>
      <c r="K52" s="6">
        <f t="shared" si="5"/>
        <v>368825.04188192735</v>
      </c>
      <c r="L52" s="6">
        <f t="shared" si="6"/>
        <v>0</v>
      </c>
      <c r="M52" s="6">
        <f t="shared" si="7"/>
        <v>0</v>
      </c>
      <c r="N52" s="6">
        <f t="shared" si="10"/>
        <v>1401069.6327168446</v>
      </c>
      <c r="O52" s="6">
        <f t="shared" si="11"/>
        <v>2558555.3142849989</v>
      </c>
      <c r="P52" s="6">
        <f t="shared" si="8"/>
        <v>-148536.68571500108</v>
      </c>
      <c r="Q52" s="14">
        <f t="shared" si="9"/>
        <v>5.4869463511029948E-2</v>
      </c>
    </row>
    <row r="53" spans="1:17">
      <c r="A53" s="197">
        <v>43191</v>
      </c>
      <c r="B53">
        <f t="shared" si="2"/>
        <v>4</v>
      </c>
      <c r="C53">
        <f t="shared" si="3"/>
        <v>2018</v>
      </c>
      <c r="D53" s="6">
        <f>'Monthly Data (14-23) Used'!DW53</f>
        <v>2546244</v>
      </c>
      <c r="E53" s="100">
        <f>'Monthly Data (14-23) Used'!AG53</f>
        <v>275.70000000000005</v>
      </c>
      <c r="F53" s="100">
        <f>'Monthly Data (14-23) Used'!AF53</f>
        <v>0</v>
      </c>
      <c r="G53">
        <f>'Monthly Data (14-23) Used'!BZ53</f>
        <v>0</v>
      </c>
      <c r="H53">
        <f>'Monthly Data (14-23) Used'!AR53</f>
        <v>166</v>
      </c>
      <c r="J53" s="6">
        <f t="shared" si="4"/>
        <v>788660.63968622696</v>
      </c>
      <c r="K53" s="6">
        <f t="shared" si="5"/>
        <v>247770.62389582692</v>
      </c>
      <c r="L53" s="6">
        <f t="shared" si="6"/>
        <v>0</v>
      </c>
      <c r="M53" s="6">
        <f t="shared" si="7"/>
        <v>0</v>
      </c>
      <c r="N53" s="6">
        <f t="shared" si="10"/>
        <v>1404453.8588828272</v>
      </c>
      <c r="O53" s="6">
        <f t="shared" si="11"/>
        <v>2440885.1224648813</v>
      </c>
      <c r="P53" s="6">
        <f t="shared" si="8"/>
        <v>-105358.87753511872</v>
      </c>
      <c r="Q53" s="14">
        <f t="shared" si="9"/>
        <v>4.1378154464033583E-2</v>
      </c>
    </row>
    <row r="54" spans="1:17">
      <c r="A54" s="197">
        <v>43221</v>
      </c>
      <c r="B54">
        <f t="shared" si="2"/>
        <v>5</v>
      </c>
      <c r="C54">
        <f t="shared" si="3"/>
        <v>2018</v>
      </c>
      <c r="D54" s="6">
        <f>'Monthly Data (14-23) Used'!DW54</f>
        <v>2646635</v>
      </c>
      <c r="E54" s="100">
        <f>'Monthly Data (14-23) Used'!AG54</f>
        <v>16.699999999999996</v>
      </c>
      <c r="F54" s="100">
        <f>'Monthly Data (14-23) Used'!AF54</f>
        <v>82.1</v>
      </c>
      <c r="G54">
        <f>'Monthly Data (14-23) Used'!BZ54</f>
        <v>0</v>
      </c>
      <c r="H54">
        <f>'Monthly Data (14-23) Used'!AR54</f>
        <v>166.1</v>
      </c>
      <c r="J54" s="6">
        <f t="shared" si="4"/>
        <v>788660.63968622696</v>
      </c>
      <c r="K54" s="6">
        <f t="shared" si="5"/>
        <v>15008.231480088169</v>
      </c>
      <c r="L54" s="6">
        <f t="shared" si="6"/>
        <v>305045.1924097343</v>
      </c>
      <c r="M54" s="6">
        <f t="shared" si="7"/>
        <v>0</v>
      </c>
      <c r="N54" s="6">
        <f t="shared" si="10"/>
        <v>1405299.9154243229</v>
      </c>
      <c r="O54" s="6">
        <f t="shared" si="11"/>
        <v>2514013.9790003723</v>
      </c>
      <c r="P54" s="6">
        <f t="shared" si="8"/>
        <v>-132621.02099962765</v>
      </c>
      <c r="Q54" s="14">
        <f t="shared" si="9"/>
        <v>5.0109297655183904E-2</v>
      </c>
    </row>
    <row r="55" spans="1:17">
      <c r="A55" s="197">
        <v>43252</v>
      </c>
      <c r="B55">
        <f t="shared" si="2"/>
        <v>6</v>
      </c>
      <c r="C55">
        <f t="shared" si="3"/>
        <v>2018</v>
      </c>
      <c r="D55" s="6">
        <f>'Monthly Data (14-23) Used'!DW55</f>
        <v>2755014</v>
      </c>
      <c r="E55" s="100">
        <f>'Monthly Data (14-23) Used'!AG55</f>
        <v>0</v>
      </c>
      <c r="F55" s="100">
        <f>'Monthly Data (14-23) Used'!AF55</f>
        <v>148.80000000000001</v>
      </c>
      <c r="G55">
        <f>'Monthly Data (14-23) Used'!BZ55</f>
        <v>0</v>
      </c>
      <c r="H55">
        <f>'Monthly Data (14-23) Used'!AR55</f>
        <v>164.3</v>
      </c>
      <c r="J55" s="6">
        <f t="shared" si="4"/>
        <v>788660.63968622696</v>
      </c>
      <c r="K55" s="6">
        <f t="shared" si="5"/>
        <v>0</v>
      </c>
      <c r="L55" s="6">
        <f t="shared" si="6"/>
        <v>552871.18916648568</v>
      </c>
      <c r="M55" s="6">
        <f t="shared" si="7"/>
        <v>0</v>
      </c>
      <c r="N55" s="6">
        <f t="shared" si="10"/>
        <v>1390070.8976774008</v>
      </c>
      <c r="O55" s="6">
        <f t="shared" si="11"/>
        <v>2731602.7265301133</v>
      </c>
      <c r="P55" s="6">
        <f t="shared" si="8"/>
        <v>-23411.273469886743</v>
      </c>
      <c r="Q55" s="14">
        <f t="shared" si="9"/>
        <v>8.4976967339863759E-3</v>
      </c>
    </row>
    <row r="56" spans="1:17">
      <c r="A56" s="197">
        <v>43282</v>
      </c>
      <c r="B56">
        <f t="shared" si="2"/>
        <v>7</v>
      </c>
      <c r="C56">
        <f t="shared" si="3"/>
        <v>2018</v>
      </c>
      <c r="D56" s="6">
        <f>'Monthly Data (14-23) Used'!DW56</f>
        <v>2895706</v>
      </c>
      <c r="E56" s="100">
        <f>'Monthly Data (14-23) Used'!AG56</f>
        <v>0</v>
      </c>
      <c r="F56" s="100">
        <f>'Monthly Data (14-23) Used'!AF56</f>
        <v>225.1</v>
      </c>
      <c r="G56">
        <f>'Monthly Data (14-23) Used'!BZ56</f>
        <v>0</v>
      </c>
      <c r="H56">
        <f>'Monthly Data (14-23) Used'!AR56</f>
        <v>164.1</v>
      </c>
      <c r="J56" s="6">
        <f t="shared" si="4"/>
        <v>788660.63968622696</v>
      </c>
      <c r="K56" s="6">
        <f t="shared" ref="K56:K87" si="12">E56*$U$9</f>
        <v>0</v>
      </c>
      <c r="L56" s="6">
        <f t="shared" ref="L56:L87" si="13">F56*$U$10</f>
        <v>836366.29490171978</v>
      </c>
      <c r="M56" s="6">
        <f t="shared" ref="M56:M87" si="14">G56*$U$11</f>
        <v>0</v>
      </c>
      <c r="N56" s="6">
        <f t="shared" si="10"/>
        <v>1388378.7845944094</v>
      </c>
      <c r="O56" s="6">
        <f t="shared" si="11"/>
        <v>3013405.7191823563</v>
      </c>
      <c r="P56" s="6">
        <f t="shared" si="8"/>
        <v>117699.71918235626</v>
      </c>
      <c r="Q56" s="14">
        <f t="shared" si="9"/>
        <v>4.0646294610832821E-2</v>
      </c>
    </row>
    <row r="57" spans="1:17">
      <c r="A57" s="197">
        <v>43313</v>
      </c>
      <c r="B57">
        <f t="shared" si="2"/>
        <v>8</v>
      </c>
      <c r="C57">
        <f t="shared" si="3"/>
        <v>2018</v>
      </c>
      <c r="D57" s="6">
        <f>'Monthly Data (14-23) Used'!DW57</f>
        <v>2972667</v>
      </c>
      <c r="E57" s="100">
        <f>'Monthly Data (14-23) Used'!AG57</f>
        <v>0</v>
      </c>
      <c r="F57" s="100">
        <f>'Monthly Data (14-23) Used'!AF57</f>
        <v>221.79999999999995</v>
      </c>
      <c r="G57">
        <f>'Monthly Data (14-23) Used'!BZ57</f>
        <v>0</v>
      </c>
      <c r="H57">
        <f>'Monthly Data (14-23) Used'!AR57</f>
        <v>163.9</v>
      </c>
      <c r="J57" s="6">
        <f t="shared" si="4"/>
        <v>788660.63968622696</v>
      </c>
      <c r="K57" s="6">
        <f t="shared" si="12"/>
        <v>0</v>
      </c>
      <c r="L57" s="6">
        <f t="shared" si="13"/>
        <v>824105.0386903662</v>
      </c>
      <c r="M57" s="6">
        <f t="shared" si="14"/>
        <v>0</v>
      </c>
      <c r="N57" s="6">
        <f t="shared" si="10"/>
        <v>1386686.671511418</v>
      </c>
      <c r="O57" s="6">
        <f t="shared" si="11"/>
        <v>2999452.3498880109</v>
      </c>
      <c r="P57" s="6">
        <f t="shared" si="8"/>
        <v>26785.349888010882</v>
      </c>
      <c r="Q57" s="14">
        <f t="shared" si="9"/>
        <v>9.0105450385162145E-3</v>
      </c>
    </row>
    <row r="58" spans="1:17">
      <c r="A58" s="197">
        <v>43344</v>
      </c>
      <c r="B58">
        <f t="shared" si="2"/>
        <v>9</v>
      </c>
      <c r="C58">
        <f t="shared" si="3"/>
        <v>2018</v>
      </c>
      <c r="D58" s="6">
        <f>'Monthly Data (14-23) Used'!DW58</f>
        <v>2476319</v>
      </c>
      <c r="E58" s="100">
        <f>'Monthly Data (14-23) Used'!AG58</f>
        <v>7.4000000000000021</v>
      </c>
      <c r="F58" s="100">
        <f>'Monthly Data (14-23) Used'!AF58</f>
        <v>125.1</v>
      </c>
      <c r="G58">
        <f>'Monthly Data (14-23) Used'!BZ58</f>
        <v>0</v>
      </c>
      <c r="H58">
        <f>'Monthly Data (14-23) Used'!AR58</f>
        <v>164.4</v>
      </c>
      <c r="J58" s="6">
        <f t="shared" si="4"/>
        <v>788660.63968622696</v>
      </c>
      <c r="K58" s="6">
        <f t="shared" si="12"/>
        <v>6650.3540690211075</v>
      </c>
      <c r="L58" s="6">
        <f t="shared" si="13"/>
        <v>464813.07637585583</v>
      </c>
      <c r="M58" s="6">
        <f t="shared" si="14"/>
        <v>0</v>
      </c>
      <c r="N58" s="6">
        <f t="shared" si="10"/>
        <v>1390916.9542188966</v>
      </c>
      <c r="O58" s="6">
        <f t="shared" si="11"/>
        <v>2651041.0243500005</v>
      </c>
      <c r="P58" s="6">
        <f t="shared" si="8"/>
        <v>174722.02435000055</v>
      </c>
      <c r="Q58" s="14">
        <f t="shared" si="9"/>
        <v>7.0557155338226027E-2</v>
      </c>
    </row>
    <row r="59" spans="1:17">
      <c r="A59" s="197">
        <v>43374</v>
      </c>
      <c r="B59">
        <f t="shared" si="2"/>
        <v>10</v>
      </c>
      <c r="C59">
        <f t="shared" si="3"/>
        <v>2018</v>
      </c>
      <c r="D59" s="6">
        <f>'Monthly Data (14-23) Used'!DW59</f>
        <v>2237779</v>
      </c>
      <c r="E59" s="100">
        <f>'Monthly Data (14-23) Used'!AG59</f>
        <v>145.99999999999997</v>
      </c>
      <c r="F59" s="100">
        <f>'Monthly Data (14-23) Used'!AF59</f>
        <v>31.8</v>
      </c>
      <c r="G59">
        <f>'Monthly Data (14-23) Used'!BZ59</f>
        <v>1</v>
      </c>
      <c r="H59">
        <f>'Monthly Data (14-23) Used'!AR59</f>
        <v>164.9</v>
      </c>
      <c r="J59" s="6">
        <f t="shared" si="4"/>
        <v>788660.63968622696</v>
      </c>
      <c r="K59" s="6">
        <f t="shared" si="12"/>
        <v>131209.68838879478</v>
      </c>
      <c r="L59" s="6">
        <f t="shared" si="13"/>
        <v>118153.92349122475</v>
      </c>
      <c r="M59" s="6">
        <f t="shared" si="14"/>
        <v>135311.078711176</v>
      </c>
      <c r="N59" s="6">
        <f t="shared" si="10"/>
        <v>1395147.236926375</v>
      </c>
      <c r="O59" s="6">
        <f t="shared" si="11"/>
        <v>2568482.5672037974</v>
      </c>
      <c r="P59" s="6">
        <f t="shared" si="8"/>
        <v>330703.5672037974</v>
      </c>
      <c r="Q59" s="14">
        <f t="shared" si="9"/>
        <v>0.14778204961428157</v>
      </c>
    </row>
    <row r="60" spans="1:17">
      <c r="A60" s="197">
        <v>43405</v>
      </c>
      <c r="B60">
        <f t="shared" si="2"/>
        <v>11</v>
      </c>
      <c r="C60">
        <f t="shared" si="3"/>
        <v>2018</v>
      </c>
      <c r="D60" s="6">
        <f>'Monthly Data (14-23) Used'!DW60</f>
        <v>2748670</v>
      </c>
      <c r="E60" s="100">
        <f>'Monthly Data (14-23) Used'!AG60</f>
        <v>365.73552299140988</v>
      </c>
      <c r="F60" s="100">
        <f>'Monthly Data (14-23) Used'!AF60</f>
        <v>0</v>
      </c>
      <c r="G60">
        <f>'Monthly Data (14-23) Used'!BZ60</f>
        <v>1</v>
      </c>
      <c r="H60">
        <f>'Monthly Data (14-23) Used'!AR60</f>
        <v>168.2</v>
      </c>
      <c r="J60" s="6">
        <f t="shared" si="4"/>
        <v>788660.63968622696</v>
      </c>
      <c r="K60" s="6">
        <f t="shared" si="12"/>
        <v>328685.23290695745</v>
      </c>
      <c r="L60" s="6">
        <f t="shared" si="13"/>
        <v>0</v>
      </c>
      <c r="M60" s="6">
        <f t="shared" si="14"/>
        <v>135311.078711176</v>
      </c>
      <c r="N60" s="6">
        <f t="shared" si="10"/>
        <v>1423067.1027957322</v>
      </c>
      <c r="O60" s="6">
        <f t="shared" si="11"/>
        <v>2675724.0541000925</v>
      </c>
      <c r="P60" s="6">
        <f t="shared" si="8"/>
        <v>-72945.9458999075</v>
      </c>
      <c r="Q60" s="14">
        <f t="shared" si="9"/>
        <v>2.6538633557286796E-2</v>
      </c>
    </row>
    <row r="61" spans="1:17">
      <c r="A61" s="197">
        <v>43435</v>
      </c>
      <c r="B61">
        <f t="shared" si="2"/>
        <v>12</v>
      </c>
      <c r="C61">
        <f t="shared" si="3"/>
        <v>2018</v>
      </c>
      <c r="D61" s="6">
        <f>'Monthly Data (14-23) Used'!DW61</f>
        <v>2349326</v>
      </c>
      <c r="E61" s="100">
        <f>'Monthly Data (14-23) Used'!AG61</f>
        <v>409.79999999999995</v>
      </c>
      <c r="F61" s="100">
        <f>'Monthly Data (14-23) Used'!AF61</f>
        <v>0</v>
      </c>
      <c r="G61">
        <f>'Monthly Data (14-23) Used'!BZ61</f>
        <v>0</v>
      </c>
      <c r="H61">
        <f>'Monthly Data (14-23) Used'!AR61</f>
        <v>170.2</v>
      </c>
      <c r="J61" s="6">
        <f t="shared" si="4"/>
        <v>788660.63968622696</v>
      </c>
      <c r="K61" s="6">
        <f t="shared" si="12"/>
        <v>368285.82398443902</v>
      </c>
      <c r="L61" s="6">
        <f t="shared" si="13"/>
        <v>0</v>
      </c>
      <c r="M61" s="6">
        <f t="shared" si="14"/>
        <v>0</v>
      </c>
      <c r="N61" s="6">
        <f t="shared" si="10"/>
        <v>1439988.2336256457</v>
      </c>
      <c r="O61" s="6">
        <f t="shared" si="11"/>
        <v>2596934.6972963116</v>
      </c>
      <c r="P61" s="6">
        <f t="shared" si="8"/>
        <v>247608.69729631161</v>
      </c>
      <c r="Q61" s="14">
        <f t="shared" si="9"/>
        <v>0.10539563146890284</v>
      </c>
    </row>
    <row r="62" spans="1:17">
      <c r="A62" s="197">
        <v>43466</v>
      </c>
      <c r="B62">
        <f t="shared" ref="B62:B121" si="15">MONTH(A62)</f>
        <v>1</v>
      </c>
      <c r="C62">
        <f t="shared" ref="C62:C121" si="16">YEAR(A62)</f>
        <v>2019</v>
      </c>
      <c r="D62" s="6">
        <f>'Monthly Data (14-23) Used'!DW62</f>
        <v>2994820</v>
      </c>
      <c r="E62" s="100">
        <f>'Monthly Data (14-23) Used'!AG62</f>
        <v>587.79999999999995</v>
      </c>
      <c r="F62" s="100">
        <f>'Monthly Data (14-23) Used'!AF62</f>
        <v>0</v>
      </c>
      <c r="G62">
        <f>'Monthly Data (14-23) Used'!BZ62</f>
        <v>0</v>
      </c>
      <c r="H62">
        <f>'Monthly Data (14-23) Used'!AR62</f>
        <v>172.7</v>
      </c>
      <c r="J62" s="6">
        <f t="shared" si="4"/>
        <v>788660.63968622696</v>
      </c>
      <c r="K62" s="6">
        <f t="shared" si="12"/>
        <v>528253.80023927102</v>
      </c>
      <c r="L62" s="6">
        <f t="shared" si="13"/>
        <v>0</v>
      </c>
      <c r="M62" s="6">
        <f t="shared" si="14"/>
        <v>0</v>
      </c>
      <c r="N62" s="6">
        <f t="shared" si="10"/>
        <v>1461139.6471630377</v>
      </c>
      <c r="O62" s="6">
        <f t="shared" si="11"/>
        <v>2778054.0870885355</v>
      </c>
      <c r="P62" s="6">
        <f t="shared" si="8"/>
        <v>-216765.91291146446</v>
      </c>
      <c r="Q62" s="14">
        <f t="shared" si="9"/>
        <v>7.2380280922213838E-2</v>
      </c>
    </row>
    <row r="63" spans="1:17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Used'!DW63</f>
        <v>2804290</v>
      </c>
      <c r="E63" s="100">
        <f>'Monthly Data (14-23) Used'!AG63</f>
        <v>468.9</v>
      </c>
      <c r="F63" s="100">
        <f>'Monthly Data (14-23) Used'!AF63</f>
        <v>0</v>
      </c>
      <c r="G63">
        <f>'Monthly Data (14-23) Used'!BZ63</f>
        <v>0</v>
      </c>
      <c r="H63">
        <f>'Monthly Data (14-23) Used'!AR63</f>
        <v>173.5</v>
      </c>
      <c r="J63" s="6">
        <f t="shared" si="4"/>
        <v>788660.63968622696</v>
      </c>
      <c r="K63" s="6">
        <f t="shared" si="12"/>
        <v>421398.78688702657</v>
      </c>
      <c r="L63" s="6">
        <f t="shared" si="13"/>
        <v>0</v>
      </c>
      <c r="M63" s="6">
        <f t="shared" si="14"/>
        <v>0</v>
      </c>
      <c r="N63" s="6">
        <f t="shared" si="10"/>
        <v>1467908.0994950032</v>
      </c>
      <c r="O63" s="6">
        <f t="shared" si="11"/>
        <v>2677967.5260682567</v>
      </c>
      <c r="P63" s="6">
        <f t="shared" si="8"/>
        <v>-126322.4739317433</v>
      </c>
      <c r="Q63" s="14">
        <f t="shared" si="9"/>
        <v>4.5046152121122743E-2</v>
      </c>
    </row>
    <row r="64" spans="1:17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Used'!DW64</f>
        <v>2876384</v>
      </c>
      <c r="E64" s="100">
        <f>'Monthly Data (14-23) Used'!AG64</f>
        <v>425.39999999999992</v>
      </c>
      <c r="F64" s="100">
        <f>'Monthly Data (14-23) Used'!AF64</f>
        <v>0</v>
      </c>
      <c r="G64">
        <f>'Monthly Data (14-23) Used'!BZ64</f>
        <v>0</v>
      </c>
      <c r="H64">
        <f>'Monthly Data (14-23) Used'!AR64</f>
        <v>175.2</v>
      </c>
      <c r="J64" s="6">
        <f t="shared" si="4"/>
        <v>788660.63968622696</v>
      </c>
      <c r="K64" s="6">
        <f t="shared" si="12"/>
        <v>382305.48931913218</v>
      </c>
      <c r="L64" s="6">
        <f t="shared" si="13"/>
        <v>0</v>
      </c>
      <c r="M64" s="6">
        <f t="shared" si="14"/>
        <v>0</v>
      </c>
      <c r="N64" s="6">
        <f t="shared" si="10"/>
        <v>1482291.0607004296</v>
      </c>
      <c r="O64" s="6">
        <f t="shared" si="11"/>
        <v>2653257.1897057886</v>
      </c>
      <c r="P64" s="6">
        <f t="shared" si="8"/>
        <v>-223126.81029421138</v>
      </c>
      <c r="Q64" s="14">
        <f t="shared" si="9"/>
        <v>7.7571982841724674E-2</v>
      </c>
    </row>
    <row r="65" spans="1:17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Used'!DW65</f>
        <v>2696906</v>
      </c>
      <c r="E65" s="100">
        <f>'Monthly Data (14-23) Used'!AG65</f>
        <v>162.30000000000001</v>
      </c>
      <c r="F65" s="100">
        <f>'Monthly Data (14-23) Used'!AF65</f>
        <v>0.39999999999999858</v>
      </c>
      <c r="G65">
        <f>'Monthly Data (14-23) Used'!BZ65</f>
        <v>0</v>
      </c>
      <c r="H65">
        <f>'Monthly Data (14-23) Used'!AR65</f>
        <v>175.5</v>
      </c>
      <c r="J65" s="6">
        <f t="shared" si="4"/>
        <v>788660.63968622696</v>
      </c>
      <c r="K65" s="6">
        <f t="shared" si="12"/>
        <v>145858.44127055752</v>
      </c>
      <c r="L65" s="6">
        <f t="shared" si="13"/>
        <v>1486.2128741034508</v>
      </c>
      <c r="M65" s="6">
        <f t="shared" si="14"/>
        <v>0</v>
      </c>
      <c r="N65" s="6">
        <f t="shared" si="10"/>
        <v>1484829.2303249168</v>
      </c>
      <c r="O65" s="6">
        <f t="shared" si="11"/>
        <v>2420834.5241558049</v>
      </c>
      <c r="P65" s="6">
        <f t="shared" si="8"/>
        <v>-276071.47584419511</v>
      </c>
      <c r="Q65" s="14">
        <f t="shared" si="9"/>
        <v>0.10236599860884847</v>
      </c>
    </row>
    <row r="66" spans="1:17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Used'!DW66</f>
        <v>2767778</v>
      </c>
      <c r="E66" s="100">
        <f>'Monthly Data (14-23) Used'!AG66</f>
        <v>52.599999999999994</v>
      </c>
      <c r="F66" s="100">
        <f>'Monthly Data (14-23) Used'!AF66</f>
        <v>22.3</v>
      </c>
      <c r="G66">
        <f>'Monthly Data (14-23) Used'!BZ66</f>
        <v>0</v>
      </c>
      <c r="H66">
        <f>'Monthly Data (14-23) Used'!AR66</f>
        <v>176.6</v>
      </c>
      <c r="J66" s="6">
        <f t="shared" ref="J66:J121" si="17">$U$8</f>
        <v>788660.63968622696</v>
      </c>
      <c r="K66" s="6">
        <f t="shared" si="12"/>
        <v>47271.435679798669</v>
      </c>
      <c r="L66" s="6">
        <f t="shared" si="13"/>
        <v>82856.367731267674</v>
      </c>
      <c r="M66" s="6">
        <f t="shared" si="14"/>
        <v>0</v>
      </c>
      <c r="N66" s="6">
        <f t="shared" si="10"/>
        <v>1494135.8522813693</v>
      </c>
      <c r="O66" s="6">
        <f t="shared" si="11"/>
        <v>2412924.2953786626</v>
      </c>
      <c r="P66" s="6">
        <f t="shared" si="8"/>
        <v>-354853.70462133735</v>
      </c>
      <c r="Q66" s="14">
        <f t="shared" si="9"/>
        <v>0.12820887535826117</v>
      </c>
    </row>
    <row r="67" spans="1:17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Used'!DW67</f>
        <v>2804829</v>
      </c>
      <c r="E67" s="100">
        <f>'Monthly Data (14-23) Used'!AG67</f>
        <v>1.4000000000000004</v>
      </c>
      <c r="F67" s="100">
        <f>'Monthly Data (14-23) Used'!AF67</f>
        <v>103.1</v>
      </c>
      <c r="G67">
        <f>'Monthly Data (14-23) Used'!BZ67</f>
        <v>0</v>
      </c>
      <c r="H67">
        <f>'Monthly Data (14-23) Used'!AR67</f>
        <v>174.6</v>
      </c>
      <c r="J67" s="6">
        <f t="shared" si="17"/>
        <v>788660.63968622696</v>
      </c>
      <c r="K67" s="6">
        <f t="shared" si="12"/>
        <v>1258.1750941391285</v>
      </c>
      <c r="L67" s="6">
        <f t="shared" si="13"/>
        <v>383071.36830016575</v>
      </c>
      <c r="M67" s="6">
        <f t="shared" si="14"/>
        <v>0</v>
      </c>
      <c r="N67" s="6">
        <f t="shared" si="10"/>
        <v>1477214.7214514557</v>
      </c>
      <c r="O67" s="6">
        <f t="shared" si="11"/>
        <v>2650204.9045319874</v>
      </c>
      <c r="P67" s="6">
        <f t="shared" ref="P67:P121" si="18">O67-D67</f>
        <v>-154624.09546801262</v>
      </c>
      <c r="Q67" s="14">
        <f t="shared" ref="Q67:Q121" si="19">ABS(O67-D67)/D67</f>
        <v>5.5127815445438072E-2</v>
      </c>
    </row>
    <row r="68" spans="1:17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Used'!DW68</f>
        <v>3303632</v>
      </c>
      <c r="E68" s="100">
        <f>'Monthly Data (14-23) Used'!AG68</f>
        <v>0</v>
      </c>
      <c r="F68" s="100">
        <f>'Monthly Data (14-23) Used'!AF68</f>
        <v>252.46447700859022</v>
      </c>
      <c r="G68">
        <f>'Monthly Data (14-23) Used'!BZ68</f>
        <v>0</v>
      </c>
      <c r="H68">
        <f>'Monthly Data (14-23) Used'!AR68</f>
        <v>171.5</v>
      </c>
      <c r="J68" s="6">
        <f t="shared" si="17"/>
        <v>788660.63968622696</v>
      </c>
      <c r="K68" s="6">
        <f t="shared" si="12"/>
        <v>0</v>
      </c>
      <c r="L68" s="6">
        <f t="shared" si="13"/>
        <v>938039.88995990693</v>
      </c>
      <c r="M68" s="6">
        <f t="shared" si="14"/>
        <v>0</v>
      </c>
      <c r="N68" s="6">
        <f t="shared" si="10"/>
        <v>1450986.9686650897</v>
      </c>
      <c r="O68" s="6">
        <f t="shared" si="11"/>
        <v>3177687.4983112235</v>
      </c>
      <c r="P68" s="6">
        <f t="shared" si="18"/>
        <v>-125944.50168877654</v>
      </c>
      <c r="Q68" s="14">
        <f t="shared" si="19"/>
        <v>3.8123042060609819E-2</v>
      </c>
    </row>
    <row r="69" spans="1:17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Used'!DW69</f>
        <v>3098231</v>
      </c>
      <c r="E69" s="100">
        <f>'Monthly Data (14-23) Used'!AG69</f>
        <v>0</v>
      </c>
      <c r="F69" s="100">
        <f>'Monthly Data (14-23) Used'!AF69</f>
        <v>185.96447700859014</v>
      </c>
      <c r="G69">
        <f>'Monthly Data (14-23) Used'!BZ69</f>
        <v>0</v>
      </c>
      <c r="H69">
        <f>'Monthly Data (14-23) Used'!AR69</f>
        <v>169.3</v>
      </c>
      <c r="J69" s="6">
        <f t="shared" si="17"/>
        <v>788660.63968622696</v>
      </c>
      <c r="K69" s="6">
        <f t="shared" si="12"/>
        <v>0</v>
      </c>
      <c r="L69" s="6">
        <f t="shared" si="13"/>
        <v>690956.99964020704</v>
      </c>
      <c r="M69" s="6">
        <f t="shared" si="14"/>
        <v>0</v>
      </c>
      <c r="N69" s="6">
        <f t="shared" si="10"/>
        <v>1432373.7247521847</v>
      </c>
      <c r="O69" s="6">
        <f t="shared" si="11"/>
        <v>2911991.3640786186</v>
      </c>
      <c r="P69" s="6">
        <f t="shared" si="18"/>
        <v>-186239.63592138141</v>
      </c>
      <c r="Q69" s="14">
        <f t="shared" si="19"/>
        <v>6.0111604306257803E-2</v>
      </c>
    </row>
    <row r="70" spans="1:17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Used'!DW70</f>
        <v>2896036</v>
      </c>
      <c r="E70" s="100">
        <f>'Monthly Data (14-23) Used'!AG70</f>
        <v>0</v>
      </c>
      <c r="F70" s="100">
        <f>'Monthly Data (14-23) Used'!AF70</f>
        <v>98.300000000000011</v>
      </c>
      <c r="G70">
        <f>'Monthly Data (14-23) Used'!BZ70</f>
        <v>0</v>
      </c>
      <c r="H70">
        <f>'Monthly Data (14-23) Used'!AR70</f>
        <v>169.1</v>
      </c>
      <c r="J70" s="6">
        <f t="shared" si="17"/>
        <v>788660.63968622696</v>
      </c>
      <c r="K70" s="6">
        <f t="shared" si="12"/>
        <v>0</v>
      </c>
      <c r="L70" s="6">
        <f t="shared" si="13"/>
        <v>365236.81381092436</v>
      </c>
      <c r="M70" s="6">
        <f t="shared" si="14"/>
        <v>0</v>
      </c>
      <c r="N70" s="6">
        <f t="shared" si="10"/>
        <v>1430681.6116691933</v>
      </c>
      <c r="O70" s="6">
        <f t="shared" si="11"/>
        <v>2584579.0651663449</v>
      </c>
      <c r="P70" s="6">
        <f t="shared" si="18"/>
        <v>-311456.93483365513</v>
      </c>
      <c r="Q70" s="14">
        <f t="shared" si="19"/>
        <v>0.10754594723050927</v>
      </c>
    </row>
    <row r="71" spans="1:17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Used'!DW71</f>
        <v>2797177</v>
      </c>
      <c r="E71" s="100">
        <f>'Monthly Data (14-23) Used'!AG71</f>
        <v>96.199999999999989</v>
      </c>
      <c r="F71" s="100">
        <f>'Monthly Data (14-23) Used'!AF71</f>
        <v>13.3</v>
      </c>
      <c r="G71">
        <f>'Monthly Data (14-23) Used'!BZ71</f>
        <v>1</v>
      </c>
      <c r="H71">
        <f>'Monthly Data (14-23) Used'!AR71</f>
        <v>170.3</v>
      </c>
      <c r="J71" s="6">
        <f t="shared" si="17"/>
        <v>788660.63968622696</v>
      </c>
      <c r="K71" s="6">
        <f t="shared" si="12"/>
        <v>86454.602897274366</v>
      </c>
      <c r="L71" s="6">
        <f t="shared" si="13"/>
        <v>49416.578063939916</v>
      </c>
      <c r="M71" s="6">
        <f t="shared" si="14"/>
        <v>135311.078711176</v>
      </c>
      <c r="N71" s="6">
        <f t="shared" si="10"/>
        <v>1440834.2901671415</v>
      </c>
      <c r="O71" s="6">
        <f t="shared" si="11"/>
        <v>2500677.1895257588</v>
      </c>
      <c r="P71" s="6">
        <f t="shared" si="18"/>
        <v>-296499.81047424115</v>
      </c>
      <c r="Q71" s="14">
        <f t="shared" si="19"/>
        <v>0.10599965982640396</v>
      </c>
    </row>
    <row r="72" spans="1:17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Used'!DW72</f>
        <v>2901691</v>
      </c>
      <c r="E72" s="100">
        <f>'Monthly Data (14-23) Used'!AG72</f>
        <v>375.2</v>
      </c>
      <c r="F72" s="100">
        <f>'Monthly Data (14-23) Used'!AF72</f>
        <v>0</v>
      </c>
      <c r="G72">
        <f>'Monthly Data (14-23) Used'!BZ72</f>
        <v>1</v>
      </c>
      <c r="H72">
        <f>'Monthly Data (14-23) Used'!AR72</f>
        <v>168.5</v>
      </c>
      <c r="J72" s="6">
        <f t="shared" si="17"/>
        <v>788660.63968622696</v>
      </c>
      <c r="K72" s="6">
        <f t="shared" si="12"/>
        <v>337190.92522928637</v>
      </c>
      <c r="L72" s="6">
        <f t="shared" si="13"/>
        <v>0</v>
      </c>
      <c r="M72" s="6">
        <f t="shared" si="14"/>
        <v>135311.078711176</v>
      </c>
      <c r="N72" s="6">
        <f t="shared" si="10"/>
        <v>1425605.2724202191</v>
      </c>
      <c r="O72" s="6">
        <f t="shared" si="11"/>
        <v>2686767.9160469086</v>
      </c>
      <c r="P72" s="6">
        <f t="shared" si="18"/>
        <v>-214923.08395309141</v>
      </c>
      <c r="Q72" s="14">
        <f t="shared" si="19"/>
        <v>7.4068218825881674E-2</v>
      </c>
    </row>
    <row r="73" spans="1:17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Used'!DW73</f>
        <v>2584611</v>
      </c>
      <c r="E73" s="100">
        <f>'Monthly Data (14-23) Used'!AG73</f>
        <v>403.90000000000009</v>
      </c>
      <c r="F73" s="100">
        <f>'Monthly Data (14-23) Used'!AF73</f>
        <v>0</v>
      </c>
      <c r="G73">
        <f>'Monthly Data (14-23) Used'!BZ73</f>
        <v>0</v>
      </c>
      <c r="H73">
        <f>'Monthly Data (14-23) Used'!AR73</f>
        <v>167.7</v>
      </c>
      <c r="J73" s="6">
        <f t="shared" si="17"/>
        <v>788660.63968622696</v>
      </c>
      <c r="K73" s="6">
        <f t="shared" si="12"/>
        <v>362983.51465913857</v>
      </c>
      <c r="L73" s="6">
        <f t="shared" si="13"/>
        <v>0</v>
      </c>
      <c r="M73" s="6">
        <f t="shared" si="14"/>
        <v>0</v>
      </c>
      <c r="N73" s="6">
        <f t="shared" si="10"/>
        <v>1418836.8200882538</v>
      </c>
      <c r="O73" s="6">
        <f t="shared" si="11"/>
        <v>2570480.9744336195</v>
      </c>
      <c r="P73" s="6">
        <f t="shared" si="18"/>
        <v>-14130.025566380471</v>
      </c>
      <c r="Q73" s="14">
        <f t="shared" si="19"/>
        <v>5.4669834518155614E-3</v>
      </c>
    </row>
    <row r="74" spans="1:17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Used'!DW74</f>
        <v>2683483</v>
      </c>
      <c r="E74" s="100">
        <f>'Monthly Data (14-23) Used'!AG74</f>
        <v>437.2000000000001</v>
      </c>
      <c r="F74" s="100">
        <f>'Monthly Data (14-23) Used'!AF74</f>
        <v>0</v>
      </c>
      <c r="G74">
        <f>'Monthly Data (14-23) Used'!BZ74</f>
        <v>0</v>
      </c>
      <c r="H74">
        <f>'Monthly Data (14-23) Used'!AR74</f>
        <v>166.2</v>
      </c>
      <c r="J74" s="6">
        <f t="shared" si="17"/>
        <v>788660.63968622696</v>
      </c>
      <c r="K74" s="6">
        <f t="shared" si="12"/>
        <v>392910.10796973354</v>
      </c>
      <c r="L74" s="6">
        <f t="shared" si="13"/>
        <v>0</v>
      </c>
      <c r="M74" s="6">
        <f t="shared" si="14"/>
        <v>0</v>
      </c>
      <c r="N74" s="6">
        <f t="shared" si="10"/>
        <v>1406145.9719658184</v>
      </c>
      <c r="O74" s="6">
        <f t="shared" si="11"/>
        <v>2587716.7196217789</v>
      </c>
      <c r="P74" s="6">
        <f t="shared" si="18"/>
        <v>-95766.280378221069</v>
      </c>
      <c r="Q74" s="14">
        <f t="shared" si="19"/>
        <v>3.5687306525966841E-2</v>
      </c>
    </row>
    <row r="75" spans="1:17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Used'!DW75</f>
        <v>2439682</v>
      </c>
      <c r="E75" s="100">
        <f>'Monthly Data (14-23) Used'!AG75</f>
        <v>453.29999999999995</v>
      </c>
      <c r="F75" s="100">
        <f>'Monthly Data (14-23) Used'!AF75</f>
        <v>0</v>
      </c>
      <c r="G75">
        <f>'Monthly Data (14-23) Used'!BZ75</f>
        <v>0</v>
      </c>
      <c r="H75">
        <f>'Monthly Data (14-23) Used'!AR75</f>
        <v>167.8</v>
      </c>
      <c r="J75" s="6">
        <f t="shared" si="17"/>
        <v>788660.63968622696</v>
      </c>
      <c r="K75" s="6">
        <f t="shared" si="12"/>
        <v>407379.12155233341</v>
      </c>
      <c r="L75" s="6">
        <f t="shared" si="13"/>
        <v>0</v>
      </c>
      <c r="M75" s="6">
        <f t="shared" si="14"/>
        <v>0</v>
      </c>
      <c r="N75" s="6">
        <f t="shared" si="10"/>
        <v>1419682.8766297495</v>
      </c>
      <c r="O75" s="6">
        <f t="shared" si="11"/>
        <v>2615722.6378683099</v>
      </c>
      <c r="P75" s="6">
        <f t="shared" si="18"/>
        <v>176040.63786830986</v>
      </c>
      <c r="Q75" s="14">
        <f t="shared" si="19"/>
        <v>7.2157206499990509E-2</v>
      </c>
    </row>
    <row r="76" spans="1:17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Used'!DW76</f>
        <v>2394362</v>
      </c>
      <c r="E76" s="100">
        <f>'Monthly Data (14-23) Used'!AG76</f>
        <v>298.20000000000005</v>
      </c>
      <c r="F76" s="100">
        <f>'Monthly Data (14-23) Used'!AF76</f>
        <v>0</v>
      </c>
      <c r="G76">
        <f>'Monthly Data (14-23) Used'!BZ76</f>
        <v>0</v>
      </c>
      <c r="H76">
        <f>'Monthly Data (14-23) Used'!AR76</f>
        <v>162</v>
      </c>
      <c r="J76" s="6">
        <f t="shared" si="17"/>
        <v>788660.63968622696</v>
      </c>
      <c r="K76" s="6">
        <f t="shared" si="12"/>
        <v>267991.29505163431</v>
      </c>
      <c r="L76" s="6">
        <f t="shared" si="13"/>
        <v>0</v>
      </c>
      <c r="M76" s="6">
        <f t="shared" si="14"/>
        <v>0</v>
      </c>
      <c r="N76" s="6">
        <f t="shared" si="10"/>
        <v>1370611.5972230001</v>
      </c>
      <c r="O76" s="6">
        <f t="shared" si="11"/>
        <v>2427263.5319608613</v>
      </c>
      <c r="P76" s="6">
        <f t="shared" si="18"/>
        <v>32901.531960861292</v>
      </c>
      <c r="Q76" s="14">
        <f t="shared" si="19"/>
        <v>1.3741252141848764E-2</v>
      </c>
    </row>
    <row r="77" spans="1:17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Used'!DW77</f>
        <v>1877577</v>
      </c>
      <c r="E77" s="100">
        <f>'Monthly Data (14-23) Used'!AG77</f>
        <v>219.2</v>
      </c>
      <c r="F77" s="100">
        <f>'Monthly Data (14-23) Used'!AF77</f>
        <v>0</v>
      </c>
      <c r="G77">
        <f>'Monthly Data (14-23) Used'!BZ77</f>
        <v>0</v>
      </c>
      <c r="H77">
        <f>'Monthly Data (14-23) Used'!AR77</f>
        <v>149.1</v>
      </c>
      <c r="J77" s="6">
        <f t="shared" si="17"/>
        <v>788660.63968622696</v>
      </c>
      <c r="K77" s="6">
        <f t="shared" si="12"/>
        <v>196994.27188235492</v>
      </c>
      <c r="L77" s="6">
        <f t="shared" si="13"/>
        <v>0</v>
      </c>
      <c r="M77" s="6">
        <f t="shared" si="14"/>
        <v>0</v>
      </c>
      <c r="N77" s="6">
        <f t="shared" si="10"/>
        <v>1261470.3033700574</v>
      </c>
      <c r="O77" s="6">
        <f t="shared" si="11"/>
        <v>2247125.2149386392</v>
      </c>
      <c r="P77" s="6">
        <f t="shared" si="18"/>
        <v>369548.2149386392</v>
      </c>
      <c r="Q77" s="14">
        <f t="shared" si="19"/>
        <v>0.19682186932340948</v>
      </c>
    </row>
    <row r="78" spans="1:17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Used'!DW78</f>
        <v>2179756</v>
      </c>
      <c r="E78" s="100">
        <f>'Monthly Data (14-23) Used'!AG78</f>
        <v>79.800000000000011</v>
      </c>
      <c r="F78" s="100">
        <f>'Monthly Data (14-23) Used'!AF78</f>
        <v>43.2</v>
      </c>
      <c r="G78">
        <f>'Monthly Data (14-23) Used'!BZ78</f>
        <v>0</v>
      </c>
      <c r="H78">
        <f>'Monthly Data (14-23) Used'!AR78</f>
        <v>137.69999999999999</v>
      </c>
      <c r="J78" s="6">
        <f t="shared" si="17"/>
        <v>788660.63968622696</v>
      </c>
      <c r="K78" s="6">
        <f t="shared" si="12"/>
        <v>71715.980365930314</v>
      </c>
      <c r="L78" s="6">
        <f t="shared" si="13"/>
        <v>160510.99040317326</v>
      </c>
      <c r="M78" s="6">
        <f t="shared" si="14"/>
        <v>0</v>
      </c>
      <c r="N78" s="6">
        <f t="shared" si="10"/>
        <v>1165019.85763955</v>
      </c>
      <c r="O78" s="6">
        <f t="shared" si="11"/>
        <v>2185907.4680948807</v>
      </c>
      <c r="P78" s="6">
        <f t="shared" si="18"/>
        <v>6151.4680948806927</v>
      </c>
      <c r="Q78" s="14">
        <f t="shared" si="19"/>
        <v>2.8220902224288832E-3</v>
      </c>
    </row>
    <row r="79" spans="1:17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Used'!DW79</f>
        <v>2539378</v>
      </c>
      <c r="E79" s="100">
        <f>'Monthly Data (14-23) Used'!AG79</f>
        <v>0</v>
      </c>
      <c r="F79" s="100">
        <f>'Monthly Data (14-23) Used'!AF79</f>
        <v>164.9</v>
      </c>
      <c r="G79">
        <f>'Monthly Data (14-23) Used'!BZ79</f>
        <v>0</v>
      </c>
      <c r="H79">
        <f>'Monthly Data (14-23) Used'!AR79</f>
        <v>140</v>
      </c>
      <c r="J79" s="6">
        <f t="shared" si="17"/>
        <v>788660.63968622696</v>
      </c>
      <c r="K79" s="6">
        <f t="shared" si="12"/>
        <v>0</v>
      </c>
      <c r="L79" s="6">
        <f t="shared" si="13"/>
        <v>612691.25734914979</v>
      </c>
      <c r="M79" s="6">
        <f t="shared" si="14"/>
        <v>0</v>
      </c>
      <c r="N79" s="6">
        <f t="shared" si="10"/>
        <v>1184479.1580939507</v>
      </c>
      <c r="O79" s="6">
        <f t="shared" si="11"/>
        <v>2585831.0551293273</v>
      </c>
      <c r="P79" s="6">
        <f t="shared" si="18"/>
        <v>46453.055129327346</v>
      </c>
      <c r="Q79" s="14">
        <f t="shared" si="19"/>
        <v>1.8293084026610982E-2</v>
      </c>
    </row>
    <row r="80" spans="1:17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Used'!DW80</f>
        <v>2920232</v>
      </c>
      <c r="E80" s="100">
        <f>'Monthly Data (14-23) Used'!AG80</f>
        <v>0</v>
      </c>
      <c r="F80" s="100">
        <f>'Monthly Data (14-23) Used'!AF80</f>
        <v>267.70000000000005</v>
      </c>
      <c r="G80">
        <f>'Monthly Data (14-23) Used'!BZ80</f>
        <v>0</v>
      </c>
      <c r="H80">
        <f>'Monthly Data (14-23) Used'!AR80</f>
        <v>150.6</v>
      </c>
      <c r="J80" s="6">
        <f t="shared" si="17"/>
        <v>788660.63968622696</v>
      </c>
      <c r="K80" s="6">
        <f t="shared" si="12"/>
        <v>0</v>
      </c>
      <c r="L80" s="6">
        <f t="shared" si="13"/>
        <v>994647.96599373803</v>
      </c>
      <c r="M80" s="6">
        <f t="shared" si="14"/>
        <v>0</v>
      </c>
      <c r="N80" s="6">
        <f t="shared" si="10"/>
        <v>1274161.1514924928</v>
      </c>
      <c r="O80" s="6">
        <f t="shared" si="11"/>
        <v>3057469.7571724579</v>
      </c>
      <c r="P80" s="6">
        <f t="shared" si="18"/>
        <v>137237.75717245787</v>
      </c>
      <c r="Q80" s="14">
        <f t="shared" si="19"/>
        <v>4.6995498019492245E-2</v>
      </c>
    </row>
    <row r="81" spans="1:17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Used'!DW81</f>
        <v>2655205</v>
      </c>
      <c r="E81" s="100">
        <f>'Monthly Data (14-23) Used'!AG81</f>
        <v>0</v>
      </c>
      <c r="F81" s="100">
        <f>'Monthly Data (14-23) Used'!AF81</f>
        <v>182.05790803436074</v>
      </c>
      <c r="G81">
        <f>'Monthly Data (14-23) Used'!BZ81</f>
        <v>0</v>
      </c>
      <c r="H81">
        <f>'Monthly Data (14-23) Used'!AR81</f>
        <v>156.80000000000001</v>
      </c>
      <c r="J81" s="6">
        <f t="shared" si="17"/>
        <v>788660.63968622696</v>
      </c>
      <c r="K81" s="6">
        <f t="shared" si="12"/>
        <v>0</v>
      </c>
      <c r="L81" s="6">
        <f t="shared" si="13"/>
        <v>676442.01688252483</v>
      </c>
      <c r="M81" s="6">
        <f t="shared" si="14"/>
        <v>0</v>
      </c>
      <c r="N81" s="6">
        <f t="shared" si="10"/>
        <v>1326616.6570652248</v>
      </c>
      <c r="O81" s="6">
        <f t="shared" si="11"/>
        <v>2791719.3136339765</v>
      </c>
      <c r="P81" s="6">
        <f t="shared" si="18"/>
        <v>136514.3136339765</v>
      </c>
      <c r="Q81" s="14">
        <f t="shared" si="19"/>
        <v>5.1413850770082349E-2</v>
      </c>
    </row>
    <row r="82" spans="1:17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Used'!DW82</f>
        <v>2348776</v>
      </c>
      <c r="E82" s="100">
        <f>'Monthly Data (14-23) Used'!AG82</f>
        <v>12.100000000000001</v>
      </c>
      <c r="F82" s="100">
        <f>'Monthly Data (14-23) Used'!AF82</f>
        <v>55.628954017180384</v>
      </c>
      <c r="G82">
        <f>'Monthly Data (14-23) Used'!BZ82</f>
        <v>0</v>
      </c>
      <c r="H82">
        <f>'Monthly Data (14-23) Used'!AR82</f>
        <v>157.4</v>
      </c>
      <c r="J82" s="6">
        <f t="shared" si="17"/>
        <v>788660.63968622696</v>
      </c>
      <c r="K82" s="6">
        <f t="shared" si="12"/>
        <v>10874.227599345324</v>
      </c>
      <c r="L82" s="6">
        <f t="shared" si="13"/>
        <v>206691.16908310662</v>
      </c>
      <c r="M82" s="6">
        <f t="shared" si="14"/>
        <v>0</v>
      </c>
      <c r="N82" s="6">
        <f t="shared" si="10"/>
        <v>1331692.9963141989</v>
      </c>
      <c r="O82" s="6">
        <f t="shared" si="11"/>
        <v>2337919.032682878</v>
      </c>
      <c r="P82" s="6">
        <f t="shared" si="18"/>
        <v>-10856.967317122035</v>
      </c>
      <c r="Q82" s="14">
        <f t="shared" si="19"/>
        <v>4.6223936710533637E-3</v>
      </c>
    </row>
    <row r="83" spans="1:17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Used'!DW83</f>
        <v>2222132</v>
      </c>
      <c r="E83" s="100">
        <f>'Monthly Data (14-23) Used'!AG83</f>
        <v>129.4</v>
      </c>
      <c r="F83" s="100">
        <f>'Monthly Data (14-23) Used'!AF83</f>
        <v>4.9000000000000021</v>
      </c>
      <c r="G83">
        <f>'Monthly Data (14-23) Used'!BZ83</f>
        <v>1</v>
      </c>
      <c r="H83">
        <f>'Monthly Data (14-23) Used'!AR83</f>
        <v>154.69999999999999</v>
      </c>
      <c r="J83" s="6">
        <f t="shared" si="17"/>
        <v>788660.63968622696</v>
      </c>
      <c r="K83" s="6">
        <f t="shared" si="12"/>
        <v>116291.326558288</v>
      </c>
      <c r="L83" s="6">
        <f t="shared" si="13"/>
        <v>18206.107707767344</v>
      </c>
      <c r="M83" s="6">
        <f t="shared" si="14"/>
        <v>135311.078711176</v>
      </c>
      <c r="N83" s="6">
        <f t="shared" si="10"/>
        <v>1308849.4696938153</v>
      </c>
      <c r="O83" s="6">
        <f t="shared" si="11"/>
        <v>2367318.6223572735</v>
      </c>
      <c r="P83" s="6">
        <f t="shared" si="18"/>
        <v>145186.62235727347</v>
      </c>
      <c r="Q83" s="14">
        <f t="shared" si="19"/>
        <v>6.5336632728061825E-2</v>
      </c>
    </row>
    <row r="84" spans="1:17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Used'!DW84</f>
        <v>2529849</v>
      </c>
      <c r="E84" s="100">
        <f>'Monthly Data (14-23) Used'!AG84</f>
        <v>215.63552299140977</v>
      </c>
      <c r="F84" s="100">
        <f>'Monthly Data (14-23) Used'!AF84</f>
        <v>3.3999999999999986</v>
      </c>
      <c r="G84">
        <f>'Monthly Data (14-23) Used'!BZ84</f>
        <v>1</v>
      </c>
      <c r="H84">
        <f>'Monthly Data (14-23) Used'!AR84</f>
        <v>154.19999999999999</v>
      </c>
      <c r="J84" s="6">
        <f t="shared" si="17"/>
        <v>788660.63968622696</v>
      </c>
      <c r="K84" s="6">
        <f t="shared" si="12"/>
        <v>193790.88888532651</v>
      </c>
      <c r="L84" s="6">
        <f t="shared" si="13"/>
        <v>12632.809429879369</v>
      </c>
      <c r="M84" s="6">
        <f t="shared" si="14"/>
        <v>135311.078711176</v>
      </c>
      <c r="N84" s="6">
        <f t="shared" si="10"/>
        <v>1304619.186986337</v>
      </c>
      <c r="O84" s="6">
        <f t="shared" si="11"/>
        <v>2435014.6036989456</v>
      </c>
      <c r="P84" s="6">
        <f t="shared" si="18"/>
        <v>-94834.396301054396</v>
      </c>
      <c r="Q84" s="14">
        <f t="shared" si="19"/>
        <v>3.7486188425101416E-2</v>
      </c>
    </row>
    <row r="85" spans="1:17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Used'!DW85</f>
        <v>2398255</v>
      </c>
      <c r="E85" s="100">
        <f>'Monthly Data (14-23) Used'!AG85</f>
        <v>423.40000000000003</v>
      </c>
      <c r="F85" s="100">
        <f>'Monthly Data (14-23) Used'!AF85</f>
        <v>0</v>
      </c>
      <c r="G85">
        <f>'Monthly Data (14-23) Used'!BZ85</f>
        <v>0</v>
      </c>
      <c r="H85">
        <f>'Monthly Data (14-23) Used'!AR85</f>
        <v>149.69999999999999</v>
      </c>
      <c r="J85" s="6">
        <f t="shared" si="17"/>
        <v>788660.63968622696</v>
      </c>
      <c r="K85" s="6">
        <f t="shared" si="12"/>
        <v>380508.09632750496</v>
      </c>
      <c r="L85" s="6">
        <f t="shared" si="13"/>
        <v>0</v>
      </c>
      <c r="M85" s="6">
        <f t="shared" si="14"/>
        <v>0</v>
      </c>
      <c r="N85" s="6">
        <f t="shared" si="10"/>
        <v>1266546.6426190315</v>
      </c>
      <c r="O85" s="6">
        <f t="shared" si="11"/>
        <v>2435715.3786327634</v>
      </c>
      <c r="P85" s="6">
        <f t="shared" si="18"/>
        <v>37460.378632763401</v>
      </c>
      <c r="Q85" s="14">
        <f t="shared" si="19"/>
        <v>1.5619848028155222E-2</v>
      </c>
    </row>
    <row r="86" spans="1:17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Used'!DW86</f>
        <v>2476889</v>
      </c>
      <c r="E86" s="100">
        <f>'Monthly Data (14-23) Used'!AG86</f>
        <v>486.8</v>
      </c>
      <c r="F86" s="100">
        <f>'Monthly Data (14-23) Used'!AF86</f>
        <v>0</v>
      </c>
      <c r="G86">
        <f>'Monthly Data (14-23) Used'!BZ86</f>
        <v>0</v>
      </c>
      <c r="H86">
        <f>'Monthly Data (14-23) Used'!AR86</f>
        <v>150.80000000000001</v>
      </c>
      <c r="J86" s="6">
        <f t="shared" si="17"/>
        <v>788660.63968622696</v>
      </c>
      <c r="K86" s="6">
        <f t="shared" si="12"/>
        <v>437485.45416209113</v>
      </c>
      <c r="L86" s="6">
        <f t="shared" si="13"/>
        <v>0</v>
      </c>
      <c r="M86" s="6">
        <f t="shared" si="14"/>
        <v>0</v>
      </c>
      <c r="N86" s="6">
        <f t="shared" si="10"/>
        <v>1275853.2645754842</v>
      </c>
      <c r="O86" s="6">
        <f t="shared" si="11"/>
        <v>2501999.3584238021</v>
      </c>
      <c r="P86" s="6">
        <f t="shared" si="18"/>
        <v>25110.35842380207</v>
      </c>
      <c r="Q86" s="14">
        <f t="shared" si="19"/>
        <v>1.0137861819323381E-2</v>
      </c>
    </row>
    <row r="87" spans="1:17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Used'!DW87</f>
        <v>2421447</v>
      </c>
      <c r="E87" s="100">
        <f>'Monthly Data (14-23) Used'!AG87</f>
        <v>542.80000000000018</v>
      </c>
      <c r="F87" s="100">
        <f>'Monthly Data (14-23) Used'!AF87</f>
        <v>0</v>
      </c>
      <c r="G87">
        <f>'Monthly Data (14-23) Used'!BZ87</f>
        <v>0</v>
      </c>
      <c r="H87">
        <f>'Monthly Data (14-23) Used'!AR87</f>
        <v>151.6</v>
      </c>
      <c r="J87" s="6">
        <f t="shared" si="17"/>
        <v>788660.63968622696</v>
      </c>
      <c r="K87" s="6">
        <f t="shared" si="12"/>
        <v>487812.45792765642</v>
      </c>
      <c r="L87" s="6">
        <f t="shared" si="13"/>
        <v>0</v>
      </c>
      <c r="M87" s="6">
        <f t="shared" si="14"/>
        <v>0</v>
      </c>
      <c r="N87" s="6">
        <f t="shared" si="10"/>
        <v>1282621.7169074495</v>
      </c>
      <c r="O87" s="6">
        <f t="shared" si="11"/>
        <v>2559094.8145213332</v>
      </c>
      <c r="P87" s="6">
        <f t="shared" si="18"/>
        <v>137647.8145213332</v>
      </c>
      <c r="Q87" s="14">
        <f t="shared" si="19"/>
        <v>5.6845272484317519E-2</v>
      </c>
    </row>
    <row r="88" spans="1:17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Used'!DW88</f>
        <v>1798087</v>
      </c>
      <c r="E88" s="100">
        <f>'Monthly Data (14-23) Used'!AG88</f>
        <v>275.60000000000008</v>
      </c>
      <c r="F88" s="100">
        <f>'Monthly Data (14-23) Used'!AF88</f>
        <v>0</v>
      </c>
      <c r="G88">
        <f>'Monthly Data (14-23) Used'!BZ88</f>
        <v>0</v>
      </c>
      <c r="H88">
        <f>'Monthly Data (14-23) Used'!AR88</f>
        <v>159.5</v>
      </c>
      <c r="J88" s="6">
        <f t="shared" si="17"/>
        <v>788660.63968622696</v>
      </c>
      <c r="K88" s="6">
        <f t="shared" ref="K88:K121" si="20">E88*$U$9</f>
        <v>247680.75424624557</v>
      </c>
      <c r="L88" s="6">
        <f t="shared" ref="L88:L121" si="21">F88*$U$10</f>
        <v>0</v>
      </c>
      <c r="M88" s="6">
        <f t="shared" ref="M88:M121" si="22">G88*$U$11</f>
        <v>0</v>
      </c>
      <c r="N88" s="6">
        <f t="shared" si="10"/>
        <v>1349460.1836856082</v>
      </c>
      <c r="O88" s="6">
        <f t="shared" si="11"/>
        <v>2385801.5776180807</v>
      </c>
      <c r="P88" s="6">
        <f t="shared" si="18"/>
        <v>587714.57761808066</v>
      </c>
      <c r="Q88" s="14">
        <f t="shared" si="19"/>
        <v>0.32685547341039706</v>
      </c>
    </row>
    <row r="89" spans="1:17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Used'!DW89</f>
        <v>1779970</v>
      </c>
      <c r="E89" s="100">
        <f>'Monthly Data (14-23) Used'!AG89</f>
        <v>153.5</v>
      </c>
      <c r="F89" s="100">
        <f>'Monthly Data (14-23) Used'!AF89</f>
        <v>6.6999999999999957</v>
      </c>
      <c r="G89">
        <f>'Monthly Data (14-23) Used'!BZ89</f>
        <v>0</v>
      </c>
      <c r="H89">
        <f>'Monthly Data (14-23) Used'!AR89</f>
        <v>162.30000000000001</v>
      </c>
      <c r="J89" s="6">
        <f t="shared" si="17"/>
        <v>788660.63968622696</v>
      </c>
      <c r="K89" s="6">
        <f t="shared" si="20"/>
        <v>137949.91210739728</v>
      </c>
      <c r="L89" s="6">
        <f t="shared" si="21"/>
        <v>24894.065641232872</v>
      </c>
      <c r="M89" s="6">
        <f t="shared" si="22"/>
        <v>0</v>
      </c>
      <c r="N89" s="6">
        <f t="shared" ref="N89:N121" si="23">H89*$U$12</f>
        <v>1373149.7668474873</v>
      </c>
      <c r="O89" s="6">
        <f t="shared" ref="O89:O121" si="24">SUM(J89:N89)</f>
        <v>2324654.3842823445</v>
      </c>
      <c r="P89" s="6">
        <f t="shared" si="18"/>
        <v>544684.38428234449</v>
      </c>
      <c r="Q89" s="14">
        <f t="shared" si="19"/>
        <v>0.30600762051177521</v>
      </c>
    </row>
    <row r="90" spans="1:17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Used'!DW90</f>
        <v>2156240</v>
      </c>
      <c r="E90" s="100">
        <f>'Monthly Data (14-23) Used'!AG90</f>
        <v>68.935522991409798</v>
      </c>
      <c r="F90" s="100">
        <f>'Monthly Data (14-23) Used'!AF90</f>
        <v>58.064477008590188</v>
      </c>
      <c r="G90">
        <f>'Monthly Data (14-23) Used'!BZ90</f>
        <v>0</v>
      </c>
      <c r="H90">
        <f>'Monthly Data (14-23) Used'!AR90</f>
        <v>162.9</v>
      </c>
      <c r="J90" s="6">
        <f t="shared" si="17"/>
        <v>788660.63968622696</v>
      </c>
      <c r="K90" s="6">
        <f t="shared" si="20"/>
        <v>61952.112949462185</v>
      </c>
      <c r="L90" s="6">
        <f t="shared" si="21"/>
        <v>215740.43314562715</v>
      </c>
      <c r="M90" s="6">
        <f t="shared" si="22"/>
        <v>0</v>
      </c>
      <c r="N90" s="6">
        <f t="shared" si="23"/>
        <v>1378226.1060964612</v>
      </c>
      <c r="O90" s="6">
        <f t="shared" si="24"/>
        <v>2444579.2918777773</v>
      </c>
      <c r="P90" s="6">
        <f t="shared" si="18"/>
        <v>288339.29187777732</v>
      </c>
      <c r="Q90" s="14">
        <f t="shared" si="19"/>
        <v>0.13372319031173585</v>
      </c>
    </row>
    <row r="91" spans="1:17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Used'!DW91</f>
        <v>2661577</v>
      </c>
      <c r="E91" s="100">
        <f>'Monthly Data (14-23) Used'!AG91</f>
        <v>0</v>
      </c>
      <c r="F91" s="100">
        <f>'Monthly Data (14-23) Used'!AF91</f>
        <v>190</v>
      </c>
      <c r="G91">
        <f>'Monthly Data (14-23) Used'!BZ91</f>
        <v>0</v>
      </c>
      <c r="H91">
        <f>'Monthly Data (14-23) Used'!AR91</f>
        <v>163.80000000000001</v>
      </c>
      <c r="J91" s="6">
        <f t="shared" si="17"/>
        <v>788660.63968622696</v>
      </c>
      <c r="K91" s="6">
        <f t="shared" si="20"/>
        <v>0</v>
      </c>
      <c r="L91" s="6">
        <f t="shared" si="21"/>
        <v>705951.11519914155</v>
      </c>
      <c r="M91" s="6">
        <f t="shared" si="22"/>
        <v>0</v>
      </c>
      <c r="N91" s="6">
        <f t="shared" si="23"/>
        <v>1385840.6149699225</v>
      </c>
      <c r="O91" s="6">
        <f t="shared" si="24"/>
        <v>2880452.3698552912</v>
      </c>
      <c r="P91" s="6">
        <f t="shared" si="18"/>
        <v>218875.36985529121</v>
      </c>
      <c r="Q91" s="14">
        <f t="shared" si="19"/>
        <v>8.2235219892301148E-2</v>
      </c>
    </row>
    <row r="92" spans="1:17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Used'!DW92</f>
        <v>2641727</v>
      </c>
      <c r="E92" s="100">
        <f>'Monthly Data (14-23) Used'!AG92</f>
        <v>0</v>
      </c>
      <c r="F92" s="100">
        <f>'Monthly Data (14-23) Used'!AF92</f>
        <v>192.39999999999998</v>
      </c>
      <c r="G92">
        <f>'Monthly Data (14-23) Used'!BZ92</f>
        <v>0</v>
      </c>
      <c r="H92">
        <f>'Monthly Data (14-23) Used'!AR92</f>
        <v>164.8</v>
      </c>
      <c r="J92" s="6">
        <f t="shared" si="17"/>
        <v>788660.63968622696</v>
      </c>
      <c r="K92" s="6">
        <f t="shared" si="20"/>
        <v>0</v>
      </c>
      <c r="L92" s="6">
        <f t="shared" si="21"/>
        <v>714868.39244376228</v>
      </c>
      <c r="M92" s="6">
        <f t="shared" si="22"/>
        <v>0</v>
      </c>
      <c r="N92" s="6">
        <f t="shared" si="23"/>
        <v>1394301.1803848792</v>
      </c>
      <c r="O92" s="6">
        <f t="shared" si="24"/>
        <v>2897830.2125148685</v>
      </c>
      <c r="P92" s="6">
        <f t="shared" si="18"/>
        <v>256103.21251486847</v>
      </c>
      <c r="Q92" s="14">
        <f t="shared" si="19"/>
        <v>9.6945374186987704E-2</v>
      </c>
    </row>
    <row r="93" spans="1:17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Used'!DW93</f>
        <v>2810916</v>
      </c>
      <c r="E93" s="100">
        <f>'Monthly Data (14-23) Used'!AG93</f>
        <v>0</v>
      </c>
      <c r="F93" s="100">
        <f>'Monthly Data (14-23) Used'!AF93</f>
        <v>224.29343102577059</v>
      </c>
      <c r="G93">
        <f>'Monthly Data (14-23) Used'!BZ93</f>
        <v>0</v>
      </c>
      <c r="H93">
        <f>'Monthly Data (14-23) Used'!AR93</f>
        <v>167.7</v>
      </c>
      <c r="J93" s="6">
        <f t="shared" si="17"/>
        <v>788660.63968622696</v>
      </c>
      <c r="K93" s="6">
        <f t="shared" si="20"/>
        <v>0</v>
      </c>
      <c r="L93" s="6">
        <f t="shared" si="21"/>
        <v>833369.46191833937</v>
      </c>
      <c r="M93" s="6">
        <f t="shared" si="22"/>
        <v>0</v>
      </c>
      <c r="N93" s="6">
        <f t="shared" si="23"/>
        <v>1418836.8200882538</v>
      </c>
      <c r="O93" s="6">
        <f t="shared" si="24"/>
        <v>3040866.9216928203</v>
      </c>
      <c r="P93" s="6">
        <f t="shared" si="18"/>
        <v>229950.92169282027</v>
      </c>
      <c r="Q93" s="14">
        <f t="shared" si="19"/>
        <v>8.1806401078089938E-2</v>
      </c>
    </row>
    <row r="94" spans="1:17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Used'!DW94</f>
        <v>2370134</v>
      </c>
      <c r="E94" s="100">
        <f>'Monthly Data (14-23) Used'!AG94</f>
        <v>3.9000000000000004</v>
      </c>
      <c r="F94" s="100">
        <f>'Monthly Data (14-23) Used'!AF94</f>
        <v>90.800000000000011</v>
      </c>
      <c r="G94">
        <f>'Monthly Data (14-23) Used'!BZ94</f>
        <v>0</v>
      </c>
      <c r="H94">
        <f>'Monthly Data (14-23) Used'!AR94</f>
        <v>165.8</v>
      </c>
      <c r="J94" s="6">
        <f t="shared" si="17"/>
        <v>788660.63968622696</v>
      </c>
      <c r="K94" s="6">
        <f t="shared" si="20"/>
        <v>3504.9163336732859</v>
      </c>
      <c r="L94" s="6">
        <f t="shared" si="21"/>
        <v>337370.32242148457</v>
      </c>
      <c r="M94" s="6">
        <f t="shared" si="22"/>
        <v>0</v>
      </c>
      <c r="N94" s="6">
        <f t="shared" si="23"/>
        <v>1402761.745799836</v>
      </c>
      <c r="O94" s="6">
        <f t="shared" si="24"/>
        <v>2532297.6242412208</v>
      </c>
      <c r="P94" s="6">
        <f t="shared" si="18"/>
        <v>162163.62424122076</v>
      </c>
      <c r="Q94" s="14">
        <f t="shared" si="19"/>
        <v>6.8419601693921431E-2</v>
      </c>
    </row>
    <row r="95" spans="1:17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Used'!DW95</f>
        <v>2288392</v>
      </c>
      <c r="E95" s="100">
        <f>'Monthly Data (14-23) Used'!AG95</f>
        <v>53.599999999999994</v>
      </c>
      <c r="F95" s="100">
        <f>'Monthly Data (14-23) Used'!AF95</f>
        <v>51.300000000000011</v>
      </c>
      <c r="G95">
        <f>'Monthly Data (14-23) Used'!BZ95</f>
        <v>1</v>
      </c>
      <c r="H95">
        <f>'Monthly Data (14-23) Used'!AR95</f>
        <v>169.4</v>
      </c>
      <c r="J95" s="6">
        <f t="shared" si="17"/>
        <v>788660.63968622696</v>
      </c>
      <c r="K95" s="6">
        <f t="shared" si="20"/>
        <v>48170.132175612329</v>
      </c>
      <c r="L95" s="6">
        <f t="shared" si="21"/>
        <v>190606.80110376826</v>
      </c>
      <c r="M95" s="6">
        <f t="shared" si="22"/>
        <v>135311.078711176</v>
      </c>
      <c r="N95" s="6">
        <f t="shared" si="23"/>
        <v>1433219.7812936804</v>
      </c>
      <c r="O95" s="6">
        <f t="shared" si="24"/>
        <v>2595968.4329704642</v>
      </c>
      <c r="P95" s="6">
        <f t="shared" si="18"/>
        <v>307576.43297046423</v>
      </c>
      <c r="Q95" s="14">
        <f t="shared" si="19"/>
        <v>0.134407231353048</v>
      </c>
    </row>
    <row r="96" spans="1:17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Used'!DW96</f>
        <v>2388052</v>
      </c>
      <c r="E96" s="100">
        <f>'Monthly Data (14-23) Used'!AG96</f>
        <v>302.90000000000003</v>
      </c>
      <c r="F96" s="100">
        <f>'Monthly Data (14-23) Used'!AF96</f>
        <v>0</v>
      </c>
      <c r="G96">
        <f>'Monthly Data (14-23) Used'!BZ96</f>
        <v>1</v>
      </c>
      <c r="H96">
        <f>'Monthly Data (14-23) Used'!AR96</f>
        <v>176.5</v>
      </c>
      <c r="J96" s="6">
        <f t="shared" si="17"/>
        <v>788660.63968622696</v>
      </c>
      <c r="K96" s="6">
        <f t="shared" si="20"/>
        <v>272215.16858195857</v>
      </c>
      <c r="L96" s="6">
        <f t="shared" si="21"/>
        <v>0</v>
      </c>
      <c r="M96" s="6">
        <f t="shared" si="22"/>
        <v>135311.078711176</v>
      </c>
      <c r="N96" s="6">
        <f t="shared" si="23"/>
        <v>1493289.7957398735</v>
      </c>
      <c r="O96" s="6">
        <f t="shared" si="24"/>
        <v>2689476.6827192353</v>
      </c>
      <c r="P96" s="6">
        <f t="shared" si="18"/>
        <v>301424.68271923531</v>
      </c>
      <c r="Q96" s="14">
        <f t="shared" si="19"/>
        <v>0.12622199295460707</v>
      </c>
    </row>
    <row r="97" spans="1:17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Used'!DW97</f>
        <v>2282252</v>
      </c>
      <c r="E97" s="100">
        <f>'Monthly Data (14-23) Used'!AG97</f>
        <v>359.4</v>
      </c>
      <c r="F97" s="100">
        <f>'Monthly Data (14-23) Used'!AF97</f>
        <v>0</v>
      </c>
      <c r="G97">
        <f>'Monthly Data (14-23) Used'!BZ97</f>
        <v>0</v>
      </c>
      <c r="H97">
        <f>'Monthly Data (14-23) Used'!AR97</f>
        <v>183.6</v>
      </c>
      <c r="J97" s="6">
        <f t="shared" si="17"/>
        <v>788660.63968622696</v>
      </c>
      <c r="K97" s="6">
        <f t="shared" si="20"/>
        <v>322991.52059543045</v>
      </c>
      <c r="L97" s="6">
        <f t="shared" si="21"/>
        <v>0</v>
      </c>
      <c r="M97" s="6">
        <f t="shared" si="22"/>
        <v>0</v>
      </c>
      <c r="N97" s="6">
        <f t="shared" si="23"/>
        <v>1553359.8101860667</v>
      </c>
      <c r="O97" s="6">
        <f t="shared" si="24"/>
        <v>2665011.9704677239</v>
      </c>
      <c r="P97" s="6">
        <f t="shared" si="18"/>
        <v>382759.97046772391</v>
      </c>
      <c r="Q97" s="14">
        <f t="shared" si="19"/>
        <v>0.1677115281168442</v>
      </c>
    </row>
    <row r="98" spans="1:17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Used'!DW98</f>
        <v>2458213</v>
      </c>
      <c r="E98" s="100">
        <f>'Monthly Data (14-23) Used'!AG98</f>
        <v>642.20000000000005</v>
      </c>
      <c r="F98" s="100">
        <f>'Monthly Data (14-23) Used'!AF98</f>
        <v>0</v>
      </c>
      <c r="G98">
        <f>'Monthly Data (14-23) Used'!BZ98</f>
        <v>0</v>
      </c>
      <c r="H98">
        <f>'Monthly Data (14-23) Used'!AR98</f>
        <v>184.2</v>
      </c>
      <c r="J98" s="6">
        <f t="shared" si="17"/>
        <v>788660.63968622696</v>
      </c>
      <c r="K98" s="6">
        <f t="shared" si="20"/>
        <v>577142.88961153443</v>
      </c>
      <c r="L98" s="6">
        <f t="shared" si="21"/>
        <v>0</v>
      </c>
      <c r="M98" s="6">
        <f t="shared" si="22"/>
        <v>0</v>
      </c>
      <c r="N98" s="6">
        <f t="shared" si="23"/>
        <v>1558436.1494350408</v>
      </c>
      <c r="O98" s="6">
        <f t="shared" si="24"/>
        <v>2924239.6787328022</v>
      </c>
      <c r="P98" s="6">
        <f t="shared" si="18"/>
        <v>466026.67873280216</v>
      </c>
      <c r="Q98" s="14">
        <f t="shared" si="19"/>
        <v>0.18957945415340419</v>
      </c>
    </row>
    <row r="99" spans="1:17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Used'!DW99</f>
        <v>2115178</v>
      </c>
      <c r="E99" s="100">
        <f>'Monthly Data (14-23) Used'!AG99</f>
        <v>495.30000000000007</v>
      </c>
      <c r="F99" s="100">
        <f>'Monthly Data (14-23) Used'!AF99</f>
        <v>0</v>
      </c>
      <c r="G99">
        <f>'Monthly Data (14-23) Used'!BZ99</f>
        <v>0</v>
      </c>
      <c r="H99">
        <f>'Monthly Data (14-23) Used'!AR99</f>
        <v>181.8</v>
      </c>
      <c r="J99" s="6">
        <f t="shared" si="17"/>
        <v>788660.63968622696</v>
      </c>
      <c r="K99" s="6">
        <f t="shared" si="20"/>
        <v>445124.37437650736</v>
      </c>
      <c r="L99" s="6">
        <f t="shared" si="21"/>
        <v>0</v>
      </c>
      <c r="M99" s="6">
        <f t="shared" si="22"/>
        <v>0</v>
      </c>
      <c r="N99" s="6">
        <f t="shared" si="23"/>
        <v>1538130.7924391446</v>
      </c>
      <c r="O99" s="6">
        <f t="shared" si="24"/>
        <v>2771915.8065018789</v>
      </c>
      <c r="P99" s="6">
        <f t="shared" si="18"/>
        <v>656737.80650187889</v>
      </c>
      <c r="Q99" s="14">
        <f t="shared" si="19"/>
        <v>0.31048819839364766</v>
      </c>
    </row>
    <row r="100" spans="1:17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Used'!DW100</f>
        <v>2122133</v>
      </c>
      <c r="E100" s="100">
        <f>'Monthly Data (14-23) Used'!AG100</f>
        <v>341.93552299140981</v>
      </c>
      <c r="F100" s="100">
        <f>'Monthly Data (14-23) Used'!AF100</f>
        <v>0</v>
      </c>
      <c r="G100">
        <f>'Monthly Data (14-23) Used'!BZ100</f>
        <v>0</v>
      </c>
      <c r="H100">
        <f>'Monthly Data (14-23) Used'!AR100</f>
        <v>178.4</v>
      </c>
      <c r="J100" s="6">
        <f t="shared" si="17"/>
        <v>788660.63968622696</v>
      </c>
      <c r="K100" s="6">
        <f t="shared" si="20"/>
        <v>307296.2563065922</v>
      </c>
      <c r="L100" s="6">
        <f t="shared" si="21"/>
        <v>0</v>
      </c>
      <c r="M100" s="6">
        <f t="shared" si="22"/>
        <v>0</v>
      </c>
      <c r="N100" s="6">
        <f t="shared" si="23"/>
        <v>1509364.8700282916</v>
      </c>
      <c r="O100" s="6">
        <f t="shared" si="24"/>
        <v>2605321.766021111</v>
      </c>
      <c r="P100" s="6">
        <f t="shared" si="18"/>
        <v>483188.76602111105</v>
      </c>
      <c r="Q100" s="14">
        <f t="shared" si="19"/>
        <v>0.22769014289920145</v>
      </c>
    </row>
    <row r="101" spans="1:17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Used'!DW101</f>
        <v>2129088</v>
      </c>
      <c r="E101" s="100">
        <f>'Monthly Data (14-23) Used'!AG101</f>
        <v>220.60000000000005</v>
      </c>
      <c r="F101" s="100">
        <f>'Monthly Data (14-23) Used'!AF101</f>
        <v>3.3000000000000007</v>
      </c>
      <c r="G101">
        <f>'Monthly Data (14-23) Used'!BZ101</f>
        <v>0</v>
      </c>
      <c r="H101">
        <f>'Monthly Data (14-23) Used'!AR101</f>
        <v>177.4</v>
      </c>
      <c r="J101" s="6">
        <f t="shared" si="17"/>
        <v>788660.63968622696</v>
      </c>
      <c r="K101" s="6">
        <f t="shared" si="20"/>
        <v>198252.4469764941</v>
      </c>
      <c r="L101" s="6">
        <f t="shared" si="21"/>
        <v>12261.256211353515</v>
      </c>
      <c r="M101" s="6">
        <f t="shared" si="22"/>
        <v>0</v>
      </c>
      <c r="N101" s="6">
        <f t="shared" si="23"/>
        <v>1500904.3046133348</v>
      </c>
      <c r="O101" s="6">
        <f t="shared" si="24"/>
        <v>2500078.6474874094</v>
      </c>
      <c r="P101" s="6">
        <f t="shared" si="18"/>
        <v>370990.64748740941</v>
      </c>
      <c r="Q101" s="14">
        <f t="shared" si="19"/>
        <v>0.1742486207650456</v>
      </c>
    </row>
    <row r="102" spans="1:17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Used'!DW102</f>
        <v>2149513</v>
      </c>
      <c r="E102" s="100">
        <f>'Monthly Data (14-23) Used'!AG102</f>
        <v>33</v>
      </c>
      <c r="F102" s="100">
        <f>'Monthly Data (14-23) Used'!AF102</f>
        <v>72.5</v>
      </c>
      <c r="G102">
        <f>'Monthly Data (14-23) Used'!BZ102</f>
        <v>0</v>
      </c>
      <c r="H102">
        <f>'Monthly Data (14-23) Used'!AR102</f>
        <v>176.2</v>
      </c>
      <c r="J102" s="6">
        <f t="shared" si="17"/>
        <v>788660.63968622696</v>
      </c>
      <c r="K102" s="6">
        <f t="shared" si="20"/>
        <v>29656.984361850878</v>
      </c>
      <c r="L102" s="6">
        <f t="shared" si="21"/>
        <v>269376.08343125141</v>
      </c>
      <c r="M102" s="6">
        <f t="shared" si="22"/>
        <v>0</v>
      </c>
      <c r="N102" s="6">
        <f t="shared" si="23"/>
        <v>1490751.6261153864</v>
      </c>
      <c r="O102" s="6">
        <f t="shared" si="24"/>
        <v>2578445.3335947157</v>
      </c>
      <c r="P102" s="6">
        <f t="shared" si="18"/>
        <v>428932.33359471569</v>
      </c>
      <c r="Q102" s="14">
        <f t="shared" si="19"/>
        <v>0.19954861105502303</v>
      </c>
    </row>
    <row r="103" spans="1:17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Used'!DW103</f>
        <v>2446520</v>
      </c>
      <c r="E103" s="100">
        <f>'Monthly Data (14-23) Used'!AG103</f>
        <v>0</v>
      </c>
      <c r="F103" s="100">
        <f>'Monthly Data (14-23) Used'!AF103</f>
        <v>147.70000000000002</v>
      </c>
      <c r="G103">
        <f>'Monthly Data (14-23) Used'!BZ103</f>
        <v>0</v>
      </c>
      <c r="H103">
        <f>'Monthly Data (14-23) Used'!AR103</f>
        <v>175.1</v>
      </c>
      <c r="J103" s="6">
        <f t="shared" si="17"/>
        <v>788660.63968622696</v>
      </c>
      <c r="K103" s="6">
        <f t="shared" si="20"/>
        <v>0</v>
      </c>
      <c r="L103" s="6">
        <f t="shared" si="21"/>
        <v>548784.10376270115</v>
      </c>
      <c r="M103" s="6">
        <f t="shared" si="22"/>
        <v>0</v>
      </c>
      <c r="N103" s="6">
        <f t="shared" si="23"/>
        <v>1481445.0041589341</v>
      </c>
      <c r="O103" s="6">
        <f t="shared" si="24"/>
        <v>2818889.7476078621</v>
      </c>
      <c r="P103" s="6">
        <f t="shared" si="18"/>
        <v>372369.74760786211</v>
      </c>
      <c r="Q103" s="14">
        <f t="shared" si="19"/>
        <v>0.15220384366686646</v>
      </c>
    </row>
    <row r="104" spans="1:17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Used'!DW104</f>
        <v>2691240</v>
      </c>
      <c r="E104" s="100">
        <f>'Monthly Data (14-23) Used'!AG104</f>
        <v>0</v>
      </c>
      <c r="F104" s="100">
        <f>'Monthly Data (14-23) Used'!AF104</f>
        <v>218.60000000000002</v>
      </c>
      <c r="G104">
        <f>'Monthly Data (14-23) Used'!BZ104</f>
        <v>0</v>
      </c>
      <c r="H104">
        <f>'Monthly Data (14-23) Used'!AR104</f>
        <v>170.6</v>
      </c>
      <c r="J104" s="6">
        <f t="shared" si="17"/>
        <v>788660.63968622696</v>
      </c>
      <c r="K104" s="6">
        <f t="shared" si="20"/>
        <v>0</v>
      </c>
      <c r="L104" s="6">
        <f t="shared" si="21"/>
        <v>812215.3356975388</v>
      </c>
      <c r="M104" s="6">
        <f t="shared" si="22"/>
        <v>0</v>
      </c>
      <c r="N104" s="6">
        <f t="shared" si="23"/>
        <v>1443372.4597916284</v>
      </c>
      <c r="O104" s="6">
        <f t="shared" si="24"/>
        <v>3044248.4351753942</v>
      </c>
      <c r="P104" s="6">
        <f t="shared" si="18"/>
        <v>353008.43517539417</v>
      </c>
      <c r="Q104" s="14">
        <f t="shared" si="19"/>
        <v>0.13116943683038085</v>
      </c>
    </row>
    <row r="105" spans="1:17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Used'!DW105</f>
        <v>2769504</v>
      </c>
      <c r="E105" s="100">
        <f>'Monthly Data (14-23) Used'!AG105</f>
        <v>0</v>
      </c>
      <c r="F105" s="100">
        <f>'Monthly Data (14-23) Used'!AF105</f>
        <v>198.92895401718039</v>
      </c>
      <c r="G105">
        <f>'Monthly Data (14-23) Used'!BZ105</f>
        <v>0</v>
      </c>
      <c r="H105">
        <f>'Monthly Data (14-23) Used'!AR105</f>
        <v>165.3</v>
      </c>
      <c r="J105" s="6">
        <f t="shared" si="17"/>
        <v>788660.63968622696</v>
      </c>
      <c r="K105" s="6">
        <f t="shared" si="20"/>
        <v>0</v>
      </c>
      <c r="L105" s="6">
        <f t="shared" si="21"/>
        <v>739126.93123066972</v>
      </c>
      <c r="M105" s="6">
        <f t="shared" si="22"/>
        <v>0</v>
      </c>
      <c r="N105" s="6">
        <f t="shared" si="23"/>
        <v>1398531.4630923576</v>
      </c>
      <c r="O105" s="6">
        <f t="shared" si="24"/>
        <v>2926319.0340092545</v>
      </c>
      <c r="P105" s="6">
        <f t="shared" si="18"/>
        <v>156815.03400925454</v>
      </c>
      <c r="Q105" s="14">
        <f t="shared" si="19"/>
        <v>5.6622064459648562E-2</v>
      </c>
    </row>
    <row r="106" spans="1:17">
      <c r="A106" s="197">
        <v>44805</v>
      </c>
      <c r="B106">
        <f t="shared" si="15"/>
        <v>9</v>
      </c>
      <c r="C106">
        <f t="shared" si="16"/>
        <v>2022</v>
      </c>
      <c r="D106" s="6">
        <f>'Monthly Data (14-23) Used'!DW106</f>
        <v>2440616</v>
      </c>
      <c r="E106" s="100">
        <f>'Monthly Data (14-23) Used'!AG106</f>
        <v>10.600000000000001</v>
      </c>
      <c r="F106" s="100">
        <f>'Monthly Data (14-23) Used'!AF106</f>
        <v>97.999999999999986</v>
      </c>
      <c r="G106">
        <f>'Monthly Data (14-23) Used'!BZ106</f>
        <v>0</v>
      </c>
      <c r="H106">
        <f>'Monthly Data (14-23) Used'!AR106</f>
        <v>162.30000000000001</v>
      </c>
      <c r="J106" s="6">
        <f t="shared" si="17"/>
        <v>788660.63968622696</v>
      </c>
      <c r="K106" s="6">
        <f t="shared" si="20"/>
        <v>9526.1828556248292</v>
      </c>
      <c r="L106" s="6">
        <f t="shared" si="21"/>
        <v>364122.15415534668</v>
      </c>
      <c r="M106" s="6">
        <f t="shared" si="22"/>
        <v>0</v>
      </c>
      <c r="N106" s="6">
        <f t="shared" si="23"/>
        <v>1373149.7668474873</v>
      </c>
      <c r="O106" s="6">
        <f t="shared" si="24"/>
        <v>2535458.7435446857</v>
      </c>
      <c r="P106" s="6">
        <f t="shared" si="18"/>
        <v>94842.743544685654</v>
      </c>
      <c r="Q106" s="14">
        <f t="shared" si="19"/>
        <v>3.8860166263224388E-2</v>
      </c>
    </row>
    <row r="107" spans="1:17">
      <c r="A107" s="197">
        <v>44835</v>
      </c>
      <c r="B107">
        <f t="shared" si="15"/>
        <v>10</v>
      </c>
      <c r="C107">
        <f t="shared" si="16"/>
        <v>2022</v>
      </c>
      <c r="D107" s="6">
        <f>'Monthly Data (14-23) Used'!DW107</f>
        <v>2187893</v>
      </c>
      <c r="E107" s="100">
        <f>'Monthly Data (14-23) Used'!AG107</f>
        <v>109.40656897422942</v>
      </c>
      <c r="F107" s="100">
        <f>'Monthly Data (14-23) Used'!AF107</f>
        <v>7.7000000000000028</v>
      </c>
      <c r="G107">
        <f>'Monthly Data (14-23) Used'!BZ107</f>
        <v>1</v>
      </c>
      <c r="H107">
        <f>'Monthly Data (14-23) Used'!AR107</f>
        <v>168.4</v>
      </c>
      <c r="J107" s="6">
        <f t="shared" si="17"/>
        <v>788660.63968622696</v>
      </c>
      <c r="K107" s="6">
        <f t="shared" si="20"/>
        <v>98323.300156135796</v>
      </c>
      <c r="L107" s="6">
        <f t="shared" si="21"/>
        <v>28609.597826491536</v>
      </c>
      <c r="M107" s="6">
        <f t="shared" si="22"/>
        <v>135311.078711176</v>
      </c>
      <c r="N107" s="6">
        <f t="shared" si="23"/>
        <v>1424759.2158787237</v>
      </c>
      <c r="O107" s="6">
        <f t="shared" si="24"/>
        <v>2475663.8322587539</v>
      </c>
      <c r="P107" s="6">
        <f t="shared" si="18"/>
        <v>287770.83225875394</v>
      </c>
      <c r="Q107" s="14">
        <f t="shared" si="19"/>
        <v>0.13152875038164752</v>
      </c>
    </row>
    <row r="108" spans="1:17">
      <c r="A108" s="197">
        <v>44866</v>
      </c>
      <c r="B108">
        <f t="shared" si="15"/>
        <v>11</v>
      </c>
      <c r="C108">
        <f t="shared" si="16"/>
        <v>2022</v>
      </c>
      <c r="D108" s="6">
        <f>'Monthly Data (14-23) Used'!DW108</f>
        <v>2451162</v>
      </c>
      <c r="E108" s="100">
        <f>'Monthly Data (14-23) Used'!AG108</f>
        <v>256.09999999999997</v>
      </c>
      <c r="F108" s="100">
        <f>'Monthly Data (14-23) Used'!AF108</f>
        <v>2.2999999999999972</v>
      </c>
      <c r="G108">
        <f>'Monthly Data (14-23) Used'!BZ108</f>
        <v>1</v>
      </c>
      <c r="H108">
        <f>'Monthly Data (14-23) Used'!AR108</f>
        <v>176.3</v>
      </c>
      <c r="J108" s="6">
        <f t="shared" si="17"/>
        <v>788660.63968622696</v>
      </c>
      <c r="K108" s="6">
        <f t="shared" si="20"/>
        <v>230156.17257787907</v>
      </c>
      <c r="L108" s="6">
        <f t="shared" si="21"/>
        <v>8545.724026094862</v>
      </c>
      <c r="M108" s="6">
        <f t="shared" si="22"/>
        <v>135311.078711176</v>
      </c>
      <c r="N108" s="6">
        <f t="shared" si="23"/>
        <v>1491597.6826568823</v>
      </c>
      <c r="O108" s="6">
        <f t="shared" si="24"/>
        <v>2654271.297658259</v>
      </c>
      <c r="P108" s="6">
        <f t="shared" si="18"/>
        <v>203109.29765825905</v>
      </c>
      <c r="Q108" s="14">
        <f t="shared" si="19"/>
        <v>8.286245366820269E-2</v>
      </c>
    </row>
    <row r="109" spans="1:17">
      <c r="A109" s="197">
        <v>44896</v>
      </c>
      <c r="B109">
        <f t="shared" si="15"/>
        <v>12</v>
      </c>
      <c r="C109">
        <f t="shared" si="16"/>
        <v>2022</v>
      </c>
      <c r="D109" s="6">
        <f>'Monthly Data (14-23) Used'!DW109</f>
        <v>2831510</v>
      </c>
      <c r="E109" s="100">
        <f>'Monthly Data (14-23) Used'!AG109</f>
        <v>432.09999999999997</v>
      </c>
      <c r="F109" s="100">
        <f>'Monthly Data (14-23) Used'!AF109</f>
        <v>0</v>
      </c>
      <c r="G109">
        <f>'Monthly Data (14-23) Used'!BZ109</f>
        <v>0</v>
      </c>
      <c r="H109">
        <f>'Monthly Data (14-23) Used'!AR109</f>
        <v>183.1</v>
      </c>
      <c r="J109" s="6">
        <f t="shared" si="17"/>
        <v>788660.63968622696</v>
      </c>
      <c r="K109" s="6">
        <f t="shared" si="20"/>
        <v>388326.75584108377</v>
      </c>
      <c r="L109" s="6">
        <f t="shared" si="21"/>
        <v>0</v>
      </c>
      <c r="M109" s="6">
        <f t="shared" si="22"/>
        <v>0</v>
      </c>
      <c r="N109" s="6">
        <f t="shared" si="23"/>
        <v>1549129.5274785883</v>
      </c>
      <c r="O109" s="6">
        <f t="shared" si="24"/>
        <v>2726116.9230058989</v>
      </c>
      <c r="P109" s="6">
        <f t="shared" si="18"/>
        <v>-105393.07699410105</v>
      </c>
      <c r="Q109" s="14">
        <f t="shared" si="19"/>
        <v>3.7221509722409972E-2</v>
      </c>
    </row>
    <row r="110" spans="1:17">
      <c r="A110" s="197">
        <v>44927</v>
      </c>
      <c r="B110">
        <f t="shared" si="15"/>
        <v>1</v>
      </c>
      <c r="C110">
        <f t="shared" si="16"/>
        <v>2023</v>
      </c>
      <c r="D110" s="6">
        <f>'Monthly Data (14-23) Used'!DW110</f>
        <v>3051532.49</v>
      </c>
      <c r="E110" s="100">
        <f>'Monthly Data (14-23) Used'!AG110</f>
        <v>424.7000000000001</v>
      </c>
      <c r="F110" s="100">
        <f>'Monthly Data (14-23) Used'!AF110</f>
        <v>0</v>
      </c>
      <c r="G110">
        <f>'Monthly Data (14-23) Used'!BZ110</f>
        <v>0</v>
      </c>
      <c r="H110">
        <f>'Monthly Data (14-23) Used'!AR110</f>
        <v>189.2</v>
      </c>
      <c r="J110" s="6">
        <f t="shared" si="17"/>
        <v>788660.63968622696</v>
      </c>
      <c r="K110" s="6">
        <f t="shared" si="20"/>
        <v>381676.40177206276</v>
      </c>
      <c r="L110" s="6">
        <f t="shared" si="21"/>
        <v>0</v>
      </c>
      <c r="M110" s="6">
        <f t="shared" si="22"/>
        <v>0</v>
      </c>
      <c r="N110" s="6">
        <f t="shared" si="23"/>
        <v>1600738.9765098246</v>
      </c>
      <c r="O110" s="6">
        <f t="shared" si="24"/>
        <v>2771076.0179681145</v>
      </c>
      <c r="P110" s="6">
        <f t="shared" si="18"/>
        <v>-280456.47203188576</v>
      </c>
      <c r="Q110" s="14">
        <f t="shared" si="19"/>
        <v>9.1906762569611611E-2</v>
      </c>
    </row>
    <row r="111" spans="1:17">
      <c r="A111" s="197">
        <v>44958</v>
      </c>
      <c r="B111">
        <f t="shared" si="15"/>
        <v>2</v>
      </c>
      <c r="C111">
        <f t="shared" si="16"/>
        <v>2023</v>
      </c>
      <c r="D111" s="6">
        <f>'Monthly Data (14-23) Used'!DW111</f>
        <v>2758376.97</v>
      </c>
      <c r="E111" s="100">
        <f>'Monthly Data (14-23) Used'!AG111</f>
        <v>379.23552299140988</v>
      </c>
      <c r="F111" s="100">
        <f>'Monthly Data (14-23) Used'!AF111</f>
        <v>0</v>
      </c>
      <c r="G111">
        <f>'Monthly Data (14-23) Used'!BZ111</f>
        <v>0</v>
      </c>
      <c r="H111">
        <f>'Monthly Data (14-23) Used'!AR111</f>
        <v>190</v>
      </c>
      <c r="J111" s="6">
        <f t="shared" si="17"/>
        <v>788660.63968622696</v>
      </c>
      <c r="K111" s="6">
        <f t="shared" si="20"/>
        <v>340817.63560044189</v>
      </c>
      <c r="L111" s="6">
        <f t="shared" si="21"/>
        <v>0</v>
      </c>
      <c r="M111" s="6">
        <f t="shared" si="22"/>
        <v>0</v>
      </c>
      <c r="N111" s="6">
        <f t="shared" si="23"/>
        <v>1607507.4288417902</v>
      </c>
      <c r="O111" s="6">
        <f t="shared" si="24"/>
        <v>2736985.7041284591</v>
      </c>
      <c r="P111" s="6">
        <f t="shared" si="18"/>
        <v>-21391.265871541109</v>
      </c>
      <c r="Q111" s="14">
        <f t="shared" si="19"/>
        <v>7.7550190217623178E-3</v>
      </c>
    </row>
    <row r="112" spans="1:17">
      <c r="A112" s="197">
        <v>44986</v>
      </c>
      <c r="B112">
        <f t="shared" si="15"/>
        <v>3</v>
      </c>
      <c r="C112">
        <f t="shared" si="16"/>
        <v>2023</v>
      </c>
      <c r="D112" s="6">
        <f>'Monthly Data (14-23) Used'!DW112</f>
        <v>2464136.4899999998</v>
      </c>
      <c r="E112" s="100">
        <f>'Monthly Data (14-23) Used'!AG112</f>
        <v>356.09999999999997</v>
      </c>
      <c r="F112" s="100">
        <f>'Monthly Data (14-23) Used'!AF112</f>
        <v>0</v>
      </c>
      <c r="G112">
        <f>'Monthly Data (14-23) Used'!BZ112</f>
        <v>0</v>
      </c>
      <c r="H112">
        <f>'Monthly Data (14-23) Used'!AR112</f>
        <v>192</v>
      </c>
      <c r="J112" s="6">
        <f t="shared" si="17"/>
        <v>788660.63968622696</v>
      </c>
      <c r="K112" s="6">
        <f t="shared" si="20"/>
        <v>320025.82215924538</v>
      </c>
      <c r="L112" s="6">
        <f t="shared" si="21"/>
        <v>0</v>
      </c>
      <c r="M112" s="6">
        <f t="shared" si="22"/>
        <v>0</v>
      </c>
      <c r="N112" s="6">
        <f t="shared" si="23"/>
        <v>1624428.5596717037</v>
      </c>
      <c r="O112" s="6">
        <f t="shared" si="24"/>
        <v>2733115.0215171762</v>
      </c>
      <c r="P112" s="6">
        <f t="shared" si="18"/>
        <v>268978.53151717642</v>
      </c>
      <c r="Q112" s="14">
        <f t="shared" si="19"/>
        <v>0.10915731843944101</v>
      </c>
    </row>
    <row r="113" spans="1:21">
      <c r="A113" s="197">
        <v>45017</v>
      </c>
      <c r="B113">
        <f t="shared" si="15"/>
        <v>4</v>
      </c>
      <c r="C113">
        <f t="shared" si="16"/>
        <v>2023</v>
      </c>
      <c r="D113" s="6">
        <f>'Monthly Data (14-23) Used'!DW113</f>
        <v>2549361.0900000003</v>
      </c>
      <c r="E113" s="100">
        <f>'Monthly Data (14-23) Used'!AG113</f>
        <v>164.3</v>
      </c>
      <c r="F113" s="100">
        <f>'Monthly Data (14-23) Used'!AF113</f>
        <v>12.2</v>
      </c>
      <c r="G113">
        <f>'Monthly Data (14-23) Used'!BZ113</f>
        <v>0</v>
      </c>
      <c r="H113">
        <f>'Monthly Data (14-23) Used'!AR113</f>
        <v>190.9</v>
      </c>
      <c r="J113" s="6">
        <f t="shared" si="17"/>
        <v>788660.63968622696</v>
      </c>
      <c r="K113" s="6">
        <f t="shared" si="20"/>
        <v>147655.83426218483</v>
      </c>
      <c r="L113" s="6">
        <f t="shared" si="21"/>
        <v>45329.492660155403</v>
      </c>
      <c r="M113" s="6">
        <f t="shared" si="22"/>
        <v>0</v>
      </c>
      <c r="N113" s="6">
        <f t="shared" si="23"/>
        <v>1615121.9377152515</v>
      </c>
      <c r="O113" s="6">
        <f t="shared" si="24"/>
        <v>2596767.9043238186</v>
      </c>
      <c r="P113" s="6">
        <f t="shared" si="18"/>
        <v>47406.814323818311</v>
      </c>
      <c r="Q113" s="14">
        <f t="shared" si="19"/>
        <v>1.8595566751910497E-2</v>
      </c>
    </row>
    <row r="114" spans="1:21">
      <c r="A114" s="197">
        <v>45047</v>
      </c>
      <c r="B114">
        <f t="shared" si="15"/>
        <v>5</v>
      </c>
      <c r="C114">
        <f t="shared" si="16"/>
        <v>2023</v>
      </c>
      <c r="D114" s="6">
        <f>'Monthly Data (14-23) Used'!DW114</f>
        <v>2835930.8300000005</v>
      </c>
      <c r="E114" s="100">
        <f>'Monthly Data (14-23) Used'!AG114</f>
        <v>46.400000000000006</v>
      </c>
      <c r="F114" s="100">
        <f>'Monthly Data (14-23) Used'!AF114</f>
        <v>33.9</v>
      </c>
      <c r="G114">
        <f>'Monthly Data (14-23) Used'!BZ114</f>
        <v>0</v>
      </c>
      <c r="H114">
        <f>'Monthly Data (14-23) Used'!AR114</f>
        <v>191.7</v>
      </c>
      <c r="J114" s="6">
        <f t="shared" si="17"/>
        <v>788660.63968622696</v>
      </c>
      <c r="K114" s="6">
        <f t="shared" si="20"/>
        <v>41699.51740575397</v>
      </c>
      <c r="L114" s="6">
        <f t="shared" si="21"/>
        <v>125956.54108026788</v>
      </c>
      <c r="M114" s="6">
        <f t="shared" si="22"/>
        <v>0</v>
      </c>
      <c r="N114" s="6">
        <f t="shared" si="23"/>
        <v>1621890.3900472168</v>
      </c>
      <c r="O114" s="6">
        <f t="shared" si="24"/>
        <v>2578207.0882194657</v>
      </c>
      <c r="P114" s="6">
        <f t="shared" si="18"/>
        <v>-257723.74178053485</v>
      </c>
      <c r="Q114" s="14">
        <f t="shared" si="19"/>
        <v>9.0878006985993659E-2</v>
      </c>
    </row>
    <row r="115" spans="1:21">
      <c r="A115" s="197">
        <v>45078</v>
      </c>
      <c r="B115">
        <f t="shared" si="15"/>
        <v>6</v>
      </c>
      <c r="C115">
        <f t="shared" si="16"/>
        <v>2023</v>
      </c>
      <c r="D115" s="6">
        <f>'Monthly Data (14-23) Used'!DW115</f>
        <v>3027700.49</v>
      </c>
      <c r="E115" s="100">
        <f>'Monthly Data (14-23) Used'!AG115</f>
        <v>9.9999999999999645E-2</v>
      </c>
      <c r="F115" s="100">
        <f>'Monthly Data (14-23) Used'!AF115</f>
        <v>114.10000000000001</v>
      </c>
      <c r="G115">
        <f>'Monthly Data (14-23) Used'!BZ115</f>
        <v>0</v>
      </c>
      <c r="H115">
        <f>'Monthly Data (14-23) Used'!AR115</f>
        <v>192</v>
      </c>
      <c r="J115" s="6">
        <f t="shared" si="17"/>
        <v>788660.63968622696</v>
      </c>
      <c r="K115" s="6">
        <f t="shared" si="20"/>
        <v>89.869649581365977</v>
      </c>
      <c r="L115" s="6">
        <f t="shared" si="21"/>
        <v>423942.22233801085</v>
      </c>
      <c r="M115" s="6">
        <f t="shared" si="22"/>
        <v>0</v>
      </c>
      <c r="N115" s="6">
        <f t="shared" si="23"/>
        <v>1624428.5596717037</v>
      </c>
      <c r="O115" s="6">
        <f t="shared" si="24"/>
        <v>2837121.2913455227</v>
      </c>
      <c r="P115" s="6">
        <f t="shared" si="18"/>
        <v>-190579.19865447748</v>
      </c>
      <c r="Q115" s="14">
        <f t="shared" si="19"/>
        <v>6.2945195300502618E-2</v>
      </c>
    </row>
    <row r="116" spans="1:21">
      <c r="A116" s="197">
        <v>45108</v>
      </c>
      <c r="B116">
        <f t="shared" si="15"/>
        <v>7</v>
      </c>
      <c r="C116">
        <f t="shared" si="16"/>
        <v>2023</v>
      </c>
      <c r="D116" s="6">
        <f>'Monthly Data (14-23) Used'!DW116</f>
        <v>3284416.84</v>
      </c>
      <c r="E116" s="100">
        <f>'Monthly Data (14-23) Used'!AG116</f>
        <v>0</v>
      </c>
      <c r="F116" s="100">
        <f>'Monthly Data (14-23) Used'!AF116</f>
        <v>194.8644770085902</v>
      </c>
      <c r="G116">
        <f>'Monthly Data (14-23) Used'!BZ116</f>
        <v>0</v>
      </c>
      <c r="H116">
        <f>'Monthly Data (14-23) Used'!AR116</f>
        <v>189.7</v>
      </c>
      <c r="J116" s="6">
        <f t="shared" si="17"/>
        <v>788660.63968622696</v>
      </c>
      <c r="K116" s="6">
        <f t="shared" si="20"/>
        <v>0</v>
      </c>
      <c r="L116" s="6">
        <f t="shared" si="21"/>
        <v>724025.23608900909</v>
      </c>
      <c r="M116" s="6">
        <f t="shared" si="22"/>
        <v>0</v>
      </c>
      <c r="N116" s="6">
        <f t="shared" si="23"/>
        <v>1604969.259217303</v>
      </c>
      <c r="O116" s="6">
        <f t="shared" si="24"/>
        <v>3117655.134992539</v>
      </c>
      <c r="P116" s="6">
        <f t="shared" si="18"/>
        <v>-166761.7050074609</v>
      </c>
      <c r="Q116" s="14">
        <f t="shared" si="19"/>
        <v>5.0773611612422775E-2</v>
      </c>
    </row>
    <row r="117" spans="1:21">
      <c r="A117" s="197">
        <v>45139</v>
      </c>
      <c r="B117">
        <f t="shared" si="15"/>
        <v>8</v>
      </c>
      <c r="C117">
        <f t="shared" si="16"/>
        <v>2023</v>
      </c>
      <c r="D117" s="6">
        <f>'Monthly Data (14-23) Used'!DW117</f>
        <v>3286746.61</v>
      </c>
      <c r="E117" s="100">
        <f>'Monthly Data (14-23) Used'!AG117</f>
        <v>0</v>
      </c>
      <c r="F117" s="100">
        <f>'Monthly Data (14-23) Used'!AF117</f>
        <v>140.01581606872151</v>
      </c>
      <c r="G117">
        <f>'Monthly Data (14-23) Used'!BZ117</f>
        <v>0</v>
      </c>
      <c r="H117">
        <f>'Monthly Data (14-23) Used'!AR117</f>
        <v>190.3</v>
      </c>
      <c r="J117" s="6">
        <f t="shared" si="17"/>
        <v>788660.63968622696</v>
      </c>
      <c r="K117" s="6">
        <f t="shared" si="20"/>
        <v>0</v>
      </c>
      <c r="L117" s="6">
        <f t="shared" si="21"/>
        <v>520233.27104858862</v>
      </c>
      <c r="M117" s="6">
        <f t="shared" si="22"/>
        <v>0</v>
      </c>
      <c r="N117" s="6">
        <f t="shared" si="23"/>
        <v>1610045.5984662774</v>
      </c>
      <c r="O117" s="6">
        <f t="shared" si="24"/>
        <v>2918939.5092010926</v>
      </c>
      <c r="P117" s="6">
        <f t="shared" si="18"/>
        <v>-367807.10079890722</v>
      </c>
      <c r="Q117" s="14">
        <f t="shared" si="19"/>
        <v>0.11190613224635143</v>
      </c>
    </row>
    <row r="118" spans="1:21">
      <c r="A118" s="197">
        <v>45170</v>
      </c>
      <c r="B118">
        <f t="shared" si="15"/>
        <v>9</v>
      </c>
      <c r="C118">
        <f t="shared" si="16"/>
        <v>2023</v>
      </c>
      <c r="D118" s="6">
        <f>'Monthly Data (14-23) Used'!DW118</f>
        <v>2966546.81</v>
      </c>
      <c r="E118" s="100">
        <f>'Monthly Data (14-23) Used'!AG118</f>
        <v>0</v>
      </c>
      <c r="F118" s="100">
        <f>'Monthly Data (14-23) Used'!AF118</f>
        <v>74.064477008590188</v>
      </c>
      <c r="G118">
        <f>'Monthly Data (14-23) Used'!BZ118</f>
        <v>0</v>
      </c>
      <c r="H118">
        <f>'Monthly Data (14-23) Used'!AR118</f>
        <v>188.1</v>
      </c>
      <c r="J118" s="6">
        <f t="shared" si="17"/>
        <v>788660.63968622696</v>
      </c>
      <c r="K118" s="6">
        <f t="shared" si="20"/>
        <v>0</v>
      </c>
      <c r="L118" s="6">
        <f t="shared" si="21"/>
        <v>275188.94810976542</v>
      </c>
      <c r="M118" s="6">
        <f t="shared" si="22"/>
        <v>0</v>
      </c>
      <c r="N118" s="6">
        <f t="shared" si="23"/>
        <v>1591432.3545533724</v>
      </c>
      <c r="O118" s="6">
        <f t="shared" si="24"/>
        <v>2655281.942349365</v>
      </c>
      <c r="P118" s="6">
        <f t="shared" si="18"/>
        <v>-311264.86765063507</v>
      </c>
      <c r="Q118" s="14">
        <f t="shared" si="19"/>
        <v>0.10492498099183376</v>
      </c>
    </row>
    <row r="119" spans="1:21">
      <c r="A119" s="197">
        <v>45200</v>
      </c>
      <c r="B119">
        <f t="shared" si="15"/>
        <v>10</v>
      </c>
      <c r="C119">
        <f t="shared" si="16"/>
        <v>2023</v>
      </c>
      <c r="D119" s="6">
        <f>'Monthly Data (14-23) Used'!DW119</f>
        <v>2745572.4499999997</v>
      </c>
      <c r="E119" s="100">
        <f>'Monthly Data (14-23) Used'!AG119</f>
        <v>100.29999999999998</v>
      </c>
      <c r="F119" s="100">
        <f>'Monthly Data (14-23) Used'!AF119</f>
        <v>28.599999999999994</v>
      </c>
      <c r="G119">
        <f>'Monthly Data (14-23) Used'!BZ119</f>
        <v>1</v>
      </c>
      <c r="H119">
        <f>'Monthly Data (14-23) Used'!AR119</f>
        <v>185.2</v>
      </c>
      <c r="J119" s="6">
        <f t="shared" si="17"/>
        <v>788660.63968622696</v>
      </c>
      <c r="K119" s="6">
        <f t="shared" si="20"/>
        <v>90139.258530110383</v>
      </c>
      <c r="L119" s="6">
        <f t="shared" si="21"/>
        <v>106264.22049839707</v>
      </c>
      <c r="M119" s="6">
        <f t="shared" si="22"/>
        <v>135311.078711176</v>
      </c>
      <c r="N119" s="6">
        <f t="shared" si="23"/>
        <v>1566896.7148499975</v>
      </c>
      <c r="O119" s="6">
        <f t="shared" si="24"/>
        <v>2687271.912275908</v>
      </c>
      <c r="P119" s="6">
        <f t="shared" si="18"/>
        <v>-58300.537724091671</v>
      </c>
      <c r="Q119" s="14">
        <f t="shared" si="19"/>
        <v>2.1234383279192533E-2</v>
      </c>
    </row>
    <row r="120" spans="1:21">
      <c r="A120" s="197">
        <v>45231</v>
      </c>
      <c r="B120">
        <f t="shared" si="15"/>
        <v>11</v>
      </c>
      <c r="C120">
        <f t="shared" si="16"/>
        <v>2023</v>
      </c>
      <c r="D120" s="6">
        <f>'Monthly Data (14-23) Used'!DW120</f>
        <v>2746667.53</v>
      </c>
      <c r="E120" s="100">
        <f>'Monthly Data (14-23) Used'!AG120</f>
        <v>282.40000000000003</v>
      </c>
      <c r="F120" s="100">
        <f>'Monthly Data (14-23) Used'!AF120</f>
        <v>0</v>
      </c>
      <c r="G120">
        <f>'Monthly Data (14-23) Used'!BZ120</f>
        <v>1</v>
      </c>
      <c r="H120">
        <f>'Monthly Data (14-23) Used'!AR120</f>
        <v>184.2</v>
      </c>
      <c r="J120" s="6">
        <f t="shared" si="17"/>
        <v>788660.63968622696</v>
      </c>
      <c r="K120" s="6">
        <f t="shared" si="20"/>
        <v>253791.89041777846</v>
      </c>
      <c r="L120" s="6">
        <f t="shared" si="21"/>
        <v>0</v>
      </c>
      <c r="M120" s="6">
        <f t="shared" si="22"/>
        <v>135311.078711176</v>
      </c>
      <c r="N120" s="6">
        <f t="shared" si="23"/>
        <v>1558436.1494350408</v>
      </c>
      <c r="O120" s="6">
        <f t="shared" si="24"/>
        <v>2736199.7582502225</v>
      </c>
      <c r="P120" s="6">
        <f t="shared" si="18"/>
        <v>-10467.771749777254</v>
      </c>
      <c r="Q120" s="14">
        <f t="shared" si="19"/>
        <v>3.8110807498340561E-3</v>
      </c>
    </row>
    <row r="121" spans="1:21">
      <c r="A121" s="197">
        <v>45261</v>
      </c>
      <c r="B121">
        <f t="shared" si="15"/>
        <v>12</v>
      </c>
      <c r="C121">
        <f t="shared" si="16"/>
        <v>2023</v>
      </c>
      <c r="D121" s="6">
        <f>'Monthly Data (14-23) Used'!DW121</f>
        <v>2567239.4</v>
      </c>
      <c r="E121" s="100">
        <f>'Monthly Data (14-23) Used'!AG121</f>
        <v>307.40000000000009</v>
      </c>
      <c r="F121" s="100">
        <f>'Monthly Data (14-23) Used'!AF121</f>
        <v>0</v>
      </c>
      <c r="G121">
        <f>'Monthly Data (14-23) Used'!BZ121</f>
        <v>0</v>
      </c>
      <c r="H121">
        <f>'Monthly Data (14-23) Used'!AR121</f>
        <v>184</v>
      </c>
      <c r="J121" s="6">
        <f t="shared" si="17"/>
        <v>788660.63968622696</v>
      </c>
      <c r="K121" s="6">
        <f t="shared" si="20"/>
        <v>276259.30281312007</v>
      </c>
      <c r="L121" s="6">
        <f t="shared" si="21"/>
        <v>0</v>
      </c>
      <c r="M121" s="6">
        <f t="shared" si="22"/>
        <v>0</v>
      </c>
      <c r="N121" s="6">
        <f t="shared" si="23"/>
        <v>1556744.0363520496</v>
      </c>
      <c r="O121" s="6">
        <f t="shared" si="24"/>
        <v>2621663.9788513966</v>
      </c>
      <c r="P121" s="6">
        <f t="shared" si="18"/>
        <v>54424.578851396684</v>
      </c>
      <c r="Q121" s="14">
        <f t="shared" si="19"/>
        <v>2.1199650820019622E-2</v>
      </c>
    </row>
    <row r="122" spans="1:21">
      <c r="A122" s="17"/>
      <c r="Q122" s="15">
        <f>AVERAGE(Q2:Q121)</f>
        <v>7.9146876338500372E-2</v>
      </c>
    </row>
    <row r="125" spans="1:21">
      <c r="S125">
        <v>1</v>
      </c>
      <c r="T125" s="6">
        <f t="shared" ref="T125:T136" si="25">SUMIF($B:$B,$S125,P:P)</f>
        <v>-866271.58192722267</v>
      </c>
      <c r="U125" s="14">
        <f t="shared" ref="U125:U136" si="26">SUMIF($B:$B,$S125,Q:Q)</f>
        <v>0.64952114214628343</v>
      </c>
    </row>
    <row r="126" spans="1:21">
      <c r="S126">
        <v>2</v>
      </c>
      <c r="T126" s="6">
        <f t="shared" si="25"/>
        <v>464861.11624764092</v>
      </c>
      <c r="U126" s="14">
        <f t="shared" si="26"/>
        <v>0.62432845185720554</v>
      </c>
    </row>
    <row r="127" spans="1:21">
      <c r="S127">
        <v>3</v>
      </c>
      <c r="T127" s="6">
        <f t="shared" si="25"/>
        <v>372493.99701659987</v>
      </c>
      <c r="U127" s="14">
        <f t="shared" si="26"/>
        <v>1.0309979964950349</v>
      </c>
    </row>
    <row r="128" spans="1:21">
      <c r="S128">
        <v>4</v>
      </c>
      <c r="T128" s="6">
        <f t="shared" si="25"/>
        <v>869676.57314311527</v>
      </c>
      <c r="U128" s="14">
        <f t="shared" si="26"/>
        <v>0.93079745019464177</v>
      </c>
    </row>
    <row r="129" spans="1:21">
      <c r="S129">
        <v>5</v>
      </c>
      <c r="T129" s="6">
        <f t="shared" si="25"/>
        <v>-201920.39838305116</v>
      </c>
      <c r="U129" s="14">
        <f t="shared" si="26"/>
        <v>0.75616959575930354</v>
      </c>
    </row>
    <row r="130" spans="1:21">
      <c r="S130">
        <v>6</v>
      </c>
      <c r="T130" s="6">
        <f t="shared" si="25"/>
        <v>173711.22140379623</v>
      </c>
      <c r="U130" s="14">
        <f t="shared" si="26"/>
        <v>0.46069333311361343</v>
      </c>
    </row>
    <row r="131" spans="1:21">
      <c r="S131">
        <v>7</v>
      </c>
      <c r="T131" s="6">
        <f t="shared" si="25"/>
        <v>547426.50722619751</v>
      </c>
      <c r="U131" s="14">
        <f t="shared" si="26"/>
        <v>0.41780165573268085</v>
      </c>
    </row>
    <row r="132" spans="1:21">
      <c r="S132">
        <v>8</v>
      </c>
      <c r="T132" s="6">
        <f t="shared" si="25"/>
        <v>-837195.50326910196</v>
      </c>
      <c r="U132" s="14">
        <f t="shared" si="26"/>
        <v>0.62157631619074394</v>
      </c>
    </row>
    <row r="133" spans="1:21">
      <c r="S133">
        <v>9</v>
      </c>
      <c r="T133" s="6">
        <f t="shared" si="25"/>
        <v>-738747.23829222983</v>
      </c>
      <c r="U133" s="14">
        <f t="shared" si="26"/>
        <v>0.58285450345841405</v>
      </c>
    </row>
    <row r="134" spans="1:21">
      <c r="S134">
        <v>10</v>
      </c>
      <c r="T134" s="6">
        <f t="shared" si="25"/>
        <v>353672.75631041499</v>
      </c>
      <c r="U134" s="14">
        <f t="shared" si="26"/>
        <v>0.74150507045902381</v>
      </c>
    </row>
    <row r="135" spans="1:21">
      <c r="A135" s="17"/>
      <c r="S135">
        <v>11</v>
      </c>
      <c r="T135" s="6">
        <f t="shared" si="25"/>
        <v>-411379.67594861379</v>
      </c>
      <c r="U135" s="14">
        <f t="shared" si="26"/>
        <v>0.54711709838976841</v>
      </c>
    </row>
    <row r="136" spans="1:21">
      <c r="A136" s="17"/>
      <c r="S136">
        <v>12</v>
      </c>
      <c r="T136" s="6">
        <f t="shared" si="25"/>
        <v>619389.00243733171</v>
      </c>
      <c r="U136" s="14">
        <f t="shared" si="26"/>
        <v>0.3930312673763226</v>
      </c>
    </row>
    <row r="137" spans="1:21">
      <c r="A137" s="17"/>
      <c r="T137" s="6"/>
      <c r="U137" s="14"/>
    </row>
    <row r="138" spans="1:21">
      <c r="A138" s="17"/>
      <c r="S138">
        <v>2014</v>
      </c>
      <c r="T138" s="6">
        <f t="shared" ref="T138:T147" si="27">SUMIF($C:$C,$S138,P:P)</f>
        <v>0</v>
      </c>
      <c r="U138" s="14">
        <f t="shared" ref="U138:U147" si="28">SUMIF($C:$C,$S138,Q:Q)</f>
        <v>0</v>
      </c>
    </row>
    <row r="139" spans="1:21">
      <c r="A139" s="17"/>
      <c r="S139">
        <f>S138+1</f>
        <v>2015</v>
      </c>
      <c r="T139" s="6">
        <f t="shared" si="27"/>
        <v>-202876.61634249147</v>
      </c>
      <c r="U139" s="14">
        <f t="shared" si="28"/>
        <v>7.8218768548414794E-2</v>
      </c>
    </row>
    <row r="140" spans="1:21">
      <c r="A140" s="17"/>
      <c r="S140">
        <f t="shared" ref="S140:S147" si="29">S139+1</f>
        <v>2016</v>
      </c>
      <c r="T140" s="6">
        <f t="shared" si="27"/>
        <v>-1126784.5041059493</v>
      </c>
      <c r="U140" s="14">
        <f t="shared" si="28"/>
        <v>0.55893983129577773</v>
      </c>
    </row>
    <row r="141" spans="1:21">
      <c r="A141" s="17"/>
      <c r="S141">
        <f t="shared" si="29"/>
        <v>2017</v>
      </c>
      <c r="T141" s="6">
        <f t="shared" si="27"/>
        <v>-2765343.7531254576</v>
      </c>
      <c r="U141" s="14">
        <f t="shared" si="28"/>
        <v>1.0168387566854573</v>
      </c>
    </row>
    <row r="142" spans="1:21">
      <c r="A142" s="17"/>
      <c r="S142">
        <f t="shared" si="29"/>
        <v>2018</v>
      </c>
      <c r="T142" s="6">
        <f t="shared" si="27"/>
        <v>138836.62904910604</v>
      </c>
      <c r="U142" s="14">
        <f t="shared" si="28"/>
        <v>0.65095501442117032</v>
      </c>
    </row>
    <row r="143" spans="1:21">
      <c r="A143" s="17"/>
      <c r="S143">
        <f t="shared" si="29"/>
        <v>2019</v>
      </c>
      <c r="T143" s="6">
        <f t="shared" si="27"/>
        <v>-2500958.4655084903</v>
      </c>
      <c r="U143" s="14">
        <f t="shared" si="28"/>
        <v>0.87201656099908698</v>
      </c>
    </row>
    <row r="144" spans="1:21">
      <c r="A144" s="17"/>
      <c r="S144">
        <f t="shared" si="29"/>
        <v>2020</v>
      </c>
      <c r="T144" s="6">
        <f t="shared" si="27"/>
        <v>886036.33579209214</v>
      </c>
      <c r="U144" s="14">
        <f t="shared" si="28"/>
        <v>0.5609972203822019</v>
      </c>
    </row>
    <row r="145" spans="1:21">
      <c r="A145" s="17"/>
      <c r="S145">
        <f t="shared" si="29"/>
        <v>2021</v>
      </c>
      <c r="T145" s="6">
        <f t="shared" si="27"/>
        <v>3442350.6411849619</v>
      </c>
      <c r="U145" s="14">
        <f t="shared" si="28"/>
        <v>1.5913167678133484</v>
      </c>
    </row>
    <row r="146" spans="1:21">
      <c r="A146" s="17"/>
      <c r="S146">
        <f t="shared" si="29"/>
        <v>2022</v>
      </c>
      <c r="T146" s="6">
        <f t="shared" si="27"/>
        <v>3768399.2455980256</v>
      </c>
      <c r="U146" s="14">
        <f t="shared" si="28"/>
        <v>1.7320232522587025</v>
      </c>
    </row>
    <row r="147" spans="1:21">
      <c r="A147" s="17"/>
      <c r="S147">
        <f t="shared" si="29"/>
        <v>2023</v>
      </c>
      <c r="T147" s="6">
        <f t="shared" si="27"/>
        <v>-1293942.7365769199</v>
      </c>
      <c r="U147" s="14">
        <f t="shared" si="28"/>
        <v>0.69508770876887593</v>
      </c>
    </row>
    <row r="148" spans="1:21">
      <c r="A148" s="17"/>
    </row>
    <row r="149" spans="1:21">
      <c r="A149" s="17"/>
      <c r="Q149" s="14"/>
    </row>
    <row r="150" spans="1:21">
      <c r="A150" s="17"/>
      <c r="Q150" s="14"/>
    </row>
    <row r="151" spans="1:21">
      <c r="A151" s="17"/>
      <c r="Q151" s="14"/>
    </row>
    <row r="152" spans="1:21">
      <c r="A152" s="17"/>
      <c r="Q152" s="14"/>
    </row>
    <row r="153" spans="1:21">
      <c r="A153" s="17"/>
      <c r="Q153" s="14"/>
    </row>
    <row r="154" spans="1:21">
      <c r="A154" s="17"/>
      <c r="Q154" s="14"/>
    </row>
    <row r="155" spans="1:21">
      <c r="A155" s="17"/>
      <c r="Q155" s="14"/>
    </row>
    <row r="156" spans="1:21">
      <c r="A156" s="17"/>
      <c r="Q156" s="14"/>
    </row>
    <row r="157" spans="1:21">
      <c r="A157" s="17"/>
      <c r="Q157" s="14"/>
    </row>
    <row r="158" spans="1:21">
      <c r="A158" s="17"/>
      <c r="Q158" s="14"/>
    </row>
    <row r="159" spans="1:21">
      <c r="A159" s="17"/>
      <c r="Q159" s="14"/>
    </row>
    <row r="160" spans="1:21">
      <c r="A160" s="17"/>
      <c r="Q160" s="14"/>
    </row>
    <row r="161" spans="1:17">
      <c r="A161" s="17"/>
      <c r="Q161" s="14"/>
    </row>
    <row r="162" spans="1:17">
      <c r="A162" s="17"/>
      <c r="Q162" s="14"/>
    </row>
    <row r="163" spans="1:17">
      <c r="A163" s="17"/>
      <c r="Q163" s="14"/>
    </row>
    <row r="164" spans="1:17">
      <c r="A164" s="17"/>
      <c r="Q164" s="14"/>
    </row>
    <row r="165" spans="1:17">
      <c r="A165" s="17"/>
      <c r="Q165" s="14"/>
    </row>
    <row r="166" spans="1:17">
      <c r="A166" s="17"/>
      <c r="Q166" s="14"/>
    </row>
    <row r="167" spans="1:17">
      <c r="A167" s="17"/>
      <c r="Q167" s="14"/>
    </row>
    <row r="168" spans="1:17">
      <c r="A168" s="17"/>
      <c r="Q168" s="1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9E24-E8C4-4C72-8B9C-89253091FD6D}">
  <sheetPr>
    <tabColor theme="3" tint="0.79998168889431442"/>
  </sheetPr>
  <dimension ref="A1:AI168"/>
  <sheetViews>
    <sheetView workbookViewId="0">
      <selection activeCell="S2" sqref="S2"/>
    </sheetView>
  </sheetViews>
  <sheetFormatPr defaultRowHeight="14.45"/>
  <cols>
    <col min="1" max="1" width="12.28515625" customWidth="1"/>
    <col min="4" max="4" width="11.42578125" customWidth="1"/>
    <col min="5" max="5" width="16.85546875" customWidth="1"/>
    <col min="6" max="9" width="11.7109375" customWidth="1"/>
    <col min="11" max="11" width="14" bestFit="1" customWidth="1"/>
    <col min="12" max="12" width="14.28515625" bestFit="1" customWidth="1"/>
    <col min="13" max="14" width="14.28515625" customWidth="1"/>
    <col min="15" max="15" width="14" bestFit="1" customWidth="1"/>
    <col min="16" max="16" width="13.7109375" customWidth="1"/>
    <col min="17" max="17" width="9.140625" style="6"/>
    <col min="18" max="18" width="14" customWidth="1"/>
    <col min="19" max="19" width="14.28515625" style="6" bestFit="1" customWidth="1"/>
    <col min="20" max="20" width="12.28515625" customWidth="1"/>
    <col min="24" max="24" width="13.28515625" customWidth="1"/>
    <col min="25" max="25" width="12.5703125" customWidth="1"/>
    <col min="26" max="26" width="12" customWidth="1"/>
  </cols>
  <sheetData>
    <row r="1" spans="1:35">
      <c r="A1" t="s">
        <v>0</v>
      </c>
      <c r="B1" t="s">
        <v>151</v>
      </c>
      <c r="C1" t="s">
        <v>1</v>
      </c>
      <c r="D1" s="6" t="str">
        <f>'Monthly Data (14-23) Used'!X1</f>
        <v>EDkWh</v>
      </c>
      <c r="E1" s="6" t="str">
        <f>'Monthly Data (14-23) Used'!DA1</f>
        <v>AvgEDMD</v>
      </c>
      <c r="F1" t="str">
        <f>'Monthly Data (14-23) Used'!AG1</f>
        <v>HDD14</v>
      </c>
      <c r="G1" t="str">
        <f>'Monthly Data (14-23) Used'!AF1</f>
        <v>CDD16</v>
      </c>
      <c r="H1" t="str">
        <f>'Monthly Data (14-23) Used'!BY1</f>
        <v>Spring</v>
      </c>
      <c r="I1" t="str">
        <f>'Monthly Data (14-23) Used'!AR1</f>
        <v>Adj.Windsor_FTE</v>
      </c>
      <c r="K1" t="s">
        <v>221</v>
      </c>
      <c r="L1" t="str">
        <f>F1</f>
        <v>HDD14</v>
      </c>
      <c r="M1" t="str">
        <f>G1</f>
        <v>CDD16</v>
      </c>
      <c r="N1" t="str">
        <f>H1</f>
        <v>Spring</v>
      </c>
      <c r="O1" t="str">
        <f>I1</f>
        <v>Adj.Windsor_FTE</v>
      </c>
      <c r="P1" t="s">
        <v>262</v>
      </c>
      <c r="Q1" s="6" t="str">
        <f>'Monthly Data (14-23) Used'!DU1</f>
        <v>EDCustAlt</v>
      </c>
      <c r="R1" t="str">
        <f>'Monthly Data (14-23) Used'!CB1</f>
        <v>Month Days</v>
      </c>
      <c r="S1" s="6" t="s">
        <v>242</v>
      </c>
      <c r="T1" t="s">
        <v>248</v>
      </c>
      <c r="U1" t="s">
        <v>243</v>
      </c>
    </row>
    <row r="2" spans="1:35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Used'!X2</f>
        <v>3490024</v>
      </c>
      <c r="E2" s="6">
        <f>'Monthly Data (14-23) Used'!DV2</f>
        <v>18763.569892473119</v>
      </c>
      <c r="F2" s="100">
        <f>'Monthly Data (14-23) Used'!AG2</f>
        <v>685.69999999999982</v>
      </c>
      <c r="G2" s="100">
        <f>'Monthly Data (14-23) Used'!AF2</f>
        <v>0</v>
      </c>
      <c r="H2">
        <f>'Monthly Data (14-23) Used'!BY2</f>
        <v>0</v>
      </c>
      <c r="I2">
        <f>'Monthly Data (14-23) Used'!AR2</f>
        <v>158.80000000000001</v>
      </c>
      <c r="K2" s="6">
        <f t="shared" ref="K2:K65" si="2">$Y$8</f>
        <v>3114.0572511813202</v>
      </c>
      <c r="L2" s="6">
        <f t="shared" ref="L2:L33" si="3">F2*$Y$9</f>
        <v>3351.4943605644644</v>
      </c>
      <c r="M2" s="6">
        <f t="shared" ref="M2:M33" si="4">G2*$Y$10</f>
        <v>0</v>
      </c>
      <c r="N2" s="6">
        <f>H2*$Y$11</f>
        <v>0</v>
      </c>
      <c r="O2" s="6">
        <f>I2*$Y$12</f>
        <v>15203.517788678169</v>
      </c>
      <c r="P2" s="6">
        <f t="shared" ref="P2:P33" si="5">SUM(K2:O2)</f>
        <v>21669.069400423956</v>
      </c>
      <c r="Q2" s="6">
        <f>'Monthly Data (14-23) Used'!DU2</f>
        <v>6</v>
      </c>
      <c r="R2">
        <f>'Monthly Data (14-23) Used'!CB2</f>
        <v>31</v>
      </c>
      <c r="S2" s="6">
        <f>P2*Q2*R2</f>
        <v>4030446.9084788556</v>
      </c>
      <c r="T2" s="6">
        <f>S2-D2</f>
        <v>540422.90847885562</v>
      </c>
      <c r="U2" s="14">
        <f t="shared" ref="U2:U33" si="6">ABS(P2-E2)/E2</f>
        <v>0.15484790605418636</v>
      </c>
    </row>
    <row r="3" spans="1:35">
      <c r="A3" s="197">
        <v>41671</v>
      </c>
      <c r="B3">
        <f t="shared" si="0"/>
        <v>2</v>
      </c>
      <c r="C3">
        <f t="shared" si="1"/>
        <v>2014</v>
      </c>
      <c r="D3" s="6">
        <f>'Monthly Data (14-23) Used'!X3</f>
        <v>3101238</v>
      </c>
      <c r="E3" s="6">
        <f>'Monthly Data (14-23) Used'!DV3</f>
        <v>18459.75</v>
      </c>
      <c r="F3" s="100">
        <f>'Monthly Data (14-23) Used'!AG3</f>
        <v>593.1</v>
      </c>
      <c r="G3" s="100">
        <f>'Monthly Data (14-23) Used'!AF3</f>
        <v>0</v>
      </c>
      <c r="H3">
        <f>'Monthly Data (14-23) Used'!BY3</f>
        <v>0</v>
      </c>
      <c r="I3">
        <f>'Monthly Data (14-23) Used'!AR3</f>
        <v>156.6</v>
      </c>
      <c r="K3" s="6">
        <f t="shared" si="2"/>
        <v>3114.0572511813202</v>
      </c>
      <c r="L3" s="6">
        <f t="shared" si="3"/>
        <v>2898.8935471062919</v>
      </c>
      <c r="M3" s="6">
        <f t="shared" si="4"/>
        <v>0</v>
      </c>
      <c r="N3" s="6">
        <f t="shared" ref="N3:N66" si="7">H3*$Y$11</f>
        <v>0</v>
      </c>
      <c r="O3" s="6">
        <f t="shared" ref="O3:O66" si="8">I3*$Y$12</f>
        <v>14992.889708482375</v>
      </c>
      <c r="P3" s="6">
        <f t="shared" si="5"/>
        <v>21005.840506769986</v>
      </c>
      <c r="Q3" s="6">
        <f>'Monthly Data (14-23) Used'!DU3</f>
        <v>6</v>
      </c>
      <c r="R3">
        <f>'Monthly Data (14-23) Used'!CB3</f>
        <v>28</v>
      </c>
      <c r="S3" s="6">
        <f t="shared" ref="S3:S66" si="9">P3*Q3*R3</f>
        <v>3528981.2051373576</v>
      </c>
      <c r="T3" s="6">
        <f t="shared" ref="T3:T34" si="10">P3-E3</f>
        <v>2546.090506769986</v>
      </c>
      <c r="U3" s="14">
        <f t="shared" si="6"/>
        <v>0.13792659742249955</v>
      </c>
      <c r="X3" t="s">
        <v>263</v>
      </c>
    </row>
    <row r="4" spans="1:35">
      <c r="A4" s="197">
        <v>41699</v>
      </c>
      <c r="B4">
        <f t="shared" si="0"/>
        <v>3</v>
      </c>
      <c r="C4">
        <f t="shared" si="1"/>
        <v>2014</v>
      </c>
      <c r="D4" s="6">
        <f>'Monthly Data (14-23) Used'!X4</f>
        <v>3182338</v>
      </c>
      <c r="E4" s="6">
        <f>'Monthly Data (14-23) Used'!DV4</f>
        <v>17109.344086021505</v>
      </c>
      <c r="F4" s="100">
        <f>'Monthly Data (14-23) Used'!AG4</f>
        <v>513.10000000000014</v>
      </c>
      <c r="G4" s="100">
        <f>'Monthly Data (14-23) Used'!AF4</f>
        <v>0</v>
      </c>
      <c r="H4">
        <f>'Monthly Data (14-23) Used'!BY4</f>
        <v>1</v>
      </c>
      <c r="I4">
        <f>'Monthly Data (14-23) Used'!AR4</f>
        <v>154.80000000000001</v>
      </c>
      <c r="K4" s="6">
        <f t="shared" si="2"/>
        <v>3114.0572511813202</v>
      </c>
      <c r="L4" s="6">
        <f t="shared" si="3"/>
        <v>2507.8777255441555</v>
      </c>
      <c r="M4" s="6">
        <f t="shared" si="4"/>
        <v>0</v>
      </c>
      <c r="N4" s="6">
        <f t="shared" si="7"/>
        <v>-1472.0035230159101</v>
      </c>
      <c r="O4" s="6">
        <f t="shared" si="8"/>
        <v>14820.557642867636</v>
      </c>
      <c r="P4" s="6">
        <f t="shared" si="5"/>
        <v>18970.489096577199</v>
      </c>
      <c r="Q4" s="6">
        <f>'Monthly Data (14-23) Used'!DU4</f>
        <v>6</v>
      </c>
      <c r="R4">
        <f>'Monthly Data (14-23) Used'!CB4</f>
        <v>31</v>
      </c>
      <c r="S4" s="6">
        <f t="shared" si="9"/>
        <v>3528510.971963359</v>
      </c>
      <c r="T4" s="6">
        <f t="shared" si="10"/>
        <v>1861.1450105556942</v>
      </c>
      <c r="U4" s="14">
        <f t="shared" si="6"/>
        <v>0.1087794483060439</v>
      </c>
      <c r="X4" t="s">
        <v>264</v>
      </c>
    </row>
    <row r="5" spans="1:35">
      <c r="A5" s="197">
        <v>41730</v>
      </c>
      <c r="B5">
        <f t="shared" si="0"/>
        <v>4</v>
      </c>
      <c r="C5">
        <f t="shared" si="1"/>
        <v>2014</v>
      </c>
      <c r="D5" s="6">
        <f>'Monthly Data (14-23) Used'!X5</f>
        <v>2976481</v>
      </c>
      <c r="E5" s="6">
        <f>'Monthly Data (14-23) Used'!DV5</f>
        <v>16536.005555555555</v>
      </c>
      <c r="F5" s="100">
        <f>'Monthly Data (14-23) Used'!AG5</f>
        <v>167.99999999999997</v>
      </c>
      <c r="G5" s="100">
        <f>'Monthly Data (14-23) Used'!AF5</f>
        <v>0.30000000000000071</v>
      </c>
      <c r="H5">
        <f>'Monthly Data (14-23) Used'!BY5</f>
        <v>1</v>
      </c>
      <c r="I5">
        <f>'Monthly Data (14-23) Used'!AR5</f>
        <v>152.80000000000001</v>
      </c>
      <c r="K5" s="6">
        <f t="shared" si="2"/>
        <v>3114.0572511813202</v>
      </c>
      <c r="L5" s="6">
        <f t="shared" si="3"/>
        <v>821.13322528048718</v>
      </c>
      <c r="M5" s="6">
        <f t="shared" si="4"/>
        <v>6.1587975840429747</v>
      </c>
      <c r="N5" s="6">
        <f t="shared" si="7"/>
        <v>-1472.0035230159101</v>
      </c>
      <c r="O5" s="6">
        <f t="shared" si="8"/>
        <v>14629.07756996237</v>
      </c>
      <c r="P5" s="6">
        <f t="shared" si="5"/>
        <v>17098.423320992311</v>
      </c>
      <c r="Q5" s="6">
        <f>'Monthly Data (14-23) Used'!DU5</f>
        <v>6</v>
      </c>
      <c r="R5">
        <f>'Monthly Data (14-23) Used'!CB5</f>
        <v>30</v>
      </c>
      <c r="S5" s="6">
        <f t="shared" si="9"/>
        <v>3077716.1977786161</v>
      </c>
      <c r="T5" s="6">
        <f t="shared" si="10"/>
        <v>562.41776543675587</v>
      </c>
      <c r="U5" s="14">
        <f t="shared" si="6"/>
        <v>3.4011706366886288E-2</v>
      </c>
      <c r="X5" t="s">
        <v>265</v>
      </c>
    </row>
    <row r="6" spans="1:35">
      <c r="A6" s="197">
        <v>41760</v>
      </c>
      <c r="B6">
        <f t="shared" si="0"/>
        <v>5</v>
      </c>
      <c r="C6">
        <f t="shared" si="1"/>
        <v>2014</v>
      </c>
      <c r="D6" s="6">
        <f>'Monthly Data (14-23) Used'!X6</f>
        <v>3042348</v>
      </c>
      <c r="E6" s="6">
        <f>'Monthly Data (14-23) Used'!DV6</f>
        <v>16356.709677419356</v>
      </c>
      <c r="F6" s="100">
        <f>'Monthly Data (14-23) Used'!AG6</f>
        <v>41.5</v>
      </c>
      <c r="G6" s="100">
        <f>'Monthly Data (14-23) Used'!AF6</f>
        <v>53.099999999999994</v>
      </c>
      <c r="H6">
        <f>'Monthly Data (14-23) Used'!BY6</f>
        <v>1</v>
      </c>
      <c r="I6">
        <f>'Monthly Data (14-23) Used'!AR6</f>
        <v>152.30000000000001</v>
      </c>
      <c r="K6" s="6">
        <f t="shared" si="2"/>
        <v>3114.0572511813202</v>
      </c>
      <c r="L6" s="6">
        <f t="shared" si="3"/>
        <v>202.83945743535847</v>
      </c>
      <c r="M6" s="6">
        <f t="shared" si="4"/>
        <v>1090.1071723756038</v>
      </c>
      <c r="N6" s="6">
        <f t="shared" si="7"/>
        <v>-1472.0035230159101</v>
      </c>
      <c r="O6" s="6">
        <f t="shared" si="8"/>
        <v>14581.207551736054</v>
      </c>
      <c r="P6" s="6">
        <f t="shared" si="5"/>
        <v>17516.207909712426</v>
      </c>
      <c r="Q6" s="6">
        <f>'Monthly Data (14-23) Used'!DU6</f>
        <v>6</v>
      </c>
      <c r="R6">
        <f>'Monthly Data (14-23) Used'!CB6</f>
        <v>31</v>
      </c>
      <c r="S6" s="6">
        <f t="shared" si="9"/>
        <v>3258014.6712065116</v>
      </c>
      <c r="T6" s="6">
        <f t="shared" si="10"/>
        <v>1159.49823229307</v>
      </c>
      <c r="U6" s="14">
        <f t="shared" si="6"/>
        <v>7.0888232117598315E-2</v>
      </c>
    </row>
    <row r="7" spans="1:35">
      <c r="A7" s="197">
        <v>41791</v>
      </c>
      <c r="B7">
        <f t="shared" si="0"/>
        <v>6</v>
      </c>
      <c r="C7">
        <f t="shared" si="1"/>
        <v>2014</v>
      </c>
      <c r="D7" s="6">
        <f>'Monthly Data (14-23) Used'!X7</f>
        <v>3409531</v>
      </c>
      <c r="E7" s="6">
        <f>'Monthly Data (14-23) Used'!DV7</f>
        <v>18941.838888888891</v>
      </c>
      <c r="F7" s="100">
        <f>'Monthly Data (14-23) Used'!AG7</f>
        <v>0</v>
      </c>
      <c r="G7" s="100">
        <f>'Monthly Data (14-23) Used'!AF7</f>
        <v>160.5</v>
      </c>
      <c r="H7">
        <f>'Monthly Data (14-23) Used'!BY7</f>
        <v>0</v>
      </c>
      <c r="I7">
        <f>'Monthly Data (14-23) Used'!AR7</f>
        <v>150.9</v>
      </c>
      <c r="K7" s="6">
        <f t="shared" si="2"/>
        <v>3114.0572511813202</v>
      </c>
      <c r="L7" s="6">
        <f t="shared" si="3"/>
        <v>0</v>
      </c>
      <c r="M7" s="6">
        <f t="shared" si="4"/>
        <v>3294.9567074629836</v>
      </c>
      <c r="N7" s="6">
        <f t="shared" si="7"/>
        <v>0</v>
      </c>
      <c r="O7" s="6">
        <f t="shared" si="8"/>
        <v>14447.171500702367</v>
      </c>
      <c r="P7" s="6">
        <f t="shared" si="5"/>
        <v>20856.185459346671</v>
      </c>
      <c r="Q7" s="6">
        <f>'Monthly Data (14-23) Used'!DU7</f>
        <v>6</v>
      </c>
      <c r="R7">
        <f>'Monthly Data (14-23) Used'!CB7</f>
        <v>30</v>
      </c>
      <c r="S7" s="6">
        <f t="shared" si="9"/>
        <v>3754113.3826824008</v>
      </c>
      <c r="T7" s="6">
        <f t="shared" si="10"/>
        <v>1914.3465704577793</v>
      </c>
      <c r="U7" s="14">
        <f t="shared" si="6"/>
        <v>0.1010644521731582</v>
      </c>
      <c r="Y7" t="s">
        <v>217</v>
      </c>
      <c r="Z7" t="s">
        <v>218</v>
      </c>
      <c r="AA7" t="s">
        <v>219</v>
      </c>
      <c r="AB7" t="s">
        <v>220</v>
      </c>
    </row>
    <row r="8" spans="1:35">
      <c r="A8" s="197">
        <v>41821</v>
      </c>
      <c r="B8">
        <f t="shared" si="0"/>
        <v>7</v>
      </c>
      <c r="C8">
        <f t="shared" si="1"/>
        <v>2014</v>
      </c>
      <c r="D8" s="6">
        <f>'Monthly Data (14-23) Used'!X8</f>
        <v>3573547</v>
      </c>
      <c r="E8" s="6">
        <f>'Monthly Data (14-23) Used'!DV8</f>
        <v>19212.618279569891</v>
      </c>
      <c r="F8" s="100">
        <f>'Monthly Data (14-23) Used'!AG8</f>
        <v>0</v>
      </c>
      <c r="G8" s="100">
        <f>'Monthly Data (14-23) Used'!AF8</f>
        <v>142.1</v>
      </c>
      <c r="H8">
        <f>'Monthly Data (14-23) Used'!BY8</f>
        <v>0</v>
      </c>
      <c r="I8">
        <f>'Monthly Data (14-23) Used'!AR8</f>
        <v>152.4</v>
      </c>
      <c r="K8" s="6">
        <f t="shared" si="2"/>
        <v>3114.0572511813202</v>
      </c>
      <c r="L8" s="6">
        <f t="shared" si="3"/>
        <v>0</v>
      </c>
      <c r="M8" s="6">
        <f t="shared" si="4"/>
        <v>2917.2171223083487</v>
      </c>
      <c r="N8" s="6">
        <f t="shared" si="7"/>
        <v>0</v>
      </c>
      <c r="O8" s="6">
        <f t="shared" si="8"/>
        <v>14590.781555381316</v>
      </c>
      <c r="P8" s="6">
        <f t="shared" si="5"/>
        <v>20622.055928870985</v>
      </c>
      <c r="Q8" s="6">
        <f>'Monthly Data (14-23) Used'!DU8</f>
        <v>6</v>
      </c>
      <c r="R8">
        <f>'Monthly Data (14-23) Used'!CB8</f>
        <v>31</v>
      </c>
      <c r="S8" s="6">
        <f t="shared" si="9"/>
        <v>3835702.4027700033</v>
      </c>
      <c r="T8" s="6">
        <f t="shared" si="10"/>
        <v>1409.4376493010932</v>
      </c>
      <c r="U8" s="14">
        <f t="shared" si="6"/>
        <v>7.3359998558855763E-2</v>
      </c>
      <c r="X8" t="s">
        <v>221</v>
      </c>
      <c r="Y8" s="6">
        <v>3114.0572511813202</v>
      </c>
      <c r="Z8" s="64">
        <v>5562.29312451032</v>
      </c>
      <c r="AA8" s="75">
        <v>0.55985133855301195</v>
      </c>
      <c r="AB8" s="192">
        <v>0.57666972006857498</v>
      </c>
    </row>
    <row r="9" spans="1:35">
      <c r="A9" s="197">
        <v>41852</v>
      </c>
      <c r="B9">
        <f t="shared" si="0"/>
        <v>8</v>
      </c>
      <c r="C9">
        <f t="shared" si="1"/>
        <v>2014</v>
      </c>
      <c r="D9" s="6">
        <f>'Monthly Data (14-23) Used'!X9</f>
        <v>2693259</v>
      </c>
      <c r="E9" s="6">
        <f>'Monthly Data (14-23) Used'!DV9</f>
        <v>14479.887096774195</v>
      </c>
      <c r="F9" s="100">
        <f>'Monthly Data (14-23) Used'!AG9</f>
        <v>0</v>
      </c>
      <c r="G9" s="100">
        <f>'Monthly Data (14-23) Used'!AF9</f>
        <v>154</v>
      </c>
      <c r="H9">
        <f>'Monthly Data (14-23) Used'!BY9</f>
        <v>0</v>
      </c>
      <c r="I9">
        <f>'Monthly Data (14-23) Used'!AR9</f>
        <v>153.9</v>
      </c>
      <c r="K9" s="6">
        <f t="shared" si="2"/>
        <v>3114.0572511813202</v>
      </c>
      <c r="L9" s="6">
        <f t="shared" si="3"/>
        <v>0</v>
      </c>
      <c r="M9" s="6">
        <f t="shared" si="4"/>
        <v>3161.5160931420528</v>
      </c>
      <c r="N9" s="6">
        <f t="shared" si="7"/>
        <v>0</v>
      </c>
      <c r="O9" s="6">
        <f t="shared" si="8"/>
        <v>14734.391610060266</v>
      </c>
      <c r="P9" s="6">
        <f t="shared" si="5"/>
        <v>21009.964954383639</v>
      </c>
      <c r="Q9" s="6">
        <f>'Monthly Data (14-23) Used'!DU9</f>
        <v>6</v>
      </c>
      <c r="R9">
        <f>'Monthly Data (14-23) Used'!CB9</f>
        <v>31</v>
      </c>
      <c r="S9" s="6">
        <f t="shared" si="9"/>
        <v>3907853.4815153563</v>
      </c>
      <c r="T9" s="6">
        <f t="shared" si="10"/>
        <v>6530.0778576094435</v>
      </c>
      <c r="U9" s="14">
        <f t="shared" si="6"/>
        <v>0.45097574407636115</v>
      </c>
      <c r="X9" t="s">
        <v>32</v>
      </c>
      <c r="Y9" s="6">
        <v>4.8876977695267101</v>
      </c>
      <c r="Z9" s="64">
        <v>1.36887142561649</v>
      </c>
      <c r="AA9" s="75">
        <v>3.5706039866567099</v>
      </c>
      <c r="AB9" s="192">
        <v>5.2105768487223998E-4</v>
      </c>
      <c r="AH9" s="18"/>
      <c r="AI9" s="18"/>
    </row>
    <row r="10" spans="1:35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Used'!X10</f>
        <v>3111799</v>
      </c>
      <c r="E10" s="6">
        <f>'Monthly Data (14-23) Used'!DV10</f>
        <v>17287.772222222222</v>
      </c>
      <c r="F10" s="100">
        <f>'Monthly Data (14-23) Used'!AG10</f>
        <v>19.5</v>
      </c>
      <c r="G10" s="100">
        <f>'Monthly Data (14-23) Used'!AF10</f>
        <v>54.7</v>
      </c>
      <c r="H10">
        <f>'Monthly Data (14-23) Used'!BY10</f>
        <v>0</v>
      </c>
      <c r="I10">
        <f>'Monthly Data (14-23) Used'!AR10</f>
        <v>157</v>
      </c>
      <c r="K10" s="6">
        <f t="shared" si="2"/>
        <v>3114.0572511813202</v>
      </c>
      <c r="L10" s="6">
        <f t="shared" si="3"/>
        <v>95.310106505770847</v>
      </c>
      <c r="M10" s="6">
        <f t="shared" si="4"/>
        <v>1122.9540928238332</v>
      </c>
      <c r="N10" s="6">
        <f t="shared" si="7"/>
        <v>0</v>
      </c>
      <c r="O10" s="6">
        <f t="shared" si="8"/>
        <v>15031.185723063429</v>
      </c>
      <c r="P10" s="6">
        <f t="shared" si="5"/>
        <v>19363.507173574355</v>
      </c>
      <c r="Q10" s="6">
        <f>'Monthly Data (14-23) Used'!DU10</f>
        <v>6</v>
      </c>
      <c r="R10">
        <f>'Monthly Data (14-23) Used'!CB10</f>
        <v>30</v>
      </c>
      <c r="S10" s="6">
        <f t="shared" si="9"/>
        <v>3485431.2912433837</v>
      </c>
      <c r="T10" s="6">
        <f t="shared" si="10"/>
        <v>2075.7349513521331</v>
      </c>
      <c r="U10" s="14">
        <f t="shared" si="6"/>
        <v>0.12006954537982176</v>
      </c>
      <c r="X10" t="s">
        <v>31</v>
      </c>
      <c r="Y10" s="6">
        <v>20.529325280143201</v>
      </c>
      <c r="Z10" s="64">
        <v>3.4952879307953402</v>
      </c>
      <c r="AA10" s="75">
        <v>5.8734289382196501</v>
      </c>
      <c r="AB10" s="192">
        <v>4.22856546176716E-8</v>
      </c>
      <c r="AH10" s="18"/>
      <c r="AI10" s="18"/>
    </row>
    <row r="11" spans="1:35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Used'!X11</f>
        <v>2963385</v>
      </c>
      <c r="E11" s="6">
        <f>'Monthly Data (14-23) Used'!DV11</f>
        <v>15932.177419354839</v>
      </c>
      <c r="F11" s="100">
        <f>'Monthly Data (14-23) Used'!AG11</f>
        <v>107.70000000000003</v>
      </c>
      <c r="G11" s="100">
        <f>'Monthly Data (14-23) Used'!AF11</f>
        <v>2.6999999999999993</v>
      </c>
      <c r="H11">
        <f>'Monthly Data (14-23) Used'!BY11</f>
        <v>0</v>
      </c>
      <c r="I11">
        <f>'Monthly Data (14-23) Used'!AR11</f>
        <v>158.5</v>
      </c>
      <c r="K11" s="6">
        <f t="shared" si="2"/>
        <v>3114.0572511813202</v>
      </c>
      <c r="L11" s="6">
        <f t="shared" si="3"/>
        <v>526.40504977802686</v>
      </c>
      <c r="M11" s="6">
        <f t="shared" si="4"/>
        <v>55.429178256386628</v>
      </c>
      <c r="N11" s="6">
        <f t="shared" si="7"/>
        <v>0</v>
      </c>
      <c r="O11" s="6">
        <f t="shared" si="8"/>
        <v>15174.795777742378</v>
      </c>
      <c r="P11" s="6">
        <f t="shared" si="5"/>
        <v>18870.68725695811</v>
      </c>
      <c r="Q11" s="6">
        <f>'Monthly Data (14-23) Used'!DU11</f>
        <v>6</v>
      </c>
      <c r="R11">
        <f>'Monthly Data (14-23) Used'!CB11</f>
        <v>31</v>
      </c>
      <c r="S11" s="6">
        <f t="shared" si="9"/>
        <v>3509947.8297942085</v>
      </c>
      <c r="T11" s="6">
        <f t="shared" si="10"/>
        <v>2938.5098376032711</v>
      </c>
      <c r="U11" s="14">
        <f t="shared" si="6"/>
        <v>0.18443868407048306</v>
      </c>
      <c r="X11" t="s">
        <v>76</v>
      </c>
      <c r="Y11" s="6">
        <v>-1472.0035230159101</v>
      </c>
      <c r="Z11" s="64">
        <v>457.74552096907701</v>
      </c>
      <c r="AA11" s="75">
        <v>-3.2157682720730598</v>
      </c>
      <c r="AB11" s="192">
        <v>1.6894057150997699E-3</v>
      </c>
      <c r="AH11" s="18"/>
      <c r="AI11" s="18"/>
    </row>
    <row r="12" spans="1:35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Used'!X12</f>
        <v>3181573</v>
      </c>
      <c r="E12" s="6">
        <f>'Monthly Data (14-23) Used'!DV12</f>
        <v>17675.405555555557</v>
      </c>
      <c r="F12" s="100">
        <f>'Monthly Data (14-23) Used'!AG12</f>
        <v>359.30000000000007</v>
      </c>
      <c r="G12" s="100">
        <f>'Monthly Data (14-23) Used'!AF12</f>
        <v>0</v>
      </c>
      <c r="H12">
        <f>'Monthly Data (14-23) Used'!BY12</f>
        <v>0</v>
      </c>
      <c r="I12">
        <f>'Monthly Data (14-23) Used'!AR12</f>
        <v>159.69999999999999</v>
      </c>
      <c r="K12" s="6">
        <f t="shared" si="2"/>
        <v>3114.0572511813202</v>
      </c>
      <c r="L12" s="6">
        <f t="shared" si="3"/>
        <v>1756.1498085909473</v>
      </c>
      <c r="M12" s="6">
        <f t="shared" si="4"/>
        <v>0</v>
      </c>
      <c r="N12" s="6">
        <f t="shared" si="7"/>
        <v>0</v>
      </c>
      <c r="O12" s="6">
        <f t="shared" si="8"/>
        <v>15289.683821485538</v>
      </c>
      <c r="P12" s="6">
        <f t="shared" si="5"/>
        <v>20159.890881257805</v>
      </c>
      <c r="Q12" s="6">
        <f>'Monthly Data (14-23) Used'!DU12</f>
        <v>6</v>
      </c>
      <c r="R12">
        <f>'Monthly Data (14-23) Used'!CB12</f>
        <v>30</v>
      </c>
      <c r="S12" s="6">
        <f t="shared" si="9"/>
        <v>3628780.3586264052</v>
      </c>
      <c r="T12" s="6">
        <f t="shared" si="10"/>
        <v>2484.4853257022478</v>
      </c>
      <c r="U12" s="14">
        <f t="shared" si="6"/>
        <v>0.14056171542391283</v>
      </c>
      <c r="X12" t="s">
        <v>222</v>
      </c>
      <c r="Y12" s="6">
        <v>95.740036452633305</v>
      </c>
      <c r="Z12" s="64">
        <v>33.346437245493199</v>
      </c>
      <c r="AA12" s="75">
        <v>2.8710724251530899</v>
      </c>
      <c r="AB12" s="192">
        <v>4.8710765656151999E-3</v>
      </c>
      <c r="AH12" s="18"/>
      <c r="AI12" s="18"/>
    </row>
    <row r="13" spans="1:35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Used'!X13</f>
        <v>3333306</v>
      </c>
      <c r="E13" s="6">
        <f>'Monthly Data (14-23) Used'!DV13</f>
        <v>17921</v>
      </c>
      <c r="F13" s="100">
        <f>'Monthly Data (14-23) Used'!AG13</f>
        <v>421.2</v>
      </c>
      <c r="G13" s="100">
        <f>'Monthly Data (14-23) Used'!AF13</f>
        <v>0</v>
      </c>
      <c r="H13">
        <f>'Monthly Data (14-23) Used'!BY13</f>
        <v>0</v>
      </c>
      <c r="I13">
        <f>'Monthly Data (14-23) Used'!AR13</f>
        <v>161.4</v>
      </c>
      <c r="K13" s="6">
        <f t="shared" si="2"/>
        <v>3114.0572511813202</v>
      </c>
      <c r="L13" s="6">
        <f t="shared" si="3"/>
        <v>2058.6983005246502</v>
      </c>
      <c r="M13" s="6">
        <f t="shared" si="4"/>
        <v>0</v>
      </c>
      <c r="N13" s="6">
        <f t="shared" si="7"/>
        <v>0</v>
      </c>
      <c r="O13" s="6">
        <f t="shared" si="8"/>
        <v>15452.441883455016</v>
      </c>
      <c r="P13" s="6">
        <f t="shared" si="5"/>
        <v>20625.197435160986</v>
      </c>
      <c r="Q13" s="6">
        <f>'Monthly Data (14-23) Used'!DU13</f>
        <v>6</v>
      </c>
      <c r="R13">
        <f>'Monthly Data (14-23) Used'!CB13</f>
        <v>31</v>
      </c>
      <c r="S13" s="6">
        <f t="shared" si="9"/>
        <v>3836286.7229399434</v>
      </c>
      <c r="T13" s="6">
        <f t="shared" si="10"/>
        <v>2704.1974351609861</v>
      </c>
      <c r="U13" s="14">
        <f t="shared" si="6"/>
        <v>0.15089545422470765</v>
      </c>
      <c r="Y13" s="6"/>
      <c r="Z13" s="64"/>
      <c r="AA13" s="75"/>
      <c r="AB13" s="192"/>
      <c r="AH13" s="18"/>
    </row>
    <row r="14" spans="1:35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Used'!X14</f>
        <v>3747992</v>
      </c>
      <c r="E14" s="6">
        <f>'Monthly Data (14-23) Used'!DV14</f>
        <v>20150.494623655915</v>
      </c>
      <c r="F14" s="100">
        <f>'Monthly Data (14-23) Used'!AG14</f>
        <v>642.9</v>
      </c>
      <c r="G14" s="100">
        <f>'Monthly Data (14-23) Used'!AF14</f>
        <v>0</v>
      </c>
      <c r="H14">
        <f>'Monthly Data (14-23) Used'!BY14</f>
        <v>0</v>
      </c>
      <c r="I14">
        <f>'Monthly Data (14-23) Used'!AR14</f>
        <v>162.19999999999999</v>
      </c>
      <c r="K14" s="6">
        <f t="shared" si="2"/>
        <v>3114.0572511813202</v>
      </c>
      <c r="L14" s="6">
        <f t="shared" si="3"/>
        <v>3142.3008960287216</v>
      </c>
      <c r="M14" s="6">
        <f t="shared" si="4"/>
        <v>0</v>
      </c>
      <c r="N14" s="6">
        <f t="shared" si="7"/>
        <v>0</v>
      </c>
      <c r="O14" s="6">
        <f t="shared" si="8"/>
        <v>15529.03391261712</v>
      </c>
      <c r="P14" s="6">
        <f t="shared" si="5"/>
        <v>21785.392059827162</v>
      </c>
      <c r="Q14" s="6">
        <f>'Monthly Data (14-23) Used'!DU14</f>
        <v>6</v>
      </c>
      <c r="R14">
        <f>'Monthly Data (14-23) Used'!CB14</f>
        <v>31</v>
      </c>
      <c r="S14" s="6">
        <f t="shared" si="9"/>
        <v>4052082.9231278519</v>
      </c>
      <c r="T14" s="6">
        <f t="shared" si="10"/>
        <v>1634.8974361712462</v>
      </c>
      <c r="U14" s="14">
        <f t="shared" si="6"/>
        <v>8.1134357578098296E-2</v>
      </c>
      <c r="X14" t="s">
        <v>223</v>
      </c>
      <c r="Y14" s="6"/>
      <c r="AA14" s="193"/>
      <c r="AB14" s="192"/>
      <c r="AI14" s="18"/>
    </row>
    <row r="15" spans="1:35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Used'!X15</f>
        <v>3564671</v>
      </c>
      <c r="E15" s="6">
        <f>'Monthly Data (14-23) Used'!DV15</f>
        <v>21218.27976190476</v>
      </c>
      <c r="F15" s="100">
        <f>'Monthly Data (14-23) Used'!AG15</f>
        <v>699.10000000000014</v>
      </c>
      <c r="G15" s="100">
        <f>'Monthly Data (14-23) Used'!AF15</f>
        <v>0</v>
      </c>
      <c r="H15">
        <f>'Monthly Data (14-23) Used'!BY15</f>
        <v>0</v>
      </c>
      <c r="I15">
        <f>'Monthly Data (14-23) Used'!AR15</f>
        <v>162.80000000000001</v>
      </c>
      <c r="K15" s="6">
        <f t="shared" si="2"/>
        <v>3114.0572511813202</v>
      </c>
      <c r="L15" s="6">
        <f t="shared" si="3"/>
        <v>3416.9895106761237</v>
      </c>
      <c r="M15" s="6">
        <f t="shared" si="4"/>
        <v>0</v>
      </c>
      <c r="N15" s="6">
        <f t="shared" si="7"/>
        <v>0</v>
      </c>
      <c r="O15" s="6">
        <f t="shared" si="8"/>
        <v>15586.477934488703</v>
      </c>
      <c r="P15" s="6">
        <f t="shared" si="5"/>
        <v>22117.524696346147</v>
      </c>
      <c r="Q15" s="6">
        <f>'Monthly Data (14-23) Used'!DU15</f>
        <v>6</v>
      </c>
      <c r="R15">
        <f>'Monthly Data (14-23) Used'!CB15</f>
        <v>28</v>
      </c>
      <c r="S15" s="6">
        <f t="shared" si="9"/>
        <v>3715744.1489861533</v>
      </c>
      <c r="T15" s="6">
        <f t="shared" si="10"/>
        <v>899.24493444138716</v>
      </c>
      <c r="U15" s="14">
        <f t="shared" si="6"/>
        <v>4.2380671031394777E-2</v>
      </c>
      <c r="X15" t="s">
        <v>226</v>
      </c>
      <c r="Y15" s="193">
        <v>320088830.35051799</v>
      </c>
      <c r="Z15" t="s">
        <v>227</v>
      </c>
      <c r="AA15" s="193">
        <v>1668.34682649705</v>
      </c>
    </row>
    <row r="16" spans="1:35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Used'!X16</f>
        <v>3449912</v>
      </c>
      <c r="E16" s="6">
        <f>'Monthly Data (14-23) Used'!DV16</f>
        <v>18547.913978494624</v>
      </c>
      <c r="F16" s="100">
        <f>'Monthly Data (14-23) Used'!AG16</f>
        <v>441.3</v>
      </c>
      <c r="G16" s="100">
        <f>'Monthly Data (14-23) Used'!AF16</f>
        <v>0</v>
      </c>
      <c r="H16">
        <f>'Monthly Data (14-23) Used'!BY16</f>
        <v>1</v>
      </c>
      <c r="I16">
        <f>'Monthly Data (14-23) Used'!AR16</f>
        <v>161.30000000000001</v>
      </c>
      <c r="K16" s="6">
        <f t="shared" si="2"/>
        <v>3114.0572511813202</v>
      </c>
      <c r="L16" s="6">
        <f t="shared" si="3"/>
        <v>2156.9410256921374</v>
      </c>
      <c r="M16" s="6">
        <f t="shared" si="4"/>
        <v>0</v>
      </c>
      <c r="N16" s="6">
        <f t="shared" si="7"/>
        <v>-1472.0035230159101</v>
      </c>
      <c r="O16" s="6">
        <f t="shared" si="8"/>
        <v>15442.867879809754</v>
      </c>
      <c r="P16" s="6">
        <f t="shared" si="5"/>
        <v>19241.862633667301</v>
      </c>
      <c r="Q16" s="6">
        <f>'Monthly Data (14-23) Used'!DU16</f>
        <v>6</v>
      </c>
      <c r="R16">
        <f>'Monthly Data (14-23) Used'!CB16</f>
        <v>31</v>
      </c>
      <c r="S16" s="6">
        <f t="shared" si="9"/>
        <v>3578986.4498621179</v>
      </c>
      <c r="T16" s="6">
        <f t="shared" si="10"/>
        <v>693.94865517267681</v>
      </c>
      <c r="U16" s="14">
        <f t="shared" si="6"/>
        <v>3.7413838341997678E-2</v>
      </c>
      <c r="X16" t="s">
        <v>228</v>
      </c>
      <c r="Y16" s="193">
        <v>0.67773856578926395</v>
      </c>
      <c r="Z16" t="s">
        <v>229</v>
      </c>
      <c r="AA16" s="193">
        <v>0.66652947242541305</v>
      </c>
    </row>
    <row r="17" spans="1:34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Used'!X17</f>
        <v>3013821</v>
      </c>
      <c r="E17" s="6">
        <f>'Monthly Data (14-23) Used'!DV17</f>
        <v>16743.45</v>
      </c>
      <c r="F17" s="100">
        <f>'Monthly Data (14-23) Used'!AG17</f>
        <v>164.10000000000002</v>
      </c>
      <c r="G17" s="100">
        <f>'Monthly Data (14-23) Used'!AF17</f>
        <v>0</v>
      </c>
      <c r="H17">
        <f>'Monthly Data (14-23) Used'!BY17</f>
        <v>1</v>
      </c>
      <c r="I17">
        <f>'Monthly Data (14-23) Used'!AR17</f>
        <v>160.69999999999999</v>
      </c>
      <c r="K17" s="6">
        <f t="shared" si="2"/>
        <v>3114.0572511813202</v>
      </c>
      <c r="L17" s="6">
        <f t="shared" si="3"/>
        <v>802.07120397933329</v>
      </c>
      <c r="M17" s="6">
        <f t="shared" si="4"/>
        <v>0</v>
      </c>
      <c r="N17" s="6">
        <f t="shared" si="7"/>
        <v>-1472.0035230159101</v>
      </c>
      <c r="O17" s="6">
        <f t="shared" si="8"/>
        <v>15385.423857938171</v>
      </c>
      <c r="P17" s="6">
        <f t="shared" si="5"/>
        <v>17829.548790082914</v>
      </c>
      <c r="Q17" s="6">
        <f>'Monthly Data (14-23) Used'!DU17</f>
        <v>6</v>
      </c>
      <c r="R17">
        <f>'Monthly Data (14-23) Used'!CB17</f>
        <v>30</v>
      </c>
      <c r="S17" s="6">
        <f t="shared" si="9"/>
        <v>3209318.7822149242</v>
      </c>
      <c r="T17" s="6">
        <f t="shared" si="10"/>
        <v>1086.0987900829132</v>
      </c>
      <c r="U17" s="14">
        <f t="shared" si="6"/>
        <v>6.4867084745552028E-2</v>
      </c>
      <c r="X17" t="s">
        <v>266</v>
      </c>
      <c r="Y17" s="75">
        <v>24.6302569981099</v>
      </c>
      <c r="Z17" t="s">
        <v>231</v>
      </c>
      <c r="AA17" s="105">
        <v>9.7076196440675402E-15</v>
      </c>
    </row>
    <row r="18" spans="1:34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Used'!X18</f>
        <v>2960403</v>
      </c>
      <c r="E18" s="6">
        <f>'Monthly Data (14-23) Used'!DV18</f>
        <v>15916.145161290324</v>
      </c>
      <c r="F18" s="100">
        <f>'Monthly Data (14-23) Used'!AG18</f>
        <v>27.5</v>
      </c>
      <c r="G18" s="100">
        <f>'Monthly Data (14-23) Used'!AF18</f>
        <v>74.399999999999991</v>
      </c>
      <c r="H18">
        <f>'Monthly Data (14-23) Used'!BY18</f>
        <v>1</v>
      </c>
      <c r="I18">
        <f>'Monthly Data (14-23) Used'!AR18</f>
        <v>161.19999999999999</v>
      </c>
      <c r="K18" s="6">
        <f t="shared" si="2"/>
        <v>3114.0572511813202</v>
      </c>
      <c r="L18" s="6">
        <f t="shared" si="3"/>
        <v>134.41168866198453</v>
      </c>
      <c r="M18" s="6">
        <f t="shared" si="4"/>
        <v>1527.381800842654</v>
      </c>
      <c r="N18" s="6">
        <f t="shared" si="7"/>
        <v>-1472.0035230159101</v>
      </c>
      <c r="O18" s="6">
        <f t="shared" si="8"/>
        <v>15433.293876164487</v>
      </c>
      <c r="P18" s="6">
        <f t="shared" si="5"/>
        <v>18737.141093834536</v>
      </c>
      <c r="Q18" s="6">
        <f>'Monthly Data (14-23) Used'!DU18</f>
        <v>6</v>
      </c>
      <c r="R18">
        <f>'Monthly Data (14-23) Used'!CB18</f>
        <v>31</v>
      </c>
      <c r="S18" s="6">
        <f t="shared" si="9"/>
        <v>3485108.2434532237</v>
      </c>
      <c r="T18" s="6">
        <f t="shared" si="10"/>
        <v>2820.9959325442123</v>
      </c>
      <c r="U18" s="14">
        <f t="shared" si="6"/>
        <v>0.17724115380683761</v>
      </c>
      <c r="X18" t="s">
        <v>232</v>
      </c>
      <c r="Y18" s="75">
        <v>-0.210750263289294</v>
      </c>
      <c r="Z18" t="s">
        <v>233</v>
      </c>
      <c r="AA18" s="105">
        <v>2.3884880066109102</v>
      </c>
    </row>
    <row r="19" spans="1:34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Used'!X19</f>
        <v>3221522</v>
      </c>
      <c r="E19" s="6">
        <f>'Monthly Data (14-23) Used'!DV19</f>
        <v>17897.344444444443</v>
      </c>
      <c r="F19" s="100">
        <f>'Monthly Data (14-23) Used'!AG19</f>
        <v>2.7000000000000011</v>
      </c>
      <c r="G19" s="100">
        <f>'Monthly Data (14-23) Used'!AF19</f>
        <v>112.89999999999998</v>
      </c>
      <c r="H19">
        <f>'Monthly Data (14-23) Used'!BY19</f>
        <v>0</v>
      </c>
      <c r="I19">
        <f>'Monthly Data (14-23) Used'!AR19</f>
        <v>162.5</v>
      </c>
      <c r="K19" s="6">
        <f t="shared" si="2"/>
        <v>3114.0572511813202</v>
      </c>
      <c r="L19" s="6">
        <f t="shared" si="3"/>
        <v>13.196783977722122</v>
      </c>
      <c r="M19" s="6">
        <f t="shared" si="4"/>
        <v>2317.7608241281669</v>
      </c>
      <c r="N19" s="6">
        <f t="shared" si="7"/>
        <v>0</v>
      </c>
      <c r="O19" s="6">
        <f t="shared" si="8"/>
        <v>15557.755923552912</v>
      </c>
      <c r="P19" s="6">
        <f t="shared" si="5"/>
        <v>21002.770782840122</v>
      </c>
      <c r="Q19" s="6">
        <f>'Monthly Data (14-23) Used'!DU19</f>
        <v>6</v>
      </c>
      <c r="R19">
        <f>'Monthly Data (14-23) Used'!CB19</f>
        <v>30</v>
      </c>
      <c r="S19" s="6">
        <f t="shared" si="9"/>
        <v>3780498.7409112221</v>
      </c>
      <c r="T19" s="6">
        <f t="shared" si="10"/>
        <v>3105.4263383956786</v>
      </c>
      <c r="U19" s="14">
        <f t="shared" si="6"/>
        <v>0.17351324650622352</v>
      </c>
      <c r="Y19" s="195"/>
      <c r="AA19" s="105"/>
    </row>
    <row r="20" spans="1:34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Used'!X20</f>
        <v>4072605</v>
      </c>
      <c r="E20" s="6">
        <f>'Monthly Data (14-23) Used'!DV20</f>
        <v>21895.72580645161</v>
      </c>
      <c r="F20" s="100">
        <f>'Monthly Data (14-23) Used'!AG20</f>
        <v>0</v>
      </c>
      <c r="G20" s="100">
        <f>'Monthly Data (14-23) Used'!AF20</f>
        <v>179.79999999999998</v>
      </c>
      <c r="H20">
        <f>'Monthly Data (14-23) Used'!BY20</f>
        <v>0</v>
      </c>
      <c r="I20">
        <f>'Monthly Data (14-23) Used'!AR20</f>
        <v>161.6</v>
      </c>
      <c r="K20" s="6">
        <f t="shared" si="2"/>
        <v>3114.0572511813202</v>
      </c>
      <c r="L20" s="6">
        <f t="shared" si="3"/>
        <v>0</v>
      </c>
      <c r="M20" s="6">
        <f t="shared" si="4"/>
        <v>3691.1726853697473</v>
      </c>
      <c r="N20" s="6">
        <f t="shared" si="7"/>
        <v>0</v>
      </c>
      <c r="O20" s="6">
        <f t="shared" si="8"/>
        <v>15471.589890745541</v>
      </c>
      <c r="P20" s="6">
        <f t="shared" si="5"/>
        <v>22276.819827296611</v>
      </c>
      <c r="Q20" s="6">
        <f>'Monthly Data (14-23) Used'!DU20</f>
        <v>6</v>
      </c>
      <c r="R20">
        <f>'Monthly Data (14-23) Used'!CB20</f>
        <v>31</v>
      </c>
      <c r="S20" s="6">
        <f t="shared" si="9"/>
        <v>4143488.4878771696</v>
      </c>
      <c r="T20" s="6">
        <f t="shared" si="10"/>
        <v>381.09402084500107</v>
      </c>
      <c r="U20" s="14">
        <f t="shared" si="6"/>
        <v>1.7404950363998032E-2</v>
      </c>
      <c r="X20" t="s">
        <v>247</v>
      </c>
      <c r="Y20" s="196"/>
      <c r="AA20" s="105"/>
      <c r="AG20" s="18"/>
      <c r="AH20" s="18"/>
    </row>
    <row r="21" spans="1:34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Used'!X21</f>
        <v>3555685</v>
      </c>
      <c r="E21" s="6">
        <f>'Monthly Data (14-23) Used'!DV21</f>
        <v>19116.586021505376</v>
      </c>
      <c r="F21" s="100">
        <f>'Monthly Data (14-23) Used'!AG21</f>
        <v>0</v>
      </c>
      <c r="G21" s="100">
        <f>'Monthly Data (14-23) Used'!AF21</f>
        <v>158.4</v>
      </c>
      <c r="H21">
        <f>'Monthly Data (14-23) Used'!BY21</f>
        <v>0</v>
      </c>
      <c r="I21">
        <f>'Monthly Data (14-23) Used'!AR21</f>
        <v>158.4</v>
      </c>
      <c r="K21" s="6">
        <f t="shared" si="2"/>
        <v>3114.0572511813202</v>
      </c>
      <c r="L21" s="6">
        <f t="shared" si="3"/>
        <v>0</v>
      </c>
      <c r="M21" s="6">
        <f t="shared" si="4"/>
        <v>3251.8451243746831</v>
      </c>
      <c r="N21" s="6">
        <f t="shared" si="7"/>
        <v>0</v>
      </c>
      <c r="O21" s="6">
        <f t="shared" si="8"/>
        <v>15165.221774097115</v>
      </c>
      <c r="P21" s="6">
        <f t="shared" si="5"/>
        <v>21531.124149653118</v>
      </c>
      <c r="Q21" s="6">
        <f>'Monthly Data (14-23) Used'!DU21</f>
        <v>6</v>
      </c>
      <c r="R21">
        <f>'Monthly Data (14-23) Used'!CB21</f>
        <v>31</v>
      </c>
      <c r="S21" s="6">
        <f t="shared" si="9"/>
        <v>4004789.0918354802</v>
      </c>
      <c r="T21" s="6">
        <f t="shared" si="10"/>
        <v>2414.5381281477421</v>
      </c>
      <c r="U21" s="14">
        <f t="shared" si="6"/>
        <v>0.12630592750355557</v>
      </c>
      <c r="X21" t="s">
        <v>224</v>
      </c>
      <c r="Y21" s="195">
        <v>20927.473591018101</v>
      </c>
      <c r="Z21" t="s">
        <v>225</v>
      </c>
      <c r="AA21" s="105">
        <v>2887.7364527997502</v>
      </c>
    </row>
    <row r="22" spans="1:34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Used'!X22</f>
        <v>3226818</v>
      </c>
      <c r="E22" s="6">
        <f>'Monthly Data (14-23) Used'!DV22</f>
        <v>17926.766666666666</v>
      </c>
      <c r="F22" s="100">
        <f>'Monthly Data (14-23) Used'!AG22</f>
        <v>0.19999999999999929</v>
      </c>
      <c r="G22" s="100">
        <f>'Monthly Data (14-23) Used'!AF22</f>
        <v>114.6</v>
      </c>
      <c r="H22">
        <f>'Monthly Data (14-23) Used'!BY22</f>
        <v>0</v>
      </c>
      <c r="I22">
        <f>'Monthly Data (14-23) Used'!AR22</f>
        <v>154.69999999999999</v>
      </c>
      <c r="K22" s="6">
        <f t="shared" si="2"/>
        <v>3114.0572511813202</v>
      </c>
      <c r="L22" s="6">
        <f t="shared" si="3"/>
        <v>0.97753955390533853</v>
      </c>
      <c r="M22" s="6">
        <f t="shared" si="4"/>
        <v>2352.6606771044108</v>
      </c>
      <c r="N22" s="6">
        <f t="shared" si="7"/>
        <v>0</v>
      </c>
      <c r="O22" s="6">
        <f t="shared" si="8"/>
        <v>14810.983639222371</v>
      </c>
      <c r="P22" s="6">
        <f t="shared" si="5"/>
        <v>20278.679107062009</v>
      </c>
      <c r="Q22" s="6">
        <f>'Monthly Data (14-23) Used'!DU22</f>
        <v>6</v>
      </c>
      <c r="R22">
        <f>'Monthly Data (14-23) Used'!CB22</f>
        <v>30</v>
      </c>
      <c r="S22" s="6">
        <f t="shared" si="9"/>
        <v>3650162.2392711616</v>
      </c>
      <c r="T22" s="6">
        <f t="shared" si="10"/>
        <v>2351.9124403953429</v>
      </c>
      <c r="U22" s="14">
        <f t="shared" si="6"/>
        <v>0.13119557386600722</v>
      </c>
    </row>
    <row r="23" spans="1:34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Used'!X23</f>
        <v>2870641</v>
      </c>
      <c r="E23" s="6">
        <f>'Monthly Data (14-23) Used'!DV23</f>
        <v>15433.553763440861</v>
      </c>
      <c r="F23" s="100">
        <f>'Monthly Data (14-23) Used'!AG23</f>
        <v>92.5</v>
      </c>
      <c r="G23" s="100">
        <f>'Monthly Data (14-23) Used'!AF23</f>
        <v>7.0999999999999979</v>
      </c>
      <c r="H23">
        <f>'Monthly Data (14-23) Used'!BY23</f>
        <v>0</v>
      </c>
      <c r="I23">
        <f>'Monthly Data (14-23) Used'!AR23</f>
        <v>153.1</v>
      </c>
      <c r="K23" s="6">
        <f t="shared" si="2"/>
        <v>3114.0572511813202</v>
      </c>
      <c r="L23" s="6">
        <f t="shared" si="3"/>
        <v>452.11204368122071</v>
      </c>
      <c r="M23" s="6">
        <f t="shared" si="4"/>
        <v>145.75820948901668</v>
      </c>
      <c r="N23" s="6">
        <f t="shared" si="7"/>
        <v>0</v>
      </c>
      <c r="O23" s="6">
        <f t="shared" si="8"/>
        <v>14657.799580898158</v>
      </c>
      <c r="P23" s="6">
        <f t="shared" si="5"/>
        <v>18369.727085249717</v>
      </c>
      <c r="Q23" s="6">
        <f>'Monthly Data (14-23) Used'!DU23</f>
        <v>6</v>
      </c>
      <c r="R23">
        <f>'Monthly Data (14-23) Used'!CB23</f>
        <v>31</v>
      </c>
      <c r="S23" s="6">
        <f t="shared" si="9"/>
        <v>3416769.2378564472</v>
      </c>
      <c r="T23" s="6">
        <f t="shared" si="10"/>
        <v>2936.1733218088557</v>
      </c>
      <c r="U23" s="14">
        <f t="shared" si="6"/>
        <v>0.19024609411502419</v>
      </c>
    </row>
    <row r="24" spans="1:34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Used'!X24</f>
        <v>2607047</v>
      </c>
      <c r="E24" s="6">
        <f>'Monthly Data (14-23) Used'!DV24</f>
        <v>21725.391666666666</v>
      </c>
      <c r="F24" s="100">
        <f>'Monthly Data (14-23) Used'!AG24</f>
        <v>210.49999999999997</v>
      </c>
      <c r="G24" s="100">
        <f>'Monthly Data (14-23) Used'!AF24</f>
        <v>0.89999999999999858</v>
      </c>
      <c r="H24">
        <f>'Monthly Data (14-23) Used'!BY24</f>
        <v>0</v>
      </c>
      <c r="I24">
        <f>'Monthly Data (14-23) Used'!AR24</f>
        <v>153.4</v>
      </c>
      <c r="K24" s="6">
        <f t="shared" si="2"/>
        <v>3114.0572511813202</v>
      </c>
      <c r="L24" s="6">
        <f t="shared" si="3"/>
        <v>1028.8603804853724</v>
      </c>
      <c r="M24" s="6">
        <f t="shared" si="4"/>
        <v>18.476392752128852</v>
      </c>
      <c r="N24" s="6">
        <f t="shared" si="7"/>
        <v>0</v>
      </c>
      <c r="O24" s="6">
        <f t="shared" si="8"/>
        <v>14686.521591833949</v>
      </c>
      <c r="P24" s="6">
        <f t="shared" si="5"/>
        <v>18847.915616252772</v>
      </c>
      <c r="Q24" s="6">
        <f>'Monthly Data (14-23) Used'!DU24</f>
        <v>4</v>
      </c>
      <c r="R24">
        <f>'Monthly Data (14-23) Used'!CB24</f>
        <v>30</v>
      </c>
      <c r="S24" s="6">
        <f t="shared" si="9"/>
        <v>2261749.8739503329</v>
      </c>
      <c r="T24" s="6">
        <f t="shared" si="10"/>
        <v>-2877.476050413894</v>
      </c>
      <c r="U24" s="14">
        <f t="shared" si="6"/>
        <v>0.13244760299667296</v>
      </c>
    </row>
    <row r="25" spans="1:34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Used'!X25</f>
        <v>2364501</v>
      </c>
      <c r="E25" s="6">
        <f>'Monthly Data (14-23) Used'!DV25</f>
        <v>19068.556451612902</v>
      </c>
      <c r="F25" s="100">
        <f>'Monthly Data (14-23) Used'!AG25</f>
        <v>293.29999999999995</v>
      </c>
      <c r="G25" s="100">
        <f>'Monthly Data (14-23) Used'!AF25</f>
        <v>0</v>
      </c>
      <c r="H25">
        <f>'Monthly Data (14-23) Used'!BY25</f>
        <v>0</v>
      </c>
      <c r="I25">
        <f>'Monthly Data (14-23) Used'!AR25</f>
        <v>153.9</v>
      </c>
      <c r="K25" s="6">
        <f t="shared" si="2"/>
        <v>3114.0572511813202</v>
      </c>
      <c r="L25" s="6">
        <f t="shared" si="3"/>
        <v>1433.5617558021838</v>
      </c>
      <c r="M25" s="6">
        <f t="shared" si="4"/>
        <v>0</v>
      </c>
      <c r="N25" s="6">
        <f t="shared" si="7"/>
        <v>0</v>
      </c>
      <c r="O25" s="6">
        <f t="shared" si="8"/>
        <v>14734.391610060266</v>
      </c>
      <c r="P25" s="6">
        <f t="shared" si="5"/>
        <v>19282.010617043768</v>
      </c>
      <c r="Q25" s="6">
        <f>'Monthly Data (14-23) Used'!DU25</f>
        <v>4</v>
      </c>
      <c r="R25">
        <f>'Monthly Data (14-23) Used'!CB25</f>
        <v>31</v>
      </c>
      <c r="S25" s="6">
        <f t="shared" si="9"/>
        <v>2390969.3165134271</v>
      </c>
      <c r="T25" s="6">
        <f t="shared" si="10"/>
        <v>213.45416543086685</v>
      </c>
      <c r="U25" s="14">
        <f t="shared" si="6"/>
        <v>1.1194039043936751E-2</v>
      </c>
    </row>
    <row r="26" spans="1:34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Used'!X26</f>
        <v>2580598</v>
      </c>
      <c r="E26" s="6">
        <f>'Monthly Data (14-23) Used'!DV26</f>
        <v>20811.274193548386</v>
      </c>
      <c r="F26" s="100">
        <f>'Monthly Data (14-23) Used'!AG26</f>
        <v>520.9</v>
      </c>
      <c r="G26" s="100">
        <f>'Monthly Data (14-23) Used'!AF26</f>
        <v>0</v>
      </c>
      <c r="H26">
        <f>'Monthly Data (14-23) Used'!BY26</f>
        <v>0</v>
      </c>
      <c r="I26">
        <f>'Monthly Data (14-23) Used'!AR26</f>
        <v>156</v>
      </c>
      <c r="K26" s="6">
        <f t="shared" si="2"/>
        <v>3114.0572511813202</v>
      </c>
      <c r="L26" s="6">
        <f t="shared" si="3"/>
        <v>2546.0017681464633</v>
      </c>
      <c r="M26" s="6">
        <f t="shared" si="4"/>
        <v>0</v>
      </c>
      <c r="N26" s="6">
        <f t="shared" si="7"/>
        <v>0</v>
      </c>
      <c r="O26" s="6">
        <f t="shared" si="8"/>
        <v>14935.445686610796</v>
      </c>
      <c r="P26" s="6">
        <f t="shared" si="5"/>
        <v>20595.50470593858</v>
      </c>
      <c r="Q26" s="6">
        <f>'Monthly Data (14-23) Used'!DU26</f>
        <v>4</v>
      </c>
      <c r="R26">
        <f>'Monthly Data (14-23) Used'!CB26</f>
        <v>31</v>
      </c>
      <c r="S26" s="6">
        <f t="shared" si="9"/>
        <v>2553842.5835363837</v>
      </c>
      <c r="T26" s="6">
        <f t="shared" si="10"/>
        <v>-215.76948760980667</v>
      </c>
      <c r="U26" s="14">
        <f t="shared" si="6"/>
        <v>1.0367913353267743E-2</v>
      </c>
    </row>
    <row r="27" spans="1:34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Used'!X27</f>
        <v>2518509</v>
      </c>
      <c r="E27" s="6">
        <f>'Monthly Data (14-23) Used'!DV27</f>
        <v>21711.28448275862</v>
      </c>
      <c r="F27" s="100">
        <f>'Monthly Data (14-23) Used'!AG27</f>
        <v>434.20000000000005</v>
      </c>
      <c r="G27" s="100">
        <f>'Monthly Data (14-23) Used'!AF27</f>
        <v>0</v>
      </c>
      <c r="H27">
        <f>'Monthly Data (14-23) Used'!BY27</f>
        <v>0</v>
      </c>
      <c r="I27">
        <f>'Monthly Data (14-23) Used'!AR27</f>
        <v>158.4</v>
      </c>
      <c r="K27" s="6">
        <f t="shared" si="2"/>
        <v>3114.0572511813202</v>
      </c>
      <c r="L27" s="6">
        <f t="shared" si="3"/>
        <v>2122.2383715284977</v>
      </c>
      <c r="M27" s="6">
        <f t="shared" si="4"/>
        <v>0</v>
      </c>
      <c r="N27" s="6">
        <f t="shared" si="7"/>
        <v>0</v>
      </c>
      <c r="O27" s="6">
        <f t="shared" si="8"/>
        <v>15165.221774097115</v>
      </c>
      <c r="P27" s="6">
        <f t="shared" si="5"/>
        <v>20401.517396806936</v>
      </c>
      <c r="Q27" s="6">
        <f>'Monthly Data (14-23) Used'!DU27</f>
        <v>4</v>
      </c>
      <c r="R27">
        <f>'Monthly Data (14-23) Used'!CB27</f>
        <v>29</v>
      </c>
      <c r="S27" s="6">
        <f t="shared" si="9"/>
        <v>2366576.0180296046</v>
      </c>
      <c r="T27" s="6">
        <f t="shared" si="10"/>
        <v>-1309.7670859516838</v>
      </c>
      <c r="U27" s="14">
        <f t="shared" si="6"/>
        <v>6.0326559075387594E-2</v>
      </c>
    </row>
    <row r="28" spans="1:34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Used'!X28</f>
        <v>2565586</v>
      </c>
      <c r="E28" s="6">
        <f>'Monthly Data (14-23) Used'!DV28</f>
        <v>20690.209677419356</v>
      </c>
      <c r="F28" s="100">
        <f>'Monthly Data (14-23) Used'!AG28</f>
        <v>281</v>
      </c>
      <c r="G28" s="100">
        <f>'Monthly Data (14-23) Used'!AF28</f>
        <v>0</v>
      </c>
      <c r="H28">
        <f>'Monthly Data (14-23) Used'!BY28</f>
        <v>1</v>
      </c>
      <c r="I28">
        <f>'Monthly Data (14-23) Used'!AR28</f>
        <v>160.69999999999999</v>
      </c>
      <c r="K28" s="6">
        <f t="shared" si="2"/>
        <v>3114.0572511813202</v>
      </c>
      <c r="L28" s="6">
        <f t="shared" si="3"/>
        <v>1373.4430732370056</v>
      </c>
      <c r="M28" s="6">
        <f t="shared" si="4"/>
        <v>0</v>
      </c>
      <c r="N28" s="6">
        <f t="shared" si="7"/>
        <v>-1472.0035230159101</v>
      </c>
      <c r="O28" s="6">
        <f t="shared" si="8"/>
        <v>15385.423857938171</v>
      </c>
      <c r="P28" s="6">
        <f t="shared" si="5"/>
        <v>18400.920659340587</v>
      </c>
      <c r="Q28" s="6">
        <f>'Monthly Data (14-23) Used'!DU28</f>
        <v>4</v>
      </c>
      <c r="R28">
        <f>'Monthly Data (14-23) Used'!CB28</f>
        <v>31</v>
      </c>
      <c r="S28" s="6">
        <f t="shared" si="9"/>
        <v>2281714.1617582329</v>
      </c>
      <c r="T28" s="6">
        <f t="shared" si="10"/>
        <v>-2289.289018078769</v>
      </c>
      <c r="U28" s="14">
        <f t="shared" si="6"/>
        <v>0.11064600377526512</v>
      </c>
    </row>
    <row r="29" spans="1:34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Used'!X29</f>
        <v>2289773</v>
      </c>
      <c r="E29" s="6">
        <f>'Monthly Data (14-23) Used'!DV29</f>
        <v>19081.441666666666</v>
      </c>
      <c r="F29" s="100">
        <f>'Monthly Data (14-23) Used'!AG29</f>
        <v>214.6</v>
      </c>
      <c r="G29" s="100">
        <f>'Monthly Data (14-23) Used'!AF29</f>
        <v>0</v>
      </c>
      <c r="H29">
        <f>'Monthly Data (14-23) Used'!BY29</f>
        <v>1</v>
      </c>
      <c r="I29">
        <f>'Monthly Data (14-23) Used'!AR29</f>
        <v>162.6</v>
      </c>
      <c r="K29" s="6">
        <f t="shared" si="2"/>
        <v>3114.0572511813202</v>
      </c>
      <c r="L29" s="6">
        <f t="shared" si="3"/>
        <v>1048.899941340432</v>
      </c>
      <c r="M29" s="6">
        <f t="shared" si="4"/>
        <v>0</v>
      </c>
      <c r="N29" s="6">
        <f t="shared" si="7"/>
        <v>-1472.0035230159101</v>
      </c>
      <c r="O29" s="6">
        <f t="shared" si="8"/>
        <v>15567.329927198174</v>
      </c>
      <c r="P29" s="6">
        <f t="shared" si="5"/>
        <v>18258.283596704016</v>
      </c>
      <c r="Q29" s="6">
        <f>'Monthly Data (14-23) Used'!DU29</f>
        <v>4</v>
      </c>
      <c r="R29">
        <f>'Monthly Data (14-23) Used'!CB29</f>
        <v>30</v>
      </c>
      <c r="S29" s="6">
        <f t="shared" si="9"/>
        <v>2190994.0316044819</v>
      </c>
      <c r="T29" s="6">
        <f t="shared" si="10"/>
        <v>-823.15806996265019</v>
      </c>
      <c r="U29" s="14">
        <f t="shared" si="6"/>
        <v>4.3139196940272261E-2</v>
      </c>
    </row>
    <row r="30" spans="1:34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Used'!X30</f>
        <v>2326556</v>
      </c>
      <c r="E30" s="6">
        <f>'Monthly Data (14-23) Used'!DV30</f>
        <v>18762.548387096773</v>
      </c>
      <c r="F30" s="100">
        <f>'Monthly Data (14-23) Used'!AG30</f>
        <v>46.099999999999994</v>
      </c>
      <c r="G30" s="100">
        <f>'Monthly Data (14-23) Used'!AF30</f>
        <v>55.2</v>
      </c>
      <c r="H30">
        <f>'Monthly Data (14-23) Used'!BY30</f>
        <v>1</v>
      </c>
      <c r="I30">
        <f>'Monthly Data (14-23) Used'!AR30</f>
        <v>164.5</v>
      </c>
      <c r="K30" s="6">
        <f t="shared" si="2"/>
        <v>3114.0572511813202</v>
      </c>
      <c r="L30" s="6">
        <f t="shared" si="3"/>
        <v>225.3228671751813</v>
      </c>
      <c r="M30" s="6">
        <f t="shared" si="4"/>
        <v>1133.2187554639047</v>
      </c>
      <c r="N30" s="6">
        <f t="shared" si="7"/>
        <v>-1472.0035230159101</v>
      </c>
      <c r="O30" s="6">
        <f t="shared" si="8"/>
        <v>15749.235996458179</v>
      </c>
      <c r="P30" s="6">
        <f t="shared" si="5"/>
        <v>18749.831347262676</v>
      </c>
      <c r="Q30" s="6">
        <f>'Monthly Data (14-23) Used'!DU30</f>
        <v>4</v>
      </c>
      <c r="R30">
        <f>'Monthly Data (14-23) Used'!CB30</f>
        <v>31</v>
      </c>
      <c r="S30" s="6">
        <f t="shared" si="9"/>
        <v>2324979.0870605716</v>
      </c>
      <c r="T30" s="6">
        <f t="shared" si="10"/>
        <v>-12.717039834096795</v>
      </c>
      <c r="U30" s="14">
        <f t="shared" si="6"/>
        <v>6.7778851634261224E-4</v>
      </c>
    </row>
    <row r="31" spans="1:34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Used'!X31</f>
        <v>2706683</v>
      </c>
      <c r="E31" s="6">
        <f>'Monthly Data (14-23) Used'!DV31</f>
        <v>22555.691666666666</v>
      </c>
      <c r="F31" s="100">
        <f>'Monthly Data (14-23) Used'!AG31</f>
        <v>0</v>
      </c>
      <c r="G31" s="100">
        <f>'Monthly Data (14-23) Used'!AF31</f>
        <v>155.4</v>
      </c>
      <c r="H31">
        <f>'Monthly Data (14-23) Used'!BY31</f>
        <v>0</v>
      </c>
      <c r="I31">
        <f>'Monthly Data (14-23) Used'!AR31</f>
        <v>166.4</v>
      </c>
      <c r="K31" s="6">
        <f t="shared" si="2"/>
        <v>3114.0572511813202</v>
      </c>
      <c r="L31" s="6">
        <f t="shared" si="3"/>
        <v>0</v>
      </c>
      <c r="M31" s="6">
        <f t="shared" si="4"/>
        <v>3190.2571485342537</v>
      </c>
      <c r="N31" s="6">
        <f t="shared" si="7"/>
        <v>0</v>
      </c>
      <c r="O31" s="6">
        <f t="shared" si="8"/>
        <v>15931.142065718182</v>
      </c>
      <c r="P31" s="6">
        <f t="shared" si="5"/>
        <v>22235.456465433756</v>
      </c>
      <c r="Q31" s="6">
        <f>'Monthly Data (14-23) Used'!DU31</f>
        <v>4</v>
      </c>
      <c r="R31">
        <f>'Monthly Data (14-23) Used'!CB31</f>
        <v>30</v>
      </c>
      <c r="S31" s="6">
        <f t="shared" si="9"/>
        <v>2668254.7758520506</v>
      </c>
      <c r="T31" s="6">
        <f t="shared" si="10"/>
        <v>-320.23520123291019</v>
      </c>
      <c r="U31" s="14">
        <f t="shared" si="6"/>
        <v>1.4197534084319894E-2</v>
      </c>
    </row>
    <row r="32" spans="1:34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Used'!X32</f>
        <v>3094570</v>
      </c>
      <c r="E32" s="6">
        <f>'Monthly Data (14-23) Used'!DV32</f>
        <v>24956.209677419356</v>
      </c>
      <c r="F32" s="100">
        <f>'Monthly Data (14-23) Used'!AG32</f>
        <v>0</v>
      </c>
      <c r="G32" s="100">
        <f>'Monthly Data (14-23) Used'!AF32</f>
        <v>240.29999999999998</v>
      </c>
      <c r="H32">
        <f>'Monthly Data (14-23) Used'!BY32</f>
        <v>0</v>
      </c>
      <c r="I32">
        <f>'Monthly Data (14-23) Used'!AR32</f>
        <v>167.9</v>
      </c>
      <c r="K32" s="6">
        <f t="shared" si="2"/>
        <v>3114.0572511813202</v>
      </c>
      <c r="L32" s="6">
        <f t="shared" si="3"/>
        <v>0</v>
      </c>
      <c r="M32" s="6">
        <f t="shared" si="4"/>
        <v>4933.1968648184111</v>
      </c>
      <c r="N32" s="6">
        <f t="shared" si="7"/>
        <v>0</v>
      </c>
      <c r="O32" s="6">
        <f t="shared" si="8"/>
        <v>16074.752120397132</v>
      </c>
      <c r="P32" s="6">
        <f t="shared" si="5"/>
        <v>24122.006236396861</v>
      </c>
      <c r="Q32" s="6">
        <f>'Monthly Data (14-23) Used'!DU32</f>
        <v>4</v>
      </c>
      <c r="R32">
        <f>'Monthly Data (14-23) Used'!CB32</f>
        <v>31</v>
      </c>
      <c r="S32" s="6">
        <f t="shared" si="9"/>
        <v>2991128.7733132108</v>
      </c>
      <c r="T32" s="6">
        <f t="shared" si="10"/>
        <v>-834.2034410224951</v>
      </c>
      <c r="U32" s="14">
        <f t="shared" si="6"/>
        <v>3.3426688259367017E-2</v>
      </c>
    </row>
    <row r="33" spans="1:21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Used'!X33</f>
        <v>3564597</v>
      </c>
      <c r="E33" s="6">
        <f>'Monthly Data (14-23) Used'!DV33</f>
        <v>28746.75</v>
      </c>
      <c r="F33" s="100">
        <f>'Monthly Data (14-23) Used'!AG33</f>
        <v>0</v>
      </c>
      <c r="G33" s="100">
        <f>'Monthly Data (14-23) Used'!AF33</f>
        <v>236.90000000000003</v>
      </c>
      <c r="H33">
        <f>'Monthly Data (14-23) Used'!BY33</f>
        <v>0</v>
      </c>
      <c r="I33">
        <f>'Monthly Data (14-23) Used'!AR33</f>
        <v>167.8</v>
      </c>
      <c r="K33" s="6">
        <f t="shared" si="2"/>
        <v>3114.0572511813202</v>
      </c>
      <c r="L33" s="6">
        <f t="shared" si="3"/>
        <v>0</v>
      </c>
      <c r="M33" s="6">
        <f t="shared" si="4"/>
        <v>4863.3971588659251</v>
      </c>
      <c r="N33" s="6">
        <f t="shared" si="7"/>
        <v>0</v>
      </c>
      <c r="O33" s="6">
        <f t="shared" si="8"/>
        <v>16065.178116751869</v>
      </c>
      <c r="P33" s="6">
        <f t="shared" si="5"/>
        <v>24042.632526799112</v>
      </c>
      <c r="Q33" s="6">
        <f>'Monthly Data (14-23) Used'!DU33</f>
        <v>4</v>
      </c>
      <c r="R33">
        <f>'Monthly Data (14-23) Used'!CB33</f>
        <v>31</v>
      </c>
      <c r="S33" s="6">
        <f t="shared" si="9"/>
        <v>2981286.43332309</v>
      </c>
      <c r="T33" s="6">
        <f t="shared" si="10"/>
        <v>-4704.1174732008876</v>
      </c>
      <c r="U33" s="14">
        <f t="shared" si="6"/>
        <v>0.16363997576076905</v>
      </c>
    </row>
    <row r="34" spans="1:21">
      <c r="A34" s="197">
        <v>42614</v>
      </c>
      <c r="B34">
        <f t="shared" ref="B34:B61" si="11">MONTH(A34)</f>
        <v>9</v>
      </c>
      <c r="C34">
        <f t="shared" ref="C34:C61" si="12">YEAR(A34)</f>
        <v>2016</v>
      </c>
      <c r="D34" s="6">
        <f>'Monthly Data (14-23) Used'!X34</f>
        <v>2934361</v>
      </c>
      <c r="E34" s="6">
        <f>'Monthly Data (14-23) Used'!DV34</f>
        <v>24453.008333333335</v>
      </c>
      <c r="F34" s="100">
        <f>'Monthly Data (14-23) Used'!AG34</f>
        <v>0.19999999999999929</v>
      </c>
      <c r="G34" s="100">
        <f>'Monthly Data (14-23) Used'!AF34</f>
        <v>104.9</v>
      </c>
      <c r="H34">
        <f>'Monthly Data (14-23) Used'!BY34</f>
        <v>0</v>
      </c>
      <c r="I34">
        <f>'Monthly Data (14-23) Used'!AR34</f>
        <v>167.6</v>
      </c>
      <c r="K34" s="6">
        <f t="shared" si="2"/>
        <v>3114.0572511813202</v>
      </c>
      <c r="L34" s="6">
        <f t="shared" ref="L34:L65" si="13">F34*$Y$9</f>
        <v>0.97753955390533853</v>
      </c>
      <c r="M34" s="6">
        <f t="shared" ref="M34:M65" si="14">G34*$Y$10</f>
        <v>2153.5262218870221</v>
      </c>
      <c r="N34" s="6">
        <f t="shared" si="7"/>
        <v>0</v>
      </c>
      <c r="O34" s="6">
        <f t="shared" si="8"/>
        <v>16046.030109461341</v>
      </c>
      <c r="P34" s="6">
        <f t="shared" ref="P34:P65" si="15">SUM(K34:O34)</f>
        <v>21314.591122083588</v>
      </c>
      <c r="Q34" s="6">
        <f>'Monthly Data (14-23) Used'!DU34</f>
        <v>4</v>
      </c>
      <c r="R34">
        <f>'Monthly Data (14-23) Used'!CB34</f>
        <v>30</v>
      </c>
      <c r="S34" s="6">
        <f t="shared" si="9"/>
        <v>2557750.9346500305</v>
      </c>
      <c r="T34" s="6">
        <f t="shared" si="10"/>
        <v>-3138.4172112497472</v>
      </c>
      <c r="U34" s="14">
        <f t="shared" ref="U34:U65" si="16">ABS(P34-E34)/E34</f>
        <v>0.12834483056105558</v>
      </c>
    </row>
    <row r="35" spans="1:21">
      <c r="A35" s="197">
        <v>42644</v>
      </c>
      <c r="B35">
        <f t="shared" si="11"/>
        <v>10</v>
      </c>
      <c r="C35">
        <f t="shared" si="12"/>
        <v>2016</v>
      </c>
      <c r="D35" s="6">
        <f>'Monthly Data (14-23) Used'!X35</f>
        <v>2701535</v>
      </c>
      <c r="E35" s="6">
        <f>'Monthly Data (14-23) Used'!DV35</f>
        <v>21786.572580645163</v>
      </c>
      <c r="F35" s="100">
        <f>'Monthly Data (14-23) Used'!AG35</f>
        <v>88.9</v>
      </c>
      <c r="G35" s="100">
        <f>'Monthly Data (14-23) Used'!AF35</f>
        <v>29.9</v>
      </c>
      <c r="H35">
        <f>'Monthly Data (14-23) Used'!BY35</f>
        <v>0</v>
      </c>
      <c r="I35">
        <f>'Monthly Data (14-23) Used'!AR35</f>
        <v>166.9</v>
      </c>
      <c r="K35" s="6">
        <f t="shared" si="2"/>
        <v>3114.0572511813202</v>
      </c>
      <c r="L35" s="6">
        <f t="shared" si="13"/>
        <v>434.51633171092453</v>
      </c>
      <c r="M35" s="6">
        <f t="shared" si="14"/>
        <v>613.82682587628165</v>
      </c>
      <c r="N35" s="6">
        <f t="shared" si="7"/>
        <v>0</v>
      </c>
      <c r="O35" s="6">
        <f t="shared" si="8"/>
        <v>15979.012083944499</v>
      </c>
      <c r="P35" s="6">
        <f t="shared" si="15"/>
        <v>20141.412492713025</v>
      </c>
      <c r="Q35" s="6">
        <f>'Monthly Data (14-23) Used'!DU35</f>
        <v>4</v>
      </c>
      <c r="R35">
        <f>'Monthly Data (14-23) Used'!CB35</f>
        <v>31</v>
      </c>
      <c r="S35" s="6">
        <f t="shared" si="9"/>
        <v>2497535.1490964149</v>
      </c>
      <c r="T35" s="6">
        <f t="shared" ref="T35:T66" si="17">P35-E35</f>
        <v>-1645.1600879321377</v>
      </c>
      <c r="U35" s="14">
        <f t="shared" si="16"/>
        <v>7.5512570040212348E-2</v>
      </c>
    </row>
    <row r="36" spans="1:21">
      <c r="A36" s="197">
        <v>42675</v>
      </c>
      <c r="B36">
        <f t="shared" si="11"/>
        <v>11</v>
      </c>
      <c r="C36">
        <f t="shared" si="12"/>
        <v>2016</v>
      </c>
      <c r="D36" s="6">
        <f>'Monthly Data (14-23) Used'!X36</f>
        <v>2668913</v>
      </c>
      <c r="E36" s="6">
        <f>'Monthly Data (14-23) Used'!DV36</f>
        <v>22240.941666666666</v>
      </c>
      <c r="F36" s="100">
        <f>'Monthly Data (14-23) Used'!AG36</f>
        <v>200.29999999999998</v>
      </c>
      <c r="G36" s="100">
        <f>'Monthly Data (14-23) Used'!AF36</f>
        <v>0.10000000000000142</v>
      </c>
      <c r="H36">
        <f>'Monthly Data (14-23) Used'!BY36</f>
        <v>0</v>
      </c>
      <c r="I36">
        <f>'Monthly Data (14-23) Used'!AR36</f>
        <v>163.80000000000001</v>
      </c>
      <c r="K36" s="6">
        <f t="shared" si="2"/>
        <v>3114.0572511813202</v>
      </c>
      <c r="L36" s="6">
        <f t="shared" si="13"/>
        <v>979.00586323619996</v>
      </c>
      <c r="M36" s="6">
        <f t="shared" si="14"/>
        <v>2.0529325280143493</v>
      </c>
      <c r="N36" s="6">
        <f t="shared" si="7"/>
        <v>0</v>
      </c>
      <c r="O36" s="6">
        <f t="shared" si="8"/>
        <v>15682.217970941336</v>
      </c>
      <c r="P36" s="6">
        <f t="shared" si="15"/>
        <v>19777.334017886871</v>
      </c>
      <c r="Q36" s="6">
        <f>'Monthly Data (14-23) Used'!DU36</f>
        <v>4</v>
      </c>
      <c r="R36">
        <f>'Monthly Data (14-23) Used'!CB36</f>
        <v>30</v>
      </c>
      <c r="S36" s="6">
        <f t="shared" si="9"/>
        <v>2373280.0821464243</v>
      </c>
      <c r="T36" s="6">
        <f t="shared" si="17"/>
        <v>-2463.6076487797945</v>
      </c>
      <c r="U36" s="14">
        <f t="shared" si="16"/>
        <v>0.11076903512912387</v>
      </c>
    </row>
    <row r="37" spans="1:21">
      <c r="A37" s="197">
        <v>42705</v>
      </c>
      <c r="B37">
        <f t="shared" si="11"/>
        <v>12</v>
      </c>
      <c r="C37">
        <f t="shared" si="12"/>
        <v>2016</v>
      </c>
      <c r="D37" s="6">
        <f>'Monthly Data (14-23) Used'!X37</f>
        <v>2635161</v>
      </c>
      <c r="E37" s="6">
        <f>'Monthly Data (14-23) Used'!DV37</f>
        <v>21251.298387096773</v>
      </c>
      <c r="F37" s="100">
        <f>'Monthly Data (14-23) Used'!AG37</f>
        <v>499.20000000000005</v>
      </c>
      <c r="G37" s="100">
        <f>'Monthly Data (14-23) Used'!AF37</f>
        <v>0</v>
      </c>
      <c r="H37">
        <f>'Monthly Data (14-23) Used'!BY37</f>
        <v>0</v>
      </c>
      <c r="I37">
        <f>'Monthly Data (14-23) Used'!AR37</f>
        <v>161.19999999999999</v>
      </c>
      <c r="K37" s="6">
        <f t="shared" si="2"/>
        <v>3114.0572511813202</v>
      </c>
      <c r="L37" s="6">
        <f t="shared" si="13"/>
        <v>2439.9387265477339</v>
      </c>
      <c r="M37" s="6">
        <f t="shared" si="14"/>
        <v>0</v>
      </c>
      <c r="N37" s="6">
        <f t="shared" si="7"/>
        <v>0</v>
      </c>
      <c r="O37" s="6">
        <f t="shared" si="8"/>
        <v>15433.293876164487</v>
      </c>
      <c r="P37" s="6">
        <f t="shared" si="15"/>
        <v>20987.289853893541</v>
      </c>
      <c r="Q37" s="6">
        <f>'Monthly Data (14-23) Used'!DU37</f>
        <v>4</v>
      </c>
      <c r="R37">
        <f>'Monthly Data (14-23) Used'!CB37</f>
        <v>31</v>
      </c>
      <c r="S37" s="6">
        <f t="shared" si="9"/>
        <v>2602423.9418827989</v>
      </c>
      <c r="T37" s="6">
        <f t="shared" si="17"/>
        <v>-264.00853320323222</v>
      </c>
      <c r="U37" s="14">
        <f t="shared" si="16"/>
        <v>1.2423171911393952E-2</v>
      </c>
    </row>
    <row r="38" spans="1:21">
      <c r="A38" s="197">
        <v>42736</v>
      </c>
      <c r="B38">
        <f t="shared" si="11"/>
        <v>1</v>
      </c>
      <c r="C38">
        <f t="shared" si="12"/>
        <v>2017</v>
      </c>
      <c r="D38" s="6">
        <f>'Monthly Data (14-23) Used'!X38</f>
        <v>3109978</v>
      </c>
      <c r="E38" s="6">
        <f>'Monthly Data (14-23) Used'!DV38</f>
        <v>25080.467741935485</v>
      </c>
      <c r="F38" s="100">
        <f>'Monthly Data (14-23) Used'!AG38</f>
        <v>460.19999999999993</v>
      </c>
      <c r="G38" s="100">
        <f>'Monthly Data (14-23) Used'!AF38</f>
        <v>0</v>
      </c>
      <c r="H38">
        <f>'Monthly Data (14-23) Used'!BY38</f>
        <v>0</v>
      </c>
      <c r="I38">
        <f>'Monthly Data (14-23) Used'!AR38</f>
        <v>160.5</v>
      </c>
      <c r="K38" s="6">
        <f t="shared" si="2"/>
        <v>3114.0572511813202</v>
      </c>
      <c r="L38" s="6">
        <f t="shared" si="13"/>
        <v>2249.3185135361919</v>
      </c>
      <c r="M38" s="6">
        <f t="shared" si="14"/>
        <v>0</v>
      </c>
      <c r="N38" s="6">
        <f t="shared" si="7"/>
        <v>0</v>
      </c>
      <c r="O38" s="6">
        <f t="shared" si="8"/>
        <v>15366.275850647646</v>
      </c>
      <c r="P38" s="6">
        <f t="shared" si="15"/>
        <v>20729.651615365157</v>
      </c>
      <c r="Q38" s="6">
        <f>'Monthly Data (14-23) Used'!DU38</f>
        <v>4</v>
      </c>
      <c r="R38">
        <f>'Monthly Data (14-23) Used'!CB38</f>
        <v>31</v>
      </c>
      <c r="S38" s="6">
        <f t="shared" si="9"/>
        <v>2570476.8003052794</v>
      </c>
      <c r="T38" s="6">
        <f t="shared" si="17"/>
        <v>-4350.8161265703275</v>
      </c>
      <c r="U38" s="14">
        <f t="shared" si="16"/>
        <v>0.17347428171347853</v>
      </c>
    </row>
    <row r="39" spans="1:21">
      <c r="A39" s="197">
        <v>42767</v>
      </c>
      <c r="B39">
        <f t="shared" si="11"/>
        <v>2</v>
      </c>
      <c r="C39">
        <f t="shared" si="12"/>
        <v>2017</v>
      </c>
      <c r="D39" s="6">
        <f>'Monthly Data (14-23) Used'!X39</f>
        <v>2736036</v>
      </c>
      <c r="E39" s="6">
        <f>'Monthly Data (14-23) Used'!DV39</f>
        <v>24428.892857142859</v>
      </c>
      <c r="F39" s="100">
        <f>'Monthly Data (14-23) Used'!AG39</f>
        <v>328.69999999999993</v>
      </c>
      <c r="G39" s="100">
        <f>'Monthly Data (14-23) Used'!AF39</f>
        <v>0</v>
      </c>
      <c r="H39">
        <f>'Monthly Data (14-23) Used'!BY39</f>
        <v>0</v>
      </c>
      <c r="I39">
        <f>'Monthly Data (14-23) Used'!AR39</f>
        <v>160.6</v>
      </c>
      <c r="K39" s="6">
        <f t="shared" si="2"/>
        <v>3114.0572511813202</v>
      </c>
      <c r="L39" s="6">
        <f t="shared" si="13"/>
        <v>1606.5862568434293</v>
      </c>
      <c r="M39" s="6">
        <f t="shared" si="14"/>
        <v>0</v>
      </c>
      <c r="N39" s="6">
        <f t="shared" si="7"/>
        <v>0</v>
      </c>
      <c r="O39" s="6">
        <f t="shared" si="8"/>
        <v>15375.849854292908</v>
      </c>
      <c r="P39" s="6">
        <f t="shared" si="15"/>
        <v>20096.493362317658</v>
      </c>
      <c r="Q39" s="6">
        <f>'Monthly Data (14-23) Used'!DU39</f>
        <v>4</v>
      </c>
      <c r="R39">
        <f>'Monthly Data (14-23) Used'!CB39</f>
        <v>28</v>
      </c>
      <c r="S39" s="6">
        <f t="shared" si="9"/>
        <v>2250807.2565795779</v>
      </c>
      <c r="T39" s="6">
        <f t="shared" si="17"/>
        <v>-4332.3994948252002</v>
      </c>
      <c r="U39" s="14">
        <f t="shared" si="16"/>
        <v>0.17734735340486105</v>
      </c>
    </row>
    <row r="40" spans="1:21">
      <c r="A40" s="197">
        <v>42795</v>
      </c>
      <c r="B40">
        <f t="shared" si="11"/>
        <v>3</v>
      </c>
      <c r="C40">
        <f t="shared" si="12"/>
        <v>2017</v>
      </c>
      <c r="D40" s="6">
        <f>'Monthly Data (14-23) Used'!X40</f>
        <v>2956591</v>
      </c>
      <c r="E40" s="6">
        <f>'Monthly Data (14-23) Used'!DV40</f>
        <v>23843.475806451614</v>
      </c>
      <c r="F40" s="100">
        <f>'Monthly Data (14-23) Used'!AG40</f>
        <v>383.30000000000007</v>
      </c>
      <c r="G40" s="100">
        <f>'Monthly Data (14-23) Used'!AF40</f>
        <v>0</v>
      </c>
      <c r="H40">
        <f>'Monthly Data (14-23) Used'!BY40</f>
        <v>1</v>
      </c>
      <c r="I40">
        <f>'Monthly Data (14-23) Used'!AR40</f>
        <v>160.69999999999999</v>
      </c>
      <c r="K40" s="6">
        <f t="shared" si="2"/>
        <v>3114.0572511813202</v>
      </c>
      <c r="L40" s="6">
        <f t="shared" si="13"/>
        <v>1873.4545550595883</v>
      </c>
      <c r="M40" s="6">
        <f t="shared" si="14"/>
        <v>0</v>
      </c>
      <c r="N40" s="6">
        <f t="shared" si="7"/>
        <v>-1472.0035230159101</v>
      </c>
      <c r="O40" s="6">
        <f t="shared" si="8"/>
        <v>15385.423857938171</v>
      </c>
      <c r="P40" s="6">
        <f t="shared" si="15"/>
        <v>18900.932141163168</v>
      </c>
      <c r="Q40" s="6">
        <f>'Monthly Data (14-23) Used'!DU40</f>
        <v>4</v>
      </c>
      <c r="R40">
        <f>'Monthly Data (14-23) Used'!CB40</f>
        <v>31</v>
      </c>
      <c r="S40" s="6">
        <f t="shared" si="9"/>
        <v>2343715.5855042329</v>
      </c>
      <c r="T40" s="6">
        <f t="shared" si="17"/>
        <v>-4942.5436652884455</v>
      </c>
      <c r="U40" s="14">
        <f t="shared" si="16"/>
        <v>0.20729123997731416</v>
      </c>
    </row>
    <row r="41" spans="1:21">
      <c r="A41" s="197">
        <v>42826</v>
      </c>
      <c r="B41">
        <f t="shared" si="11"/>
        <v>4</v>
      </c>
      <c r="C41">
        <f t="shared" si="12"/>
        <v>2017</v>
      </c>
      <c r="D41" s="6">
        <f>'Monthly Data (14-23) Used'!X41</f>
        <v>2405329</v>
      </c>
      <c r="E41" s="6">
        <f>'Monthly Data (14-23) Used'!DV41</f>
        <v>20044.408333333333</v>
      </c>
      <c r="F41" s="100">
        <f>'Monthly Data (14-23) Used'!AG41</f>
        <v>100.79999999999997</v>
      </c>
      <c r="G41" s="100">
        <f>'Monthly Data (14-23) Used'!AF41</f>
        <v>7.9000000000000021</v>
      </c>
      <c r="H41">
        <f>'Monthly Data (14-23) Used'!BY41</f>
        <v>1</v>
      </c>
      <c r="I41">
        <f>'Monthly Data (14-23) Used'!AR41</f>
        <v>159.30000000000001</v>
      </c>
      <c r="K41" s="6">
        <f t="shared" si="2"/>
        <v>3114.0572511813202</v>
      </c>
      <c r="L41" s="6">
        <f t="shared" si="13"/>
        <v>492.67993516829222</v>
      </c>
      <c r="M41" s="6">
        <f t="shared" si="14"/>
        <v>162.18166971313133</v>
      </c>
      <c r="N41" s="6">
        <f t="shared" si="7"/>
        <v>-1472.0035230159101</v>
      </c>
      <c r="O41" s="6">
        <f t="shared" si="8"/>
        <v>15251.387806904486</v>
      </c>
      <c r="P41" s="6">
        <f t="shared" si="15"/>
        <v>17548.30313995132</v>
      </c>
      <c r="Q41" s="6">
        <f>'Monthly Data (14-23) Used'!DU41</f>
        <v>4</v>
      </c>
      <c r="R41">
        <f>'Monthly Data (14-23) Used'!CB41</f>
        <v>30</v>
      </c>
      <c r="S41" s="6">
        <f t="shared" si="9"/>
        <v>2105796.3767941585</v>
      </c>
      <c r="T41" s="6">
        <f t="shared" si="17"/>
        <v>-2496.1051933820127</v>
      </c>
      <c r="U41" s="14">
        <f t="shared" si="16"/>
        <v>0.12452875394835447</v>
      </c>
    </row>
    <row r="42" spans="1:21">
      <c r="A42" s="197">
        <v>42856</v>
      </c>
      <c r="B42">
        <f t="shared" si="11"/>
        <v>5</v>
      </c>
      <c r="C42">
        <f t="shared" si="12"/>
        <v>2017</v>
      </c>
      <c r="D42" s="6">
        <f>'Monthly Data (14-23) Used'!X42</f>
        <v>2604156</v>
      </c>
      <c r="E42" s="6">
        <f>'Monthly Data (14-23) Used'!DV42</f>
        <v>21001.258064516129</v>
      </c>
      <c r="F42" s="100">
        <f>'Monthly Data (14-23) Used'!AG42</f>
        <v>58.300000000000004</v>
      </c>
      <c r="G42" s="100">
        <f>'Monthly Data (14-23) Used'!AF42</f>
        <v>38.100000000000009</v>
      </c>
      <c r="H42">
        <f>'Monthly Data (14-23) Used'!BY42</f>
        <v>1</v>
      </c>
      <c r="I42">
        <f>'Monthly Data (14-23) Used'!AR42</f>
        <v>158.5</v>
      </c>
      <c r="K42" s="6">
        <f t="shared" si="2"/>
        <v>3114.0572511813202</v>
      </c>
      <c r="L42" s="6">
        <f t="shared" si="13"/>
        <v>284.95277996340724</v>
      </c>
      <c r="M42" s="6">
        <f t="shared" si="14"/>
        <v>782.16729317345619</v>
      </c>
      <c r="N42" s="6">
        <f t="shared" si="7"/>
        <v>-1472.0035230159101</v>
      </c>
      <c r="O42" s="6">
        <f t="shared" si="8"/>
        <v>15174.795777742378</v>
      </c>
      <c r="P42" s="6">
        <f t="shared" si="15"/>
        <v>17883.969579044653</v>
      </c>
      <c r="Q42" s="6">
        <f>'Monthly Data (14-23) Used'!DU42</f>
        <v>4</v>
      </c>
      <c r="R42">
        <f>'Monthly Data (14-23) Used'!CB42</f>
        <v>31</v>
      </c>
      <c r="S42" s="6">
        <f t="shared" si="9"/>
        <v>2217612.2278015371</v>
      </c>
      <c r="T42" s="6">
        <f t="shared" si="17"/>
        <v>-3117.2884854714757</v>
      </c>
      <c r="U42" s="14">
        <f t="shared" si="16"/>
        <v>0.14843341650748382</v>
      </c>
    </row>
    <row r="43" spans="1:21">
      <c r="A43" s="197">
        <v>42887</v>
      </c>
      <c r="B43">
        <f t="shared" si="11"/>
        <v>6</v>
      </c>
      <c r="C43">
        <f t="shared" si="12"/>
        <v>2017</v>
      </c>
      <c r="D43" s="6">
        <f>'Monthly Data (14-23) Used'!X43</f>
        <v>2874524</v>
      </c>
      <c r="E43" s="6">
        <f>'Monthly Data (14-23) Used'!DV43</f>
        <v>23954.366666666665</v>
      </c>
      <c r="F43" s="100">
        <f>'Monthly Data (14-23) Used'!AG43</f>
        <v>0</v>
      </c>
      <c r="G43" s="100">
        <f>'Monthly Data (14-23) Used'!AF43</f>
        <v>153.29999999999998</v>
      </c>
      <c r="H43">
        <f>'Monthly Data (14-23) Used'!BY43</f>
        <v>0</v>
      </c>
      <c r="I43">
        <f>'Monthly Data (14-23) Used'!AR43</f>
        <v>160</v>
      </c>
      <c r="K43" s="6">
        <f t="shared" si="2"/>
        <v>3114.0572511813202</v>
      </c>
      <c r="L43" s="6">
        <f t="shared" si="13"/>
        <v>0</v>
      </c>
      <c r="M43" s="6">
        <f t="shared" si="14"/>
        <v>3147.1455654459523</v>
      </c>
      <c r="N43" s="6">
        <f t="shared" si="7"/>
        <v>0</v>
      </c>
      <c r="O43" s="6">
        <f t="shared" si="8"/>
        <v>15318.405832421329</v>
      </c>
      <c r="P43" s="6">
        <f t="shared" si="15"/>
        <v>21579.608649048601</v>
      </c>
      <c r="Q43" s="6">
        <f>'Monthly Data (14-23) Used'!DU43</f>
        <v>4</v>
      </c>
      <c r="R43">
        <f>'Monthly Data (14-23) Used'!CB43</f>
        <v>30</v>
      </c>
      <c r="S43" s="6">
        <f t="shared" si="9"/>
        <v>2589553.0378858321</v>
      </c>
      <c r="T43" s="6">
        <f t="shared" si="17"/>
        <v>-2374.7580176180636</v>
      </c>
      <c r="U43" s="14">
        <f t="shared" si="16"/>
        <v>9.9136748245680903E-2</v>
      </c>
    </row>
    <row r="44" spans="1:21">
      <c r="A44" s="197">
        <v>42917</v>
      </c>
      <c r="B44">
        <f t="shared" si="11"/>
        <v>7</v>
      </c>
      <c r="C44">
        <f t="shared" si="12"/>
        <v>2017</v>
      </c>
      <c r="D44" s="6">
        <f>'Monthly Data (14-23) Used'!X44</f>
        <v>2922427</v>
      </c>
      <c r="E44" s="6">
        <f>'Monthly Data (14-23) Used'!DV44</f>
        <v>23567.959677419356</v>
      </c>
      <c r="F44" s="100">
        <f>'Monthly Data (14-23) Used'!AG44</f>
        <v>0</v>
      </c>
      <c r="G44" s="100">
        <f>'Monthly Data (14-23) Used'!AF44</f>
        <v>198.99999999999997</v>
      </c>
      <c r="H44">
        <f>'Monthly Data (14-23) Used'!BY44</f>
        <v>0</v>
      </c>
      <c r="I44">
        <f>'Monthly Data (14-23) Used'!AR44</f>
        <v>161.1</v>
      </c>
      <c r="K44" s="6">
        <f t="shared" si="2"/>
        <v>3114.0572511813202</v>
      </c>
      <c r="L44" s="6">
        <f t="shared" si="13"/>
        <v>0</v>
      </c>
      <c r="M44" s="6">
        <f t="shared" si="14"/>
        <v>4085.3357307484966</v>
      </c>
      <c r="N44" s="6">
        <f t="shared" si="7"/>
        <v>0</v>
      </c>
      <c r="O44" s="6">
        <f t="shared" si="8"/>
        <v>15423.719872519225</v>
      </c>
      <c r="P44" s="6">
        <f t="shared" si="15"/>
        <v>22623.112854449042</v>
      </c>
      <c r="Q44" s="6">
        <f>'Monthly Data (14-23) Used'!DU44</f>
        <v>4</v>
      </c>
      <c r="R44">
        <f>'Monthly Data (14-23) Used'!CB44</f>
        <v>31</v>
      </c>
      <c r="S44" s="6">
        <f t="shared" si="9"/>
        <v>2805265.9939516811</v>
      </c>
      <c r="T44" s="6">
        <f t="shared" si="17"/>
        <v>-944.84682297031395</v>
      </c>
      <c r="U44" s="14">
        <f t="shared" si="16"/>
        <v>4.0090310570056645E-2</v>
      </c>
    </row>
    <row r="45" spans="1:21">
      <c r="A45" s="197">
        <v>42948</v>
      </c>
      <c r="B45">
        <f t="shared" si="11"/>
        <v>8</v>
      </c>
      <c r="C45">
        <f t="shared" si="12"/>
        <v>2017</v>
      </c>
      <c r="D45" s="6">
        <f>'Monthly Data (14-23) Used'!X45</f>
        <v>3048623</v>
      </c>
      <c r="E45" s="6">
        <f>'Monthly Data (14-23) Used'!DV45</f>
        <v>24585.669354838708</v>
      </c>
      <c r="F45" s="100">
        <f>'Monthly Data (14-23) Used'!AG45</f>
        <v>0</v>
      </c>
      <c r="G45" s="100">
        <f>'Monthly Data (14-23) Used'!AF45</f>
        <v>136.4</v>
      </c>
      <c r="H45">
        <f>'Monthly Data (14-23) Used'!BY45</f>
        <v>0</v>
      </c>
      <c r="I45">
        <f>'Monthly Data (14-23) Used'!AR45</f>
        <v>165</v>
      </c>
      <c r="K45" s="6">
        <f t="shared" si="2"/>
        <v>3114.0572511813202</v>
      </c>
      <c r="L45" s="6">
        <f t="shared" si="13"/>
        <v>0</v>
      </c>
      <c r="M45" s="6">
        <f t="shared" si="14"/>
        <v>2800.1999682115329</v>
      </c>
      <c r="N45" s="6">
        <f t="shared" si="7"/>
        <v>0</v>
      </c>
      <c r="O45" s="6">
        <f t="shared" si="8"/>
        <v>15797.106014684496</v>
      </c>
      <c r="P45" s="6">
        <f t="shared" si="15"/>
        <v>21711.363234077347</v>
      </c>
      <c r="Q45" s="6">
        <f>'Monthly Data (14-23) Used'!DU45</f>
        <v>4</v>
      </c>
      <c r="R45">
        <f>'Monthly Data (14-23) Used'!CB45</f>
        <v>31</v>
      </c>
      <c r="S45" s="6">
        <f t="shared" si="9"/>
        <v>2692209.0410255911</v>
      </c>
      <c r="T45" s="6">
        <f t="shared" si="17"/>
        <v>-2874.3061207613609</v>
      </c>
      <c r="U45" s="14">
        <f t="shared" si="16"/>
        <v>0.11690981763714595</v>
      </c>
    </row>
    <row r="46" spans="1:21">
      <c r="A46" s="197">
        <v>42979</v>
      </c>
      <c r="B46">
        <f t="shared" si="11"/>
        <v>9</v>
      </c>
      <c r="C46">
        <f t="shared" si="12"/>
        <v>2017</v>
      </c>
      <c r="D46" s="6">
        <f>'Monthly Data (14-23) Used'!X46</f>
        <v>2734668</v>
      </c>
      <c r="E46" s="6">
        <f>'Monthly Data (14-23) Used'!DV46</f>
        <v>22788.9</v>
      </c>
      <c r="F46" s="100">
        <f>'Monthly Data (14-23) Used'!AG46</f>
        <v>4.8000000000000007</v>
      </c>
      <c r="G46" s="100">
        <f>'Monthly Data (14-23) Used'!AF46</f>
        <v>90.999999999999986</v>
      </c>
      <c r="H46">
        <f>'Monthly Data (14-23) Used'!BY46</f>
        <v>0</v>
      </c>
      <c r="I46">
        <f>'Monthly Data (14-23) Used'!AR46</f>
        <v>166</v>
      </c>
      <c r="K46" s="6">
        <f t="shared" si="2"/>
        <v>3114.0572511813202</v>
      </c>
      <c r="L46" s="6">
        <f t="shared" si="13"/>
        <v>23.460949293728213</v>
      </c>
      <c r="M46" s="6">
        <f t="shared" si="14"/>
        <v>1868.1686004930309</v>
      </c>
      <c r="N46" s="6">
        <f t="shared" si="7"/>
        <v>0</v>
      </c>
      <c r="O46" s="6">
        <f t="shared" si="8"/>
        <v>15892.846051137129</v>
      </c>
      <c r="P46" s="6">
        <f t="shared" si="15"/>
        <v>20898.532852105207</v>
      </c>
      <c r="Q46" s="6">
        <f>'Monthly Data (14-23) Used'!DU46</f>
        <v>4</v>
      </c>
      <c r="R46">
        <f>'Monthly Data (14-23) Used'!CB46</f>
        <v>30</v>
      </c>
      <c r="S46" s="6">
        <f t="shared" si="9"/>
        <v>2507823.9422526248</v>
      </c>
      <c r="T46" s="6">
        <f t="shared" si="17"/>
        <v>-1890.3671478947945</v>
      </c>
      <c r="U46" s="14">
        <f t="shared" si="16"/>
        <v>8.2951223968458082E-2</v>
      </c>
    </row>
    <row r="47" spans="1:21">
      <c r="A47" s="197">
        <v>43009</v>
      </c>
      <c r="B47">
        <f t="shared" si="11"/>
        <v>10</v>
      </c>
      <c r="C47">
        <f t="shared" si="12"/>
        <v>2017</v>
      </c>
      <c r="D47" s="6">
        <f>'Monthly Data (14-23) Used'!X47</f>
        <v>2665747</v>
      </c>
      <c r="E47" s="6">
        <f>'Monthly Data (14-23) Used'!DV47</f>
        <v>21497.959677419356</v>
      </c>
      <c r="F47" s="100">
        <f>'Monthly Data (14-23) Used'!AG47</f>
        <v>71</v>
      </c>
      <c r="G47" s="100">
        <f>'Monthly Data (14-23) Used'!AF47</f>
        <v>27.5</v>
      </c>
      <c r="H47">
        <f>'Monthly Data (14-23) Used'!BY47</f>
        <v>0</v>
      </c>
      <c r="I47">
        <f>'Monthly Data (14-23) Used'!AR47</f>
        <v>164</v>
      </c>
      <c r="K47" s="6">
        <f t="shared" si="2"/>
        <v>3114.0572511813202</v>
      </c>
      <c r="L47" s="6">
        <f t="shared" si="13"/>
        <v>347.02654163639642</v>
      </c>
      <c r="M47" s="6">
        <f t="shared" si="14"/>
        <v>564.55644520393798</v>
      </c>
      <c r="N47" s="6">
        <f t="shared" si="7"/>
        <v>0</v>
      </c>
      <c r="O47" s="6">
        <f t="shared" si="8"/>
        <v>15701.365978231863</v>
      </c>
      <c r="P47" s="6">
        <f t="shared" si="15"/>
        <v>19727.006216253518</v>
      </c>
      <c r="Q47" s="6">
        <f>'Monthly Data (14-23) Used'!DU47</f>
        <v>4</v>
      </c>
      <c r="R47">
        <f>'Monthly Data (14-23) Used'!CB47</f>
        <v>31</v>
      </c>
      <c r="S47" s="6">
        <f t="shared" si="9"/>
        <v>2446148.7708154363</v>
      </c>
      <c r="T47" s="6">
        <f t="shared" si="17"/>
        <v>-1770.9534611658382</v>
      </c>
      <c r="U47" s="14">
        <f t="shared" si="16"/>
        <v>8.2377745969352656E-2</v>
      </c>
    </row>
    <row r="48" spans="1:21">
      <c r="A48" s="197">
        <v>43040</v>
      </c>
      <c r="B48">
        <f t="shared" si="11"/>
        <v>11</v>
      </c>
      <c r="C48">
        <f t="shared" si="12"/>
        <v>2017</v>
      </c>
      <c r="D48" s="6">
        <f>'Monthly Data (14-23) Used'!X48</f>
        <v>2738878</v>
      </c>
      <c r="E48" s="6">
        <f>'Monthly Data (14-23) Used'!DV48</f>
        <v>22823.983333333334</v>
      </c>
      <c r="F48" s="100">
        <f>'Monthly Data (14-23) Used'!AG48</f>
        <v>294.93552299140987</v>
      </c>
      <c r="G48" s="100">
        <f>'Monthly Data (14-23) Used'!AF48</f>
        <v>0</v>
      </c>
      <c r="H48">
        <f>'Monthly Data (14-23) Used'!BY48</f>
        <v>0</v>
      </c>
      <c r="I48">
        <f>'Monthly Data (14-23) Used'!AR48</f>
        <v>165.3</v>
      </c>
      <c r="K48" s="6">
        <f t="shared" si="2"/>
        <v>3114.0572511813202</v>
      </c>
      <c r="L48" s="6">
        <f t="shared" si="13"/>
        <v>1441.5556978793077</v>
      </c>
      <c r="M48" s="6">
        <f t="shared" si="14"/>
        <v>0</v>
      </c>
      <c r="N48" s="6">
        <f t="shared" si="7"/>
        <v>0</v>
      </c>
      <c r="O48" s="6">
        <f t="shared" si="8"/>
        <v>15825.828025620287</v>
      </c>
      <c r="P48" s="6">
        <f t="shared" si="15"/>
        <v>20381.440974680914</v>
      </c>
      <c r="Q48" s="6">
        <f>'Monthly Data (14-23) Used'!DU48</f>
        <v>4</v>
      </c>
      <c r="R48">
        <f>'Monthly Data (14-23) Used'!CB48</f>
        <v>30</v>
      </c>
      <c r="S48" s="6">
        <f t="shared" si="9"/>
        <v>2445772.9169617095</v>
      </c>
      <c r="T48" s="6">
        <f t="shared" si="17"/>
        <v>-2442.5423586524194</v>
      </c>
      <c r="U48" s="14">
        <f t="shared" si="16"/>
        <v>0.10701648012006754</v>
      </c>
    </row>
    <row r="49" spans="1:21">
      <c r="A49" s="197">
        <v>43070</v>
      </c>
      <c r="B49">
        <f t="shared" si="11"/>
        <v>12</v>
      </c>
      <c r="C49">
        <f t="shared" si="12"/>
        <v>2017</v>
      </c>
      <c r="D49" s="6">
        <f>'Monthly Data (14-23) Used'!X49</f>
        <v>2623050</v>
      </c>
      <c r="E49" s="6">
        <f>'Monthly Data (14-23) Used'!DV49</f>
        <v>21153.629032258064</v>
      </c>
      <c r="F49" s="100">
        <f>'Monthly Data (14-23) Used'!AG49</f>
        <v>548.00000000000011</v>
      </c>
      <c r="G49" s="100">
        <f>'Monthly Data (14-23) Used'!AF49</f>
        <v>0</v>
      </c>
      <c r="H49">
        <f>'Monthly Data (14-23) Used'!BY49</f>
        <v>0</v>
      </c>
      <c r="I49">
        <f>'Monthly Data (14-23) Used'!AR49</f>
        <v>165.8</v>
      </c>
      <c r="K49" s="6">
        <f t="shared" si="2"/>
        <v>3114.0572511813202</v>
      </c>
      <c r="L49" s="6">
        <f t="shared" si="13"/>
        <v>2678.4583777006378</v>
      </c>
      <c r="M49" s="6">
        <f t="shared" si="14"/>
        <v>0</v>
      </c>
      <c r="N49" s="6">
        <f t="shared" si="7"/>
        <v>0</v>
      </c>
      <c r="O49" s="6">
        <f t="shared" si="8"/>
        <v>15873.698043846603</v>
      </c>
      <c r="P49" s="6">
        <f t="shared" si="15"/>
        <v>21666.213672728562</v>
      </c>
      <c r="Q49" s="6">
        <f>'Monthly Data (14-23) Used'!DU49</f>
        <v>4</v>
      </c>
      <c r="R49">
        <f>'Monthly Data (14-23) Used'!CB49</f>
        <v>31</v>
      </c>
      <c r="S49" s="6">
        <f t="shared" si="9"/>
        <v>2686610.4954183418</v>
      </c>
      <c r="T49" s="6">
        <f t="shared" si="17"/>
        <v>512.58464047049711</v>
      </c>
      <c r="U49" s="14">
        <f t="shared" si="16"/>
        <v>2.423152262379354E-2</v>
      </c>
    </row>
    <row r="50" spans="1:21">
      <c r="A50" s="197">
        <v>43101</v>
      </c>
      <c r="B50">
        <f t="shared" si="11"/>
        <v>1</v>
      </c>
      <c r="C50">
        <f t="shared" si="12"/>
        <v>2018</v>
      </c>
      <c r="D50" s="6">
        <f>'Monthly Data (14-23) Used'!X50</f>
        <v>2945901</v>
      </c>
      <c r="E50" s="6">
        <f>'Monthly Data (14-23) Used'!DV50</f>
        <v>23757.266129032258</v>
      </c>
      <c r="F50" s="100">
        <f>'Monthly Data (14-23) Used'!AG50</f>
        <v>581.6</v>
      </c>
      <c r="G50" s="100">
        <f>'Monthly Data (14-23) Used'!AF50</f>
        <v>0</v>
      </c>
      <c r="H50">
        <f>'Monthly Data (14-23) Used'!BY50</f>
        <v>0</v>
      </c>
      <c r="I50">
        <f>'Monthly Data (14-23) Used'!AR50</f>
        <v>168.3</v>
      </c>
      <c r="K50" s="6">
        <f t="shared" si="2"/>
        <v>3114.0572511813202</v>
      </c>
      <c r="L50" s="6">
        <f t="shared" si="13"/>
        <v>2842.6850227567347</v>
      </c>
      <c r="M50" s="6">
        <f t="shared" si="14"/>
        <v>0</v>
      </c>
      <c r="N50" s="6">
        <f t="shared" si="7"/>
        <v>0</v>
      </c>
      <c r="O50" s="6">
        <f t="shared" si="8"/>
        <v>16113.048134978186</v>
      </c>
      <c r="P50" s="6">
        <f t="shared" si="15"/>
        <v>22069.79040891624</v>
      </c>
      <c r="Q50" s="6">
        <f>'Monthly Data (14-23) Used'!DU50</f>
        <v>4</v>
      </c>
      <c r="R50">
        <f>'Monthly Data (14-23) Used'!CB50</f>
        <v>31</v>
      </c>
      <c r="S50" s="6">
        <f t="shared" si="9"/>
        <v>2736654.010705614</v>
      </c>
      <c r="T50" s="6">
        <f t="shared" si="17"/>
        <v>-1687.4757201160173</v>
      </c>
      <c r="U50" s="14">
        <f t="shared" si="16"/>
        <v>7.1029878225502538E-2</v>
      </c>
    </row>
    <row r="51" spans="1:21">
      <c r="A51" s="197">
        <v>43132</v>
      </c>
      <c r="B51">
        <f t="shared" si="11"/>
        <v>2</v>
      </c>
      <c r="C51">
        <f t="shared" si="12"/>
        <v>2018</v>
      </c>
      <c r="D51" s="6">
        <f>'Monthly Data (14-23) Used'!X51</f>
        <v>2641888</v>
      </c>
      <c r="E51" s="6">
        <f>'Monthly Data (14-23) Used'!DV51</f>
        <v>23588.285714285714</v>
      </c>
      <c r="F51" s="100">
        <f>'Monthly Data (14-23) Used'!AG51</f>
        <v>432.49999999999994</v>
      </c>
      <c r="G51" s="100">
        <f>'Monthly Data (14-23) Used'!AF51</f>
        <v>0</v>
      </c>
      <c r="H51">
        <f>'Monthly Data (14-23) Used'!BY51</f>
        <v>0</v>
      </c>
      <c r="I51">
        <f>'Monthly Data (14-23) Used'!AR51</f>
        <v>165.4</v>
      </c>
      <c r="K51" s="6">
        <f t="shared" si="2"/>
        <v>3114.0572511813202</v>
      </c>
      <c r="L51" s="6">
        <f t="shared" si="13"/>
        <v>2113.9292853203019</v>
      </c>
      <c r="M51" s="6">
        <f t="shared" si="14"/>
        <v>0</v>
      </c>
      <c r="N51" s="6">
        <f t="shared" si="7"/>
        <v>0</v>
      </c>
      <c r="O51" s="6">
        <f t="shared" si="8"/>
        <v>15835.40202926555</v>
      </c>
      <c r="P51" s="6">
        <f t="shared" si="15"/>
        <v>21063.388565767171</v>
      </c>
      <c r="Q51" s="6">
        <f>'Monthly Data (14-23) Used'!DU51</f>
        <v>4</v>
      </c>
      <c r="R51">
        <f>'Monthly Data (14-23) Used'!CB51</f>
        <v>28</v>
      </c>
      <c r="S51" s="6">
        <f t="shared" si="9"/>
        <v>2359099.519365923</v>
      </c>
      <c r="T51" s="6">
        <f t="shared" si="17"/>
        <v>-2524.897148518543</v>
      </c>
      <c r="U51" s="14">
        <f t="shared" si="16"/>
        <v>0.10704029869323636</v>
      </c>
    </row>
    <row r="52" spans="1:21">
      <c r="A52" s="197">
        <v>43160</v>
      </c>
      <c r="B52">
        <f t="shared" si="11"/>
        <v>3</v>
      </c>
      <c r="C52">
        <f t="shared" si="12"/>
        <v>2018</v>
      </c>
      <c r="D52" s="6">
        <f>'Monthly Data (14-23) Used'!X52</f>
        <v>2707092</v>
      </c>
      <c r="E52" s="6">
        <f>'Monthly Data (14-23) Used'!DV52</f>
        <v>21831.387096774193</v>
      </c>
      <c r="F52" s="100">
        <f>'Monthly Data (14-23) Used'!AG52</f>
        <v>410.40000000000009</v>
      </c>
      <c r="G52" s="100">
        <f>'Monthly Data (14-23) Used'!AF52</f>
        <v>0</v>
      </c>
      <c r="H52">
        <f>'Monthly Data (14-23) Used'!BY52</f>
        <v>1</v>
      </c>
      <c r="I52">
        <f>'Monthly Data (14-23) Used'!AR52</f>
        <v>165.6</v>
      </c>
      <c r="K52" s="6">
        <f t="shared" si="2"/>
        <v>3114.0572511813202</v>
      </c>
      <c r="L52" s="6">
        <f t="shared" si="13"/>
        <v>2005.9111646137624</v>
      </c>
      <c r="M52" s="6">
        <f t="shared" si="14"/>
        <v>0</v>
      </c>
      <c r="N52" s="6">
        <f t="shared" si="7"/>
        <v>-1472.0035230159101</v>
      </c>
      <c r="O52" s="6">
        <f t="shared" si="8"/>
        <v>15854.550036556075</v>
      </c>
      <c r="P52" s="6">
        <f t="shared" si="15"/>
        <v>19502.514929335248</v>
      </c>
      <c r="Q52" s="6">
        <f>'Monthly Data (14-23) Used'!DU52</f>
        <v>4</v>
      </c>
      <c r="R52">
        <f>'Monthly Data (14-23) Used'!CB52</f>
        <v>31</v>
      </c>
      <c r="S52" s="6">
        <f t="shared" si="9"/>
        <v>2418311.8512375709</v>
      </c>
      <c r="T52" s="6">
        <f t="shared" si="17"/>
        <v>-2328.8721674389453</v>
      </c>
      <c r="U52" s="14">
        <f t="shared" si="16"/>
        <v>0.10667540990938956</v>
      </c>
    </row>
    <row r="53" spans="1:21">
      <c r="A53" s="197">
        <v>43191</v>
      </c>
      <c r="B53">
        <f t="shared" si="11"/>
        <v>4</v>
      </c>
      <c r="C53">
        <f t="shared" si="12"/>
        <v>2018</v>
      </c>
      <c r="D53" s="6">
        <f>'Monthly Data (14-23) Used'!X53</f>
        <v>2546244</v>
      </c>
      <c r="E53" s="6">
        <f>'Monthly Data (14-23) Used'!DV53</f>
        <v>21218.7</v>
      </c>
      <c r="F53" s="100">
        <f>'Monthly Data (14-23) Used'!AG53</f>
        <v>275.70000000000005</v>
      </c>
      <c r="G53" s="100">
        <f>'Monthly Data (14-23) Used'!AF53</f>
        <v>0</v>
      </c>
      <c r="H53">
        <f>'Monthly Data (14-23) Used'!BY53</f>
        <v>1</v>
      </c>
      <c r="I53">
        <f>'Monthly Data (14-23) Used'!AR53</f>
        <v>166</v>
      </c>
      <c r="K53" s="6">
        <f t="shared" si="2"/>
        <v>3114.0572511813202</v>
      </c>
      <c r="L53" s="6">
        <f t="shared" si="13"/>
        <v>1347.5382750585143</v>
      </c>
      <c r="M53" s="6">
        <f t="shared" si="14"/>
        <v>0</v>
      </c>
      <c r="N53" s="6">
        <f t="shared" si="7"/>
        <v>-1472.0035230159101</v>
      </c>
      <c r="O53" s="6">
        <f t="shared" si="8"/>
        <v>15892.846051137129</v>
      </c>
      <c r="P53" s="6">
        <f t="shared" si="15"/>
        <v>18882.438054361053</v>
      </c>
      <c r="Q53" s="6">
        <f>'Monthly Data (14-23) Used'!DU53</f>
        <v>4</v>
      </c>
      <c r="R53">
        <f>'Monthly Data (14-23) Used'!CB53</f>
        <v>30</v>
      </c>
      <c r="S53" s="6">
        <f t="shared" si="9"/>
        <v>2265892.5665233266</v>
      </c>
      <c r="T53" s="6">
        <f t="shared" si="17"/>
        <v>-2336.2619456389475</v>
      </c>
      <c r="U53" s="14">
        <f t="shared" si="16"/>
        <v>0.11010391520870494</v>
      </c>
    </row>
    <row r="54" spans="1:21">
      <c r="A54" s="197">
        <v>43221</v>
      </c>
      <c r="B54">
        <f t="shared" si="11"/>
        <v>5</v>
      </c>
      <c r="C54">
        <f t="shared" si="12"/>
        <v>2018</v>
      </c>
      <c r="D54" s="6">
        <f>'Monthly Data (14-23) Used'!X54</f>
        <v>2646635</v>
      </c>
      <c r="E54" s="6">
        <f>'Monthly Data (14-23) Used'!DV54</f>
        <v>21343.830645161292</v>
      </c>
      <c r="F54" s="100">
        <f>'Monthly Data (14-23) Used'!AG54</f>
        <v>16.699999999999996</v>
      </c>
      <c r="G54" s="100">
        <f>'Monthly Data (14-23) Used'!AF54</f>
        <v>82.1</v>
      </c>
      <c r="H54">
        <f>'Monthly Data (14-23) Used'!BY54</f>
        <v>1</v>
      </c>
      <c r="I54">
        <f>'Monthly Data (14-23) Used'!AR54</f>
        <v>166.1</v>
      </c>
      <c r="K54" s="6">
        <f t="shared" si="2"/>
        <v>3114.0572511813202</v>
      </c>
      <c r="L54" s="6">
        <f t="shared" si="13"/>
        <v>81.624552751096033</v>
      </c>
      <c r="M54" s="6">
        <f t="shared" si="14"/>
        <v>1685.4576054997567</v>
      </c>
      <c r="N54" s="6">
        <f t="shared" si="7"/>
        <v>-1472.0035230159101</v>
      </c>
      <c r="O54" s="6">
        <f t="shared" si="8"/>
        <v>15902.420054782391</v>
      </c>
      <c r="P54" s="6">
        <f t="shared" si="15"/>
        <v>19311.555941198654</v>
      </c>
      <c r="Q54" s="6">
        <f>'Monthly Data (14-23) Used'!DU54</f>
        <v>4</v>
      </c>
      <c r="R54">
        <f>'Monthly Data (14-23) Used'!CB54</f>
        <v>31</v>
      </c>
      <c r="S54" s="6">
        <f t="shared" si="9"/>
        <v>2394632.9367086333</v>
      </c>
      <c r="T54" s="6">
        <f t="shared" si="17"/>
        <v>-2032.2747039626374</v>
      </c>
      <c r="U54" s="14">
        <f t="shared" si="16"/>
        <v>9.521602460912329E-2</v>
      </c>
    </row>
    <row r="55" spans="1:21">
      <c r="A55" s="197">
        <v>43252</v>
      </c>
      <c r="B55">
        <f t="shared" si="11"/>
        <v>6</v>
      </c>
      <c r="C55">
        <f t="shared" si="12"/>
        <v>2018</v>
      </c>
      <c r="D55" s="6">
        <f>'Monthly Data (14-23) Used'!X55</f>
        <v>2755014</v>
      </c>
      <c r="E55" s="6">
        <f>'Monthly Data (14-23) Used'!DV55</f>
        <v>22958.45</v>
      </c>
      <c r="F55" s="100">
        <f>'Monthly Data (14-23) Used'!AG55</f>
        <v>0</v>
      </c>
      <c r="G55" s="100">
        <f>'Monthly Data (14-23) Used'!AF55</f>
        <v>148.80000000000001</v>
      </c>
      <c r="H55">
        <f>'Monthly Data (14-23) Used'!BY55</f>
        <v>0</v>
      </c>
      <c r="I55">
        <f>'Monthly Data (14-23) Used'!AR55</f>
        <v>164.3</v>
      </c>
      <c r="K55" s="6">
        <f t="shared" si="2"/>
        <v>3114.0572511813202</v>
      </c>
      <c r="L55" s="6">
        <f t="shared" si="13"/>
        <v>0</v>
      </c>
      <c r="M55" s="6">
        <f t="shared" si="14"/>
        <v>3054.7636016853085</v>
      </c>
      <c r="N55" s="6">
        <f t="shared" si="7"/>
        <v>0</v>
      </c>
      <c r="O55" s="6">
        <f t="shared" si="8"/>
        <v>15730.087989167652</v>
      </c>
      <c r="P55" s="6">
        <f t="shared" si="15"/>
        <v>21898.908842034281</v>
      </c>
      <c r="Q55" s="6">
        <f>'Monthly Data (14-23) Used'!DU55</f>
        <v>4</v>
      </c>
      <c r="R55">
        <f>'Monthly Data (14-23) Used'!CB55</f>
        <v>30</v>
      </c>
      <c r="S55" s="6">
        <f t="shared" si="9"/>
        <v>2627869.0610441137</v>
      </c>
      <c r="T55" s="6">
        <f t="shared" si="17"/>
        <v>-1059.5411579657193</v>
      </c>
      <c r="U55" s="14">
        <f t="shared" si="16"/>
        <v>4.6150378530158583E-2</v>
      </c>
    </row>
    <row r="56" spans="1:21">
      <c r="A56" s="197">
        <v>43282</v>
      </c>
      <c r="B56">
        <f t="shared" si="11"/>
        <v>7</v>
      </c>
      <c r="C56">
        <f t="shared" si="12"/>
        <v>2018</v>
      </c>
      <c r="D56" s="6">
        <f>'Monthly Data (14-23) Used'!X56</f>
        <v>2895706</v>
      </c>
      <c r="E56" s="6">
        <f>'Monthly Data (14-23) Used'!DV56</f>
        <v>23352.467741935485</v>
      </c>
      <c r="F56" s="100">
        <f>'Monthly Data (14-23) Used'!AG56</f>
        <v>0</v>
      </c>
      <c r="G56" s="100">
        <f>'Monthly Data (14-23) Used'!AF56</f>
        <v>225.1</v>
      </c>
      <c r="H56">
        <f>'Monthly Data (14-23) Used'!BY56</f>
        <v>0</v>
      </c>
      <c r="I56">
        <f>'Monthly Data (14-23) Used'!AR56</f>
        <v>164.1</v>
      </c>
      <c r="K56" s="6">
        <f t="shared" si="2"/>
        <v>3114.0572511813202</v>
      </c>
      <c r="L56" s="6">
        <f t="shared" si="13"/>
        <v>0</v>
      </c>
      <c r="M56" s="6">
        <f t="shared" si="14"/>
        <v>4621.1511205602346</v>
      </c>
      <c r="N56" s="6">
        <f t="shared" si="7"/>
        <v>0</v>
      </c>
      <c r="O56" s="6">
        <f t="shared" si="8"/>
        <v>15710.939981877125</v>
      </c>
      <c r="P56" s="6">
        <f t="shared" si="15"/>
        <v>23446.148353618679</v>
      </c>
      <c r="Q56" s="6">
        <f>'Monthly Data (14-23) Used'!DU56</f>
        <v>4</v>
      </c>
      <c r="R56">
        <f>'Monthly Data (14-23) Used'!CB56</f>
        <v>31</v>
      </c>
      <c r="S56" s="6">
        <f t="shared" si="9"/>
        <v>2907322.3958487161</v>
      </c>
      <c r="T56" s="6">
        <f t="shared" si="17"/>
        <v>93.680611683194002</v>
      </c>
      <c r="U56" s="14">
        <f t="shared" si="16"/>
        <v>4.0115936661788369E-3</v>
      </c>
    </row>
    <row r="57" spans="1:21">
      <c r="A57" s="197">
        <v>43313</v>
      </c>
      <c r="B57">
        <f t="shared" si="11"/>
        <v>8</v>
      </c>
      <c r="C57">
        <f t="shared" si="12"/>
        <v>2018</v>
      </c>
      <c r="D57" s="6">
        <f>'Monthly Data (14-23) Used'!X57</f>
        <v>2972667</v>
      </c>
      <c r="E57" s="6">
        <f>'Monthly Data (14-23) Used'!DV57</f>
        <v>23973.120967741936</v>
      </c>
      <c r="F57" s="100">
        <f>'Monthly Data (14-23) Used'!AG57</f>
        <v>0</v>
      </c>
      <c r="G57" s="100">
        <f>'Monthly Data (14-23) Used'!AF57</f>
        <v>221.79999999999995</v>
      </c>
      <c r="H57">
        <f>'Monthly Data (14-23) Used'!BY57</f>
        <v>0</v>
      </c>
      <c r="I57">
        <f>'Monthly Data (14-23) Used'!AR57</f>
        <v>163.9</v>
      </c>
      <c r="K57" s="6">
        <f t="shared" si="2"/>
        <v>3114.0572511813202</v>
      </c>
      <c r="L57" s="6">
        <f t="shared" si="13"/>
        <v>0</v>
      </c>
      <c r="M57" s="6">
        <f t="shared" si="14"/>
        <v>4553.4043471357609</v>
      </c>
      <c r="N57" s="6">
        <f t="shared" si="7"/>
        <v>0</v>
      </c>
      <c r="O57" s="6">
        <f t="shared" si="8"/>
        <v>15691.791974586598</v>
      </c>
      <c r="P57" s="6">
        <f t="shared" si="15"/>
        <v>23359.253572903679</v>
      </c>
      <c r="Q57" s="6">
        <f>'Monthly Data (14-23) Used'!DU57</f>
        <v>4</v>
      </c>
      <c r="R57">
        <f>'Monthly Data (14-23) Used'!CB57</f>
        <v>31</v>
      </c>
      <c r="S57" s="6">
        <f t="shared" si="9"/>
        <v>2896547.4430400562</v>
      </c>
      <c r="T57" s="6">
        <f t="shared" si="17"/>
        <v>-613.86739483825659</v>
      </c>
      <c r="U57" s="14">
        <f t="shared" si="16"/>
        <v>2.5606486350453588E-2</v>
      </c>
    </row>
    <row r="58" spans="1:21">
      <c r="A58" s="197">
        <v>43344</v>
      </c>
      <c r="B58">
        <f t="shared" si="11"/>
        <v>9</v>
      </c>
      <c r="C58">
        <f t="shared" si="12"/>
        <v>2018</v>
      </c>
      <c r="D58" s="6">
        <f>'Monthly Data (14-23) Used'!X58</f>
        <v>2476319</v>
      </c>
      <c r="E58" s="6">
        <f>'Monthly Data (14-23) Used'!DV58</f>
        <v>20635.991666666665</v>
      </c>
      <c r="F58" s="100">
        <f>'Monthly Data (14-23) Used'!AG58</f>
        <v>7.4000000000000021</v>
      </c>
      <c r="G58" s="100">
        <f>'Monthly Data (14-23) Used'!AF58</f>
        <v>125.1</v>
      </c>
      <c r="H58">
        <f>'Monthly Data (14-23) Used'!BY58</f>
        <v>0</v>
      </c>
      <c r="I58">
        <f>'Monthly Data (14-23) Used'!AR58</f>
        <v>164.4</v>
      </c>
      <c r="K58" s="6">
        <f t="shared" si="2"/>
        <v>3114.0572511813202</v>
      </c>
      <c r="L58" s="6">
        <f t="shared" si="13"/>
        <v>36.168963494497667</v>
      </c>
      <c r="M58" s="6">
        <f t="shared" si="14"/>
        <v>2568.2185925459144</v>
      </c>
      <c r="N58" s="6">
        <f t="shared" si="7"/>
        <v>0</v>
      </c>
      <c r="O58" s="6">
        <f t="shared" si="8"/>
        <v>15739.661992812917</v>
      </c>
      <c r="P58" s="6">
        <f t="shared" si="15"/>
        <v>21458.106800034649</v>
      </c>
      <c r="Q58" s="6">
        <f>'Monthly Data (14-23) Used'!DU58</f>
        <v>4</v>
      </c>
      <c r="R58">
        <f>'Monthly Data (14-23) Used'!CB58</f>
        <v>30</v>
      </c>
      <c r="S58" s="6">
        <f t="shared" si="9"/>
        <v>2574972.816004158</v>
      </c>
      <c r="T58" s="6">
        <f t="shared" si="17"/>
        <v>822.11513336798453</v>
      </c>
      <c r="U58" s="14">
        <f t="shared" si="16"/>
        <v>3.9838896363577611E-2</v>
      </c>
    </row>
    <row r="59" spans="1:21">
      <c r="A59" s="197">
        <v>43374</v>
      </c>
      <c r="B59">
        <f t="shared" si="11"/>
        <v>10</v>
      </c>
      <c r="C59">
        <f t="shared" si="12"/>
        <v>2018</v>
      </c>
      <c r="D59" s="6">
        <f>'Monthly Data (14-23) Used'!X59</f>
        <v>2237779</v>
      </c>
      <c r="E59" s="6">
        <f>'Monthly Data (14-23) Used'!DV59</f>
        <v>18046.604838709678</v>
      </c>
      <c r="F59" s="100">
        <f>'Monthly Data (14-23) Used'!AG59</f>
        <v>145.99999999999997</v>
      </c>
      <c r="G59" s="100">
        <f>'Monthly Data (14-23) Used'!AF59</f>
        <v>31.8</v>
      </c>
      <c r="H59">
        <f>'Monthly Data (14-23) Used'!BY59</f>
        <v>0</v>
      </c>
      <c r="I59">
        <f>'Monthly Data (14-23) Used'!AR59</f>
        <v>164.9</v>
      </c>
      <c r="K59" s="6">
        <f t="shared" si="2"/>
        <v>3114.0572511813202</v>
      </c>
      <c r="L59" s="6">
        <f t="shared" si="13"/>
        <v>713.60387435089956</v>
      </c>
      <c r="M59" s="6">
        <f t="shared" si="14"/>
        <v>652.83254390855382</v>
      </c>
      <c r="N59" s="6">
        <f t="shared" si="7"/>
        <v>0</v>
      </c>
      <c r="O59" s="6">
        <f t="shared" si="8"/>
        <v>15787.532011039233</v>
      </c>
      <c r="P59" s="6">
        <f t="shared" si="15"/>
        <v>20268.025680480008</v>
      </c>
      <c r="Q59" s="6">
        <f>'Monthly Data (14-23) Used'!DU59</f>
        <v>4</v>
      </c>
      <c r="R59">
        <f>'Monthly Data (14-23) Used'!CB59</f>
        <v>31</v>
      </c>
      <c r="S59" s="6">
        <f t="shared" si="9"/>
        <v>2513235.1843795208</v>
      </c>
      <c r="T59" s="6">
        <f t="shared" si="17"/>
        <v>2221.4208417703303</v>
      </c>
      <c r="U59" s="14">
        <f t="shared" si="16"/>
        <v>0.12309356034689795</v>
      </c>
    </row>
    <row r="60" spans="1:21">
      <c r="A60" s="197">
        <v>43405</v>
      </c>
      <c r="B60">
        <f t="shared" si="11"/>
        <v>11</v>
      </c>
      <c r="C60">
        <f t="shared" si="12"/>
        <v>2018</v>
      </c>
      <c r="D60" s="6">
        <f>'Monthly Data (14-23) Used'!X60</f>
        <v>2748670</v>
      </c>
      <c r="E60" s="6">
        <f>'Monthly Data (14-23) Used'!DV60</f>
        <v>22905.583333333332</v>
      </c>
      <c r="F60" s="100">
        <f>'Monthly Data (14-23) Used'!AG60</f>
        <v>365.73552299140988</v>
      </c>
      <c r="G60" s="100">
        <f>'Monthly Data (14-23) Used'!AF60</f>
        <v>0</v>
      </c>
      <c r="H60">
        <f>'Monthly Data (14-23) Used'!BY60</f>
        <v>0</v>
      </c>
      <c r="I60">
        <f>'Monthly Data (14-23) Used'!AR60</f>
        <v>168.2</v>
      </c>
      <c r="K60" s="6">
        <f t="shared" si="2"/>
        <v>3114.0572511813202</v>
      </c>
      <c r="L60" s="6">
        <f t="shared" si="13"/>
        <v>1787.6046999617988</v>
      </c>
      <c r="M60" s="6">
        <f t="shared" si="14"/>
        <v>0</v>
      </c>
      <c r="N60" s="6">
        <f t="shared" si="7"/>
        <v>0</v>
      </c>
      <c r="O60" s="6">
        <f t="shared" si="8"/>
        <v>16103.474131332921</v>
      </c>
      <c r="P60" s="6">
        <f t="shared" si="15"/>
        <v>21005.136082476041</v>
      </c>
      <c r="Q60" s="6">
        <f>'Monthly Data (14-23) Used'!DU60</f>
        <v>4</v>
      </c>
      <c r="R60">
        <f>'Monthly Data (14-23) Used'!CB60</f>
        <v>30</v>
      </c>
      <c r="S60" s="6">
        <f t="shared" si="9"/>
        <v>2520616.3298971248</v>
      </c>
      <c r="T60" s="6">
        <f t="shared" si="17"/>
        <v>-1900.4472508572908</v>
      </c>
      <c r="U60" s="14">
        <f t="shared" si="16"/>
        <v>8.2968734006946959E-2</v>
      </c>
    </row>
    <row r="61" spans="1:21">
      <c r="A61" s="197">
        <v>43435</v>
      </c>
      <c r="B61">
        <f t="shared" si="11"/>
        <v>12</v>
      </c>
      <c r="C61">
        <f t="shared" si="12"/>
        <v>2018</v>
      </c>
      <c r="D61" s="6">
        <f>'Monthly Data (14-23) Used'!X61</f>
        <v>2349326</v>
      </c>
      <c r="E61" s="6">
        <f>'Monthly Data (14-23) Used'!DV61</f>
        <v>18946.177419354837</v>
      </c>
      <c r="F61" s="100">
        <f>'Monthly Data (14-23) Used'!AG61</f>
        <v>409.79999999999995</v>
      </c>
      <c r="G61" s="100">
        <f>'Monthly Data (14-23) Used'!AF61</f>
        <v>0</v>
      </c>
      <c r="H61">
        <f>'Monthly Data (14-23) Used'!BY61</f>
        <v>0</v>
      </c>
      <c r="I61">
        <f>'Monthly Data (14-23) Used'!AR61</f>
        <v>170.2</v>
      </c>
      <c r="K61" s="6">
        <f t="shared" si="2"/>
        <v>3114.0572511813202</v>
      </c>
      <c r="L61" s="6">
        <f t="shared" si="13"/>
        <v>2002.9785459520456</v>
      </c>
      <c r="M61" s="6">
        <f t="shared" si="14"/>
        <v>0</v>
      </c>
      <c r="N61" s="6">
        <f t="shared" si="7"/>
        <v>0</v>
      </c>
      <c r="O61" s="6">
        <f t="shared" si="8"/>
        <v>16294.954204238187</v>
      </c>
      <c r="P61" s="6">
        <f t="shared" si="15"/>
        <v>21411.990001371552</v>
      </c>
      <c r="Q61" s="6">
        <f>'Monthly Data (14-23) Used'!DU61</f>
        <v>4</v>
      </c>
      <c r="R61">
        <f>'Monthly Data (14-23) Used'!CB61</f>
        <v>31</v>
      </c>
      <c r="S61" s="6">
        <f t="shared" si="9"/>
        <v>2655086.7601700723</v>
      </c>
      <c r="T61" s="6">
        <f t="shared" si="17"/>
        <v>2465.8125820167152</v>
      </c>
      <c r="U61" s="14">
        <f t="shared" si="16"/>
        <v>0.13014828941154727</v>
      </c>
    </row>
    <row r="62" spans="1:21">
      <c r="A62" s="197">
        <v>43466</v>
      </c>
      <c r="B62">
        <f t="shared" ref="B62:B121" si="18">MONTH(A62)</f>
        <v>1</v>
      </c>
      <c r="C62">
        <f t="shared" ref="C62:C121" si="19">YEAR(A62)</f>
        <v>2019</v>
      </c>
      <c r="D62" s="6">
        <f>'Monthly Data (14-23) Used'!X62</f>
        <v>2994820</v>
      </c>
      <c r="E62" s="6">
        <f>'Monthly Data (14-23) Used'!DV62</f>
        <v>24151.774193548386</v>
      </c>
      <c r="F62" s="100">
        <f>'Monthly Data (14-23) Used'!AG62</f>
        <v>587.79999999999995</v>
      </c>
      <c r="G62" s="100">
        <f>'Monthly Data (14-23) Used'!AF62</f>
        <v>0</v>
      </c>
      <c r="H62">
        <f>'Monthly Data (14-23) Used'!BY62</f>
        <v>0</v>
      </c>
      <c r="I62">
        <f>'Monthly Data (14-23) Used'!AR62</f>
        <v>172.7</v>
      </c>
      <c r="K62" s="6">
        <f t="shared" si="2"/>
        <v>3114.0572511813202</v>
      </c>
      <c r="L62" s="6">
        <f t="shared" si="13"/>
        <v>2872.9887489277999</v>
      </c>
      <c r="M62" s="6">
        <f t="shared" si="14"/>
        <v>0</v>
      </c>
      <c r="N62" s="6">
        <f t="shared" si="7"/>
        <v>0</v>
      </c>
      <c r="O62" s="6">
        <f t="shared" si="8"/>
        <v>16534.30429536977</v>
      </c>
      <c r="P62" s="6">
        <f t="shared" si="15"/>
        <v>22521.350295478889</v>
      </c>
      <c r="Q62" s="6">
        <f>'Monthly Data (14-23) Used'!DU62</f>
        <v>4</v>
      </c>
      <c r="R62">
        <f>'Monthly Data (14-23) Used'!CB62</f>
        <v>31</v>
      </c>
      <c r="S62" s="6">
        <f t="shared" si="9"/>
        <v>2792647.436639382</v>
      </c>
      <c r="T62" s="6">
        <f t="shared" si="17"/>
        <v>-1630.4238980694972</v>
      </c>
      <c r="U62" s="14">
        <f t="shared" si="16"/>
        <v>6.7507417260675995E-2</v>
      </c>
    </row>
    <row r="63" spans="1:21">
      <c r="A63" s="197">
        <v>43497</v>
      </c>
      <c r="B63">
        <f t="shared" si="18"/>
        <v>2</v>
      </c>
      <c r="C63">
        <f t="shared" si="19"/>
        <v>2019</v>
      </c>
      <c r="D63" s="6">
        <f>'Monthly Data (14-23) Used'!X63</f>
        <v>2804290</v>
      </c>
      <c r="E63" s="6">
        <f>'Monthly Data (14-23) Used'!DV63</f>
        <v>25038.303571428572</v>
      </c>
      <c r="F63" s="100">
        <f>'Monthly Data (14-23) Used'!AG63</f>
        <v>468.9</v>
      </c>
      <c r="G63" s="100">
        <f>'Monthly Data (14-23) Used'!AF63</f>
        <v>0</v>
      </c>
      <c r="H63">
        <f>'Monthly Data (14-23) Used'!BY63</f>
        <v>0</v>
      </c>
      <c r="I63">
        <f>'Monthly Data (14-23) Used'!AR63</f>
        <v>173.5</v>
      </c>
      <c r="K63" s="6">
        <f t="shared" si="2"/>
        <v>3114.0572511813202</v>
      </c>
      <c r="L63" s="6">
        <f t="shared" si="13"/>
        <v>2291.8414841310741</v>
      </c>
      <c r="M63" s="6">
        <f t="shared" si="14"/>
        <v>0</v>
      </c>
      <c r="N63" s="6">
        <f t="shared" si="7"/>
        <v>0</v>
      </c>
      <c r="O63" s="6">
        <f t="shared" si="8"/>
        <v>16610.896324531877</v>
      </c>
      <c r="P63" s="6">
        <f t="shared" si="15"/>
        <v>22016.795059844269</v>
      </c>
      <c r="Q63" s="6">
        <f>'Monthly Data (14-23) Used'!DU63</f>
        <v>4</v>
      </c>
      <c r="R63">
        <f>'Monthly Data (14-23) Used'!CB63</f>
        <v>28</v>
      </c>
      <c r="S63" s="6">
        <f t="shared" si="9"/>
        <v>2465881.0467025582</v>
      </c>
      <c r="T63" s="6">
        <f t="shared" si="17"/>
        <v>-3021.5085115843031</v>
      </c>
      <c r="U63" s="14">
        <f t="shared" si="16"/>
        <v>0.12067544843701683</v>
      </c>
    </row>
    <row r="64" spans="1:21">
      <c r="A64" s="197">
        <v>43525</v>
      </c>
      <c r="B64">
        <f t="shared" si="18"/>
        <v>3</v>
      </c>
      <c r="C64">
        <f t="shared" si="19"/>
        <v>2019</v>
      </c>
      <c r="D64" s="6">
        <f>'Monthly Data (14-23) Used'!X64</f>
        <v>2876384</v>
      </c>
      <c r="E64" s="6">
        <f>'Monthly Data (14-23) Used'!DV64</f>
        <v>23196.645161290322</v>
      </c>
      <c r="F64" s="100">
        <f>'Monthly Data (14-23) Used'!AG64</f>
        <v>425.39999999999992</v>
      </c>
      <c r="G64" s="100">
        <f>'Monthly Data (14-23) Used'!AF64</f>
        <v>0</v>
      </c>
      <c r="H64">
        <f>'Monthly Data (14-23) Used'!BY64</f>
        <v>1</v>
      </c>
      <c r="I64">
        <f>'Monthly Data (14-23) Used'!AR64</f>
        <v>175.2</v>
      </c>
      <c r="K64" s="6">
        <f t="shared" si="2"/>
        <v>3114.0572511813202</v>
      </c>
      <c r="L64" s="6">
        <f t="shared" si="13"/>
        <v>2079.2266311566623</v>
      </c>
      <c r="M64" s="6">
        <f t="shared" si="14"/>
        <v>0</v>
      </c>
      <c r="N64" s="6">
        <f t="shared" si="7"/>
        <v>-1472.0035230159101</v>
      </c>
      <c r="O64" s="6">
        <f t="shared" si="8"/>
        <v>16773.654386501355</v>
      </c>
      <c r="P64" s="6">
        <f t="shared" si="15"/>
        <v>20494.934745823426</v>
      </c>
      <c r="Q64" s="6">
        <f>'Monthly Data (14-23) Used'!DU64</f>
        <v>4</v>
      </c>
      <c r="R64">
        <f>'Monthly Data (14-23) Used'!CB64</f>
        <v>31</v>
      </c>
      <c r="S64" s="6">
        <f t="shared" si="9"/>
        <v>2541371.908482105</v>
      </c>
      <c r="T64" s="6">
        <f t="shared" si="17"/>
        <v>-2701.7104154668959</v>
      </c>
      <c r="U64" s="14">
        <f t="shared" si="16"/>
        <v>0.11646987728964391</v>
      </c>
    </row>
    <row r="65" spans="1:21">
      <c r="A65" s="197">
        <v>43556</v>
      </c>
      <c r="B65">
        <f t="shared" si="18"/>
        <v>4</v>
      </c>
      <c r="C65">
        <f t="shared" si="19"/>
        <v>2019</v>
      </c>
      <c r="D65" s="6">
        <f>'Monthly Data (14-23) Used'!X65</f>
        <v>2696906</v>
      </c>
      <c r="E65" s="6">
        <f>'Monthly Data (14-23) Used'!DV65</f>
        <v>22474.216666666667</v>
      </c>
      <c r="F65" s="100">
        <f>'Monthly Data (14-23) Used'!AG65</f>
        <v>162.30000000000001</v>
      </c>
      <c r="G65" s="100">
        <f>'Monthly Data (14-23) Used'!AF65</f>
        <v>0.39999999999999858</v>
      </c>
      <c r="H65">
        <f>'Monthly Data (14-23) Used'!BY65</f>
        <v>1</v>
      </c>
      <c r="I65">
        <f>'Monthly Data (14-23) Used'!AR65</f>
        <v>175.5</v>
      </c>
      <c r="K65" s="6">
        <f t="shared" si="2"/>
        <v>3114.0572511813202</v>
      </c>
      <c r="L65" s="6">
        <f t="shared" si="13"/>
        <v>793.27334799418509</v>
      </c>
      <c r="M65" s="6">
        <f t="shared" si="14"/>
        <v>8.2117301120572517</v>
      </c>
      <c r="N65" s="6">
        <f t="shared" si="7"/>
        <v>-1472.0035230159101</v>
      </c>
      <c r="O65" s="6">
        <f t="shared" si="8"/>
        <v>16802.376397437147</v>
      </c>
      <c r="P65" s="6">
        <f t="shared" si="15"/>
        <v>19245.915203708799</v>
      </c>
      <c r="Q65" s="6">
        <f>'Monthly Data (14-23) Used'!DU65</f>
        <v>4</v>
      </c>
      <c r="R65">
        <f>'Monthly Data (14-23) Used'!CB65</f>
        <v>30</v>
      </c>
      <c r="S65" s="6">
        <f t="shared" si="9"/>
        <v>2309509.8244450558</v>
      </c>
      <c r="T65" s="6">
        <f t="shared" si="17"/>
        <v>-3228.3014629578684</v>
      </c>
      <c r="U65" s="14">
        <f t="shared" si="16"/>
        <v>0.14364467117316815</v>
      </c>
    </row>
    <row r="66" spans="1:21">
      <c r="A66" s="197">
        <v>43586</v>
      </c>
      <c r="B66">
        <f t="shared" si="18"/>
        <v>5</v>
      </c>
      <c r="C66">
        <f t="shared" si="19"/>
        <v>2019</v>
      </c>
      <c r="D66" s="6">
        <f>'Monthly Data (14-23) Used'!X66</f>
        <v>2767778</v>
      </c>
      <c r="E66" s="6">
        <f>'Monthly Data (14-23) Used'!DV66</f>
        <v>22320.790322580644</v>
      </c>
      <c r="F66" s="100">
        <f>'Monthly Data (14-23) Used'!AG66</f>
        <v>52.599999999999994</v>
      </c>
      <c r="G66" s="100">
        <f>'Monthly Data (14-23) Used'!AF66</f>
        <v>22.3</v>
      </c>
      <c r="H66">
        <f>'Monthly Data (14-23) Used'!BY66</f>
        <v>1</v>
      </c>
      <c r="I66">
        <f>'Monthly Data (14-23) Used'!AR66</f>
        <v>176.6</v>
      </c>
      <c r="K66" s="6">
        <f t="shared" ref="K66:K121" si="20">$Y$8</f>
        <v>3114.0572511813202</v>
      </c>
      <c r="L66" s="6">
        <f t="shared" ref="L66:L97" si="21">F66*$Y$9</f>
        <v>257.09290267710492</v>
      </c>
      <c r="M66" s="6">
        <f t="shared" ref="M66:M97" si="22">G66*$Y$10</f>
        <v>457.80395374719342</v>
      </c>
      <c r="N66" s="6">
        <f t="shared" si="7"/>
        <v>-1472.0035230159101</v>
      </c>
      <c r="O66" s="6">
        <f t="shared" si="8"/>
        <v>16907.690437535042</v>
      </c>
      <c r="P66" s="6">
        <f t="shared" ref="P66:P97" si="23">SUM(K66:O66)</f>
        <v>19264.64102212475</v>
      </c>
      <c r="Q66" s="6">
        <f>'Monthly Data (14-23) Used'!DU66</f>
        <v>4</v>
      </c>
      <c r="R66">
        <f>'Monthly Data (14-23) Used'!CB66</f>
        <v>31</v>
      </c>
      <c r="S66" s="6">
        <f t="shared" si="9"/>
        <v>2388815.4867434688</v>
      </c>
      <c r="T66" s="6">
        <f t="shared" si="17"/>
        <v>-3056.1493004558943</v>
      </c>
      <c r="U66" s="14">
        <f t="shared" ref="U66:U97" si="24">ABS(P66-E66)/E66</f>
        <v>0.1369194036720181</v>
      </c>
    </row>
    <row r="67" spans="1:21">
      <c r="A67" s="197">
        <v>43617</v>
      </c>
      <c r="B67">
        <f t="shared" si="18"/>
        <v>6</v>
      </c>
      <c r="C67">
        <f t="shared" si="19"/>
        <v>2019</v>
      </c>
      <c r="D67" s="6">
        <f>'Monthly Data (14-23) Used'!X67</f>
        <v>2804829</v>
      </c>
      <c r="E67" s="6">
        <f>'Monthly Data (14-23) Used'!DV67</f>
        <v>23373.575000000001</v>
      </c>
      <c r="F67" s="100">
        <f>'Monthly Data (14-23) Used'!AG67</f>
        <v>1.4000000000000004</v>
      </c>
      <c r="G67" s="100">
        <f>'Monthly Data (14-23) Used'!AF67</f>
        <v>103.1</v>
      </c>
      <c r="H67">
        <f>'Monthly Data (14-23) Used'!BY67</f>
        <v>0</v>
      </c>
      <c r="I67">
        <f>'Monthly Data (14-23) Used'!AR67</f>
        <v>174.6</v>
      </c>
      <c r="K67" s="6">
        <f t="shared" si="20"/>
        <v>3114.0572511813202</v>
      </c>
      <c r="L67" s="6">
        <f t="shared" si="21"/>
        <v>6.8427768773373963</v>
      </c>
      <c r="M67" s="6">
        <f t="shared" si="22"/>
        <v>2116.5734363827637</v>
      </c>
      <c r="N67" s="6">
        <f t="shared" ref="N67:N121" si="25">H67*$Y$11</f>
        <v>0</v>
      </c>
      <c r="O67" s="6">
        <f t="shared" ref="O67:O121" si="26">I67*$Y$12</f>
        <v>16716.210364629773</v>
      </c>
      <c r="P67" s="6">
        <f t="shared" si="23"/>
        <v>21953.683829071193</v>
      </c>
      <c r="Q67" s="6">
        <f>'Monthly Data (14-23) Used'!DU67</f>
        <v>4</v>
      </c>
      <c r="R67">
        <f>'Monthly Data (14-23) Used'!CB67</f>
        <v>30</v>
      </c>
      <c r="S67" s="6">
        <f t="shared" ref="S67:S121" si="27">P67*Q67*R67</f>
        <v>2634442.0594885433</v>
      </c>
      <c r="T67" s="6">
        <f t="shared" ref="T67:T98" si="28">P67-E67</f>
        <v>-1419.8911709288077</v>
      </c>
      <c r="U67" s="14">
        <f t="shared" si="24"/>
        <v>6.0747710648833463E-2</v>
      </c>
    </row>
    <row r="68" spans="1:21">
      <c r="A68" s="197">
        <v>43647</v>
      </c>
      <c r="B68">
        <f t="shared" si="18"/>
        <v>7</v>
      </c>
      <c r="C68">
        <f t="shared" si="19"/>
        <v>2019</v>
      </c>
      <c r="D68" s="6">
        <f>'Monthly Data (14-23) Used'!X68</f>
        <v>3303632</v>
      </c>
      <c r="E68" s="6">
        <f>'Monthly Data (14-23) Used'!DV68</f>
        <v>26642.193548387098</v>
      </c>
      <c r="F68" s="100">
        <f>'Monthly Data (14-23) Used'!AG68</f>
        <v>0</v>
      </c>
      <c r="G68" s="100">
        <f>'Monthly Data (14-23) Used'!AF68</f>
        <v>252.46447700859022</v>
      </c>
      <c r="H68">
        <f>'Monthly Data (14-23) Used'!BY68</f>
        <v>0</v>
      </c>
      <c r="I68">
        <f>'Monthly Data (14-23) Used'!AR68</f>
        <v>171.5</v>
      </c>
      <c r="K68" s="6">
        <f t="shared" si="20"/>
        <v>3114.0572511813202</v>
      </c>
      <c r="L68" s="6">
        <f t="shared" si="21"/>
        <v>0</v>
      </c>
      <c r="M68" s="6">
        <f t="shared" si="22"/>
        <v>5182.9253701905836</v>
      </c>
      <c r="N68" s="6">
        <f t="shared" si="25"/>
        <v>0</v>
      </c>
      <c r="O68" s="6">
        <f t="shared" si="26"/>
        <v>16419.416251626611</v>
      </c>
      <c r="P68" s="6">
        <f t="shared" si="23"/>
        <v>24716.398872998514</v>
      </c>
      <c r="Q68" s="6">
        <f>'Monthly Data (14-23) Used'!DU68</f>
        <v>4</v>
      </c>
      <c r="R68">
        <f>'Monthly Data (14-23) Used'!CB68</f>
        <v>31</v>
      </c>
      <c r="S68" s="6">
        <f t="shared" si="27"/>
        <v>3064833.4602518156</v>
      </c>
      <c r="T68" s="6">
        <f t="shared" si="28"/>
        <v>-1925.7946753885844</v>
      </c>
      <c r="U68" s="14">
        <f t="shared" si="24"/>
        <v>7.2283638052962451E-2</v>
      </c>
    </row>
    <row r="69" spans="1:21">
      <c r="A69" s="197">
        <v>43678</v>
      </c>
      <c r="B69">
        <f t="shared" si="18"/>
        <v>8</v>
      </c>
      <c r="C69">
        <f t="shared" si="19"/>
        <v>2019</v>
      </c>
      <c r="D69" s="6">
        <f>'Monthly Data (14-23) Used'!X69</f>
        <v>3098231</v>
      </c>
      <c r="E69" s="6">
        <f>'Monthly Data (14-23) Used'!DV69</f>
        <v>24985.733870967742</v>
      </c>
      <c r="F69" s="100">
        <f>'Monthly Data (14-23) Used'!AG69</f>
        <v>0</v>
      </c>
      <c r="G69" s="100">
        <f>'Monthly Data (14-23) Used'!AF69</f>
        <v>185.96447700859014</v>
      </c>
      <c r="H69">
        <f>'Monthly Data (14-23) Used'!BY69</f>
        <v>0</v>
      </c>
      <c r="I69">
        <f>'Monthly Data (14-23) Used'!AR69</f>
        <v>169.3</v>
      </c>
      <c r="K69" s="6">
        <f t="shared" si="20"/>
        <v>3114.0572511813202</v>
      </c>
      <c r="L69" s="6">
        <f t="shared" si="21"/>
        <v>0</v>
      </c>
      <c r="M69" s="6">
        <f t="shared" si="22"/>
        <v>3817.7252390610588</v>
      </c>
      <c r="N69" s="6">
        <f t="shared" si="25"/>
        <v>0</v>
      </c>
      <c r="O69" s="6">
        <f t="shared" si="26"/>
        <v>16208.788171430821</v>
      </c>
      <c r="P69" s="6">
        <f t="shared" si="23"/>
        <v>23140.570661673199</v>
      </c>
      <c r="Q69" s="6">
        <f>'Monthly Data (14-23) Used'!DU69</f>
        <v>4</v>
      </c>
      <c r="R69">
        <f>'Monthly Data (14-23) Used'!CB69</f>
        <v>31</v>
      </c>
      <c r="S69" s="6">
        <f t="shared" si="27"/>
        <v>2869430.7620474766</v>
      </c>
      <c r="T69" s="6">
        <f t="shared" si="28"/>
        <v>-1845.1632092945438</v>
      </c>
      <c r="U69" s="14">
        <f t="shared" si="24"/>
        <v>7.3848669757846791E-2</v>
      </c>
    </row>
    <row r="70" spans="1:21">
      <c r="A70" s="197">
        <v>43709</v>
      </c>
      <c r="B70">
        <f t="shared" si="18"/>
        <v>9</v>
      </c>
      <c r="C70">
        <f t="shared" si="19"/>
        <v>2019</v>
      </c>
      <c r="D70" s="6">
        <f>'Monthly Data (14-23) Used'!X70</f>
        <v>2896036</v>
      </c>
      <c r="E70" s="6">
        <f>'Monthly Data (14-23) Used'!DV70</f>
        <v>24133.633333333335</v>
      </c>
      <c r="F70" s="100">
        <f>'Monthly Data (14-23) Used'!AG70</f>
        <v>0</v>
      </c>
      <c r="G70" s="100">
        <f>'Monthly Data (14-23) Used'!AF70</f>
        <v>98.300000000000011</v>
      </c>
      <c r="H70">
        <f>'Monthly Data (14-23) Used'!BY70</f>
        <v>0</v>
      </c>
      <c r="I70">
        <f>'Monthly Data (14-23) Used'!AR70</f>
        <v>169.1</v>
      </c>
      <c r="K70" s="6">
        <f t="shared" si="20"/>
        <v>3114.0572511813202</v>
      </c>
      <c r="L70" s="6">
        <f t="shared" si="21"/>
        <v>0</v>
      </c>
      <c r="M70" s="6">
        <f t="shared" si="22"/>
        <v>2018.0326750380768</v>
      </c>
      <c r="N70" s="6">
        <f t="shared" si="25"/>
        <v>0</v>
      </c>
      <c r="O70" s="6">
        <f t="shared" si="26"/>
        <v>16189.640164140292</v>
      </c>
      <c r="P70" s="6">
        <f t="shared" si="23"/>
        <v>21321.730090359688</v>
      </c>
      <c r="Q70" s="6">
        <f>'Monthly Data (14-23) Used'!DU70</f>
        <v>4</v>
      </c>
      <c r="R70">
        <f>'Monthly Data (14-23) Used'!CB70</f>
        <v>30</v>
      </c>
      <c r="S70" s="6">
        <f t="shared" si="27"/>
        <v>2558607.6108431625</v>
      </c>
      <c r="T70" s="6">
        <f t="shared" si="28"/>
        <v>-2811.9032429736471</v>
      </c>
      <c r="U70" s="14">
        <f t="shared" si="24"/>
        <v>0.11651387937057331</v>
      </c>
    </row>
    <row r="71" spans="1:21">
      <c r="A71" s="197">
        <v>43739</v>
      </c>
      <c r="B71">
        <f t="shared" si="18"/>
        <v>10</v>
      </c>
      <c r="C71">
        <f t="shared" si="19"/>
        <v>2019</v>
      </c>
      <c r="D71" s="6">
        <f>'Monthly Data (14-23) Used'!X71</f>
        <v>2797177</v>
      </c>
      <c r="E71" s="6">
        <f>'Monthly Data (14-23) Used'!DV71</f>
        <v>22557.879032258064</v>
      </c>
      <c r="F71" s="100">
        <f>'Monthly Data (14-23) Used'!AG71</f>
        <v>96.199999999999989</v>
      </c>
      <c r="G71" s="100">
        <f>'Monthly Data (14-23) Used'!AF71</f>
        <v>13.3</v>
      </c>
      <c r="H71">
        <f>'Monthly Data (14-23) Used'!BY71</f>
        <v>0</v>
      </c>
      <c r="I71">
        <f>'Monthly Data (14-23) Used'!AR71</f>
        <v>170.3</v>
      </c>
      <c r="K71" s="6">
        <f t="shared" si="20"/>
        <v>3114.0572511813202</v>
      </c>
      <c r="L71" s="6">
        <f t="shared" si="21"/>
        <v>470.19652542846944</v>
      </c>
      <c r="M71" s="6">
        <f t="shared" si="22"/>
        <v>273.04002622590457</v>
      </c>
      <c r="N71" s="6">
        <f t="shared" si="25"/>
        <v>0</v>
      </c>
      <c r="O71" s="6">
        <f t="shared" si="26"/>
        <v>16304.528207883453</v>
      </c>
      <c r="P71" s="6">
        <f t="shared" si="23"/>
        <v>20161.822010719148</v>
      </c>
      <c r="Q71" s="6">
        <f>'Monthly Data (14-23) Used'!DU71</f>
        <v>4</v>
      </c>
      <c r="R71">
        <f>'Monthly Data (14-23) Used'!CB71</f>
        <v>31</v>
      </c>
      <c r="S71" s="6">
        <f t="shared" si="27"/>
        <v>2500065.9293291746</v>
      </c>
      <c r="T71" s="6">
        <f t="shared" si="28"/>
        <v>-2396.0570215389162</v>
      </c>
      <c r="U71" s="14">
        <f t="shared" si="24"/>
        <v>0.1062181873620531</v>
      </c>
    </row>
    <row r="72" spans="1:21">
      <c r="A72" s="197">
        <v>43770</v>
      </c>
      <c r="B72">
        <f t="shared" si="18"/>
        <v>11</v>
      </c>
      <c r="C72">
        <f t="shared" si="19"/>
        <v>2019</v>
      </c>
      <c r="D72" s="6">
        <f>'Monthly Data (14-23) Used'!X72</f>
        <v>2901691</v>
      </c>
      <c r="E72" s="6">
        <f>'Monthly Data (14-23) Used'!DV72</f>
        <v>24180.758333333335</v>
      </c>
      <c r="F72" s="100">
        <f>'Monthly Data (14-23) Used'!AG72</f>
        <v>375.2</v>
      </c>
      <c r="G72" s="100">
        <f>'Monthly Data (14-23) Used'!AF72</f>
        <v>0</v>
      </c>
      <c r="H72">
        <f>'Monthly Data (14-23) Used'!BY72</f>
        <v>0</v>
      </c>
      <c r="I72">
        <f>'Monthly Data (14-23) Used'!AR72</f>
        <v>168.5</v>
      </c>
      <c r="K72" s="6">
        <f t="shared" si="20"/>
        <v>3114.0572511813202</v>
      </c>
      <c r="L72" s="6">
        <f t="shared" si="21"/>
        <v>1833.8642031264217</v>
      </c>
      <c r="M72" s="6">
        <f t="shared" si="22"/>
        <v>0</v>
      </c>
      <c r="N72" s="6">
        <f t="shared" si="25"/>
        <v>0</v>
      </c>
      <c r="O72" s="6">
        <f t="shared" si="26"/>
        <v>16132.196142268713</v>
      </c>
      <c r="P72" s="6">
        <f t="shared" si="23"/>
        <v>21080.117596576456</v>
      </c>
      <c r="Q72" s="6">
        <f>'Monthly Data (14-23) Used'!DU72</f>
        <v>4</v>
      </c>
      <c r="R72">
        <f>'Monthly Data (14-23) Used'!CB72</f>
        <v>30</v>
      </c>
      <c r="S72" s="6">
        <f t="shared" si="27"/>
        <v>2529614.1115891747</v>
      </c>
      <c r="T72" s="6">
        <f t="shared" si="28"/>
        <v>-3100.6407367568791</v>
      </c>
      <c r="U72" s="14">
        <f t="shared" si="24"/>
        <v>0.12822760535523095</v>
      </c>
    </row>
    <row r="73" spans="1:21">
      <c r="A73" s="197">
        <v>43800</v>
      </c>
      <c r="B73">
        <f t="shared" si="18"/>
        <v>12</v>
      </c>
      <c r="C73">
        <f t="shared" si="19"/>
        <v>2019</v>
      </c>
      <c r="D73" s="6">
        <f>'Monthly Data (14-23) Used'!X73</f>
        <v>2584611</v>
      </c>
      <c r="E73" s="6">
        <f>'Monthly Data (14-23) Used'!DV73</f>
        <v>20843.637096774193</v>
      </c>
      <c r="F73" s="100">
        <f>'Monthly Data (14-23) Used'!AG73</f>
        <v>403.90000000000009</v>
      </c>
      <c r="G73" s="100">
        <f>'Monthly Data (14-23) Used'!AF73</f>
        <v>0</v>
      </c>
      <c r="H73">
        <f>'Monthly Data (14-23) Used'!BY73</f>
        <v>0</v>
      </c>
      <c r="I73">
        <f>'Monthly Data (14-23) Used'!AR73</f>
        <v>167.7</v>
      </c>
      <c r="K73" s="6">
        <f t="shared" si="20"/>
        <v>3114.0572511813202</v>
      </c>
      <c r="L73" s="6">
        <f t="shared" si="21"/>
        <v>1974.1411291118386</v>
      </c>
      <c r="M73" s="6">
        <f t="shared" si="22"/>
        <v>0</v>
      </c>
      <c r="N73" s="6">
        <f t="shared" si="25"/>
        <v>0</v>
      </c>
      <c r="O73" s="6">
        <f t="shared" si="26"/>
        <v>16055.604113106605</v>
      </c>
      <c r="P73" s="6">
        <f t="shared" si="23"/>
        <v>21143.802493399766</v>
      </c>
      <c r="Q73" s="6">
        <f>'Monthly Data (14-23) Used'!DU73</f>
        <v>4</v>
      </c>
      <c r="R73">
        <f>'Monthly Data (14-23) Used'!CB73</f>
        <v>31</v>
      </c>
      <c r="S73" s="6">
        <f t="shared" si="27"/>
        <v>2621831.5091815712</v>
      </c>
      <c r="T73" s="6">
        <f t="shared" si="28"/>
        <v>300.16539662557261</v>
      </c>
      <c r="U73" s="14">
        <f t="shared" si="24"/>
        <v>1.440081667282659E-2</v>
      </c>
    </row>
    <row r="74" spans="1:21">
      <c r="A74" s="197">
        <v>43831</v>
      </c>
      <c r="B74">
        <f t="shared" si="18"/>
        <v>1</v>
      </c>
      <c r="C74">
        <f t="shared" si="19"/>
        <v>2020</v>
      </c>
      <c r="D74" s="6">
        <f>'Monthly Data (14-23) Used'!X74</f>
        <v>2683483</v>
      </c>
      <c r="E74" s="6">
        <f>'Monthly Data (14-23) Used'!DV74</f>
        <v>21640.991935483871</v>
      </c>
      <c r="F74" s="100">
        <f>'Monthly Data (14-23) Used'!AG74</f>
        <v>437.2000000000001</v>
      </c>
      <c r="G74" s="100">
        <f>'Monthly Data (14-23) Used'!AF74</f>
        <v>0</v>
      </c>
      <c r="H74">
        <f>'Monthly Data (14-23) Used'!BY74</f>
        <v>0</v>
      </c>
      <c r="I74">
        <f>'Monthly Data (14-23) Used'!AR74</f>
        <v>166.2</v>
      </c>
      <c r="K74" s="6">
        <f t="shared" si="20"/>
        <v>3114.0572511813202</v>
      </c>
      <c r="L74" s="6">
        <f t="shared" si="21"/>
        <v>2136.901464837078</v>
      </c>
      <c r="M74" s="6">
        <f t="shared" si="22"/>
        <v>0</v>
      </c>
      <c r="N74" s="6">
        <f t="shared" si="25"/>
        <v>0</v>
      </c>
      <c r="O74" s="6">
        <f t="shared" si="26"/>
        <v>15911.994058427654</v>
      </c>
      <c r="P74" s="6">
        <f t="shared" si="23"/>
        <v>21162.95277444605</v>
      </c>
      <c r="Q74" s="6">
        <f>'Monthly Data (14-23) Used'!DU74</f>
        <v>4</v>
      </c>
      <c r="R74">
        <f>'Monthly Data (14-23) Used'!CB74</f>
        <v>31</v>
      </c>
      <c r="S74" s="6">
        <f t="shared" si="27"/>
        <v>2624206.1440313105</v>
      </c>
      <c r="T74" s="6">
        <f t="shared" si="28"/>
        <v>-478.03916103782103</v>
      </c>
      <c r="U74" s="14">
        <f t="shared" si="24"/>
        <v>2.2089521703208034E-2</v>
      </c>
    </row>
    <row r="75" spans="1:21">
      <c r="A75" s="197">
        <v>43862</v>
      </c>
      <c r="B75">
        <f t="shared" si="18"/>
        <v>2</v>
      </c>
      <c r="C75">
        <f t="shared" si="19"/>
        <v>2020</v>
      </c>
      <c r="D75" s="6">
        <f>'Monthly Data (14-23) Used'!X75</f>
        <v>2439682</v>
      </c>
      <c r="E75" s="6">
        <f>'Monthly Data (14-23) Used'!DV75</f>
        <v>21031.741379310344</v>
      </c>
      <c r="F75" s="100">
        <f>'Monthly Data (14-23) Used'!AG75</f>
        <v>453.29999999999995</v>
      </c>
      <c r="G75" s="100">
        <f>'Monthly Data (14-23) Used'!AF75</f>
        <v>0</v>
      </c>
      <c r="H75">
        <f>'Monthly Data (14-23) Used'!BY75</f>
        <v>0</v>
      </c>
      <c r="I75">
        <f>'Monthly Data (14-23) Used'!AR75</f>
        <v>167.8</v>
      </c>
      <c r="K75" s="6">
        <f t="shared" si="20"/>
        <v>3114.0572511813202</v>
      </c>
      <c r="L75" s="6">
        <f t="shared" si="21"/>
        <v>2215.5933989264577</v>
      </c>
      <c r="M75" s="6">
        <f t="shared" si="22"/>
        <v>0</v>
      </c>
      <c r="N75" s="6">
        <f t="shared" si="25"/>
        <v>0</v>
      </c>
      <c r="O75" s="6">
        <f t="shared" si="26"/>
        <v>16065.178116751869</v>
      </c>
      <c r="P75" s="6">
        <f t="shared" si="23"/>
        <v>21394.828766859646</v>
      </c>
      <c r="Q75" s="6">
        <f>'Monthly Data (14-23) Used'!DU75</f>
        <v>4</v>
      </c>
      <c r="R75">
        <f>'Monthly Data (14-23) Used'!CB75</f>
        <v>29</v>
      </c>
      <c r="S75" s="6">
        <f t="shared" si="27"/>
        <v>2481800.136955719</v>
      </c>
      <c r="T75" s="6">
        <f t="shared" si="28"/>
        <v>363.08738754930164</v>
      </c>
      <c r="U75" s="14">
        <f t="shared" si="24"/>
        <v>1.7263781491079162E-2</v>
      </c>
    </row>
    <row r="76" spans="1:21">
      <c r="A76" s="197">
        <v>43891</v>
      </c>
      <c r="B76">
        <f t="shared" si="18"/>
        <v>3</v>
      </c>
      <c r="C76">
        <f t="shared" si="19"/>
        <v>2020</v>
      </c>
      <c r="D76" s="6">
        <f>'Monthly Data (14-23) Used'!X76</f>
        <v>2394362</v>
      </c>
      <c r="E76" s="6">
        <f>'Monthly Data (14-23) Used'!DV76</f>
        <v>19309.370967741936</v>
      </c>
      <c r="F76" s="100">
        <f>'Monthly Data (14-23) Used'!AG76</f>
        <v>298.20000000000005</v>
      </c>
      <c r="G76" s="100">
        <f>'Monthly Data (14-23) Used'!AF76</f>
        <v>0</v>
      </c>
      <c r="H76">
        <f>'Monthly Data (14-23) Used'!BY76</f>
        <v>1</v>
      </c>
      <c r="I76">
        <f>'Monthly Data (14-23) Used'!AR76</f>
        <v>162</v>
      </c>
      <c r="K76" s="6">
        <f t="shared" si="20"/>
        <v>3114.0572511813202</v>
      </c>
      <c r="L76" s="6">
        <f t="shared" si="21"/>
        <v>1457.5114748728652</v>
      </c>
      <c r="M76" s="6">
        <f t="shared" si="22"/>
        <v>0</v>
      </c>
      <c r="N76" s="6">
        <f t="shared" si="25"/>
        <v>-1472.0035230159101</v>
      </c>
      <c r="O76" s="6">
        <f t="shared" si="26"/>
        <v>15509.885905326595</v>
      </c>
      <c r="P76" s="6">
        <f t="shared" si="23"/>
        <v>18609.451108364869</v>
      </c>
      <c r="Q76" s="6">
        <f>'Monthly Data (14-23) Used'!DU76</f>
        <v>4</v>
      </c>
      <c r="R76">
        <f>'Monthly Data (14-23) Used'!CB76</f>
        <v>31</v>
      </c>
      <c r="S76" s="6">
        <f t="shared" si="27"/>
        <v>2307571.9374372438</v>
      </c>
      <c r="T76" s="6">
        <f t="shared" si="28"/>
        <v>-699.91985937706704</v>
      </c>
      <c r="U76" s="14">
        <f t="shared" si="24"/>
        <v>3.6247677904492431E-2</v>
      </c>
    </row>
    <row r="77" spans="1:21">
      <c r="A77" s="197">
        <v>43922</v>
      </c>
      <c r="B77">
        <f t="shared" si="18"/>
        <v>4</v>
      </c>
      <c r="C77">
        <f t="shared" si="19"/>
        <v>2020</v>
      </c>
      <c r="D77" s="6">
        <f>'Monthly Data (14-23) Used'!X77</f>
        <v>1877577</v>
      </c>
      <c r="E77" s="6">
        <f>'Monthly Data (14-23) Used'!DV77</f>
        <v>15646.475</v>
      </c>
      <c r="F77" s="100">
        <f>'Monthly Data (14-23) Used'!AG77</f>
        <v>219.2</v>
      </c>
      <c r="G77" s="100">
        <f>'Monthly Data (14-23) Used'!AF77</f>
        <v>0</v>
      </c>
      <c r="H77">
        <f>'Monthly Data (14-23) Used'!BY77</f>
        <v>1</v>
      </c>
      <c r="I77">
        <f>'Monthly Data (14-23) Used'!AR77</f>
        <v>149.1</v>
      </c>
      <c r="K77" s="6">
        <f t="shared" si="20"/>
        <v>3114.0572511813202</v>
      </c>
      <c r="L77" s="6">
        <f t="shared" si="21"/>
        <v>1071.3833510802549</v>
      </c>
      <c r="M77" s="6">
        <f t="shared" si="22"/>
        <v>0</v>
      </c>
      <c r="N77" s="6">
        <f t="shared" si="25"/>
        <v>-1472.0035230159101</v>
      </c>
      <c r="O77" s="6">
        <f t="shared" si="26"/>
        <v>14274.839435087626</v>
      </c>
      <c r="P77" s="6">
        <f t="shared" si="23"/>
        <v>16988.276514333291</v>
      </c>
      <c r="Q77" s="6">
        <f>'Monthly Data (14-23) Used'!DU77</f>
        <v>4</v>
      </c>
      <c r="R77">
        <f>'Monthly Data (14-23) Used'!CB77</f>
        <v>30</v>
      </c>
      <c r="S77" s="6">
        <f t="shared" si="27"/>
        <v>2038593.1817199949</v>
      </c>
      <c r="T77" s="6">
        <f t="shared" si="28"/>
        <v>1341.8015143332905</v>
      </c>
      <c r="U77" s="14">
        <f t="shared" si="24"/>
        <v>8.5757431902923204E-2</v>
      </c>
    </row>
    <row r="78" spans="1:21">
      <c r="A78" s="197">
        <v>43952</v>
      </c>
      <c r="B78">
        <f t="shared" si="18"/>
        <v>5</v>
      </c>
      <c r="C78">
        <f t="shared" si="19"/>
        <v>2020</v>
      </c>
      <c r="D78" s="6">
        <f>'Monthly Data (14-23) Used'!X78</f>
        <v>2179756</v>
      </c>
      <c r="E78" s="6">
        <f>'Monthly Data (14-23) Used'!DV78</f>
        <v>17578.677419354837</v>
      </c>
      <c r="F78" s="100">
        <f>'Monthly Data (14-23) Used'!AG78</f>
        <v>79.800000000000011</v>
      </c>
      <c r="G78" s="100">
        <f>'Monthly Data (14-23) Used'!AF78</f>
        <v>43.2</v>
      </c>
      <c r="H78">
        <f>'Monthly Data (14-23) Used'!BY78</f>
        <v>1</v>
      </c>
      <c r="I78">
        <f>'Monthly Data (14-23) Used'!AR78</f>
        <v>137.69999999999999</v>
      </c>
      <c r="K78" s="6">
        <f t="shared" si="20"/>
        <v>3114.0572511813202</v>
      </c>
      <c r="L78" s="6">
        <f t="shared" si="21"/>
        <v>390.03828200823153</v>
      </c>
      <c r="M78" s="6">
        <f t="shared" si="22"/>
        <v>886.86685210218639</v>
      </c>
      <c r="N78" s="6">
        <f t="shared" si="25"/>
        <v>-1472.0035230159101</v>
      </c>
      <c r="O78" s="6">
        <f t="shared" si="26"/>
        <v>13183.403019527605</v>
      </c>
      <c r="P78" s="6">
        <f t="shared" si="23"/>
        <v>16102.361881803432</v>
      </c>
      <c r="Q78" s="6">
        <f>'Monthly Data (14-23) Used'!DU78</f>
        <v>4</v>
      </c>
      <c r="R78">
        <f>'Monthly Data (14-23) Used'!CB78</f>
        <v>31</v>
      </c>
      <c r="S78" s="6">
        <f t="shared" si="27"/>
        <v>1996692.8733436256</v>
      </c>
      <c r="T78" s="6">
        <f t="shared" si="28"/>
        <v>-1476.3155375514052</v>
      </c>
      <c r="U78" s="14">
        <f t="shared" si="24"/>
        <v>8.3983311277213715E-2</v>
      </c>
    </row>
    <row r="79" spans="1:21">
      <c r="A79" s="197">
        <v>43983</v>
      </c>
      <c r="B79">
        <f t="shared" si="18"/>
        <v>6</v>
      </c>
      <c r="C79">
        <f t="shared" si="19"/>
        <v>2020</v>
      </c>
      <c r="D79" s="6">
        <f>'Monthly Data (14-23) Used'!X79</f>
        <v>2539378</v>
      </c>
      <c r="E79" s="6">
        <f>'Monthly Data (14-23) Used'!DV79</f>
        <v>21161.483333333334</v>
      </c>
      <c r="F79" s="100">
        <f>'Monthly Data (14-23) Used'!AG79</f>
        <v>0</v>
      </c>
      <c r="G79" s="100">
        <f>'Monthly Data (14-23) Used'!AF79</f>
        <v>164.9</v>
      </c>
      <c r="H79">
        <f>'Monthly Data (14-23) Used'!BY79</f>
        <v>0</v>
      </c>
      <c r="I79">
        <f>'Monthly Data (14-23) Used'!AR79</f>
        <v>140</v>
      </c>
      <c r="K79" s="6">
        <f t="shared" si="20"/>
        <v>3114.0572511813202</v>
      </c>
      <c r="L79" s="6">
        <f t="shared" si="21"/>
        <v>0</v>
      </c>
      <c r="M79" s="6">
        <f t="shared" si="22"/>
        <v>3385.2857386956139</v>
      </c>
      <c r="N79" s="6">
        <f t="shared" si="25"/>
        <v>0</v>
      </c>
      <c r="O79" s="6">
        <f t="shared" si="26"/>
        <v>13403.605103368664</v>
      </c>
      <c r="P79" s="6">
        <f t="shared" si="23"/>
        <v>19902.948093245599</v>
      </c>
      <c r="Q79" s="6">
        <f>'Monthly Data (14-23) Used'!DU79</f>
        <v>4</v>
      </c>
      <c r="R79">
        <f>'Monthly Data (14-23) Used'!CB79</f>
        <v>30</v>
      </c>
      <c r="S79" s="6">
        <f t="shared" si="27"/>
        <v>2388353.7711894717</v>
      </c>
      <c r="T79" s="6">
        <f t="shared" si="28"/>
        <v>-1258.5352400877346</v>
      </c>
      <c r="U79" s="14">
        <f t="shared" si="24"/>
        <v>5.9472921640861716E-2</v>
      </c>
    </row>
    <row r="80" spans="1:21">
      <c r="A80" s="197">
        <v>44013</v>
      </c>
      <c r="B80">
        <f t="shared" si="18"/>
        <v>7</v>
      </c>
      <c r="C80">
        <f t="shared" si="19"/>
        <v>2020</v>
      </c>
      <c r="D80" s="6">
        <f>'Monthly Data (14-23) Used'!X80</f>
        <v>2920232</v>
      </c>
      <c r="E80" s="6">
        <f>'Monthly Data (14-23) Used'!DV80</f>
        <v>23550.258064516129</v>
      </c>
      <c r="F80" s="100">
        <f>'Monthly Data (14-23) Used'!AG80</f>
        <v>0</v>
      </c>
      <c r="G80" s="100">
        <f>'Monthly Data (14-23) Used'!AF80</f>
        <v>267.70000000000005</v>
      </c>
      <c r="H80">
        <f>'Monthly Data (14-23) Used'!BY80</f>
        <v>0</v>
      </c>
      <c r="I80">
        <f>'Monthly Data (14-23) Used'!AR80</f>
        <v>150.6</v>
      </c>
      <c r="K80" s="6">
        <f t="shared" si="20"/>
        <v>3114.0572511813202</v>
      </c>
      <c r="L80" s="6">
        <f t="shared" si="21"/>
        <v>0</v>
      </c>
      <c r="M80" s="6">
        <f t="shared" si="22"/>
        <v>5495.700377494336</v>
      </c>
      <c r="N80" s="6">
        <f t="shared" si="25"/>
        <v>0</v>
      </c>
      <c r="O80" s="6">
        <f t="shared" si="26"/>
        <v>14418.449489766575</v>
      </c>
      <c r="P80" s="6">
        <f t="shared" si="23"/>
        <v>23028.207118442231</v>
      </c>
      <c r="Q80" s="6">
        <f>'Monthly Data (14-23) Used'!DU80</f>
        <v>4</v>
      </c>
      <c r="R80">
        <f>'Monthly Data (14-23) Used'!CB80</f>
        <v>31</v>
      </c>
      <c r="S80" s="6">
        <f t="shared" si="27"/>
        <v>2855497.6826868365</v>
      </c>
      <c r="T80" s="6">
        <f t="shared" si="28"/>
        <v>-522.05094607389765</v>
      </c>
      <c r="U80" s="14">
        <f t="shared" si="24"/>
        <v>2.2167525495632986E-2</v>
      </c>
    </row>
    <row r="81" spans="1:21">
      <c r="A81" s="197">
        <v>44044</v>
      </c>
      <c r="B81">
        <f t="shared" si="18"/>
        <v>8</v>
      </c>
      <c r="C81">
        <f t="shared" si="19"/>
        <v>2020</v>
      </c>
      <c r="D81" s="6">
        <f>'Monthly Data (14-23) Used'!X81</f>
        <v>2655205</v>
      </c>
      <c r="E81" s="6">
        <f>'Monthly Data (14-23) Used'!DV81</f>
        <v>21412.943548387098</v>
      </c>
      <c r="F81" s="100">
        <f>'Monthly Data (14-23) Used'!AG81</f>
        <v>0</v>
      </c>
      <c r="G81" s="100">
        <f>'Monthly Data (14-23) Used'!AF81</f>
        <v>182.05790803436074</v>
      </c>
      <c r="H81">
        <f>'Monthly Data (14-23) Used'!BY81</f>
        <v>0</v>
      </c>
      <c r="I81">
        <f>'Monthly Data (14-23) Used'!AR81</f>
        <v>156.80000000000001</v>
      </c>
      <c r="K81" s="6">
        <f t="shared" si="20"/>
        <v>3114.0572511813202</v>
      </c>
      <c r="L81" s="6">
        <f t="shared" si="21"/>
        <v>0</v>
      </c>
      <c r="M81" s="6">
        <f t="shared" si="22"/>
        <v>3737.5260138597878</v>
      </c>
      <c r="N81" s="6">
        <f t="shared" si="25"/>
        <v>0</v>
      </c>
      <c r="O81" s="6">
        <f t="shared" si="26"/>
        <v>15012.037715772904</v>
      </c>
      <c r="P81" s="6">
        <f t="shared" si="23"/>
        <v>21863.620980814012</v>
      </c>
      <c r="Q81" s="6">
        <f>'Monthly Data (14-23) Used'!DU81</f>
        <v>4</v>
      </c>
      <c r="R81">
        <f>'Monthly Data (14-23) Used'!CB81</f>
        <v>31</v>
      </c>
      <c r="S81" s="6">
        <f t="shared" si="27"/>
        <v>2711089.0016209376</v>
      </c>
      <c r="T81" s="6">
        <f t="shared" si="28"/>
        <v>450.67743242691358</v>
      </c>
      <c r="U81" s="14">
        <f t="shared" si="24"/>
        <v>2.1046963086065778E-2</v>
      </c>
    </row>
    <row r="82" spans="1:21">
      <c r="A82" s="197">
        <v>44075</v>
      </c>
      <c r="B82">
        <f t="shared" si="18"/>
        <v>9</v>
      </c>
      <c r="C82">
        <f t="shared" si="19"/>
        <v>2020</v>
      </c>
      <c r="D82" s="6">
        <f>'Monthly Data (14-23) Used'!X82</f>
        <v>2348776</v>
      </c>
      <c r="E82" s="6">
        <f>'Monthly Data (14-23) Used'!DV82</f>
        <v>19573.133333333335</v>
      </c>
      <c r="F82" s="100">
        <f>'Monthly Data (14-23) Used'!AG82</f>
        <v>12.100000000000001</v>
      </c>
      <c r="G82" s="100">
        <f>'Monthly Data (14-23) Used'!AF82</f>
        <v>55.628954017180384</v>
      </c>
      <c r="H82">
        <f>'Monthly Data (14-23) Used'!BY82</f>
        <v>0</v>
      </c>
      <c r="I82">
        <f>'Monthly Data (14-23) Used'!AR82</f>
        <v>157.4</v>
      </c>
      <c r="K82" s="6">
        <f t="shared" si="20"/>
        <v>3114.0572511813202</v>
      </c>
      <c r="L82" s="6">
        <f t="shared" si="21"/>
        <v>59.141143011273201</v>
      </c>
      <c r="M82" s="6">
        <f t="shared" si="22"/>
        <v>1142.0248920128249</v>
      </c>
      <c r="N82" s="6">
        <f t="shared" si="25"/>
        <v>0</v>
      </c>
      <c r="O82" s="6">
        <f t="shared" si="26"/>
        <v>15069.481737644483</v>
      </c>
      <c r="P82" s="6">
        <f t="shared" si="23"/>
        <v>19384.7050238499</v>
      </c>
      <c r="Q82" s="6">
        <f>'Monthly Data (14-23) Used'!DU82</f>
        <v>4</v>
      </c>
      <c r="R82">
        <f>'Monthly Data (14-23) Used'!CB82</f>
        <v>30</v>
      </c>
      <c r="S82" s="6">
        <f t="shared" si="27"/>
        <v>2326164.6028619879</v>
      </c>
      <c r="T82" s="6">
        <f t="shared" si="28"/>
        <v>-188.42830948343544</v>
      </c>
      <c r="U82" s="14">
        <f t="shared" si="24"/>
        <v>9.6268852960061969E-3</v>
      </c>
    </row>
    <row r="83" spans="1:21">
      <c r="A83" s="197">
        <v>44105</v>
      </c>
      <c r="B83">
        <f t="shared" si="18"/>
        <v>10</v>
      </c>
      <c r="C83">
        <f t="shared" si="19"/>
        <v>2020</v>
      </c>
      <c r="D83" s="6">
        <f>'Monthly Data (14-23) Used'!X83</f>
        <v>2222132</v>
      </c>
      <c r="E83" s="6">
        <f>'Monthly Data (14-23) Used'!DV83</f>
        <v>17920.419354838708</v>
      </c>
      <c r="F83" s="100">
        <f>'Monthly Data (14-23) Used'!AG83</f>
        <v>129.4</v>
      </c>
      <c r="G83" s="100">
        <f>'Monthly Data (14-23) Used'!AF83</f>
        <v>4.9000000000000021</v>
      </c>
      <c r="H83">
        <f>'Monthly Data (14-23) Used'!BY83</f>
        <v>0</v>
      </c>
      <c r="I83">
        <f>'Monthly Data (14-23) Used'!AR83</f>
        <v>154.69999999999999</v>
      </c>
      <c r="K83" s="6">
        <f t="shared" si="20"/>
        <v>3114.0572511813202</v>
      </c>
      <c r="L83" s="6">
        <f t="shared" si="21"/>
        <v>632.46809137675632</v>
      </c>
      <c r="M83" s="6">
        <f t="shared" si="22"/>
        <v>100.59369387270173</v>
      </c>
      <c r="N83" s="6">
        <f t="shared" si="25"/>
        <v>0</v>
      </c>
      <c r="O83" s="6">
        <f t="shared" si="26"/>
        <v>14810.983639222371</v>
      </c>
      <c r="P83" s="6">
        <f t="shared" si="23"/>
        <v>18658.10267565315</v>
      </c>
      <c r="Q83" s="6">
        <f>'Monthly Data (14-23) Used'!DU83</f>
        <v>4</v>
      </c>
      <c r="R83">
        <f>'Monthly Data (14-23) Used'!CB83</f>
        <v>31</v>
      </c>
      <c r="S83" s="6">
        <f t="shared" si="27"/>
        <v>2313604.7317809905</v>
      </c>
      <c r="T83" s="6">
        <f t="shared" si="28"/>
        <v>737.68332081444169</v>
      </c>
      <c r="U83" s="14">
        <f t="shared" si="24"/>
        <v>4.116440057610924E-2</v>
      </c>
    </row>
    <row r="84" spans="1:21">
      <c r="A84" s="197">
        <v>44136</v>
      </c>
      <c r="B84">
        <f t="shared" si="18"/>
        <v>11</v>
      </c>
      <c r="C84">
        <f t="shared" si="19"/>
        <v>2020</v>
      </c>
      <c r="D84" s="6">
        <f>'Monthly Data (14-23) Used'!X84</f>
        <v>2529849</v>
      </c>
      <c r="E84" s="6">
        <f>'Monthly Data (14-23) Used'!DV84</f>
        <v>21082.075000000001</v>
      </c>
      <c r="F84" s="100">
        <f>'Monthly Data (14-23) Used'!AG84</f>
        <v>215.63552299140977</v>
      </c>
      <c r="G84" s="100">
        <f>'Monthly Data (14-23) Used'!AF84</f>
        <v>3.3999999999999986</v>
      </c>
      <c r="H84">
        <f>'Monthly Data (14-23) Used'!BY84</f>
        <v>0</v>
      </c>
      <c r="I84">
        <f>'Monthly Data (14-23) Used'!AR84</f>
        <v>154.19999999999999</v>
      </c>
      <c r="K84" s="6">
        <f t="shared" si="20"/>
        <v>3114.0572511813202</v>
      </c>
      <c r="L84" s="6">
        <f t="shared" si="21"/>
        <v>1053.9612647558392</v>
      </c>
      <c r="M84" s="6">
        <f t="shared" si="22"/>
        <v>69.79970595248686</v>
      </c>
      <c r="N84" s="6">
        <f t="shared" si="25"/>
        <v>0</v>
      </c>
      <c r="O84" s="6">
        <f t="shared" si="26"/>
        <v>14763.113620996055</v>
      </c>
      <c r="P84" s="6">
        <f t="shared" si="23"/>
        <v>19000.9318428857</v>
      </c>
      <c r="Q84" s="6">
        <f>'Monthly Data (14-23) Used'!DU84</f>
        <v>4</v>
      </c>
      <c r="R84">
        <f>'Monthly Data (14-23) Used'!CB84</f>
        <v>30</v>
      </c>
      <c r="S84" s="6">
        <f t="shared" si="27"/>
        <v>2280111.8211462842</v>
      </c>
      <c r="T84" s="6">
        <f t="shared" si="28"/>
        <v>-2081.1431571143003</v>
      </c>
      <c r="U84" s="14">
        <f t="shared" si="24"/>
        <v>9.871623913273718E-2</v>
      </c>
    </row>
    <row r="85" spans="1:21">
      <c r="A85" s="197">
        <v>44166</v>
      </c>
      <c r="B85">
        <f t="shared" si="18"/>
        <v>12</v>
      </c>
      <c r="C85">
        <f t="shared" si="19"/>
        <v>2020</v>
      </c>
      <c r="D85" s="6">
        <f>'Monthly Data (14-23) Used'!X85</f>
        <v>2398255</v>
      </c>
      <c r="E85" s="6">
        <f>'Monthly Data (14-23) Used'!DV85</f>
        <v>19340.766129032258</v>
      </c>
      <c r="F85" s="100">
        <f>'Monthly Data (14-23) Used'!AG85</f>
        <v>423.40000000000003</v>
      </c>
      <c r="G85" s="100">
        <f>'Monthly Data (14-23) Used'!AF85</f>
        <v>0</v>
      </c>
      <c r="H85">
        <f>'Monthly Data (14-23) Used'!BY85</f>
        <v>0</v>
      </c>
      <c r="I85">
        <f>'Monthly Data (14-23) Used'!AR85</f>
        <v>149.69999999999999</v>
      </c>
      <c r="K85" s="6">
        <f t="shared" si="20"/>
        <v>3114.0572511813202</v>
      </c>
      <c r="L85" s="6">
        <f t="shared" si="21"/>
        <v>2069.4512356176092</v>
      </c>
      <c r="M85" s="6">
        <f t="shared" si="22"/>
        <v>0</v>
      </c>
      <c r="N85" s="6">
        <f t="shared" si="25"/>
        <v>0</v>
      </c>
      <c r="O85" s="6">
        <f t="shared" si="26"/>
        <v>14332.283456959205</v>
      </c>
      <c r="P85" s="6">
        <f t="shared" si="23"/>
        <v>19515.791943758137</v>
      </c>
      <c r="Q85" s="6">
        <f>'Monthly Data (14-23) Used'!DU85</f>
        <v>4</v>
      </c>
      <c r="R85">
        <f>'Monthly Data (14-23) Used'!CB85</f>
        <v>31</v>
      </c>
      <c r="S85" s="6">
        <f t="shared" si="27"/>
        <v>2419958.2010260089</v>
      </c>
      <c r="T85" s="6">
        <f t="shared" si="28"/>
        <v>175.02581472587917</v>
      </c>
      <c r="U85" s="14">
        <f t="shared" si="24"/>
        <v>9.0495802264600796E-3</v>
      </c>
    </row>
    <row r="86" spans="1:21">
      <c r="A86" s="197">
        <v>44197</v>
      </c>
      <c r="B86">
        <f t="shared" si="18"/>
        <v>1</v>
      </c>
      <c r="C86">
        <f t="shared" si="19"/>
        <v>2021</v>
      </c>
      <c r="D86" s="6">
        <f>'Monthly Data (14-23) Used'!X86</f>
        <v>2476889</v>
      </c>
      <c r="E86" s="6">
        <f>'Monthly Data (14-23) Used'!DV86</f>
        <v>19974.91129032258</v>
      </c>
      <c r="F86" s="100">
        <f>'Monthly Data (14-23) Used'!AG86</f>
        <v>486.8</v>
      </c>
      <c r="G86" s="100">
        <f>'Monthly Data (14-23) Used'!AF86</f>
        <v>0</v>
      </c>
      <c r="H86">
        <f>'Monthly Data (14-23) Used'!BY86</f>
        <v>0</v>
      </c>
      <c r="I86">
        <f>'Monthly Data (14-23) Used'!AR86</f>
        <v>150.80000000000001</v>
      </c>
      <c r="K86" s="6">
        <f t="shared" si="20"/>
        <v>3114.0572511813202</v>
      </c>
      <c r="L86" s="6">
        <f t="shared" si="21"/>
        <v>2379.3312742056023</v>
      </c>
      <c r="M86" s="6">
        <f t="shared" si="22"/>
        <v>0</v>
      </c>
      <c r="N86" s="6">
        <f t="shared" si="25"/>
        <v>0</v>
      </c>
      <c r="O86" s="6">
        <f t="shared" si="26"/>
        <v>14437.597497057104</v>
      </c>
      <c r="P86" s="6">
        <f t="shared" si="23"/>
        <v>19930.986022444027</v>
      </c>
      <c r="Q86" s="6">
        <f>'Monthly Data (14-23) Used'!DU86</f>
        <v>4</v>
      </c>
      <c r="R86">
        <f>'Monthly Data (14-23) Used'!CB86</f>
        <v>31</v>
      </c>
      <c r="S86" s="6">
        <f t="shared" si="27"/>
        <v>2471442.2667830596</v>
      </c>
      <c r="T86" s="6">
        <f t="shared" si="28"/>
        <v>-43.925267878552404</v>
      </c>
      <c r="U86" s="14">
        <f t="shared" si="24"/>
        <v>2.1990219250602261E-3</v>
      </c>
    </row>
    <row r="87" spans="1:21">
      <c r="A87" s="197">
        <v>44228</v>
      </c>
      <c r="B87">
        <f t="shared" si="18"/>
        <v>2</v>
      </c>
      <c r="C87">
        <f t="shared" si="19"/>
        <v>2021</v>
      </c>
      <c r="D87" s="6">
        <f>'Monthly Data (14-23) Used'!X87</f>
        <v>2421447</v>
      </c>
      <c r="E87" s="6">
        <f>'Monthly Data (14-23) Used'!DV87</f>
        <v>21620.0625</v>
      </c>
      <c r="F87" s="100">
        <f>'Monthly Data (14-23) Used'!AG87</f>
        <v>542.80000000000018</v>
      </c>
      <c r="G87" s="100">
        <f>'Monthly Data (14-23) Used'!AF87</f>
        <v>0</v>
      </c>
      <c r="H87">
        <f>'Monthly Data (14-23) Used'!BY87</f>
        <v>0</v>
      </c>
      <c r="I87">
        <f>'Monthly Data (14-23) Used'!AR87</f>
        <v>151.6</v>
      </c>
      <c r="K87" s="6">
        <f t="shared" si="20"/>
        <v>3114.0572511813202</v>
      </c>
      <c r="L87" s="6">
        <f t="shared" si="21"/>
        <v>2653.042349299099</v>
      </c>
      <c r="M87" s="6">
        <f t="shared" si="22"/>
        <v>0</v>
      </c>
      <c r="N87" s="6">
        <f t="shared" si="25"/>
        <v>0</v>
      </c>
      <c r="O87" s="6">
        <f t="shared" si="26"/>
        <v>14514.189526219208</v>
      </c>
      <c r="P87" s="6">
        <f t="shared" si="23"/>
        <v>20281.289126699627</v>
      </c>
      <c r="Q87" s="6">
        <f>'Monthly Data (14-23) Used'!DU87</f>
        <v>4</v>
      </c>
      <c r="R87">
        <f>'Monthly Data (14-23) Used'!CB87</f>
        <v>28</v>
      </c>
      <c r="S87" s="6">
        <f t="shared" si="27"/>
        <v>2271504.3821903584</v>
      </c>
      <c r="T87" s="6">
        <f t="shared" si="28"/>
        <v>-1338.7733733003734</v>
      </c>
      <c r="U87" s="14">
        <f t="shared" si="24"/>
        <v>6.1922733724769453E-2</v>
      </c>
    </row>
    <row r="88" spans="1:21">
      <c r="A88" s="197">
        <v>44256</v>
      </c>
      <c r="B88">
        <f t="shared" si="18"/>
        <v>3</v>
      </c>
      <c r="C88">
        <f t="shared" si="19"/>
        <v>2021</v>
      </c>
      <c r="D88" s="6">
        <f>'Monthly Data (14-23) Used'!X88</f>
        <v>1798087</v>
      </c>
      <c r="E88" s="6">
        <f>'Monthly Data (14-23) Used'!DV88</f>
        <v>14500.701612903225</v>
      </c>
      <c r="F88" s="100">
        <f>'Monthly Data (14-23) Used'!AG88</f>
        <v>275.60000000000008</v>
      </c>
      <c r="G88" s="100">
        <f>'Monthly Data (14-23) Used'!AF88</f>
        <v>0</v>
      </c>
      <c r="H88">
        <f>'Monthly Data (14-23) Used'!BY88</f>
        <v>1</v>
      </c>
      <c r="I88">
        <f>'Monthly Data (14-23) Used'!AR88</f>
        <v>159.5</v>
      </c>
      <c r="K88" s="6">
        <f t="shared" si="20"/>
        <v>3114.0572511813202</v>
      </c>
      <c r="L88" s="6">
        <f t="shared" si="21"/>
        <v>1347.0495052815618</v>
      </c>
      <c r="M88" s="6">
        <f t="shared" si="22"/>
        <v>0</v>
      </c>
      <c r="N88" s="6">
        <f t="shared" si="25"/>
        <v>-1472.0035230159101</v>
      </c>
      <c r="O88" s="6">
        <f t="shared" si="26"/>
        <v>15270.535814195013</v>
      </c>
      <c r="P88" s="6">
        <f t="shared" si="23"/>
        <v>18259.639047641984</v>
      </c>
      <c r="Q88" s="6">
        <f>'Monthly Data (14-23) Used'!DU88</f>
        <v>4</v>
      </c>
      <c r="R88">
        <f>'Monthly Data (14-23) Used'!CB88</f>
        <v>31</v>
      </c>
      <c r="S88" s="6">
        <f t="shared" si="27"/>
        <v>2264195.2419076059</v>
      </c>
      <c r="T88" s="6">
        <f t="shared" si="28"/>
        <v>3758.9374347387584</v>
      </c>
      <c r="U88" s="14">
        <f t="shared" si="24"/>
        <v>0.25922452134274149</v>
      </c>
    </row>
    <row r="89" spans="1:21">
      <c r="A89" s="197">
        <v>44287</v>
      </c>
      <c r="B89">
        <f t="shared" si="18"/>
        <v>4</v>
      </c>
      <c r="C89">
        <f t="shared" si="19"/>
        <v>2021</v>
      </c>
      <c r="D89" s="6">
        <f>'Monthly Data (14-23) Used'!X89</f>
        <v>1779970</v>
      </c>
      <c r="E89" s="6">
        <f>'Monthly Data (14-23) Used'!DV89</f>
        <v>14833.083333333334</v>
      </c>
      <c r="F89" s="100">
        <f>'Monthly Data (14-23) Used'!AG89</f>
        <v>153.5</v>
      </c>
      <c r="G89" s="100">
        <f>'Monthly Data (14-23) Used'!AF89</f>
        <v>6.6999999999999957</v>
      </c>
      <c r="H89">
        <f>'Monthly Data (14-23) Used'!BY89</f>
        <v>1</v>
      </c>
      <c r="I89">
        <f>'Monthly Data (14-23) Used'!AR89</f>
        <v>162.30000000000001</v>
      </c>
      <c r="K89" s="6">
        <f t="shared" si="20"/>
        <v>3114.0572511813202</v>
      </c>
      <c r="L89" s="6">
        <f t="shared" si="21"/>
        <v>750.26160762234997</v>
      </c>
      <c r="M89" s="6">
        <f t="shared" si="22"/>
        <v>137.54647937695935</v>
      </c>
      <c r="N89" s="6">
        <f t="shared" si="25"/>
        <v>-1472.0035230159101</v>
      </c>
      <c r="O89" s="6">
        <f t="shared" si="26"/>
        <v>15538.607916262386</v>
      </c>
      <c r="P89" s="6">
        <f t="shared" si="23"/>
        <v>18068.469731427107</v>
      </c>
      <c r="Q89" s="6">
        <f>'Monthly Data (14-23) Used'!DU89</f>
        <v>4</v>
      </c>
      <c r="R89">
        <f>'Monthly Data (14-23) Used'!CB89</f>
        <v>30</v>
      </c>
      <c r="S89" s="6">
        <f t="shared" si="27"/>
        <v>2168216.367771253</v>
      </c>
      <c r="T89" s="6">
        <f t="shared" si="28"/>
        <v>3235.3863980937731</v>
      </c>
      <c r="U89" s="14">
        <f t="shared" si="24"/>
        <v>0.21811961312339689</v>
      </c>
    </row>
    <row r="90" spans="1:21">
      <c r="A90" s="197">
        <v>44317</v>
      </c>
      <c r="B90">
        <f t="shared" si="18"/>
        <v>5</v>
      </c>
      <c r="C90">
        <f t="shared" si="19"/>
        <v>2021</v>
      </c>
      <c r="D90" s="6">
        <f>'Monthly Data (14-23) Used'!X90</f>
        <v>2156240</v>
      </c>
      <c r="E90" s="6">
        <f>'Monthly Data (14-23) Used'!DV90</f>
        <v>17389.032258064515</v>
      </c>
      <c r="F90" s="100">
        <f>'Monthly Data (14-23) Used'!AG90</f>
        <v>68.935522991409798</v>
      </c>
      <c r="G90" s="100">
        <f>'Monthly Data (14-23) Used'!AF90</f>
        <v>58.064477008590188</v>
      </c>
      <c r="H90">
        <f>'Monthly Data (14-23) Used'!BY90</f>
        <v>1</v>
      </c>
      <c r="I90">
        <f>'Monthly Data (14-23) Used'!AR90</f>
        <v>162.9</v>
      </c>
      <c r="K90" s="6">
        <f t="shared" si="20"/>
        <v>3114.0572511813202</v>
      </c>
      <c r="L90" s="6">
        <f t="shared" si="21"/>
        <v>336.93600196627091</v>
      </c>
      <c r="M90" s="6">
        <f t="shared" si="22"/>
        <v>1192.0245357307442</v>
      </c>
      <c r="N90" s="6">
        <f t="shared" si="25"/>
        <v>-1472.0035230159101</v>
      </c>
      <c r="O90" s="6">
        <f t="shared" si="26"/>
        <v>15596.051938133965</v>
      </c>
      <c r="P90" s="6">
        <f t="shared" si="23"/>
        <v>18767.06620399639</v>
      </c>
      <c r="Q90" s="6">
        <f>'Monthly Data (14-23) Used'!DU90</f>
        <v>4</v>
      </c>
      <c r="R90">
        <f>'Monthly Data (14-23) Used'!CB90</f>
        <v>31</v>
      </c>
      <c r="S90" s="6">
        <f t="shared" si="27"/>
        <v>2327116.2092955522</v>
      </c>
      <c r="T90" s="6">
        <f t="shared" si="28"/>
        <v>1378.0339459318748</v>
      </c>
      <c r="U90" s="14">
        <f t="shared" si="24"/>
        <v>7.9247305168048301E-2</v>
      </c>
    </row>
    <row r="91" spans="1:21">
      <c r="A91" s="197">
        <v>44348</v>
      </c>
      <c r="B91">
        <f t="shared" si="18"/>
        <v>6</v>
      </c>
      <c r="C91">
        <f t="shared" si="19"/>
        <v>2021</v>
      </c>
      <c r="D91" s="6">
        <f>'Monthly Data (14-23) Used'!X91</f>
        <v>2661577</v>
      </c>
      <c r="E91" s="6">
        <f>'Monthly Data (14-23) Used'!DV91</f>
        <v>22179.808333333334</v>
      </c>
      <c r="F91" s="100">
        <f>'Monthly Data (14-23) Used'!AG91</f>
        <v>0</v>
      </c>
      <c r="G91" s="100">
        <f>'Monthly Data (14-23) Used'!AF91</f>
        <v>190</v>
      </c>
      <c r="H91">
        <f>'Monthly Data (14-23) Used'!BY91</f>
        <v>0</v>
      </c>
      <c r="I91">
        <f>'Monthly Data (14-23) Used'!AR91</f>
        <v>163.80000000000001</v>
      </c>
      <c r="K91" s="6">
        <f t="shared" si="20"/>
        <v>3114.0572511813202</v>
      </c>
      <c r="L91" s="6">
        <f t="shared" si="21"/>
        <v>0</v>
      </c>
      <c r="M91" s="6">
        <f t="shared" si="22"/>
        <v>3900.5718032272084</v>
      </c>
      <c r="N91" s="6">
        <f t="shared" si="25"/>
        <v>0</v>
      </c>
      <c r="O91" s="6">
        <f t="shared" si="26"/>
        <v>15682.217970941336</v>
      </c>
      <c r="P91" s="6">
        <f t="shared" si="23"/>
        <v>22696.847025349864</v>
      </c>
      <c r="Q91" s="6">
        <f>'Monthly Data (14-23) Used'!DU91</f>
        <v>4</v>
      </c>
      <c r="R91">
        <f>'Monthly Data (14-23) Used'!CB91</f>
        <v>30</v>
      </c>
      <c r="S91" s="6">
        <f t="shared" si="27"/>
        <v>2723621.6430419837</v>
      </c>
      <c r="T91" s="6">
        <f t="shared" si="28"/>
        <v>517.03869201652924</v>
      </c>
      <c r="U91" s="14">
        <f t="shared" si="24"/>
        <v>2.3311233543866477E-2</v>
      </c>
    </row>
    <row r="92" spans="1:21">
      <c r="A92" s="197">
        <v>44378</v>
      </c>
      <c r="B92">
        <f t="shared" si="18"/>
        <v>7</v>
      </c>
      <c r="C92">
        <f t="shared" si="19"/>
        <v>2021</v>
      </c>
      <c r="D92" s="6">
        <f>'Monthly Data (14-23) Used'!X92</f>
        <v>2641727</v>
      </c>
      <c r="E92" s="6">
        <f>'Monthly Data (14-23) Used'!DV92</f>
        <v>21304.25</v>
      </c>
      <c r="F92" s="100">
        <f>'Monthly Data (14-23) Used'!AG92</f>
        <v>0</v>
      </c>
      <c r="G92" s="100">
        <f>'Monthly Data (14-23) Used'!AF92</f>
        <v>192.39999999999998</v>
      </c>
      <c r="H92">
        <f>'Monthly Data (14-23) Used'!BY92</f>
        <v>0</v>
      </c>
      <c r="I92">
        <f>'Monthly Data (14-23) Used'!AR92</f>
        <v>164.8</v>
      </c>
      <c r="K92" s="6">
        <f t="shared" si="20"/>
        <v>3114.0572511813202</v>
      </c>
      <c r="L92" s="6">
        <f t="shared" si="21"/>
        <v>0</v>
      </c>
      <c r="M92" s="6">
        <f t="shared" si="22"/>
        <v>3949.8421838995514</v>
      </c>
      <c r="N92" s="6">
        <f t="shared" si="25"/>
        <v>0</v>
      </c>
      <c r="O92" s="6">
        <f t="shared" si="26"/>
        <v>15777.958007393971</v>
      </c>
      <c r="P92" s="6">
        <f t="shared" si="23"/>
        <v>22841.857442474844</v>
      </c>
      <c r="Q92" s="6">
        <f>'Monthly Data (14-23) Used'!DU92</f>
        <v>4</v>
      </c>
      <c r="R92">
        <f>'Monthly Data (14-23) Used'!CB92</f>
        <v>31</v>
      </c>
      <c r="S92" s="6">
        <f t="shared" si="27"/>
        <v>2832390.3228668808</v>
      </c>
      <c r="T92" s="6">
        <f t="shared" si="28"/>
        <v>1537.607442474844</v>
      </c>
      <c r="U92" s="14">
        <f t="shared" si="24"/>
        <v>7.2173741975185418E-2</v>
      </c>
    </row>
    <row r="93" spans="1:21">
      <c r="A93" s="197">
        <v>44409</v>
      </c>
      <c r="B93">
        <f t="shared" si="18"/>
        <v>8</v>
      </c>
      <c r="C93">
        <f t="shared" si="19"/>
        <v>2021</v>
      </c>
      <c r="D93" s="6">
        <f>'Monthly Data (14-23) Used'!X93</f>
        <v>2810916</v>
      </c>
      <c r="E93" s="6">
        <f>'Monthly Data (14-23) Used'!DV93</f>
        <v>22668.677419354837</v>
      </c>
      <c r="F93" s="100">
        <f>'Monthly Data (14-23) Used'!AG93</f>
        <v>0</v>
      </c>
      <c r="G93" s="100">
        <f>'Monthly Data (14-23) Used'!AF93</f>
        <v>224.29343102577059</v>
      </c>
      <c r="H93">
        <f>'Monthly Data (14-23) Used'!BY93</f>
        <v>0</v>
      </c>
      <c r="I93">
        <f>'Monthly Data (14-23) Used'!AR93</f>
        <v>167.7</v>
      </c>
      <c r="K93" s="6">
        <f t="shared" si="20"/>
        <v>3114.0572511813202</v>
      </c>
      <c r="L93" s="6">
        <f t="shared" si="21"/>
        <v>0</v>
      </c>
      <c r="M93" s="6">
        <f t="shared" si="22"/>
        <v>4604.592803727408</v>
      </c>
      <c r="N93" s="6">
        <f t="shared" si="25"/>
        <v>0</v>
      </c>
      <c r="O93" s="6">
        <f t="shared" si="26"/>
        <v>16055.604113106605</v>
      </c>
      <c r="P93" s="6">
        <f t="shared" si="23"/>
        <v>23774.254168015334</v>
      </c>
      <c r="Q93" s="6">
        <f>'Monthly Data (14-23) Used'!DU93</f>
        <v>4</v>
      </c>
      <c r="R93">
        <f>'Monthly Data (14-23) Used'!CB93</f>
        <v>31</v>
      </c>
      <c r="S93" s="6">
        <f t="shared" si="27"/>
        <v>2948007.5168339014</v>
      </c>
      <c r="T93" s="6">
        <f t="shared" si="28"/>
        <v>1105.5767486604964</v>
      </c>
      <c r="U93" s="14">
        <f t="shared" si="24"/>
        <v>4.8771118323671557E-2</v>
      </c>
    </row>
    <row r="94" spans="1:21">
      <c r="A94" s="197">
        <v>44440</v>
      </c>
      <c r="B94">
        <f t="shared" si="18"/>
        <v>9</v>
      </c>
      <c r="C94">
        <f t="shared" si="19"/>
        <v>2021</v>
      </c>
      <c r="D94" s="6">
        <f>'Monthly Data (14-23) Used'!X94</f>
        <v>2370134</v>
      </c>
      <c r="E94" s="6">
        <f>'Monthly Data (14-23) Used'!DV94</f>
        <v>19751.116666666665</v>
      </c>
      <c r="F94" s="100">
        <f>'Monthly Data (14-23) Used'!AG94</f>
        <v>3.9000000000000004</v>
      </c>
      <c r="G94" s="100">
        <f>'Monthly Data (14-23) Used'!AF94</f>
        <v>90.800000000000011</v>
      </c>
      <c r="H94">
        <f>'Monthly Data (14-23) Used'!BY94</f>
        <v>0</v>
      </c>
      <c r="I94">
        <f>'Monthly Data (14-23) Used'!AR94</f>
        <v>165.8</v>
      </c>
      <c r="K94" s="6">
        <f t="shared" si="20"/>
        <v>3114.0572511813202</v>
      </c>
      <c r="L94" s="6">
        <f t="shared" si="21"/>
        <v>19.062021301154171</v>
      </c>
      <c r="M94" s="6">
        <f t="shared" si="22"/>
        <v>1864.0627354370029</v>
      </c>
      <c r="N94" s="6">
        <f t="shared" si="25"/>
        <v>0</v>
      </c>
      <c r="O94" s="6">
        <f t="shared" si="26"/>
        <v>15873.698043846603</v>
      </c>
      <c r="P94" s="6">
        <f t="shared" si="23"/>
        <v>20870.880051766082</v>
      </c>
      <c r="Q94" s="6">
        <f>'Monthly Data (14-23) Used'!DU94</f>
        <v>4</v>
      </c>
      <c r="R94">
        <f>'Monthly Data (14-23) Used'!CB94</f>
        <v>30</v>
      </c>
      <c r="S94" s="6">
        <f t="shared" si="27"/>
        <v>2504505.60621193</v>
      </c>
      <c r="T94" s="6">
        <f t="shared" si="28"/>
        <v>1119.7633850994171</v>
      </c>
      <c r="U94" s="14">
        <f t="shared" si="24"/>
        <v>5.6693674793041264E-2</v>
      </c>
    </row>
    <row r="95" spans="1:21">
      <c r="A95" s="197">
        <v>44470</v>
      </c>
      <c r="B95">
        <f t="shared" si="18"/>
        <v>10</v>
      </c>
      <c r="C95">
        <f t="shared" si="19"/>
        <v>2021</v>
      </c>
      <c r="D95" s="6">
        <f>'Monthly Data (14-23) Used'!X95</f>
        <v>2288392</v>
      </c>
      <c r="E95" s="6">
        <f>'Monthly Data (14-23) Used'!DV95</f>
        <v>18454.774193548386</v>
      </c>
      <c r="F95" s="100">
        <f>'Monthly Data (14-23) Used'!AG95</f>
        <v>53.599999999999994</v>
      </c>
      <c r="G95" s="100">
        <f>'Monthly Data (14-23) Used'!AF95</f>
        <v>51.300000000000011</v>
      </c>
      <c r="H95">
        <f>'Monthly Data (14-23) Used'!BY95</f>
        <v>0</v>
      </c>
      <c r="I95">
        <f>'Monthly Data (14-23) Used'!AR95</f>
        <v>169.4</v>
      </c>
      <c r="K95" s="6">
        <f t="shared" si="20"/>
        <v>3114.0572511813202</v>
      </c>
      <c r="L95" s="6">
        <f t="shared" si="21"/>
        <v>261.98060044663163</v>
      </c>
      <c r="M95" s="6">
        <f t="shared" si="22"/>
        <v>1053.1543868713466</v>
      </c>
      <c r="N95" s="6">
        <f t="shared" si="25"/>
        <v>0</v>
      </c>
      <c r="O95" s="6">
        <f t="shared" si="26"/>
        <v>16218.362175076083</v>
      </c>
      <c r="P95" s="6">
        <f t="shared" si="23"/>
        <v>20647.554413575381</v>
      </c>
      <c r="Q95" s="6">
        <f>'Monthly Data (14-23) Used'!DU95</f>
        <v>4</v>
      </c>
      <c r="R95">
        <f>'Monthly Data (14-23) Used'!CB95</f>
        <v>31</v>
      </c>
      <c r="S95" s="6">
        <f t="shared" si="27"/>
        <v>2560296.7472833474</v>
      </c>
      <c r="T95" s="6">
        <f t="shared" si="28"/>
        <v>2192.7802200269944</v>
      </c>
      <c r="U95" s="14">
        <f t="shared" si="24"/>
        <v>0.11881913032528837</v>
      </c>
    </row>
    <row r="96" spans="1:21">
      <c r="A96" s="197">
        <v>44501</v>
      </c>
      <c r="B96">
        <f t="shared" si="18"/>
        <v>11</v>
      </c>
      <c r="C96">
        <f t="shared" si="19"/>
        <v>2021</v>
      </c>
      <c r="D96" s="6">
        <f>'Monthly Data (14-23) Used'!X96</f>
        <v>2388052</v>
      </c>
      <c r="E96" s="6">
        <f>'Monthly Data (14-23) Used'!DV96</f>
        <v>19900.433333333334</v>
      </c>
      <c r="F96" s="100">
        <f>'Monthly Data (14-23) Used'!AG96</f>
        <v>302.90000000000003</v>
      </c>
      <c r="G96" s="100">
        <f>'Monthly Data (14-23) Used'!AF96</f>
        <v>0</v>
      </c>
      <c r="H96">
        <f>'Monthly Data (14-23) Used'!BY96</f>
        <v>0</v>
      </c>
      <c r="I96">
        <f>'Monthly Data (14-23) Used'!AR96</f>
        <v>176.5</v>
      </c>
      <c r="K96" s="6">
        <f t="shared" si="20"/>
        <v>3114.0572511813202</v>
      </c>
      <c r="L96" s="6">
        <f t="shared" si="21"/>
        <v>1480.4836543896406</v>
      </c>
      <c r="M96" s="6">
        <f t="shared" si="22"/>
        <v>0</v>
      </c>
      <c r="N96" s="6">
        <f t="shared" si="25"/>
        <v>0</v>
      </c>
      <c r="O96" s="6">
        <f t="shared" si="26"/>
        <v>16898.11643388978</v>
      </c>
      <c r="P96" s="6">
        <f t="shared" si="23"/>
        <v>21492.65733946074</v>
      </c>
      <c r="Q96" s="6">
        <f>'Monthly Data (14-23) Used'!DU96</f>
        <v>4</v>
      </c>
      <c r="R96">
        <f>'Monthly Data (14-23) Used'!CB96</f>
        <v>30</v>
      </c>
      <c r="S96" s="6">
        <f t="shared" si="27"/>
        <v>2579118.8807352888</v>
      </c>
      <c r="T96" s="6">
        <f t="shared" si="28"/>
        <v>1592.224006127406</v>
      </c>
      <c r="U96" s="14">
        <f t="shared" si="24"/>
        <v>8.0009514338585885E-2</v>
      </c>
    </row>
    <row r="97" spans="1:21">
      <c r="A97" s="197">
        <v>44531</v>
      </c>
      <c r="B97">
        <f t="shared" si="18"/>
        <v>12</v>
      </c>
      <c r="C97">
        <f t="shared" si="19"/>
        <v>2021</v>
      </c>
      <c r="D97" s="6">
        <f>'Monthly Data (14-23) Used'!X97</f>
        <v>2282252</v>
      </c>
      <c r="E97" s="6">
        <f>'Monthly Data (14-23) Used'!DV97</f>
        <v>18405.258064516129</v>
      </c>
      <c r="F97" s="100">
        <f>'Monthly Data (14-23) Used'!AG97</f>
        <v>359.4</v>
      </c>
      <c r="G97" s="100">
        <f>'Monthly Data (14-23) Used'!AF97</f>
        <v>0</v>
      </c>
      <c r="H97">
        <f>'Monthly Data (14-23) Used'!BY97</f>
        <v>0</v>
      </c>
      <c r="I97">
        <f>'Monthly Data (14-23) Used'!AR97</f>
        <v>183.6</v>
      </c>
      <c r="K97" s="6">
        <f t="shared" si="20"/>
        <v>3114.0572511813202</v>
      </c>
      <c r="L97" s="6">
        <f t="shared" si="21"/>
        <v>1756.6385783678995</v>
      </c>
      <c r="M97" s="6">
        <f t="shared" si="22"/>
        <v>0</v>
      </c>
      <c r="N97" s="6">
        <f t="shared" si="25"/>
        <v>0</v>
      </c>
      <c r="O97" s="6">
        <f t="shared" si="26"/>
        <v>17577.870692703473</v>
      </c>
      <c r="P97" s="6">
        <f t="shared" si="23"/>
        <v>22448.566522252691</v>
      </c>
      <c r="Q97" s="6">
        <f>'Monthly Data (14-23) Used'!DU97</f>
        <v>4</v>
      </c>
      <c r="R97">
        <f>'Monthly Data (14-23) Used'!CB97</f>
        <v>31</v>
      </c>
      <c r="S97" s="6">
        <f t="shared" si="27"/>
        <v>2783622.2487593335</v>
      </c>
      <c r="T97" s="6">
        <f t="shared" si="28"/>
        <v>4043.3084577365626</v>
      </c>
      <c r="U97" s="14">
        <f t="shared" si="24"/>
        <v>0.21968224751663434</v>
      </c>
    </row>
    <row r="98" spans="1:21">
      <c r="A98" s="197">
        <v>44562</v>
      </c>
      <c r="B98">
        <f t="shared" si="18"/>
        <v>1</v>
      </c>
      <c r="C98">
        <f t="shared" si="19"/>
        <v>2022</v>
      </c>
      <c r="D98" s="6">
        <f>'Monthly Data (14-23) Used'!X98</f>
        <v>2458213</v>
      </c>
      <c r="E98" s="6">
        <f>'Monthly Data (14-23) Used'!DV98</f>
        <v>19824.298387096773</v>
      </c>
      <c r="F98" s="100">
        <f>'Monthly Data (14-23) Used'!AG98</f>
        <v>642.20000000000005</v>
      </c>
      <c r="G98" s="100">
        <f>'Monthly Data (14-23) Used'!AF98</f>
        <v>0</v>
      </c>
      <c r="H98">
        <f>'Monthly Data (14-23) Used'!BY98</f>
        <v>0</v>
      </c>
      <c r="I98">
        <f>'Monthly Data (14-23) Used'!AR98</f>
        <v>184.2</v>
      </c>
      <c r="K98" s="6">
        <f t="shared" si="20"/>
        <v>3114.0572511813202</v>
      </c>
      <c r="L98" s="6">
        <f t="shared" ref="L98:L121" si="29">F98*$Y$9</f>
        <v>3138.8795075900534</v>
      </c>
      <c r="M98" s="6">
        <f t="shared" ref="M98:M121" si="30">G98*$Y$10</f>
        <v>0</v>
      </c>
      <c r="N98" s="6">
        <f t="shared" si="25"/>
        <v>0</v>
      </c>
      <c r="O98" s="6">
        <f t="shared" si="26"/>
        <v>17635.314714575055</v>
      </c>
      <c r="P98" s="6">
        <f t="shared" ref="P98:P121" si="31">SUM(K98:O98)</f>
        <v>23888.251473346427</v>
      </c>
      <c r="Q98" s="6">
        <f>'Monthly Data (14-23) Used'!DU98</f>
        <v>4</v>
      </c>
      <c r="R98">
        <f>'Monthly Data (14-23) Used'!CB98</f>
        <v>31</v>
      </c>
      <c r="S98" s="6">
        <f t="shared" si="27"/>
        <v>2962143.1826949571</v>
      </c>
      <c r="T98" s="6">
        <f t="shared" si="28"/>
        <v>4063.953086249654</v>
      </c>
      <c r="U98" s="14">
        <f t="shared" ref="U98:U121" si="32">ABS(P98-E98)/E98</f>
        <v>0.20499858339979374</v>
      </c>
    </row>
    <row r="99" spans="1:21">
      <c r="A99" s="197">
        <v>44593</v>
      </c>
      <c r="B99">
        <f t="shared" si="18"/>
        <v>2</v>
      </c>
      <c r="C99">
        <f t="shared" si="19"/>
        <v>2022</v>
      </c>
      <c r="D99" s="6">
        <f>'Monthly Data (14-23) Used'!X99</f>
        <v>2115178</v>
      </c>
      <c r="E99" s="6">
        <f>'Monthly Data (14-23) Used'!DV99</f>
        <v>18885.517857142859</v>
      </c>
      <c r="F99" s="100">
        <f>'Monthly Data (14-23) Used'!AG99</f>
        <v>495.30000000000007</v>
      </c>
      <c r="G99" s="100">
        <f>'Monthly Data (14-23) Used'!AF99</f>
        <v>0</v>
      </c>
      <c r="H99">
        <f>'Monthly Data (14-23) Used'!BY99</f>
        <v>0</v>
      </c>
      <c r="I99">
        <f>'Monthly Data (14-23) Used'!AR99</f>
        <v>181.8</v>
      </c>
      <c r="K99" s="6">
        <f t="shared" si="20"/>
        <v>3114.0572511813202</v>
      </c>
      <c r="L99" s="6">
        <f t="shared" si="29"/>
        <v>2420.8767052465801</v>
      </c>
      <c r="M99" s="6">
        <f t="shared" si="30"/>
        <v>0</v>
      </c>
      <c r="N99" s="6">
        <f t="shared" si="25"/>
        <v>0</v>
      </c>
      <c r="O99" s="6">
        <f t="shared" si="26"/>
        <v>17405.538627088736</v>
      </c>
      <c r="P99" s="6">
        <f t="shared" si="31"/>
        <v>22940.472583516635</v>
      </c>
      <c r="Q99" s="6">
        <f>'Monthly Data (14-23) Used'!DU99</f>
        <v>4</v>
      </c>
      <c r="R99">
        <f>'Monthly Data (14-23) Used'!CB99</f>
        <v>28</v>
      </c>
      <c r="S99" s="6">
        <f t="shared" si="27"/>
        <v>2569332.929353863</v>
      </c>
      <c r="T99" s="6">
        <f t="shared" ref="T99:T121" si="33">P99-E99</f>
        <v>4054.9547263737768</v>
      </c>
      <c r="U99" s="14">
        <f t="shared" si="32"/>
        <v>0.21471239269407255</v>
      </c>
    </row>
    <row r="100" spans="1:21">
      <c r="A100" s="197">
        <v>44621</v>
      </c>
      <c r="B100">
        <f t="shared" si="18"/>
        <v>3</v>
      </c>
      <c r="C100">
        <f t="shared" si="19"/>
        <v>2022</v>
      </c>
      <c r="D100" s="6">
        <f>'Monthly Data (14-23) Used'!X100</f>
        <v>2122133</v>
      </c>
      <c r="E100" s="6">
        <f>'Monthly Data (14-23) Used'!DV100</f>
        <v>17113.975806451614</v>
      </c>
      <c r="F100" s="100">
        <f>'Monthly Data (14-23) Used'!AG100</f>
        <v>341.93552299140981</v>
      </c>
      <c r="G100" s="100">
        <f>'Monthly Data (14-23) Used'!AF100</f>
        <v>0</v>
      </c>
      <c r="H100">
        <f>'Monthly Data (14-23) Used'!BY100</f>
        <v>1</v>
      </c>
      <c r="I100">
        <f>'Monthly Data (14-23) Used'!AR100</f>
        <v>178.4</v>
      </c>
      <c r="K100" s="6">
        <f t="shared" si="20"/>
        <v>3114.0572511813202</v>
      </c>
      <c r="L100" s="6">
        <f t="shared" si="29"/>
        <v>1671.2774930470628</v>
      </c>
      <c r="M100" s="6">
        <f t="shared" si="30"/>
        <v>0</v>
      </c>
      <c r="N100" s="6">
        <f t="shared" si="25"/>
        <v>-1472.0035230159101</v>
      </c>
      <c r="O100" s="6">
        <f t="shared" si="26"/>
        <v>17080.022503149783</v>
      </c>
      <c r="P100" s="6">
        <f t="shared" si="31"/>
        <v>20393.353724362256</v>
      </c>
      <c r="Q100" s="6">
        <f>'Monthly Data (14-23) Used'!DU100</f>
        <v>4</v>
      </c>
      <c r="R100">
        <f>'Monthly Data (14-23) Used'!CB100</f>
        <v>31</v>
      </c>
      <c r="S100" s="6">
        <f t="shared" si="27"/>
        <v>2528775.8618209199</v>
      </c>
      <c r="T100" s="6">
        <f t="shared" si="33"/>
        <v>3279.3779179106423</v>
      </c>
      <c r="U100" s="14">
        <f t="shared" si="32"/>
        <v>0.19161987576693809</v>
      </c>
    </row>
    <row r="101" spans="1:21">
      <c r="A101" s="197">
        <v>44652</v>
      </c>
      <c r="B101">
        <f t="shared" si="18"/>
        <v>4</v>
      </c>
      <c r="C101">
        <f t="shared" si="19"/>
        <v>2022</v>
      </c>
      <c r="D101" s="6">
        <f>'Monthly Data (14-23) Used'!X101</f>
        <v>2129088</v>
      </c>
      <c r="E101" s="6">
        <f>'Monthly Data (14-23) Used'!DV101</f>
        <v>17742.400000000001</v>
      </c>
      <c r="F101" s="100">
        <f>'Monthly Data (14-23) Used'!AG101</f>
        <v>220.60000000000005</v>
      </c>
      <c r="G101" s="100">
        <f>'Monthly Data (14-23) Used'!AF101</f>
        <v>3.3000000000000007</v>
      </c>
      <c r="H101">
        <f>'Monthly Data (14-23) Used'!BY101</f>
        <v>1</v>
      </c>
      <c r="I101">
        <f>'Monthly Data (14-23) Used'!AR101</f>
        <v>177.4</v>
      </c>
      <c r="K101" s="6">
        <f t="shared" si="20"/>
        <v>3114.0572511813202</v>
      </c>
      <c r="L101" s="6">
        <f t="shared" si="29"/>
        <v>1078.2261279575926</v>
      </c>
      <c r="M101" s="6">
        <f t="shared" si="30"/>
        <v>67.746773424472579</v>
      </c>
      <c r="N101" s="6">
        <f t="shared" si="25"/>
        <v>-1472.0035230159101</v>
      </c>
      <c r="O101" s="6">
        <f t="shared" si="26"/>
        <v>16984.28246669715</v>
      </c>
      <c r="P101" s="6">
        <f t="shared" si="31"/>
        <v>19772.309096244626</v>
      </c>
      <c r="Q101" s="6">
        <f>'Monthly Data (14-23) Used'!DU101</f>
        <v>4</v>
      </c>
      <c r="R101">
        <f>'Monthly Data (14-23) Used'!CB101</f>
        <v>30</v>
      </c>
      <c r="S101" s="6">
        <f t="shared" si="27"/>
        <v>2372677.0915493551</v>
      </c>
      <c r="T101" s="6">
        <f t="shared" si="33"/>
        <v>2029.9090962446244</v>
      </c>
      <c r="U101" s="14">
        <f t="shared" si="32"/>
        <v>0.11441006268851024</v>
      </c>
    </row>
    <row r="102" spans="1:21">
      <c r="A102" s="197">
        <v>44682</v>
      </c>
      <c r="B102">
        <f t="shared" si="18"/>
        <v>5</v>
      </c>
      <c r="C102">
        <f t="shared" si="19"/>
        <v>2022</v>
      </c>
      <c r="D102" s="6">
        <f>'Monthly Data (14-23) Used'!X102</f>
        <v>2149513</v>
      </c>
      <c r="E102" s="6">
        <f>'Monthly Data (14-23) Used'!DV102</f>
        <v>17334.782258064515</v>
      </c>
      <c r="F102" s="100">
        <f>'Monthly Data (14-23) Used'!AG102</f>
        <v>33</v>
      </c>
      <c r="G102" s="100">
        <f>'Monthly Data (14-23) Used'!AF102</f>
        <v>72.5</v>
      </c>
      <c r="H102">
        <f>'Monthly Data (14-23) Used'!BY102</f>
        <v>1</v>
      </c>
      <c r="I102">
        <f>'Monthly Data (14-23) Used'!AR102</f>
        <v>176.2</v>
      </c>
      <c r="K102" s="6">
        <f t="shared" si="20"/>
        <v>3114.0572511813202</v>
      </c>
      <c r="L102" s="6">
        <f t="shared" si="29"/>
        <v>161.29402639438143</v>
      </c>
      <c r="M102" s="6">
        <f t="shared" si="30"/>
        <v>1488.3760828103821</v>
      </c>
      <c r="N102" s="6">
        <f t="shared" si="25"/>
        <v>-1472.0035230159101</v>
      </c>
      <c r="O102" s="6">
        <f t="shared" si="26"/>
        <v>16869.394422953988</v>
      </c>
      <c r="P102" s="6">
        <f t="shared" si="31"/>
        <v>20161.118260324161</v>
      </c>
      <c r="Q102" s="6">
        <f>'Monthly Data (14-23) Used'!DU102</f>
        <v>4</v>
      </c>
      <c r="R102">
        <f>'Monthly Data (14-23) Used'!CB102</f>
        <v>31</v>
      </c>
      <c r="S102" s="6">
        <f t="shared" si="27"/>
        <v>2499978.6642801962</v>
      </c>
      <c r="T102" s="6">
        <f t="shared" si="33"/>
        <v>2826.3360022596462</v>
      </c>
      <c r="U102" s="14">
        <f t="shared" si="32"/>
        <v>0.16304421712276043</v>
      </c>
    </row>
    <row r="103" spans="1:21">
      <c r="A103" s="197">
        <v>44713</v>
      </c>
      <c r="B103">
        <f t="shared" si="18"/>
        <v>6</v>
      </c>
      <c r="C103">
        <f t="shared" si="19"/>
        <v>2022</v>
      </c>
      <c r="D103" s="6">
        <f>'Monthly Data (14-23) Used'!X103</f>
        <v>2446520</v>
      </c>
      <c r="E103" s="6">
        <f>'Monthly Data (14-23) Used'!DV103</f>
        <v>20387.666666666668</v>
      </c>
      <c r="F103" s="100">
        <f>'Monthly Data (14-23) Used'!AG103</f>
        <v>0</v>
      </c>
      <c r="G103" s="100">
        <f>'Monthly Data (14-23) Used'!AF103</f>
        <v>147.70000000000002</v>
      </c>
      <c r="H103">
        <f>'Monthly Data (14-23) Used'!BY103</f>
        <v>0</v>
      </c>
      <c r="I103">
        <f>'Monthly Data (14-23) Used'!AR103</f>
        <v>175.1</v>
      </c>
      <c r="K103" s="6">
        <f t="shared" si="20"/>
        <v>3114.0572511813202</v>
      </c>
      <c r="L103" s="6">
        <f t="shared" si="29"/>
        <v>0</v>
      </c>
      <c r="M103" s="6">
        <f t="shared" si="30"/>
        <v>3032.181343877151</v>
      </c>
      <c r="N103" s="6">
        <f t="shared" si="25"/>
        <v>0</v>
      </c>
      <c r="O103" s="6">
        <f t="shared" si="26"/>
        <v>16764.080382856093</v>
      </c>
      <c r="P103" s="6">
        <f t="shared" si="31"/>
        <v>22910.318977914565</v>
      </c>
      <c r="Q103" s="6">
        <f>'Monthly Data (14-23) Used'!DU103</f>
        <v>4</v>
      </c>
      <c r="R103">
        <f>'Monthly Data (14-23) Used'!CB103</f>
        <v>30</v>
      </c>
      <c r="S103" s="6">
        <f t="shared" si="27"/>
        <v>2749238.2773497477</v>
      </c>
      <c r="T103" s="6">
        <f t="shared" si="33"/>
        <v>2522.6523112478972</v>
      </c>
      <c r="U103" s="14">
        <f t="shared" si="32"/>
        <v>0.12373423366649267</v>
      </c>
    </row>
    <row r="104" spans="1:21">
      <c r="A104" s="197">
        <v>44743</v>
      </c>
      <c r="B104">
        <f t="shared" si="18"/>
        <v>7</v>
      </c>
      <c r="C104">
        <f t="shared" si="19"/>
        <v>2022</v>
      </c>
      <c r="D104" s="6">
        <f>'Monthly Data (14-23) Used'!X104</f>
        <v>2691240</v>
      </c>
      <c r="E104" s="6">
        <f>'Monthly Data (14-23) Used'!DV104</f>
        <v>21703.548387096773</v>
      </c>
      <c r="F104" s="100">
        <f>'Monthly Data (14-23) Used'!AG104</f>
        <v>0</v>
      </c>
      <c r="G104" s="100">
        <f>'Monthly Data (14-23) Used'!AF104</f>
        <v>218.60000000000002</v>
      </c>
      <c r="H104">
        <f>'Monthly Data (14-23) Used'!BY104</f>
        <v>0</v>
      </c>
      <c r="I104">
        <f>'Monthly Data (14-23) Used'!AR104</f>
        <v>170.6</v>
      </c>
      <c r="K104" s="6">
        <f t="shared" si="20"/>
        <v>3114.0572511813202</v>
      </c>
      <c r="L104" s="6">
        <f t="shared" si="29"/>
        <v>0</v>
      </c>
      <c r="M104" s="6">
        <f t="shared" si="30"/>
        <v>4487.7105062393039</v>
      </c>
      <c r="N104" s="6">
        <f t="shared" si="25"/>
        <v>0</v>
      </c>
      <c r="O104" s="6">
        <f t="shared" si="26"/>
        <v>16333.250218819241</v>
      </c>
      <c r="P104" s="6">
        <f t="shared" si="31"/>
        <v>23935.017976239866</v>
      </c>
      <c r="Q104" s="6">
        <f>'Monthly Data (14-23) Used'!DU104</f>
        <v>4</v>
      </c>
      <c r="R104">
        <f>'Monthly Data (14-23) Used'!CB104</f>
        <v>31</v>
      </c>
      <c r="S104" s="6">
        <f t="shared" si="27"/>
        <v>2967942.2290537432</v>
      </c>
      <c r="T104" s="6">
        <f t="shared" si="33"/>
        <v>2231.4695891430929</v>
      </c>
      <c r="U104" s="14">
        <f t="shared" si="32"/>
        <v>0.10281588749191582</v>
      </c>
    </row>
    <row r="105" spans="1:21">
      <c r="A105" s="197">
        <v>44774</v>
      </c>
      <c r="B105">
        <f t="shared" si="18"/>
        <v>8</v>
      </c>
      <c r="C105">
        <f t="shared" si="19"/>
        <v>2022</v>
      </c>
      <c r="D105" s="6">
        <f>'Monthly Data (14-23) Used'!X105</f>
        <v>2769504</v>
      </c>
      <c r="E105" s="6">
        <f>'Monthly Data (14-23) Used'!DV105</f>
        <v>22334.709677419356</v>
      </c>
      <c r="F105" s="100">
        <f>'Monthly Data (14-23) Used'!AG105</f>
        <v>0</v>
      </c>
      <c r="G105" s="100">
        <f>'Monthly Data (14-23) Used'!AF105</f>
        <v>198.92895401718039</v>
      </c>
      <c r="H105">
        <f>'Monthly Data (14-23) Used'!BY105</f>
        <v>0</v>
      </c>
      <c r="I105">
        <f>'Monthly Data (14-23) Used'!AR105</f>
        <v>165.3</v>
      </c>
      <c r="K105" s="6">
        <f t="shared" si="20"/>
        <v>3114.0572511813202</v>
      </c>
      <c r="L105" s="6">
        <f t="shared" si="29"/>
        <v>0</v>
      </c>
      <c r="M105" s="6">
        <f t="shared" si="30"/>
        <v>4083.8772046573458</v>
      </c>
      <c r="N105" s="6">
        <f t="shared" si="25"/>
        <v>0</v>
      </c>
      <c r="O105" s="6">
        <f t="shared" si="26"/>
        <v>15825.828025620287</v>
      </c>
      <c r="P105" s="6">
        <f t="shared" si="31"/>
        <v>23023.762481458951</v>
      </c>
      <c r="Q105" s="6">
        <f>'Monthly Data (14-23) Used'!DU105</f>
        <v>4</v>
      </c>
      <c r="R105">
        <f>'Monthly Data (14-23) Used'!CB105</f>
        <v>31</v>
      </c>
      <c r="S105" s="6">
        <f t="shared" si="27"/>
        <v>2854946.5477009099</v>
      </c>
      <c r="T105" s="6">
        <f t="shared" si="33"/>
        <v>689.05280403959478</v>
      </c>
      <c r="U105" s="14">
        <f t="shared" si="32"/>
        <v>3.0851209350450385E-2</v>
      </c>
    </row>
    <row r="106" spans="1:21">
      <c r="A106" s="197">
        <v>44805</v>
      </c>
      <c r="B106">
        <f t="shared" si="18"/>
        <v>9</v>
      </c>
      <c r="C106">
        <f t="shared" si="19"/>
        <v>2022</v>
      </c>
      <c r="D106" s="6">
        <f>'Monthly Data (14-23) Used'!X106</f>
        <v>2440616</v>
      </c>
      <c r="E106" s="6">
        <f>'Monthly Data (14-23) Used'!DV106</f>
        <v>20338.466666666667</v>
      </c>
      <c r="F106" s="100">
        <f>'Monthly Data (14-23) Used'!AG106</f>
        <v>10.600000000000001</v>
      </c>
      <c r="G106" s="100">
        <f>'Monthly Data (14-23) Used'!AF106</f>
        <v>97.999999999999986</v>
      </c>
      <c r="H106">
        <f>'Monthly Data (14-23) Used'!BY106</f>
        <v>0</v>
      </c>
      <c r="I106">
        <f>'Monthly Data (14-23) Used'!AR106</f>
        <v>162.30000000000001</v>
      </c>
      <c r="K106" s="6">
        <f t="shared" si="20"/>
        <v>3114.0572511813202</v>
      </c>
      <c r="L106" s="6">
        <f t="shared" si="29"/>
        <v>51.809596356983135</v>
      </c>
      <c r="M106" s="6">
        <f t="shared" si="30"/>
        <v>2011.8738774540334</v>
      </c>
      <c r="N106" s="6">
        <f t="shared" si="25"/>
        <v>0</v>
      </c>
      <c r="O106" s="6">
        <f t="shared" si="26"/>
        <v>15538.607916262386</v>
      </c>
      <c r="P106" s="6">
        <f t="shared" si="31"/>
        <v>20716.348641254721</v>
      </c>
      <c r="Q106" s="6">
        <f>'Monthly Data (14-23) Used'!DU106</f>
        <v>4</v>
      </c>
      <c r="R106">
        <f>'Monthly Data (14-23) Used'!CB106</f>
        <v>30</v>
      </c>
      <c r="S106" s="6">
        <f t="shared" si="27"/>
        <v>2485961.8369505666</v>
      </c>
      <c r="T106" s="6">
        <f t="shared" si="33"/>
        <v>377.88197458805371</v>
      </c>
      <c r="U106" s="14">
        <f t="shared" si="32"/>
        <v>1.8579668801059424E-2</v>
      </c>
    </row>
    <row r="107" spans="1:21">
      <c r="A107" s="197">
        <v>44835</v>
      </c>
      <c r="B107">
        <f t="shared" si="18"/>
        <v>10</v>
      </c>
      <c r="C107">
        <f t="shared" si="19"/>
        <v>2022</v>
      </c>
      <c r="D107" s="6">
        <f>'Monthly Data (14-23) Used'!X107</f>
        <v>2187893</v>
      </c>
      <c r="E107" s="6">
        <f>'Monthly Data (14-23) Used'!DV107</f>
        <v>17644.298387096773</v>
      </c>
      <c r="F107" s="100">
        <f>'Monthly Data (14-23) Used'!AG107</f>
        <v>109.40656897422942</v>
      </c>
      <c r="G107" s="100">
        <f>'Monthly Data (14-23) Used'!AF107</f>
        <v>7.7000000000000028</v>
      </c>
      <c r="H107">
        <f>'Monthly Data (14-23) Used'!BY107</f>
        <v>0</v>
      </c>
      <c r="I107">
        <f>'Monthly Data (14-23) Used'!AR107</f>
        <v>168.4</v>
      </c>
      <c r="K107" s="6">
        <f t="shared" si="20"/>
        <v>3114.0572511813202</v>
      </c>
      <c r="L107" s="6">
        <f t="shared" si="29"/>
        <v>534.7462431469113</v>
      </c>
      <c r="M107" s="6">
        <f t="shared" si="30"/>
        <v>158.07580465710271</v>
      </c>
      <c r="N107" s="6">
        <f t="shared" si="25"/>
        <v>0</v>
      </c>
      <c r="O107" s="6">
        <f t="shared" si="26"/>
        <v>16122.622138623448</v>
      </c>
      <c r="P107" s="6">
        <f t="shared" si="31"/>
        <v>19929.501437608782</v>
      </c>
      <c r="Q107" s="6">
        <f>'Monthly Data (14-23) Used'!DU107</f>
        <v>4</v>
      </c>
      <c r="R107">
        <f>'Monthly Data (14-23) Used'!CB107</f>
        <v>31</v>
      </c>
      <c r="S107" s="6">
        <f t="shared" si="27"/>
        <v>2471258.1782634892</v>
      </c>
      <c r="T107" s="6">
        <f t="shared" si="33"/>
        <v>2285.2030505120092</v>
      </c>
      <c r="U107" s="14">
        <f t="shared" si="32"/>
        <v>0.1295150988935424</v>
      </c>
    </row>
    <row r="108" spans="1:21">
      <c r="A108" s="197">
        <v>44866</v>
      </c>
      <c r="B108">
        <f t="shared" si="18"/>
        <v>11</v>
      </c>
      <c r="C108">
        <f t="shared" si="19"/>
        <v>2022</v>
      </c>
      <c r="D108" s="6">
        <f>'Monthly Data (14-23) Used'!X108</f>
        <v>2451162</v>
      </c>
      <c r="E108" s="6">
        <f>'Monthly Data (14-23) Used'!DV108</f>
        <v>20426.349999999999</v>
      </c>
      <c r="F108" s="100">
        <f>'Monthly Data (14-23) Used'!AG108</f>
        <v>256.09999999999997</v>
      </c>
      <c r="G108" s="100">
        <f>'Monthly Data (14-23) Used'!AF108</f>
        <v>2.2999999999999972</v>
      </c>
      <c r="H108">
        <f>'Monthly Data (14-23) Used'!BY108</f>
        <v>0</v>
      </c>
      <c r="I108">
        <f>'Monthly Data (14-23) Used'!AR108</f>
        <v>176.3</v>
      </c>
      <c r="K108" s="6">
        <f t="shared" si="20"/>
        <v>3114.0572511813202</v>
      </c>
      <c r="L108" s="6">
        <f t="shared" si="29"/>
        <v>1251.7393987757903</v>
      </c>
      <c r="M108" s="6">
        <f t="shared" si="30"/>
        <v>47.217448144329303</v>
      </c>
      <c r="N108" s="6">
        <f t="shared" si="25"/>
        <v>0</v>
      </c>
      <c r="O108" s="6">
        <f t="shared" si="26"/>
        <v>16878.968426599251</v>
      </c>
      <c r="P108" s="6">
        <f t="shared" si="31"/>
        <v>21291.982524700688</v>
      </c>
      <c r="Q108" s="6">
        <f>'Monthly Data (14-23) Used'!DU108</f>
        <v>4</v>
      </c>
      <c r="R108">
        <f>'Monthly Data (14-23) Used'!CB108</f>
        <v>30</v>
      </c>
      <c r="S108" s="6">
        <f t="shared" si="27"/>
        <v>2555037.9029640825</v>
      </c>
      <c r="T108" s="6">
        <f t="shared" si="33"/>
        <v>865.63252470068983</v>
      </c>
      <c r="U108" s="14">
        <f t="shared" si="32"/>
        <v>4.2378228352137795E-2</v>
      </c>
    </row>
    <row r="109" spans="1:21">
      <c r="A109" s="197">
        <v>44896</v>
      </c>
      <c r="B109">
        <f t="shared" si="18"/>
        <v>12</v>
      </c>
      <c r="C109">
        <f t="shared" si="19"/>
        <v>2022</v>
      </c>
      <c r="D109" s="6">
        <f>'Monthly Data (14-23) Used'!X109</f>
        <v>2831510</v>
      </c>
      <c r="E109" s="6">
        <f>'Monthly Data (14-23) Used'!DV109</f>
        <v>22834.758064516129</v>
      </c>
      <c r="F109" s="100">
        <f>'Monthly Data (14-23) Used'!AG109</f>
        <v>432.09999999999997</v>
      </c>
      <c r="G109" s="100">
        <f>'Monthly Data (14-23) Used'!AF109</f>
        <v>0</v>
      </c>
      <c r="H109">
        <f>'Monthly Data (14-23) Used'!BY109</f>
        <v>0</v>
      </c>
      <c r="I109">
        <f>'Monthly Data (14-23) Used'!AR109</f>
        <v>183.1</v>
      </c>
      <c r="K109" s="6">
        <f t="shared" si="20"/>
        <v>3114.0572511813202</v>
      </c>
      <c r="L109" s="6">
        <f t="shared" si="29"/>
        <v>2111.9742062124915</v>
      </c>
      <c r="M109" s="6">
        <f t="shared" si="30"/>
        <v>0</v>
      </c>
      <c r="N109" s="6">
        <f t="shared" si="25"/>
        <v>0</v>
      </c>
      <c r="O109" s="6">
        <f t="shared" si="26"/>
        <v>17530.000674477156</v>
      </c>
      <c r="P109" s="6">
        <f t="shared" si="31"/>
        <v>22756.032131870968</v>
      </c>
      <c r="Q109" s="6">
        <f>'Monthly Data (14-23) Used'!DU109</f>
        <v>4</v>
      </c>
      <c r="R109">
        <f>'Monthly Data (14-23) Used'!CB109</f>
        <v>31</v>
      </c>
      <c r="S109" s="6">
        <f t="shared" si="27"/>
        <v>2821747.9843520001</v>
      </c>
      <c r="T109" s="6">
        <f t="shared" si="33"/>
        <v>-78.725932645160356</v>
      </c>
      <c r="U109" s="14">
        <f t="shared" si="32"/>
        <v>3.4476359426595295E-3</v>
      </c>
    </row>
    <row r="110" spans="1:21">
      <c r="A110" s="197">
        <v>44927</v>
      </c>
      <c r="B110">
        <f t="shared" si="18"/>
        <v>1</v>
      </c>
      <c r="C110">
        <f t="shared" si="19"/>
        <v>2023</v>
      </c>
      <c r="D110" s="6">
        <f>'Monthly Data (14-23) Used'!X110</f>
        <v>3051532.49</v>
      </c>
      <c r="E110" s="6">
        <f>'Monthly Data (14-23) Used'!DV110</f>
        <v>24609.132983870968</v>
      </c>
      <c r="F110" s="100">
        <f>'Monthly Data (14-23) Used'!AG110</f>
        <v>424.7000000000001</v>
      </c>
      <c r="G110" s="100">
        <f>'Monthly Data (14-23) Used'!AF110</f>
        <v>0</v>
      </c>
      <c r="H110">
        <f>'Monthly Data (14-23) Used'!BY110</f>
        <v>0</v>
      </c>
      <c r="I110">
        <f>'Monthly Data (14-23) Used'!AR110</f>
        <v>189.2</v>
      </c>
      <c r="K110" s="6">
        <f t="shared" si="20"/>
        <v>3114.0572511813202</v>
      </c>
      <c r="L110" s="6">
        <f t="shared" si="29"/>
        <v>2075.8052427179941</v>
      </c>
      <c r="M110" s="6">
        <f t="shared" si="30"/>
        <v>0</v>
      </c>
      <c r="N110" s="6">
        <f t="shared" si="25"/>
        <v>0</v>
      </c>
      <c r="O110" s="6">
        <f t="shared" si="26"/>
        <v>18114.01489683822</v>
      </c>
      <c r="P110" s="6">
        <f t="shared" si="31"/>
        <v>23303.877390737536</v>
      </c>
      <c r="Q110" s="6">
        <f>'Monthly Data (14-23) Used'!DU110</f>
        <v>4</v>
      </c>
      <c r="R110">
        <f>'Monthly Data (14-23) Used'!CB110</f>
        <v>31</v>
      </c>
      <c r="S110" s="6">
        <f t="shared" si="27"/>
        <v>2889680.7964514545</v>
      </c>
      <c r="T110" s="6">
        <f t="shared" si="33"/>
        <v>-1305.2555931334318</v>
      </c>
      <c r="U110" s="14">
        <f t="shared" si="32"/>
        <v>5.3039479041740611E-2</v>
      </c>
    </row>
    <row r="111" spans="1:21">
      <c r="A111" s="197">
        <v>44958</v>
      </c>
      <c r="B111">
        <f t="shared" si="18"/>
        <v>2</v>
      </c>
      <c r="C111">
        <f t="shared" si="19"/>
        <v>2023</v>
      </c>
      <c r="D111" s="6">
        <f>'Monthly Data (14-23) Used'!X111</f>
        <v>2758376.97</v>
      </c>
      <c r="E111" s="6">
        <f>'Monthly Data (14-23) Used'!DV111</f>
        <v>24628.365803571429</v>
      </c>
      <c r="F111" s="100">
        <f>'Monthly Data (14-23) Used'!AG111</f>
        <v>379.23552299140988</v>
      </c>
      <c r="G111" s="100">
        <f>'Monthly Data (14-23) Used'!AF111</f>
        <v>0</v>
      </c>
      <c r="H111">
        <f>'Monthly Data (14-23) Used'!BY111</f>
        <v>0</v>
      </c>
      <c r="I111">
        <f>'Monthly Data (14-23) Used'!AR111</f>
        <v>190</v>
      </c>
      <c r="K111" s="6">
        <f t="shared" si="20"/>
        <v>3114.0572511813202</v>
      </c>
      <c r="L111" s="6">
        <f t="shared" si="29"/>
        <v>1853.5886198504095</v>
      </c>
      <c r="M111" s="6">
        <f t="shared" si="30"/>
        <v>0</v>
      </c>
      <c r="N111" s="6">
        <f t="shared" si="25"/>
        <v>0</v>
      </c>
      <c r="O111" s="6">
        <f t="shared" si="26"/>
        <v>18190.606926000328</v>
      </c>
      <c r="P111" s="6">
        <f t="shared" si="31"/>
        <v>23158.252797032059</v>
      </c>
      <c r="Q111" s="6">
        <f>'Monthly Data (14-23) Used'!DU111</f>
        <v>4</v>
      </c>
      <c r="R111">
        <f>'Monthly Data (14-23) Used'!CB111</f>
        <v>28</v>
      </c>
      <c r="S111" s="6">
        <f t="shared" si="27"/>
        <v>2593724.3132675905</v>
      </c>
      <c r="T111" s="6">
        <f t="shared" si="33"/>
        <v>-1470.11300653937</v>
      </c>
      <c r="U111" s="14">
        <f t="shared" si="32"/>
        <v>5.9691861744484272E-2</v>
      </c>
    </row>
    <row r="112" spans="1:21">
      <c r="A112" s="197">
        <v>44986</v>
      </c>
      <c r="B112">
        <f t="shared" si="18"/>
        <v>3</v>
      </c>
      <c r="C112">
        <f t="shared" si="19"/>
        <v>2023</v>
      </c>
      <c r="D112" s="6">
        <f>'Monthly Data (14-23) Used'!X112</f>
        <v>2464136.4899999998</v>
      </c>
      <c r="E112" s="6">
        <f>'Monthly Data (14-23) Used'!DV112</f>
        <v>19872.068467741934</v>
      </c>
      <c r="F112" s="100">
        <f>'Monthly Data (14-23) Used'!AG112</f>
        <v>356.09999999999997</v>
      </c>
      <c r="G112" s="100">
        <f>'Monthly Data (14-23) Used'!AF112</f>
        <v>0</v>
      </c>
      <c r="H112">
        <f>'Monthly Data (14-23) Used'!BY112</f>
        <v>1</v>
      </c>
      <c r="I112">
        <f>'Monthly Data (14-23) Used'!AR112</f>
        <v>192</v>
      </c>
      <c r="K112" s="6">
        <f t="shared" si="20"/>
        <v>3114.0572511813202</v>
      </c>
      <c r="L112" s="6">
        <f t="shared" si="29"/>
        <v>1740.5091757284613</v>
      </c>
      <c r="M112" s="6">
        <f t="shared" si="30"/>
        <v>0</v>
      </c>
      <c r="N112" s="6">
        <f t="shared" si="25"/>
        <v>-1472.0035230159101</v>
      </c>
      <c r="O112" s="6">
        <f t="shared" si="26"/>
        <v>18382.086998905594</v>
      </c>
      <c r="P112" s="6">
        <f t="shared" si="31"/>
        <v>21764.649902799465</v>
      </c>
      <c r="Q112" s="6">
        <f>'Monthly Data (14-23) Used'!DU112</f>
        <v>4</v>
      </c>
      <c r="R112">
        <f>'Monthly Data (14-23) Used'!CB112</f>
        <v>31</v>
      </c>
      <c r="S112" s="6">
        <f t="shared" si="27"/>
        <v>2698816.5879471335</v>
      </c>
      <c r="T112" s="6">
        <f t="shared" si="33"/>
        <v>1892.5814350575311</v>
      </c>
      <c r="U112" s="14">
        <f t="shared" si="32"/>
        <v>9.5238270647554052E-2</v>
      </c>
    </row>
    <row r="113" spans="1:25">
      <c r="A113" s="197">
        <v>45017</v>
      </c>
      <c r="B113">
        <f t="shared" si="18"/>
        <v>4</v>
      </c>
      <c r="C113">
        <f t="shared" si="19"/>
        <v>2023</v>
      </c>
      <c r="D113" s="6">
        <f>'Monthly Data (14-23) Used'!X113</f>
        <v>2549361.0900000003</v>
      </c>
      <c r="E113" s="6">
        <f>'Monthly Data (14-23) Used'!DV113</f>
        <v>21244.675750000002</v>
      </c>
      <c r="F113" s="100">
        <f>'Monthly Data (14-23) Used'!AG113</f>
        <v>164.3</v>
      </c>
      <c r="G113" s="100">
        <f>'Monthly Data (14-23) Used'!AF113</f>
        <v>12.2</v>
      </c>
      <c r="H113">
        <f>'Monthly Data (14-23) Used'!BY113</f>
        <v>1</v>
      </c>
      <c r="I113">
        <f>'Monthly Data (14-23) Used'!AR113</f>
        <v>190.9</v>
      </c>
      <c r="K113" s="6">
        <f t="shared" si="20"/>
        <v>3114.0572511813202</v>
      </c>
      <c r="L113" s="6">
        <f t="shared" si="29"/>
        <v>803.04874353323851</v>
      </c>
      <c r="M113" s="6">
        <f t="shared" si="30"/>
        <v>250.45776841774705</v>
      </c>
      <c r="N113" s="6">
        <f t="shared" si="25"/>
        <v>-1472.0035230159101</v>
      </c>
      <c r="O113" s="6">
        <f t="shared" si="26"/>
        <v>18276.772958807698</v>
      </c>
      <c r="P113" s="6">
        <f t="shared" si="31"/>
        <v>20972.333198924094</v>
      </c>
      <c r="Q113" s="6">
        <f>'Monthly Data (14-23) Used'!DU113</f>
        <v>4</v>
      </c>
      <c r="R113">
        <f>'Monthly Data (14-23) Used'!CB113</f>
        <v>30</v>
      </c>
      <c r="S113" s="6">
        <f t="shared" si="27"/>
        <v>2516679.9838708914</v>
      </c>
      <c r="T113" s="6">
        <f t="shared" si="33"/>
        <v>-272.34255107590798</v>
      </c>
      <c r="U113" s="14">
        <f t="shared" si="32"/>
        <v>1.2819331971960455E-2</v>
      </c>
    </row>
    <row r="114" spans="1:25">
      <c r="A114" s="197">
        <v>45047</v>
      </c>
      <c r="B114">
        <f t="shared" si="18"/>
        <v>5</v>
      </c>
      <c r="C114">
        <f t="shared" si="19"/>
        <v>2023</v>
      </c>
      <c r="D114" s="6">
        <f>'Monthly Data (14-23) Used'!X114</f>
        <v>2835930.8300000005</v>
      </c>
      <c r="E114" s="6">
        <f>'Monthly Data (14-23) Used'!DV114</f>
        <v>22870.409919354843</v>
      </c>
      <c r="F114" s="100">
        <f>'Monthly Data (14-23) Used'!AG114</f>
        <v>46.400000000000006</v>
      </c>
      <c r="G114" s="100">
        <f>'Monthly Data (14-23) Used'!AF114</f>
        <v>33.9</v>
      </c>
      <c r="H114">
        <f>'Monthly Data (14-23) Used'!BY114</f>
        <v>1</v>
      </c>
      <c r="I114">
        <f>'Monthly Data (14-23) Used'!AR114</f>
        <v>191.7</v>
      </c>
      <c r="K114" s="6">
        <f t="shared" si="20"/>
        <v>3114.0572511813202</v>
      </c>
      <c r="L114" s="6">
        <f t="shared" si="29"/>
        <v>226.78917650603938</v>
      </c>
      <c r="M114" s="6">
        <f t="shared" si="30"/>
        <v>695.94412699685449</v>
      </c>
      <c r="N114" s="6">
        <f t="shared" si="25"/>
        <v>-1472.0035230159101</v>
      </c>
      <c r="O114" s="6">
        <f t="shared" si="26"/>
        <v>18353.364987969802</v>
      </c>
      <c r="P114" s="6">
        <f t="shared" si="31"/>
        <v>20918.152019638106</v>
      </c>
      <c r="Q114" s="6">
        <f>'Monthly Data (14-23) Used'!DU114</f>
        <v>4</v>
      </c>
      <c r="R114">
        <f>'Monthly Data (14-23) Used'!CB114</f>
        <v>31</v>
      </c>
      <c r="S114" s="6">
        <f t="shared" si="27"/>
        <v>2593850.8504351252</v>
      </c>
      <c r="T114" s="6">
        <f t="shared" si="33"/>
        <v>-1952.2578997167366</v>
      </c>
      <c r="U114" s="14">
        <f t="shared" si="32"/>
        <v>8.5361736260991708E-2</v>
      </c>
    </row>
    <row r="115" spans="1:25">
      <c r="A115" s="197">
        <v>45078</v>
      </c>
      <c r="B115">
        <f t="shared" si="18"/>
        <v>6</v>
      </c>
      <c r="C115">
        <f t="shared" si="19"/>
        <v>2023</v>
      </c>
      <c r="D115" s="6">
        <f>'Monthly Data (14-23) Used'!X115</f>
        <v>3027700.49</v>
      </c>
      <c r="E115" s="6">
        <f>'Monthly Data (14-23) Used'!DV115</f>
        <v>25230.837416666669</v>
      </c>
      <c r="F115" s="100">
        <f>'Monthly Data (14-23) Used'!AG115</f>
        <v>9.9999999999999645E-2</v>
      </c>
      <c r="G115" s="100">
        <f>'Monthly Data (14-23) Used'!AF115</f>
        <v>114.10000000000001</v>
      </c>
      <c r="H115">
        <f>'Monthly Data (14-23) Used'!BY115</f>
        <v>0</v>
      </c>
      <c r="I115">
        <f>'Monthly Data (14-23) Used'!AR115</f>
        <v>192</v>
      </c>
      <c r="K115" s="6">
        <f t="shared" si="20"/>
        <v>3114.0572511813202</v>
      </c>
      <c r="L115" s="6">
        <f t="shared" si="29"/>
        <v>0.48876977695266927</v>
      </c>
      <c r="M115" s="6">
        <f t="shared" si="30"/>
        <v>2342.3960144643393</v>
      </c>
      <c r="N115" s="6">
        <f t="shared" si="25"/>
        <v>0</v>
      </c>
      <c r="O115" s="6">
        <f t="shared" si="26"/>
        <v>18382.086998905594</v>
      </c>
      <c r="P115" s="6">
        <f t="shared" si="31"/>
        <v>23839.029034328207</v>
      </c>
      <c r="Q115" s="6">
        <f>'Monthly Data (14-23) Used'!DU115</f>
        <v>4</v>
      </c>
      <c r="R115">
        <f>'Monthly Data (14-23) Used'!CB115</f>
        <v>30</v>
      </c>
      <c r="S115" s="6">
        <f t="shared" si="27"/>
        <v>2860683.484119385</v>
      </c>
      <c r="T115" s="6">
        <f t="shared" si="33"/>
        <v>-1391.8083823384623</v>
      </c>
      <c r="U115" s="14">
        <f t="shared" si="32"/>
        <v>5.5162988027463528E-2</v>
      </c>
    </row>
    <row r="116" spans="1:25">
      <c r="A116" s="197">
        <v>45108</v>
      </c>
      <c r="B116">
        <f t="shared" si="18"/>
        <v>7</v>
      </c>
      <c r="C116">
        <f t="shared" si="19"/>
        <v>2023</v>
      </c>
      <c r="D116" s="6">
        <f>'Monthly Data (14-23) Used'!X116</f>
        <v>3284416.84</v>
      </c>
      <c r="E116" s="6">
        <f>'Monthly Data (14-23) Used'!DV116</f>
        <v>26487.232580645159</v>
      </c>
      <c r="F116" s="100">
        <f>'Monthly Data (14-23) Used'!AG116</f>
        <v>0</v>
      </c>
      <c r="G116" s="100">
        <f>'Monthly Data (14-23) Used'!AF116</f>
        <v>194.8644770085902</v>
      </c>
      <c r="H116">
        <f>'Monthly Data (14-23) Used'!BY116</f>
        <v>0</v>
      </c>
      <c r="I116">
        <f>'Monthly Data (14-23) Used'!AR116</f>
        <v>189.7</v>
      </c>
      <c r="K116" s="6">
        <f t="shared" si="20"/>
        <v>3114.0572511813202</v>
      </c>
      <c r="L116" s="6">
        <f t="shared" si="29"/>
        <v>0</v>
      </c>
      <c r="M116" s="6">
        <f t="shared" si="30"/>
        <v>4000.4362340543344</v>
      </c>
      <c r="N116" s="6">
        <f t="shared" si="25"/>
        <v>0</v>
      </c>
      <c r="O116" s="6">
        <f t="shared" si="26"/>
        <v>18161.884915064536</v>
      </c>
      <c r="P116" s="6">
        <f t="shared" si="31"/>
        <v>25276.378400300193</v>
      </c>
      <c r="Q116" s="6">
        <f>'Monthly Data (14-23) Used'!DU116</f>
        <v>4</v>
      </c>
      <c r="R116">
        <f>'Monthly Data (14-23) Used'!CB116</f>
        <v>31</v>
      </c>
      <c r="S116" s="6">
        <f t="shared" si="27"/>
        <v>3134270.921637224</v>
      </c>
      <c r="T116" s="6">
        <f t="shared" si="33"/>
        <v>-1210.8541803449662</v>
      </c>
      <c r="U116" s="14">
        <f t="shared" si="32"/>
        <v>4.5714635406258551E-2</v>
      </c>
    </row>
    <row r="117" spans="1:25">
      <c r="A117" s="197">
        <v>45139</v>
      </c>
      <c r="B117">
        <f t="shared" si="18"/>
        <v>8</v>
      </c>
      <c r="C117">
        <f t="shared" si="19"/>
        <v>2023</v>
      </c>
      <c r="D117" s="6">
        <f>'Monthly Data (14-23) Used'!X117</f>
        <v>3286746.61</v>
      </c>
      <c r="E117" s="6">
        <f>'Monthly Data (14-23) Used'!DV117</f>
        <v>26506.021048387094</v>
      </c>
      <c r="F117" s="100">
        <f>'Monthly Data (14-23) Used'!AG117</f>
        <v>0</v>
      </c>
      <c r="G117" s="100">
        <f>'Monthly Data (14-23) Used'!AF117</f>
        <v>140.01581606872151</v>
      </c>
      <c r="H117">
        <f>'Monthly Data (14-23) Used'!BY117</f>
        <v>0</v>
      </c>
      <c r="I117">
        <f>'Monthly Data (14-23) Used'!AR117</f>
        <v>190.3</v>
      </c>
      <c r="K117" s="6">
        <f t="shared" si="20"/>
        <v>3114.0572511813202</v>
      </c>
      <c r="L117" s="6">
        <f t="shared" si="29"/>
        <v>0</v>
      </c>
      <c r="M117" s="6">
        <f t="shared" si="30"/>
        <v>2874.4302324394848</v>
      </c>
      <c r="N117" s="6">
        <f t="shared" si="25"/>
        <v>0</v>
      </c>
      <c r="O117" s="6">
        <f t="shared" si="26"/>
        <v>18219.328936936119</v>
      </c>
      <c r="P117" s="6">
        <f t="shared" si="31"/>
        <v>24207.816420556926</v>
      </c>
      <c r="Q117" s="6">
        <f>'Monthly Data (14-23) Used'!DU117</f>
        <v>4</v>
      </c>
      <c r="R117">
        <f>'Monthly Data (14-23) Used'!CB117</f>
        <v>31</v>
      </c>
      <c r="S117" s="6">
        <f t="shared" si="27"/>
        <v>3001769.2361490587</v>
      </c>
      <c r="T117" s="6">
        <f t="shared" si="33"/>
        <v>-2298.2046278301677</v>
      </c>
      <c r="U117" s="14">
        <f t="shared" si="32"/>
        <v>8.6705002747668708E-2</v>
      </c>
    </row>
    <row r="118" spans="1:25">
      <c r="A118" s="197">
        <v>45170</v>
      </c>
      <c r="B118">
        <f t="shared" si="18"/>
        <v>9</v>
      </c>
      <c r="C118">
        <f t="shared" si="19"/>
        <v>2023</v>
      </c>
      <c r="D118" s="6">
        <f>'Monthly Data (14-23) Used'!X118</f>
        <v>2966546.81</v>
      </c>
      <c r="E118" s="6">
        <f>'Monthly Data (14-23) Used'!DV118</f>
        <v>24721.223416666668</v>
      </c>
      <c r="F118" s="100">
        <f>'Monthly Data (14-23) Used'!AG118</f>
        <v>0</v>
      </c>
      <c r="G118" s="100">
        <f>'Monthly Data (14-23) Used'!AF118</f>
        <v>74.064477008590188</v>
      </c>
      <c r="H118">
        <f>'Monthly Data (14-23) Used'!BY118</f>
        <v>0</v>
      </c>
      <c r="I118">
        <f>'Monthly Data (14-23) Used'!AR118</f>
        <v>188.1</v>
      </c>
      <c r="K118" s="6">
        <f t="shared" si="20"/>
        <v>3114.0572511813202</v>
      </c>
      <c r="L118" s="6">
        <f t="shared" si="29"/>
        <v>0</v>
      </c>
      <c r="M118" s="6">
        <f t="shared" si="30"/>
        <v>1520.4937402130354</v>
      </c>
      <c r="N118" s="6">
        <f t="shared" si="25"/>
        <v>0</v>
      </c>
      <c r="O118" s="6">
        <f t="shared" si="26"/>
        <v>18008.700856740325</v>
      </c>
      <c r="P118" s="6">
        <f t="shared" si="31"/>
        <v>22643.251848134678</v>
      </c>
      <c r="Q118" s="6">
        <f>'Monthly Data (14-23) Used'!DU118</f>
        <v>4</v>
      </c>
      <c r="R118">
        <f>'Monthly Data (14-23) Used'!CB118</f>
        <v>30</v>
      </c>
      <c r="S118" s="6">
        <f t="shared" si="27"/>
        <v>2717190.2217761613</v>
      </c>
      <c r="T118" s="6">
        <f t="shared" si="33"/>
        <v>-2077.9715685319898</v>
      </c>
      <c r="U118" s="14">
        <f t="shared" si="32"/>
        <v>8.4056178511418389E-2</v>
      </c>
    </row>
    <row r="119" spans="1:25">
      <c r="A119" s="197">
        <v>45200</v>
      </c>
      <c r="B119">
        <f t="shared" si="18"/>
        <v>10</v>
      </c>
      <c r="C119">
        <f t="shared" si="19"/>
        <v>2023</v>
      </c>
      <c r="D119" s="6">
        <f>'Monthly Data (14-23) Used'!X119</f>
        <v>2745572.4499999997</v>
      </c>
      <c r="E119" s="6">
        <f>'Monthly Data (14-23) Used'!DV119</f>
        <v>22141.713306451609</v>
      </c>
      <c r="F119" s="100">
        <f>'Monthly Data (14-23) Used'!AG119</f>
        <v>100.29999999999998</v>
      </c>
      <c r="G119" s="100">
        <f>'Monthly Data (14-23) Used'!AF119</f>
        <v>28.599999999999994</v>
      </c>
      <c r="H119">
        <f>'Monthly Data (14-23) Used'!BY119</f>
        <v>0</v>
      </c>
      <c r="I119">
        <f>'Monthly Data (14-23) Used'!AR119</f>
        <v>185.2</v>
      </c>
      <c r="K119" s="6">
        <f t="shared" si="20"/>
        <v>3114.0572511813202</v>
      </c>
      <c r="L119" s="6">
        <f t="shared" si="29"/>
        <v>490.23608628352895</v>
      </c>
      <c r="M119" s="6">
        <f t="shared" si="30"/>
        <v>587.13870301209545</v>
      </c>
      <c r="N119" s="6">
        <f t="shared" si="25"/>
        <v>0</v>
      </c>
      <c r="O119" s="6">
        <f t="shared" si="26"/>
        <v>17731.054751027688</v>
      </c>
      <c r="P119" s="6">
        <f t="shared" si="31"/>
        <v>21922.486791504634</v>
      </c>
      <c r="Q119" s="6">
        <f>'Monthly Data (14-23) Used'!DU119</f>
        <v>4</v>
      </c>
      <c r="R119">
        <f>'Monthly Data (14-23) Used'!CB119</f>
        <v>31</v>
      </c>
      <c r="S119" s="6">
        <f t="shared" si="27"/>
        <v>2718388.3621465745</v>
      </c>
      <c r="T119" s="6">
        <f t="shared" si="33"/>
        <v>-219.22651494697493</v>
      </c>
      <c r="U119" s="14">
        <f t="shared" si="32"/>
        <v>9.9010637484452085E-3</v>
      </c>
    </row>
    <row r="120" spans="1:25">
      <c r="A120" s="197">
        <v>45231</v>
      </c>
      <c r="B120">
        <f t="shared" si="18"/>
        <v>11</v>
      </c>
      <c r="C120">
        <f t="shared" si="19"/>
        <v>2023</v>
      </c>
      <c r="D120" s="6">
        <f>'Monthly Data (14-23) Used'!X120</f>
        <v>2746667.53</v>
      </c>
      <c r="E120" s="6">
        <f>'Monthly Data (14-23) Used'!DV120</f>
        <v>22888.896083333333</v>
      </c>
      <c r="F120" s="100">
        <f>'Monthly Data (14-23) Used'!AG120</f>
        <v>282.40000000000003</v>
      </c>
      <c r="G120" s="100">
        <f>'Monthly Data (14-23) Used'!AF120</f>
        <v>0</v>
      </c>
      <c r="H120">
        <f>'Monthly Data (14-23) Used'!BY120</f>
        <v>0</v>
      </c>
      <c r="I120">
        <f>'Monthly Data (14-23) Used'!AR120</f>
        <v>184.2</v>
      </c>
      <c r="K120" s="6">
        <f t="shared" si="20"/>
        <v>3114.0572511813202</v>
      </c>
      <c r="L120" s="6">
        <f t="shared" si="29"/>
        <v>1380.285850114343</v>
      </c>
      <c r="M120" s="6">
        <f t="shared" si="30"/>
        <v>0</v>
      </c>
      <c r="N120" s="6">
        <f t="shared" si="25"/>
        <v>0</v>
      </c>
      <c r="O120" s="6">
        <f t="shared" si="26"/>
        <v>17635.314714575055</v>
      </c>
      <c r="P120" s="6">
        <f t="shared" si="31"/>
        <v>22129.65781587072</v>
      </c>
      <c r="Q120" s="6">
        <f>'Monthly Data (14-23) Used'!DU120</f>
        <v>4</v>
      </c>
      <c r="R120">
        <f>'Monthly Data (14-23) Used'!CB120</f>
        <v>30</v>
      </c>
      <c r="S120" s="6">
        <f t="shared" si="27"/>
        <v>2655558.9379044864</v>
      </c>
      <c r="T120" s="6">
        <f t="shared" si="33"/>
        <v>-759.23826746261329</v>
      </c>
      <c r="U120" s="14">
        <f t="shared" si="32"/>
        <v>3.3170593492075684E-2</v>
      </c>
    </row>
    <row r="121" spans="1:25">
      <c r="A121" s="197">
        <v>45261</v>
      </c>
      <c r="B121">
        <f t="shared" si="18"/>
        <v>12</v>
      </c>
      <c r="C121">
        <f t="shared" si="19"/>
        <v>2023</v>
      </c>
      <c r="D121" s="6">
        <f>'Monthly Data (14-23) Used'!X121</f>
        <v>2567239.4</v>
      </c>
      <c r="E121" s="6">
        <f>'Monthly Data (14-23) Used'!DV121</f>
        <v>20703.543548387097</v>
      </c>
      <c r="F121" s="100">
        <f>'Monthly Data (14-23) Used'!AG121</f>
        <v>307.40000000000009</v>
      </c>
      <c r="G121" s="100">
        <f>'Monthly Data (14-23) Used'!AF121</f>
        <v>0</v>
      </c>
      <c r="H121">
        <f>'Monthly Data (14-23) Used'!BY121</f>
        <v>0</v>
      </c>
      <c r="I121">
        <f>'Monthly Data (14-23) Used'!AR121</f>
        <v>184</v>
      </c>
      <c r="K121" s="6">
        <f t="shared" si="20"/>
        <v>3114.0572511813202</v>
      </c>
      <c r="L121" s="6">
        <f t="shared" si="29"/>
        <v>1502.4782943525111</v>
      </c>
      <c r="M121" s="6">
        <f t="shared" si="30"/>
        <v>0</v>
      </c>
      <c r="N121" s="6">
        <f t="shared" si="25"/>
        <v>0</v>
      </c>
      <c r="O121" s="6">
        <f t="shared" si="26"/>
        <v>17616.166707284527</v>
      </c>
      <c r="P121" s="6">
        <f t="shared" si="31"/>
        <v>22232.702252818359</v>
      </c>
      <c r="Q121" s="6">
        <f>'Monthly Data (14-23) Used'!DU121</f>
        <v>4</v>
      </c>
      <c r="R121">
        <f>'Monthly Data (14-23) Used'!CB121</f>
        <v>31</v>
      </c>
      <c r="S121" s="6">
        <f t="shared" si="27"/>
        <v>2756855.0793494764</v>
      </c>
      <c r="T121" s="6">
        <f t="shared" si="33"/>
        <v>1529.1587044312619</v>
      </c>
      <c r="U121" s="14">
        <f t="shared" si="32"/>
        <v>7.3859757430287359E-2</v>
      </c>
    </row>
    <row r="122" spans="1:25">
      <c r="A122" s="17"/>
      <c r="U122" s="15">
        <f>AVERAGE(U2:U121)</f>
        <v>9.117794221312471E-2</v>
      </c>
    </row>
    <row r="125" spans="1:25">
      <c r="W125">
        <v>1</v>
      </c>
      <c r="X125" s="6">
        <f t="shared" ref="X125:X136" si="34">SUMIF($B:$B,$W125,T:T)</f>
        <v>536410.05374686106</v>
      </c>
      <c r="Y125" s="14">
        <f t="shared" ref="Y125:Y136" si="35">SUMIF($B:$B,$W125,U:U)</f>
        <v>0.84068836025501215</v>
      </c>
    </row>
    <row r="126" spans="1:25">
      <c r="W126">
        <v>2</v>
      </c>
      <c r="X126" s="6">
        <f t="shared" si="34"/>
        <v>-6134.0810655850219</v>
      </c>
      <c r="Y126" s="14">
        <f t="shared" si="35"/>
        <v>0.99928769771880155</v>
      </c>
    </row>
    <row r="127" spans="1:25">
      <c r="W127">
        <v>3</v>
      </c>
      <c r="X127" s="6">
        <f t="shared" si="34"/>
        <v>-1476.3446722148201</v>
      </c>
      <c r="Y127" s="14">
        <f t="shared" si="35"/>
        <v>1.2696061632613802</v>
      </c>
    </row>
    <row r="128" spans="1:25">
      <c r="W128">
        <v>4</v>
      </c>
      <c r="X128" s="6">
        <f t="shared" si="34"/>
        <v>-900.55565882602968</v>
      </c>
      <c r="Y128" s="14">
        <f t="shared" si="35"/>
        <v>0.95140176806972898</v>
      </c>
    </row>
    <row r="129" spans="1:25">
      <c r="W129">
        <v>5</v>
      </c>
      <c r="X129" s="6">
        <f t="shared" si="34"/>
        <v>-3462.1388539634427</v>
      </c>
      <c r="Y129" s="14">
        <f t="shared" si="35"/>
        <v>1.0410125890584179</v>
      </c>
    </row>
    <row r="130" spans="1:25">
      <c r="W130">
        <v>6</v>
      </c>
      <c r="X130" s="6">
        <f t="shared" si="34"/>
        <v>234.6947419461867</v>
      </c>
      <c r="Y130" s="14">
        <f t="shared" si="35"/>
        <v>0.75649144706705895</v>
      </c>
    </row>
    <row r="131" spans="1:25">
      <c r="W131">
        <v>7</v>
      </c>
      <c r="X131" s="6">
        <f t="shared" si="34"/>
        <v>215.53924764696785</v>
      </c>
      <c r="Y131" s="14">
        <f t="shared" si="35"/>
        <v>0.48344896984041152</v>
      </c>
    </row>
    <row r="132" spans="1:25">
      <c r="W132">
        <v>8</v>
      </c>
      <c r="X132" s="6">
        <f t="shared" si="34"/>
        <v>-1145.7358550410263</v>
      </c>
      <c r="Y132" s="14">
        <f t="shared" si="35"/>
        <v>1.1446609145939888</v>
      </c>
    </row>
    <row r="133" spans="1:25">
      <c r="W133">
        <v>9</v>
      </c>
      <c r="X133" s="6">
        <f t="shared" si="34"/>
        <v>-3359.6795953306828</v>
      </c>
      <c r="Y133" s="14">
        <f t="shared" si="35"/>
        <v>0.78787035691101881</v>
      </c>
    </row>
    <row r="134" spans="1:25">
      <c r="W134">
        <v>10</v>
      </c>
      <c r="X134" s="6">
        <f t="shared" si="34"/>
        <v>7280.3735069520353</v>
      </c>
      <c r="Y134" s="14">
        <f t="shared" si="35"/>
        <v>1.0612865354474084</v>
      </c>
    </row>
    <row r="135" spans="1:25">
      <c r="A135" s="17"/>
      <c r="W135">
        <v>11</v>
      </c>
      <c r="X135" s="6">
        <f t="shared" si="34"/>
        <v>-10682.753613506848</v>
      </c>
      <c r="Y135" s="14">
        <f t="shared" si="35"/>
        <v>0.95626574834749167</v>
      </c>
    </row>
    <row r="136" spans="1:25">
      <c r="A136" s="17"/>
      <c r="W136">
        <v>12</v>
      </c>
      <c r="X136" s="6">
        <f t="shared" si="34"/>
        <v>11600.972730749949</v>
      </c>
      <c r="Y136" s="14">
        <f t="shared" si="35"/>
        <v>0.64933251500424705</v>
      </c>
    </row>
    <row r="137" spans="1:25">
      <c r="A137" s="17"/>
      <c r="X137" s="6"/>
      <c r="Y137" s="14"/>
    </row>
    <row r="138" spans="1:25">
      <c r="A138" s="17"/>
      <c r="W138">
        <v>2014</v>
      </c>
      <c r="X138" s="6">
        <f t="shared" ref="X138:X147" si="36">SUMIF($C:$C,$W138,T:T)</f>
        <v>566608.84962109826</v>
      </c>
      <c r="Y138" s="14">
        <f t="shared" ref="Y138:Y147" si="37">SUMIF($C:$C,$W138,U:U)</f>
        <v>1.7278194841745147</v>
      </c>
    </row>
    <row r="139" spans="1:25">
      <c r="A139" s="17"/>
      <c r="W139">
        <f>W138+1</f>
        <v>2015</v>
      </c>
      <c r="X139" s="6">
        <f t="shared" si="36"/>
        <v>15660.308113022031</v>
      </c>
      <c r="Y139" s="14">
        <f t="shared" si="37"/>
        <v>1.1853445398992986</v>
      </c>
    </row>
    <row r="140" spans="1:25">
      <c r="A140" s="17"/>
      <c r="W140">
        <f t="shared" ref="W140:W147" si="38">W139+1</f>
        <v>2016</v>
      </c>
      <c r="X140" s="6">
        <f t="shared" si="36"/>
        <v>-18020.450298058211</v>
      </c>
      <c r="Y140" s="14">
        <f t="shared" si="37"/>
        <v>0.76347126740677707</v>
      </c>
    </row>
    <row r="141" spans="1:25">
      <c r="A141" s="17"/>
      <c r="W141">
        <f t="shared" si="38"/>
        <v>2017</v>
      </c>
      <c r="X141" s="6">
        <f t="shared" si="36"/>
        <v>-31024.342254129755</v>
      </c>
      <c r="Y141" s="14">
        <f t="shared" si="37"/>
        <v>1.3837888946860473</v>
      </c>
    </row>
    <row r="142" spans="1:25">
      <c r="A142" s="17"/>
      <c r="W142">
        <f t="shared" si="38"/>
        <v>2018</v>
      </c>
      <c r="X142" s="6">
        <f t="shared" si="36"/>
        <v>-8880.6083204981333</v>
      </c>
      <c r="Y142" s="14">
        <f t="shared" si="37"/>
        <v>0.94188346532171763</v>
      </c>
    </row>
    <row r="143" spans="1:25">
      <c r="A143" s="17"/>
      <c r="W143">
        <f t="shared" si="38"/>
        <v>2019</v>
      </c>
      <c r="X143" s="6">
        <f t="shared" si="36"/>
        <v>-26837.378248790264</v>
      </c>
      <c r="Y143" s="14">
        <f t="shared" si="37"/>
        <v>1.1574573250528497</v>
      </c>
    </row>
    <row r="144" spans="1:25">
      <c r="A144" s="17"/>
      <c r="W144">
        <f t="shared" si="38"/>
        <v>2020</v>
      </c>
      <c r="X144" s="6">
        <f t="shared" si="36"/>
        <v>-3636.1567408758347</v>
      </c>
      <c r="Y144" s="14">
        <f t="shared" si="37"/>
        <v>0.50658623973278982</v>
      </c>
    </row>
    <row r="145" spans="1:25">
      <c r="A145" s="17"/>
      <c r="W145">
        <f t="shared" si="38"/>
        <v>2021</v>
      </c>
      <c r="X145" s="6">
        <f t="shared" si="36"/>
        <v>19097.95808972773</v>
      </c>
      <c r="Y145" s="14">
        <f t="shared" si="37"/>
        <v>1.2401738561002897</v>
      </c>
    </row>
    <row r="146" spans="1:25">
      <c r="A146" s="17"/>
      <c r="W146">
        <f t="shared" si="38"/>
        <v>2022</v>
      </c>
      <c r="X146" s="6">
        <f t="shared" si="36"/>
        <v>25147.697150624521</v>
      </c>
      <c r="Y146" s="14">
        <f t="shared" si="37"/>
        <v>1.3401070941703332</v>
      </c>
    </row>
    <row r="147" spans="1:25">
      <c r="A147" s="17"/>
      <c r="W147">
        <f t="shared" si="38"/>
        <v>2023</v>
      </c>
      <c r="X147" s="6">
        <f t="shared" si="36"/>
        <v>-9535.5324524318276</v>
      </c>
      <c r="Y147" s="14">
        <f t="shared" si="37"/>
        <v>0.6947208990303485</v>
      </c>
    </row>
    <row r="148" spans="1:25">
      <c r="A148" s="17"/>
    </row>
    <row r="149" spans="1:25">
      <c r="A149" s="17"/>
      <c r="U149" s="14"/>
    </row>
    <row r="150" spans="1:25">
      <c r="A150" s="17"/>
      <c r="U150" s="14"/>
    </row>
    <row r="151" spans="1:25">
      <c r="A151" s="17"/>
      <c r="U151" s="14"/>
    </row>
    <row r="152" spans="1:25">
      <c r="A152" s="17"/>
      <c r="U152" s="14"/>
    </row>
    <row r="153" spans="1:25">
      <c r="A153" s="17"/>
      <c r="U153" s="14"/>
    </row>
    <row r="154" spans="1:25">
      <c r="A154" s="17"/>
      <c r="U154" s="14"/>
    </row>
    <row r="155" spans="1:25">
      <c r="A155" s="17"/>
      <c r="U155" s="14"/>
    </row>
    <row r="156" spans="1:25">
      <c r="A156" s="17"/>
      <c r="U156" s="14"/>
    </row>
    <row r="157" spans="1:25">
      <c r="A157" s="17"/>
      <c r="U157" s="14"/>
    </row>
    <row r="158" spans="1:25">
      <c r="A158" s="17"/>
      <c r="U158" s="14"/>
    </row>
    <row r="159" spans="1:25">
      <c r="A159" s="17"/>
      <c r="U159" s="14"/>
    </row>
    <row r="160" spans="1:25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  <row r="166" spans="1:21">
      <c r="A166" s="17"/>
      <c r="U166" s="14"/>
    </row>
    <row r="167" spans="1:21">
      <c r="A167" s="17"/>
      <c r="U167" s="14"/>
    </row>
    <row r="168" spans="1:21">
      <c r="A168" s="17"/>
      <c r="U168" s="1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ED0A-E03A-48C7-9BB6-4BDC0A41291E}">
  <sheetPr codeName="Sheet13">
    <tabColor rgb="FFFF0000"/>
  </sheetPr>
  <dimension ref="A1:U35"/>
  <sheetViews>
    <sheetView topLeftCell="K1" workbookViewId="0">
      <selection activeCell="Q4" sqref="Q4:T14"/>
    </sheetView>
  </sheetViews>
  <sheetFormatPr defaultRowHeight="14.45"/>
  <cols>
    <col min="3" max="3" width="16" bestFit="1" customWidth="1"/>
    <col min="4" max="4" width="13.28515625" customWidth="1"/>
    <col min="6" max="6" width="19.28515625" customWidth="1"/>
    <col min="8" max="8" width="16" bestFit="1" customWidth="1"/>
    <col min="9" max="9" width="13.28515625" customWidth="1"/>
    <col min="11" max="11" width="19.140625" customWidth="1"/>
    <col min="13" max="13" width="14.7109375" customWidth="1"/>
    <col min="14" max="14" width="13" customWidth="1"/>
    <col min="16" max="16" width="21.5703125" customWidth="1"/>
    <col min="18" max="18" width="13.28515625" customWidth="1"/>
    <col min="19" max="19" width="12.85546875" customWidth="1"/>
    <col min="21" max="21" width="31.7109375" customWidth="1"/>
  </cols>
  <sheetData>
    <row r="1" spans="1:21" ht="18.600000000000001">
      <c r="A1" s="517" t="s">
        <v>267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71"/>
    </row>
    <row r="2" spans="1:21">
      <c r="B2" s="20"/>
      <c r="C2" s="518" t="s">
        <v>268</v>
      </c>
      <c r="D2" s="518"/>
      <c r="E2" s="21" t="s">
        <v>269</v>
      </c>
      <c r="F2" s="21"/>
      <c r="G2" s="20"/>
      <c r="H2" s="519" t="s">
        <v>270</v>
      </c>
      <c r="I2" s="518"/>
      <c r="J2" s="21" t="s">
        <v>269</v>
      </c>
      <c r="L2" s="20"/>
      <c r="M2" s="519" t="s">
        <v>271</v>
      </c>
      <c r="N2" s="518"/>
      <c r="O2" s="21" t="s">
        <v>269</v>
      </c>
      <c r="Q2" s="20"/>
      <c r="R2" s="519" t="s">
        <v>272</v>
      </c>
      <c r="S2" s="518"/>
      <c r="T2" s="21" t="s">
        <v>269</v>
      </c>
      <c r="U2" s="71"/>
    </row>
    <row r="3" spans="1:21">
      <c r="B3" s="21" t="s">
        <v>1</v>
      </c>
      <c r="C3" s="21" t="s">
        <v>273</v>
      </c>
      <c r="D3" s="22" t="s">
        <v>242</v>
      </c>
      <c r="E3" s="21" t="s">
        <v>274</v>
      </c>
      <c r="F3" s="21"/>
      <c r="G3" s="21" t="s">
        <v>1</v>
      </c>
      <c r="H3" s="21" t="s">
        <v>273</v>
      </c>
      <c r="I3" s="22" t="s">
        <v>242</v>
      </c>
      <c r="J3" s="21" t="s">
        <v>274</v>
      </c>
      <c r="L3" s="21" t="s">
        <v>1</v>
      </c>
      <c r="M3" s="21" t="s">
        <v>273</v>
      </c>
      <c r="N3" s="22" t="s">
        <v>242</v>
      </c>
      <c r="O3" s="21" t="s">
        <v>274</v>
      </c>
      <c r="Q3" s="21" t="s">
        <v>1</v>
      </c>
      <c r="R3" s="21" t="s">
        <v>273</v>
      </c>
      <c r="S3" s="22" t="s">
        <v>242</v>
      </c>
      <c r="T3" s="21" t="s">
        <v>274</v>
      </c>
      <c r="U3" s="71"/>
    </row>
    <row r="4" spans="1:21">
      <c r="B4" s="20">
        <v>2014</v>
      </c>
      <c r="C4" s="23">
        <f>SUMIF('Res Predicted Monthly'!$C:$C,B4,'Res Predicted Monthly'!D:D)</f>
        <v>248343883.04018</v>
      </c>
      <c r="D4" s="23">
        <f>SUMIF('Res Predicted Monthly'!$C:$C,B4,'Res Predicted Monthly'!U:U)</f>
        <v>244442950.64540383</v>
      </c>
      <c r="E4" s="24">
        <f t="shared" ref="E4:E14" si="0">ABS(C4-D4)/C4</f>
        <v>1.5707785297635161E-2</v>
      </c>
      <c r="F4" s="24"/>
      <c r="G4" s="20">
        <v>2014</v>
      </c>
      <c r="H4" s="23">
        <f>SUMIF('GS&lt;50 Predicted Monthly'!C:C,G4,'GS&lt;50 Predicted Monthly'!D:D)</f>
        <v>67861597.954295307</v>
      </c>
      <c r="I4" s="23">
        <f>SUMIF('GS&lt;50 Predicted Monthly'!C:C,G4,'GS&lt;50 Predicted Monthly'!S:S)</f>
        <v>70659909.225081325</v>
      </c>
      <c r="J4" s="24">
        <f t="shared" ref="J4:J9" si="1">ABS(H4-I4)/H4</f>
        <v>4.1235564076617763E-2</v>
      </c>
      <c r="L4" s="20">
        <v>2014</v>
      </c>
      <c r="M4" s="23">
        <f>SUMIF('GS&gt;50 Predicted Monthly'!$C:$C,L4,'GS&gt;50 Predicted Monthly'!D:D)</f>
        <v>170113998.95252243</v>
      </c>
      <c r="N4" s="23">
        <f>SUMIF('GS&gt;50 Predicted Monthly'!$C:$C,L4,'GS&gt;50 Predicted Monthly'!S:S)</f>
        <v>174094925.91560915</v>
      </c>
      <c r="O4" s="24">
        <f t="shared" ref="O4:O9" si="2">ABS(M4-N4)/M4</f>
        <v>2.3401524786903469E-2</v>
      </c>
      <c r="Q4" s="20">
        <v>2014</v>
      </c>
      <c r="R4" s="23">
        <f>SUMIF('ED Predicted Monthly (1)'!$C:$C,$Q4,'ED Predicted Monthly (1)'!D:D)</f>
        <v>38058829</v>
      </c>
      <c r="S4" s="23"/>
      <c r="T4" s="24"/>
      <c r="U4" s="71"/>
    </row>
    <row r="5" spans="1:21">
      <c r="B5" s="21">
        <v>2015</v>
      </c>
      <c r="C5" s="23">
        <f>SUMIF('Res Predicted Monthly'!$C:$C,B5,'Res Predicted Monthly'!D:D)</f>
        <v>248777774.68084404</v>
      </c>
      <c r="D5" s="23">
        <f>SUMIF('Res Predicted Monthly'!$C:$C,B5,'Res Predicted Monthly'!U:U)</f>
        <v>250266821.42193356</v>
      </c>
      <c r="E5" s="24">
        <f t="shared" si="0"/>
        <v>5.9854492347630921E-3</v>
      </c>
      <c r="F5" s="24"/>
      <c r="G5" s="21">
        <v>2015</v>
      </c>
      <c r="H5" s="23">
        <f>SUMIF('GS&lt;50 Predicted Monthly'!C:C,G5,'GS&lt;50 Predicted Monthly'!D:D)</f>
        <v>71979957.325464636</v>
      </c>
      <c r="I5" s="23">
        <f>SUMIF('GS&lt;50 Predicted Monthly'!C:C,G5,'GS&lt;50 Predicted Monthly'!S:S)</f>
        <v>72093835.727472842</v>
      </c>
      <c r="J5" s="24">
        <f t="shared" si="1"/>
        <v>1.5820848780625553E-3</v>
      </c>
      <c r="L5" s="21">
        <v>2015</v>
      </c>
      <c r="M5" s="23">
        <f>SUMIF('GS&gt;50 Predicted Monthly'!$C:$C,L5,'GS&gt;50 Predicted Monthly'!D:D)</f>
        <v>179246256.04096293</v>
      </c>
      <c r="N5" s="23">
        <f>SUMIF('GS&gt;50 Predicted Monthly'!$C:$C,L5,'GS&gt;50 Predicted Monthly'!S:S)</f>
        <v>178069776.36780471</v>
      </c>
      <c r="O5" s="24">
        <f t="shared" si="2"/>
        <v>6.5634825471019538E-3</v>
      </c>
      <c r="Q5" s="21">
        <v>2015</v>
      </c>
      <c r="R5" s="23">
        <f>SUMIF('ED Predicted Monthly (1)'!$C:$C,$Q5,'ED Predicted Monthly (1)'!D:D)</f>
        <v>38655618</v>
      </c>
      <c r="S5" s="23"/>
      <c r="T5" s="24"/>
      <c r="U5" s="71"/>
    </row>
    <row r="6" spans="1:21">
      <c r="B6" s="20">
        <v>2016</v>
      </c>
      <c r="C6" s="23">
        <f>SUMIF('Res Predicted Monthly'!$C:$C,B6,'Res Predicted Monthly'!D:D)</f>
        <v>261730029.36387852</v>
      </c>
      <c r="D6" s="23">
        <f>SUMIF('Res Predicted Monthly'!$C:$C,B6,'Res Predicted Monthly'!U:U)</f>
        <v>263627578.88423857</v>
      </c>
      <c r="E6" s="24">
        <f t="shared" si="0"/>
        <v>7.25002600951809E-3</v>
      </c>
      <c r="F6" s="24"/>
      <c r="G6" s="20">
        <v>2016</v>
      </c>
      <c r="H6" s="23">
        <f>SUMIF('GS&lt;50 Predicted Monthly'!C:C,G6,'GS&lt;50 Predicted Monthly'!D:D)</f>
        <v>77699069.425516114</v>
      </c>
      <c r="I6" s="23">
        <f>SUMIF('GS&lt;50 Predicted Monthly'!C:C,G6,'GS&lt;50 Predicted Monthly'!S:S)</f>
        <v>74230750.577570245</v>
      </c>
      <c r="J6" s="24">
        <f t="shared" si="1"/>
        <v>4.4637842815745288E-2</v>
      </c>
      <c r="L6" s="20">
        <v>2016</v>
      </c>
      <c r="M6" s="23">
        <f>SUMIF('GS&gt;50 Predicted Monthly'!$C:$C,L6,'GS&gt;50 Predicted Monthly'!D:D)</f>
        <v>198702961.88281238</v>
      </c>
      <c r="N6" s="23">
        <f>SUMIF('GS&gt;50 Predicted Monthly'!$C:$C,L6,'GS&gt;50 Predicted Monthly'!S:S)</f>
        <v>182896495.1627267</v>
      </c>
      <c r="O6" s="24">
        <f t="shared" si="2"/>
        <v>7.9548218961163486E-2</v>
      </c>
      <c r="Q6" s="20">
        <v>2016</v>
      </c>
      <c r="R6" s="23">
        <f>SUMIF('ED Predicted Monthly (1)'!$C:$C,$Q6,'ED Predicted Monthly (1)'!D:D)</f>
        <v>32586842</v>
      </c>
      <c r="S6" s="23">
        <f>SUMIF('ED Predicted Monthly (1)'!$C:$C,$Q6,'ED Predicted Monthly (1)'!O:O)</f>
        <v>31460057.495894056</v>
      </c>
      <c r="T6" s="24">
        <f>ABS(R6-S6)/R6</f>
        <v>3.4577898162268812E-2</v>
      </c>
      <c r="U6" s="71"/>
    </row>
    <row r="7" spans="1:21">
      <c r="B7" s="21">
        <v>2017</v>
      </c>
      <c r="C7" s="23">
        <f>SUMIF('Res Predicted Monthly'!$C:$C,B7,'Res Predicted Monthly'!D:D)</f>
        <v>251415523.5541949</v>
      </c>
      <c r="D7" s="23">
        <f>SUMIF('Res Predicted Monthly'!$C:$C,B7,'Res Predicted Monthly'!U:U)</f>
        <v>254522756.25384831</v>
      </c>
      <c r="E7" s="24">
        <f t="shared" si="0"/>
        <v>1.2358953240942676E-2</v>
      </c>
      <c r="F7" s="24"/>
      <c r="G7" s="21">
        <v>2017</v>
      </c>
      <c r="H7" s="23">
        <f>SUMIF('GS&lt;50 Predicted Monthly'!C:C,G7,'GS&lt;50 Predicted Monthly'!D:D)</f>
        <v>77216323.470702931</v>
      </c>
      <c r="I7" s="23">
        <f>SUMIF('GS&lt;50 Predicted Monthly'!C:C,G7,'GS&lt;50 Predicted Monthly'!S:S)</f>
        <v>74250659.983343825</v>
      </c>
      <c r="J7" s="24">
        <f t="shared" si="1"/>
        <v>3.8407209176234934E-2</v>
      </c>
      <c r="L7" s="21">
        <v>2017</v>
      </c>
      <c r="M7" s="23">
        <f>SUMIF('GS&gt;50 Predicted Monthly'!$C:$C,L7,'GS&gt;50 Predicted Monthly'!D:D)</f>
        <v>179503466.54264432</v>
      </c>
      <c r="N7" s="23">
        <f>SUMIF('GS&gt;50 Predicted Monthly'!$C:$C,L7,'GS&gt;50 Predicted Monthly'!S:S)</f>
        <v>184420678.50750625</v>
      </c>
      <c r="O7" s="24">
        <f t="shared" si="2"/>
        <v>2.7393409495486017E-2</v>
      </c>
      <c r="Q7" s="21">
        <v>2017</v>
      </c>
      <c r="R7" s="23">
        <f>SUMIF('ED Predicted Monthly (1)'!$C:$C,$Q7,'ED Predicted Monthly (1)'!D:D)</f>
        <v>33420007</v>
      </c>
      <c r="S7" s="23">
        <f>SUMIF('ED Predicted Monthly (1)'!$C:$C,$Q7,'ED Predicted Monthly (1)'!O:O)</f>
        <v>30654663.246874545</v>
      </c>
      <c r="T7" s="24">
        <f>ABS(R7-S7)/R7</f>
        <v>8.274515780698237E-2</v>
      </c>
      <c r="U7" s="71"/>
    </row>
    <row r="8" spans="1:21">
      <c r="B8" s="20">
        <v>2018</v>
      </c>
      <c r="C8" s="23">
        <f>SUMIF('Res Predicted Monthly'!$C:$C,B8,'Res Predicted Monthly'!D:D)</f>
        <v>273656126.95021415</v>
      </c>
      <c r="D8" s="23">
        <f>SUMIF('Res Predicted Monthly'!$C:$C,B8,'Res Predicted Monthly'!U:U)</f>
        <v>272455323.817904</v>
      </c>
      <c r="E8" s="24">
        <f t="shared" si="0"/>
        <v>4.3880001726714947E-3</v>
      </c>
      <c r="F8" s="24"/>
      <c r="G8" s="20">
        <v>2018</v>
      </c>
      <c r="H8" s="23">
        <f>SUMIF('GS&lt;50 Predicted Monthly'!C:C,G8,'GS&lt;50 Predicted Monthly'!D:D)</f>
        <v>79628910.786709189</v>
      </c>
      <c r="I8" s="23">
        <f>SUMIF('GS&lt;50 Predicted Monthly'!C:C,G8,'GS&lt;50 Predicted Monthly'!S:S)</f>
        <v>78009546.00167793</v>
      </c>
      <c r="J8" s="24">
        <f t="shared" si="1"/>
        <v>2.0336392511619613E-2</v>
      </c>
      <c r="L8" s="20">
        <v>2018</v>
      </c>
      <c r="M8" s="23">
        <f>SUMIF('GS&gt;50 Predicted Monthly'!$C:$C,L8,'GS&gt;50 Predicted Monthly'!D:D)</f>
        <v>185305131.09588525</v>
      </c>
      <c r="N8" s="23">
        <f>SUMIF('GS&gt;50 Predicted Monthly'!$C:$C,L8,'GS&gt;50 Predicted Monthly'!S:S)</f>
        <v>193322276.97011796</v>
      </c>
      <c r="O8" s="24">
        <f t="shared" si="2"/>
        <v>4.3264564919598889E-2</v>
      </c>
      <c r="Q8" s="20">
        <v>2018</v>
      </c>
      <c r="R8" s="23">
        <f>SUMIF('ED Predicted Monthly (1)'!$C:$C,$Q8,'ED Predicted Monthly (1)'!D:D)</f>
        <v>31923241</v>
      </c>
      <c r="S8" s="23">
        <f>SUMIF('ED Predicted Monthly (1)'!$C:$C,$Q8,'ED Predicted Monthly (1)'!O:O)</f>
        <v>32062077.629049107</v>
      </c>
      <c r="T8" s="24">
        <f>ABS(R8-S8)/R8</f>
        <v>4.3490768700179105E-3</v>
      </c>
      <c r="U8" s="71"/>
    </row>
    <row r="9" spans="1:21">
      <c r="B9" s="20">
        <v>2019</v>
      </c>
      <c r="C9" s="23">
        <f>SUMIF('Res Predicted Monthly'!$C:$C,B9,'Res Predicted Monthly'!D:D)</f>
        <v>267245403.81956255</v>
      </c>
      <c r="D9" s="23">
        <f>SUMIF('Res Predicted Monthly'!$C:$C,B9,'Res Predicted Monthly'!U:U)</f>
        <v>264790988.4074648</v>
      </c>
      <c r="E9" s="24">
        <f t="shared" si="0"/>
        <v>9.1841258147695309E-3</v>
      </c>
      <c r="F9" s="24"/>
      <c r="G9" s="21">
        <v>2019</v>
      </c>
      <c r="H9" s="23">
        <f>SUMIF('GS&lt;50 Predicted Monthly'!C:C,G9,'GS&lt;50 Predicted Monthly'!D:D)</f>
        <v>78712719.1795993</v>
      </c>
      <c r="I9" s="23">
        <f>SUMIF('GS&lt;50 Predicted Monthly'!C:C,G9,'GS&lt;50 Predicted Monthly'!S:S)</f>
        <v>77956502.639556795</v>
      </c>
      <c r="J9" s="24">
        <f t="shared" si="1"/>
        <v>9.607297879228904E-3</v>
      </c>
      <c r="L9" s="21">
        <v>2019</v>
      </c>
      <c r="M9" s="23">
        <f>SUMIF('GS&gt;50 Predicted Monthly'!$C:$C,L9,'GS&gt;50 Predicted Monthly'!D:D)</f>
        <v>195400371.49367166</v>
      </c>
      <c r="N9" s="23">
        <f>SUMIF('GS&gt;50 Predicted Monthly'!$C:$C,L9,'GS&gt;50 Predicted Monthly'!S:S)</f>
        <v>194040109.18616405</v>
      </c>
      <c r="O9" s="24">
        <f t="shared" si="2"/>
        <v>6.9614110613482562E-3</v>
      </c>
      <c r="Q9" s="20">
        <v>2019</v>
      </c>
      <c r="R9" s="23">
        <f>SUMIF('ED Predicted Monthly (1)'!$C:$C,$Q9,'ED Predicted Monthly (1)'!D:D)</f>
        <v>34526385</v>
      </c>
      <c r="S9" s="23">
        <f>SUMIF('ED Predicted Monthly (1)'!$C:$C,$Q9,'ED Predicted Monthly (1)'!O:O)</f>
        <v>32025426.534491513</v>
      </c>
      <c r="T9" s="24">
        <f t="shared" ref="T9:T14" si="3">ABS(R9-S9)/R9</f>
        <v>7.2436151815734165E-2</v>
      </c>
      <c r="U9" s="71"/>
    </row>
    <row r="10" spans="1:21">
      <c r="B10" s="21">
        <v>2020</v>
      </c>
      <c r="C10" s="23">
        <f>SUMIF('Res Predicted Monthly'!$C:$C,B10,'Res Predicted Monthly'!D:D)</f>
        <v>286105617.76752079</v>
      </c>
      <c r="D10" s="23">
        <f>SUMIF('Res Predicted Monthly'!$C:$C,B10,'Res Predicted Monthly'!U:U)</f>
        <v>285357653.46122169</v>
      </c>
      <c r="E10" s="24">
        <f t="shared" si="0"/>
        <v>2.6142943719017061E-3</v>
      </c>
      <c r="F10" s="24"/>
      <c r="G10" s="21">
        <v>2020</v>
      </c>
      <c r="H10" s="23">
        <f>SUMIF('GS&lt;50 Predicted Monthly'!C:C,G10,'GS&lt;50 Predicted Monthly'!D:D)</f>
        <v>74404471.531776816</v>
      </c>
      <c r="I10" s="23">
        <f>SUMIF('GS&lt;50 Predicted Monthly'!C:C,G10,'GS&lt;50 Predicted Monthly'!S:S)</f>
        <v>75159636.792283773</v>
      </c>
      <c r="J10" s="24">
        <f>ABS(H10-I10)/H10</f>
        <v>1.0149460710630009E-2</v>
      </c>
      <c r="L10" s="21">
        <v>2020</v>
      </c>
      <c r="M10" s="23">
        <f>SUMIF('GS&gt;50 Predicted Monthly'!$C:$C,L10,'GS&gt;50 Predicted Monthly'!D:D)</f>
        <v>185908362.51143277</v>
      </c>
      <c r="N10" s="23">
        <f>SUMIF('GS&gt;50 Predicted Monthly'!$C:$C,L10,'GS&gt;50 Predicted Monthly'!S:S)</f>
        <v>186071196.06881735</v>
      </c>
      <c r="O10" s="24">
        <f>ABS(M10-N10)/M10</f>
        <v>8.7588075751335087E-4</v>
      </c>
      <c r="Q10" s="21">
        <v>2020</v>
      </c>
      <c r="R10" s="23">
        <f>SUMIF('ED Predicted Monthly (1)'!$C:$C,$Q10,'ED Predicted Monthly (1)'!D:D)</f>
        <v>29188687</v>
      </c>
      <c r="S10" s="23">
        <f>SUMIF('ED Predicted Monthly (1)'!$C:$C,$Q10,'ED Predicted Monthly (1)'!O:O)</f>
        <v>30074723.335792094</v>
      </c>
      <c r="T10" s="24">
        <f t="shared" si="3"/>
        <v>3.035547079565773E-2</v>
      </c>
      <c r="U10" s="71"/>
    </row>
    <row r="11" spans="1:21">
      <c r="B11" s="20">
        <v>2021</v>
      </c>
      <c r="C11" s="23">
        <f>SUMIF('Res Predicted Monthly'!$C:$C,B11,'Res Predicted Monthly'!D:D)</f>
        <v>291353713.76833797</v>
      </c>
      <c r="D11" s="23">
        <f>SUMIF('Res Predicted Monthly'!$C:$C,B11,'Res Predicted Monthly'!U:U)</f>
        <v>292469169.9922756</v>
      </c>
      <c r="E11" s="24">
        <f t="shared" si="0"/>
        <v>3.8285292797899792E-3</v>
      </c>
      <c r="F11" s="24"/>
      <c r="G11" s="20">
        <v>2021</v>
      </c>
      <c r="H11" s="23">
        <f>SUMIF('GS&lt;50 Predicted Monthly'!C:C,G11,'GS&lt;50 Predicted Monthly'!D:D)</f>
        <v>75675869.206079826</v>
      </c>
      <c r="I11" s="23">
        <f>SUMIF('GS&lt;50 Predicted Monthly'!C:C,G11,'GS&lt;50 Predicted Monthly'!S:S)</f>
        <v>78685516.86454913</v>
      </c>
      <c r="J11" s="24">
        <f>ABS(H11-I11)/H11</f>
        <v>3.9770242351276595E-2</v>
      </c>
      <c r="L11" s="20">
        <v>2021</v>
      </c>
      <c r="M11" s="23">
        <f>SUMIF('GS&gt;50 Predicted Monthly'!$C:$C,L11,'GS&gt;50 Predicted Monthly'!D:D)</f>
        <v>193242983.88788456</v>
      </c>
      <c r="N11" s="23">
        <f>SUMIF('GS&gt;50 Predicted Monthly'!$C:$C,L11,'GS&gt;50 Predicted Monthly'!S:S)</f>
        <v>195302132.70151827</v>
      </c>
      <c r="O11" s="24">
        <f>ABS(M11-N11)/M11</f>
        <v>1.0655749420783029E-2</v>
      </c>
      <c r="Q11" s="20">
        <v>2021</v>
      </c>
      <c r="R11" s="23">
        <f>SUMIF('ED Predicted Monthly (1)'!$C:$C,$Q11,'ED Predicted Monthly (1)'!D:D)</f>
        <v>28075683</v>
      </c>
      <c r="S11" s="23">
        <f>SUMIF('ED Predicted Monthly (1)'!$C:$C,$Q11,'ED Predicted Monthly (1)'!O:O)</f>
        <v>31518033.641184963</v>
      </c>
      <c r="T11" s="24">
        <f t="shared" si="3"/>
        <v>0.12260968472912888</v>
      </c>
      <c r="U11" s="71"/>
    </row>
    <row r="12" spans="1:21">
      <c r="B12" s="21">
        <v>2022</v>
      </c>
      <c r="C12" s="23">
        <f>SUMIF('Res Predicted Monthly'!$C:$C,B12,'Res Predicted Monthly'!D:D)</f>
        <v>286634490.74092448</v>
      </c>
      <c r="D12" s="23">
        <f>SUMIF('Res Predicted Monthly'!$C:$C,B12,'Res Predicted Monthly'!U:U)</f>
        <v>288424224.24101555</v>
      </c>
      <c r="E12" s="24">
        <f>ABS(C12-D12)/C12</f>
        <v>6.2439572274249873E-3</v>
      </c>
      <c r="F12" s="24"/>
      <c r="G12" s="21">
        <v>2022</v>
      </c>
      <c r="H12" s="23">
        <f>SUMIF('GS&lt;50 Predicted Monthly'!C:C,G12,'GS&lt;50 Predicted Monthly'!D:D)</f>
        <v>81641733.228185311</v>
      </c>
      <c r="I12" s="23">
        <f>SUMIF('GS&lt;50 Predicted Monthly'!C:C,G12,'GS&lt;50 Predicted Monthly'!S:S)</f>
        <v>80770801.842749462</v>
      </c>
      <c r="J12" s="24">
        <f>ABS(H12-I12)/H12</f>
        <v>1.0667722878954955E-2</v>
      </c>
      <c r="L12" s="21">
        <v>2022</v>
      </c>
      <c r="M12" s="23">
        <f>SUMIF('GS&gt;50 Predicted Monthly'!$C:$C,L12,'GS&gt;50 Predicted Monthly'!D:D)</f>
        <v>199280394.59185389</v>
      </c>
      <c r="N12" s="23">
        <f>SUMIF('GS&gt;50 Predicted Monthly'!$C:$C,L12,'GS&gt;50 Predicted Monthly'!S:S)</f>
        <v>200920752.72956651</v>
      </c>
      <c r="O12" s="24">
        <f>ABS(M12-N12)/M12</f>
        <v>8.2314075153867728E-3</v>
      </c>
      <c r="Q12" s="21">
        <v>2022</v>
      </c>
      <c r="R12" s="23">
        <f>SUMIF('ED Predicted Monthly (1)'!$C:$C,$Q12,'ED Predicted Monthly (1)'!D:D)</f>
        <v>28792570</v>
      </c>
      <c r="S12" s="23">
        <f>SUMIF('ED Predicted Monthly (1)'!$C:$C,$Q12,'ED Predicted Monthly (1)'!O:O)</f>
        <v>32560969.245598022</v>
      </c>
      <c r="T12" s="24">
        <f t="shared" si="3"/>
        <v>0.13088096149798445</v>
      </c>
      <c r="U12" s="71"/>
    </row>
    <row r="13" spans="1:21">
      <c r="B13" s="20">
        <v>2023</v>
      </c>
      <c r="C13" s="23">
        <f>SUMIF('Res Predicted Monthly'!$C:$C,B13,'Res Predicted Monthly'!D:D)</f>
        <v>273162305.4299143</v>
      </c>
      <c r="D13" s="23">
        <f>SUMIF('Res Predicted Monthly'!$C:$C,B13,'Res Predicted Monthly'!U:U)</f>
        <v>272274575.51798606</v>
      </c>
      <c r="E13" s="24">
        <f>ABS(C13-D13)/C13</f>
        <v>3.2498258152093493E-3</v>
      </c>
      <c r="F13" s="24"/>
      <c r="G13" s="20">
        <v>2023</v>
      </c>
      <c r="H13" s="23">
        <f>SUMIF('GS&lt;50 Predicted Monthly'!C:C,G13,'GS&lt;50 Predicted Monthly'!D:D)</f>
        <v>77658916.438027456</v>
      </c>
      <c r="I13" s="23">
        <f>SUMIF('GS&lt;50 Predicted Monthly'!C:C,G13,'GS&lt;50 Predicted Monthly'!S:S)</f>
        <v>79736139.399700925</v>
      </c>
      <c r="J13" s="24">
        <f>ABS(H13-I13)/H13</f>
        <v>2.6748029163284961E-2</v>
      </c>
      <c r="L13" s="20">
        <v>2023</v>
      </c>
      <c r="M13" s="23">
        <f>SUMIF('GS&gt;50 Predicted Monthly'!$C:$C,L13,'GS&gt;50 Predicted Monthly'!D:D)</f>
        <v>201412228.09409276</v>
      </c>
      <c r="N13" s="23">
        <f>SUMIF('GS&gt;50 Predicted Monthly'!$C:$C,L13,'GS&gt;50 Predicted Monthly'!S:S)</f>
        <v>199440275.84179789</v>
      </c>
      <c r="O13" s="24">
        <f>ABS(M13-N13)/M13</f>
        <v>9.7906282600361341E-3</v>
      </c>
      <c r="Q13" s="20">
        <v>2023</v>
      </c>
      <c r="R13" s="23">
        <f>SUMIF('ED Predicted Monthly (1)'!$C:$C,$Q13,'ED Predicted Monthly (1)'!D:D)</f>
        <v>34284228</v>
      </c>
      <c r="S13" s="23">
        <f>SUMIF('ED Predicted Monthly (1)'!$C:$C,$Q13,'ED Predicted Monthly (1)'!O:O)</f>
        <v>32990285.263423078</v>
      </c>
      <c r="T13" s="24">
        <f t="shared" si="3"/>
        <v>3.7741632583266051E-2</v>
      </c>
      <c r="U13" s="71"/>
    </row>
    <row r="14" spans="1:21">
      <c r="B14" s="73" t="s">
        <v>140</v>
      </c>
      <c r="C14" s="71">
        <f>SUM(C4:C13)</f>
        <v>2688424869.115572</v>
      </c>
      <c r="D14" s="71">
        <f>SUM(D4:D13)</f>
        <v>2688632042.6432915</v>
      </c>
      <c r="E14" s="72">
        <f t="shared" si="0"/>
        <v>7.7061304594929167E-5</v>
      </c>
      <c r="F14" s="24"/>
      <c r="G14" s="73" t="s">
        <v>140</v>
      </c>
      <c r="H14" s="71">
        <f>SUM(H4:H13)</f>
        <v>762479568.54635692</v>
      </c>
      <c r="I14" s="71">
        <f>SUM(I4:I13)</f>
        <v>761553299.05398631</v>
      </c>
      <c r="J14" s="72">
        <f>ABS(H14-I14)/H14</f>
        <v>1.2148122134426616E-3</v>
      </c>
      <c r="L14" s="73" t="s">
        <v>140</v>
      </c>
      <c r="M14" s="71">
        <f>SUM(M4:M13)</f>
        <v>1888116155.0937631</v>
      </c>
      <c r="N14" s="71">
        <f>SUM(N4:N13)</f>
        <v>1888578619.4516289</v>
      </c>
      <c r="O14" s="72">
        <f>ABS(M14-N14)/M14</f>
        <v>2.4493427304150394E-4</v>
      </c>
      <c r="Q14" s="73" t="s">
        <v>140</v>
      </c>
      <c r="R14" s="71">
        <f>SUM(R4:R13)</f>
        <v>329512090</v>
      </c>
      <c r="S14" s="71">
        <f>SUM(S4:S13)</f>
        <v>253346236.39230737</v>
      </c>
      <c r="T14" s="72">
        <f t="shared" si="3"/>
        <v>0.23114737188457221</v>
      </c>
      <c r="U14" s="71"/>
    </row>
    <row r="15" spans="1:21">
      <c r="B15" s="20"/>
      <c r="C15" s="20"/>
      <c r="D15" s="20"/>
      <c r="E15" s="20"/>
      <c r="F15" s="20"/>
      <c r="G15" s="20"/>
      <c r="H15" s="20"/>
      <c r="I15" s="20"/>
      <c r="J15" s="20"/>
      <c r="Q15" s="20"/>
      <c r="R15" s="20"/>
      <c r="S15" s="73"/>
      <c r="T15" s="71"/>
      <c r="U15" s="71"/>
    </row>
    <row r="16" spans="1:21">
      <c r="B16" s="588" t="s">
        <v>275</v>
      </c>
      <c r="C16" s="588"/>
      <c r="D16" s="588"/>
      <c r="E16" s="25">
        <f>AVERAGE(E4:E13)</f>
        <v>7.081094646462607E-3</v>
      </c>
      <c r="F16" s="25"/>
      <c r="G16" s="588" t="s">
        <v>275</v>
      </c>
      <c r="H16" s="588"/>
      <c r="I16" s="588"/>
      <c r="J16" s="25">
        <f>AVERAGE(J4:J13)</f>
        <v>2.431418464416556E-2</v>
      </c>
      <c r="L16" s="588" t="s">
        <v>275</v>
      </c>
      <c r="M16" s="588"/>
      <c r="N16" s="588"/>
      <c r="O16" s="25">
        <f>AVERAGE(O4:O13)</f>
        <v>2.1668627772532138E-2</v>
      </c>
      <c r="Q16" s="588" t="s">
        <v>275</v>
      </c>
      <c r="R16" s="588"/>
      <c r="S16" s="588"/>
      <c r="T16" s="25">
        <f>AVERAGE(T4:T13)</f>
        <v>6.4462004282630048E-2</v>
      </c>
      <c r="U16" s="71"/>
    </row>
    <row r="17" spans="2:21">
      <c r="B17" s="588" t="s">
        <v>276</v>
      </c>
      <c r="C17" s="588"/>
      <c r="D17" s="588"/>
      <c r="E17" s="25">
        <f>'Res Predicted Monthly'!W122</f>
        <v>2.5397276264082686E-2</v>
      </c>
      <c r="F17" s="25"/>
      <c r="G17" s="588" t="s">
        <v>276</v>
      </c>
      <c r="H17" s="588"/>
      <c r="I17" s="588"/>
      <c r="J17" s="25">
        <f>'GS&lt;50 Predicted Monthly'!U122</f>
        <v>2.9903358757483903E-2</v>
      </c>
      <c r="L17" s="588" t="s">
        <v>276</v>
      </c>
      <c r="M17" s="588"/>
      <c r="N17" s="588"/>
      <c r="O17" s="25">
        <f>'GS&gt;50 Predicted Monthly'!U122</f>
        <v>3.9827364944499233E-2</v>
      </c>
      <c r="Q17" s="588" t="s">
        <v>276</v>
      </c>
      <c r="R17" s="588"/>
      <c r="S17" s="588"/>
      <c r="T17" s="25">
        <f>'ED Predicted Monthly (1)'!Q122</f>
        <v>7.9146876338500372E-2</v>
      </c>
      <c r="U17" s="71"/>
    </row>
    <row r="18" spans="2:21">
      <c r="S18" s="73"/>
      <c r="T18" s="71"/>
      <c r="U18" s="71"/>
    </row>
    <row r="19" spans="2:21">
      <c r="S19" s="73"/>
      <c r="T19" s="71"/>
      <c r="U19" s="71"/>
    </row>
    <row r="20" spans="2:21">
      <c r="S20" s="73"/>
      <c r="T20" s="71"/>
      <c r="U20" s="71"/>
    </row>
    <row r="21" spans="2:21">
      <c r="L21" s="20"/>
      <c r="M21" s="23"/>
      <c r="N21" s="23"/>
      <c r="O21" s="24"/>
      <c r="S21" s="73"/>
      <c r="T21" s="71"/>
      <c r="U21" s="71"/>
    </row>
    <row r="22" spans="2:21">
      <c r="L22" s="20"/>
      <c r="M22" s="20"/>
      <c r="N22" s="20"/>
      <c r="O22" s="20"/>
      <c r="S22" s="73"/>
      <c r="T22" s="71"/>
      <c r="U22" s="71"/>
    </row>
    <row r="23" spans="2:21">
      <c r="S23" s="73"/>
      <c r="T23" s="71"/>
      <c r="U23" s="71"/>
    </row>
    <row r="24" spans="2:21">
      <c r="S24" s="73"/>
      <c r="T24" s="71"/>
      <c r="U24" s="71"/>
    </row>
    <row r="25" spans="2:21">
      <c r="S25" s="73"/>
      <c r="T25" s="71"/>
      <c r="U25" s="71"/>
    </row>
    <row r="26" spans="2:21">
      <c r="S26" s="73"/>
      <c r="T26" s="71"/>
      <c r="U26" s="71"/>
    </row>
    <row r="27" spans="2:21">
      <c r="S27" s="73"/>
      <c r="T27" s="71"/>
      <c r="U27" s="71"/>
    </row>
    <row r="28" spans="2:21">
      <c r="S28" s="73"/>
      <c r="T28" s="71"/>
      <c r="U28" s="71"/>
    </row>
    <row r="29" spans="2:21">
      <c r="S29" s="73"/>
      <c r="T29" s="71"/>
      <c r="U29" s="71"/>
    </row>
    <row r="30" spans="2:21">
      <c r="S30" s="73"/>
      <c r="T30" s="71"/>
      <c r="U30" s="71"/>
    </row>
    <row r="31" spans="2:21">
      <c r="S31" s="73"/>
      <c r="T31" s="71"/>
      <c r="U31" s="71"/>
    </row>
    <row r="32" spans="2:21">
      <c r="S32" s="73"/>
      <c r="T32" s="71"/>
      <c r="U32" s="71"/>
    </row>
    <row r="33" spans="19:21">
      <c r="S33" s="73"/>
      <c r="T33" s="71"/>
      <c r="U33" s="71"/>
    </row>
    <row r="34" spans="19:21">
      <c r="S34" s="73"/>
      <c r="T34" s="71"/>
      <c r="U34" s="71"/>
    </row>
    <row r="35" spans="19:21">
      <c r="S35" s="73"/>
      <c r="T35" s="71"/>
      <c r="U35" s="71"/>
    </row>
  </sheetData>
  <mergeCells count="13">
    <mergeCell ref="Q16:S16"/>
    <mergeCell ref="Q17:S17"/>
    <mergeCell ref="B16:D16"/>
    <mergeCell ref="B17:D17"/>
    <mergeCell ref="L16:N16"/>
    <mergeCell ref="L17:N17"/>
    <mergeCell ref="G16:I16"/>
    <mergeCell ref="G17:I17"/>
    <mergeCell ref="A1:T1"/>
    <mergeCell ref="C2:D2"/>
    <mergeCell ref="H2:I2"/>
    <mergeCell ref="M2:N2"/>
    <mergeCell ref="R2:S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2EF5-ABB8-463A-9177-08A8BED6CBB3}">
  <sheetPr codeName="Sheet20"/>
  <dimension ref="A1:AC169"/>
  <sheetViews>
    <sheetView topLeftCell="V6" workbookViewId="0">
      <selection activeCell="Y3" sqref="Y3:AC24"/>
    </sheetView>
  </sheetViews>
  <sheetFormatPr defaultRowHeight="14.45"/>
  <cols>
    <col min="1" max="1" width="11.7109375" customWidth="1"/>
    <col min="4" max="4" width="17.7109375" customWidth="1"/>
    <col min="7" max="7" width="13.28515625" bestFit="1" customWidth="1"/>
    <col min="8" max="8" width="13.140625" bestFit="1" customWidth="1"/>
    <col min="9" max="10" width="11.42578125" customWidth="1"/>
    <col min="11" max="11" width="10.5703125" bestFit="1" customWidth="1"/>
    <col min="14" max="19" width="12.5703125" customWidth="1"/>
    <col min="20" max="20" width="13.42578125" bestFit="1" customWidth="1"/>
    <col min="21" max="21" width="12.5703125" customWidth="1"/>
    <col min="22" max="22" width="13.42578125" bestFit="1" customWidth="1"/>
    <col min="24" max="24" width="9.5703125" bestFit="1" customWidth="1"/>
    <col min="25" max="25" width="14" bestFit="1" customWidth="1"/>
    <col min="26" max="26" width="17.140625" customWidth="1"/>
    <col min="27" max="27" width="13.28515625" bestFit="1" customWidth="1"/>
    <col min="28" max="28" width="11.425781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(longer 09-23)'!E1</f>
        <v>ReskWh_NoCDM</v>
      </c>
      <c r="E1" t="str">
        <f>'Res Predicted Monthly'!E1</f>
        <v>HDD18</v>
      </c>
      <c r="F1" t="str">
        <f>'Res Predicted Monthly'!F1</f>
        <v>CDD16</v>
      </c>
      <c r="G1" t="str">
        <f>'Monthly Data (14-23) Used'!DD1</f>
        <v>CWFH_HDD18</v>
      </c>
      <c r="H1" t="str">
        <f>'Monthly Data (14-23) Used'!DG1</f>
        <v>CWFH_CDD16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N1" t="s">
        <v>221</v>
      </c>
      <c r="O1" t="str">
        <f t="shared" ref="O1:U1" si="0">E1</f>
        <v>HDD18</v>
      </c>
      <c r="P1" t="str">
        <f t="shared" si="0"/>
        <v>CDD16</v>
      </c>
      <c r="Q1" t="str">
        <f t="shared" si="0"/>
        <v>CWFH_HDD18</v>
      </c>
      <c r="R1" t="str">
        <f t="shared" si="0"/>
        <v>CWFH_CDD16</v>
      </c>
      <c r="S1" t="str">
        <f t="shared" si="0"/>
        <v>Month Days</v>
      </c>
      <c r="T1" t="str">
        <f t="shared" si="0"/>
        <v>Shoulder</v>
      </c>
      <c r="U1" t="str">
        <f t="shared" si="0"/>
        <v>Trend</v>
      </c>
      <c r="V1" t="s">
        <v>242</v>
      </c>
    </row>
    <row r="2" spans="1:29">
      <c r="A2" s="197">
        <v>41640</v>
      </c>
      <c r="B2">
        <f t="shared" ref="B2:B41" si="1">MONTH(A2)</f>
        <v>1</v>
      </c>
      <c r="C2">
        <f t="shared" ref="C2:C41" si="2">YEAR(A2)</f>
        <v>2014</v>
      </c>
      <c r="D2" s="6">
        <f>'Monthly Data (longer 09-23)'!E62</f>
        <v>22664516.836681671</v>
      </c>
      <c r="E2" s="226">
        <f ca="1">'Weather Data'!AN38</f>
        <v>671</v>
      </c>
      <c r="F2" s="226">
        <f ca="1">'Weather Data'!BC38</f>
        <v>0</v>
      </c>
      <c r="G2" s="6">
        <f>'Monthly Data (14-23) Used'!DD2</f>
        <v>0</v>
      </c>
      <c r="H2">
        <f>'Monthly Data (14-23) Used'!DG2</f>
        <v>0</v>
      </c>
      <c r="I2" s="6">
        <f>'Monthly Data (14-23) Used'!CB2</f>
        <v>31</v>
      </c>
      <c r="J2" s="6">
        <f>'Monthly Data (14-23) Used'!CA2</f>
        <v>0</v>
      </c>
      <c r="K2" s="6">
        <f>'Monthly Data (14-23) Used'!BJ2</f>
        <v>1</v>
      </c>
      <c r="N2" s="6">
        <f t="shared" ref="N2:N54" si="3">$Z$8</f>
        <v>-7179191.8731795801</v>
      </c>
      <c r="O2" s="6">
        <f t="shared" ref="O2:O33" ca="1" si="4">E2*$Z$9</f>
        <v>4763463.3798760185</v>
      </c>
      <c r="P2" s="6">
        <f t="shared" ref="P2:P33" ca="1" si="5">F2*$Z$10</f>
        <v>0</v>
      </c>
      <c r="Q2" s="6">
        <f t="shared" ref="Q2:Q33" si="6">G2*$Z$11</f>
        <v>0</v>
      </c>
      <c r="R2" s="6">
        <f t="shared" ref="R2:R33" si="7">H2*$Z$12</f>
        <v>0</v>
      </c>
      <c r="S2" s="6">
        <f t="shared" ref="S2:S33" si="8">I2*$Z$13</f>
        <v>23117235.833798315</v>
      </c>
      <c r="T2" s="6">
        <f t="shared" ref="T2:T33" si="9">J2*$Z$14</f>
        <v>0</v>
      </c>
      <c r="U2" s="6">
        <f t="shared" ref="U2:U33" si="10">K2*$Z$15</f>
        <v>21642.618631922</v>
      </c>
      <c r="V2" s="6">
        <f t="shared" ref="V2:V33" ca="1" si="11">SUM(N2:U2)</f>
        <v>20723149.959126674</v>
      </c>
    </row>
    <row r="3" spans="1:29">
      <c r="A3" s="197">
        <v>41671</v>
      </c>
      <c r="B3">
        <f t="shared" si="1"/>
        <v>2</v>
      </c>
      <c r="C3">
        <f t="shared" si="2"/>
        <v>2014</v>
      </c>
      <c r="D3" s="6">
        <f>'Monthly Data (longer 09-23)'!E63</f>
        <v>19610979.836681671</v>
      </c>
      <c r="E3" s="226">
        <f ca="1">'Weather Data'!AN39</f>
        <v>595.51355229914111</v>
      </c>
      <c r="F3" s="226">
        <f ca="1">'Weather Data'!BC39</f>
        <v>0</v>
      </c>
      <c r="G3" s="6">
        <f>'Monthly Data (14-23) Used'!DD3</f>
        <v>0</v>
      </c>
      <c r="H3">
        <f>'Monthly Data (14-23) Used'!DG3</f>
        <v>0</v>
      </c>
      <c r="I3" s="6">
        <f>'Monthly Data (14-23) Used'!CB3</f>
        <v>28</v>
      </c>
      <c r="J3" s="6">
        <f>'Monthly Data (14-23) Used'!CA3</f>
        <v>0</v>
      </c>
      <c r="K3" s="6">
        <f>'Monthly Data (14-23) Used'!BJ3</f>
        <v>2</v>
      </c>
      <c r="N3" s="6">
        <f t="shared" si="3"/>
        <v>-7179191.8731795801</v>
      </c>
      <c r="O3" s="6">
        <f t="shared" ca="1" si="4"/>
        <v>4227581.2199654849</v>
      </c>
      <c r="P3" s="6">
        <f t="shared" ca="1" si="5"/>
        <v>0</v>
      </c>
      <c r="Q3" s="6">
        <f t="shared" si="6"/>
        <v>0</v>
      </c>
      <c r="R3" s="6">
        <f t="shared" si="7"/>
        <v>0</v>
      </c>
      <c r="S3" s="6">
        <f t="shared" si="8"/>
        <v>20880083.978914607</v>
      </c>
      <c r="T3" s="6">
        <f t="shared" si="9"/>
        <v>0</v>
      </c>
      <c r="U3" s="6">
        <f t="shared" si="10"/>
        <v>43285.237263843999</v>
      </c>
      <c r="V3" s="6">
        <f t="shared" ca="1" si="11"/>
        <v>17971758.562964357</v>
      </c>
      <c r="Y3" t="s">
        <v>244</v>
      </c>
    </row>
    <row r="4" spans="1:29">
      <c r="A4" s="197">
        <v>41699</v>
      </c>
      <c r="B4">
        <f t="shared" si="1"/>
        <v>3</v>
      </c>
      <c r="C4">
        <f t="shared" si="2"/>
        <v>2014</v>
      </c>
      <c r="D4" s="6">
        <f>'Monthly Data (longer 09-23)'!E64</f>
        <v>19546615.836681671</v>
      </c>
      <c r="E4" s="226">
        <f ca="1">'Weather Data'!AN40</f>
        <v>496.46355229914104</v>
      </c>
      <c r="F4" s="226">
        <f ca="1">'Weather Data'!BC40</f>
        <v>0</v>
      </c>
      <c r="G4" s="6">
        <f>'Monthly Data (14-23) Used'!DD4</f>
        <v>0</v>
      </c>
      <c r="H4">
        <f>'Monthly Data (14-23) Used'!DG4</f>
        <v>0</v>
      </c>
      <c r="I4" s="6">
        <f>'Monthly Data (14-23) Used'!CB4</f>
        <v>31</v>
      </c>
      <c r="J4" s="6">
        <f>'Monthly Data (14-23) Used'!CA4</f>
        <v>1</v>
      </c>
      <c r="K4" s="6">
        <f>'Monthly Data (14-23) Used'!BJ4</f>
        <v>3</v>
      </c>
      <c r="N4" s="6">
        <f t="shared" si="3"/>
        <v>-7179191.8731795801</v>
      </c>
      <c r="O4" s="6">
        <f t="shared" ca="1" si="4"/>
        <v>3524420.194962922</v>
      </c>
      <c r="P4" s="6">
        <f t="shared" ca="1" si="5"/>
        <v>0</v>
      </c>
      <c r="Q4" s="6">
        <f t="shared" si="6"/>
        <v>0</v>
      </c>
      <c r="R4" s="6">
        <f t="shared" si="7"/>
        <v>0</v>
      </c>
      <c r="S4" s="6">
        <f t="shared" si="8"/>
        <v>23117235.833798315</v>
      </c>
      <c r="T4" s="6">
        <f t="shared" si="9"/>
        <v>-1713930.83126266</v>
      </c>
      <c r="U4" s="6">
        <f t="shared" si="10"/>
        <v>64927.855895765999</v>
      </c>
      <c r="V4" s="6">
        <f t="shared" ca="1" si="11"/>
        <v>17813461.180214763</v>
      </c>
      <c r="Y4" t="s">
        <v>213</v>
      </c>
    </row>
    <row r="5" spans="1:29">
      <c r="A5" s="197">
        <v>41730</v>
      </c>
      <c r="B5">
        <f t="shared" si="1"/>
        <v>4</v>
      </c>
      <c r="C5">
        <f t="shared" si="2"/>
        <v>2014</v>
      </c>
      <c r="D5" s="6">
        <f>'Monthly Data (longer 09-23)'!E65</f>
        <v>16464081.83668167</v>
      </c>
      <c r="E5" s="226">
        <f ca="1">'Weather Data'!AN41</f>
        <v>296.23000000000008</v>
      </c>
      <c r="F5" s="226">
        <f ca="1">'Weather Data'!BC41</f>
        <v>3.0799999999999996</v>
      </c>
      <c r="G5" s="6">
        <f>'Monthly Data (14-23) Used'!DD5</f>
        <v>0</v>
      </c>
      <c r="H5">
        <f>'Monthly Data (14-23) Used'!DG5</f>
        <v>0</v>
      </c>
      <c r="I5" s="6">
        <f>'Monthly Data (14-23) Used'!CB5</f>
        <v>30</v>
      </c>
      <c r="J5" s="6">
        <f>'Monthly Data (14-23) Used'!CA5</f>
        <v>1</v>
      </c>
      <c r="K5" s="6">
        <f>'Monthly Data (14-23) Used'!BJ5</f>
        <v>4</v>
      </c>
      <c r="N5" s="6">
        <f t="shared" si="3"/>
        <v>-7179191.8731795801</v>
      </c>
      <c r="O5" s="6">
        <f t="shared" ca="1" si="4"/>
        <v>2102951.9478698559</v>
      </c>
      <c r="P5" s="6">
        <f t="shared" ca="1" si="5"/>
        <v>205175.59510018706</v>
      </c>
      <c r="Q5" s="6">
        <f t="shared" si="6"/>
        <v>0</v>
      </c>
      <c r="R5" s="6">
        <f t="shared" si="7"/>
        <v>0</v>
      </c>
      <c r="S5" s="6">
        <f t="shared" si="8"/>
        <v>22371518.548837077</v>
      </c>
      <c r="T5" s="6">
        <f t="shared" si="9"/>
        <v>-1713930.83126266</v>
      </c>
      <c r="U5" s="6">
        <f t="shared" si="10"/>
        <v>86570.474527687998</v>
      </c>
      <c r="V5" s="6">
        <f t="shared" ca="1" si="11"/>
        <v>15873093.861892568</v>
      </c>
      <c r="Y5" t="s">
        <v>245</v>
      </c>
    </row>
    <row r="6" spans="1:29">
      <c r="A6" s="197">
        <v>41760</v>
      </c>
      <c r="B6">
        <f t="shared" si="1"/>
        <v>5</v>
      </c>
      <c r="C6">
        <f t="shared" si="2"/>
        <v>2014</v>
      </c>
      <c r="D6" s="6">
        <f>'Monthly Data (longer 09-23)'!E66</f>
        <v>17652679.836681671</v>
      </c>
      <c r="E6" s="226">
        <f ca="1">'Weather Data'!AN42</f>
        <v>116.90355229914098</v>
      </c>
      <c r="F6" s="226">
        <f ca="1">'Weather Data'!BC42</f>
        <v>53.286447700859014</v>
      </c>
      <c r="G6" s="6">
        <f>'Monthly Data (14-23) Used'!DD6</f>
        <v>0</v>
      </c>
      <c r="H6">
        <f>'Monthly Data (14-23) Used'!DG6</f>
        <v>0</v>
      </c>
      <c r="I6" s="6">
        <f>'Monthly Data (14-23) Used'!CB6</f>
        <v>31</v>
      </c>
      <c r="J6" s="6">
        <f>'Monthly Data (14-23) Used'!CA6</f>
        <v>1</v>
      </c>
      <c r="K6" s="6">
        <f>'Monthly Data (14-23) Used'!BJ6</f>
        <v>5</v>
      </c>
      <c r="N6" s="6">
        <f t="shared" si="3"/>
        <v>-7179191.8731795801</v>
      </c>
      <c r="O6" s="6">
        <f t="shared" ca="1" si="4"/>
        <v>829904.30753260653</v>
      </c>
      <c r="P6" s="6">
        <f t="shared" ca="1" si="5"/>
        <v>3549700.8499346571</v>
      </c>
      <c r="Q6" s="6">
        <f t="shared" si="6"/>
        <v>0</v>
      </c>
      <c r="R6" s="6">
        <f t="shared" si="7"/>
        <v>0</v>
      </c>
      <c r="S6" s="6">
        <f t="shared" si="8"/>
        <v>23117235.833798315</v>
      </c>
      <c r="T6" s="6">
        <f t="shared" si="9"/>
        <v>-1713930.83126266</v>
      </c>
      <c r="U6" s="6">
        <f t="shared" si="10"/>
        <v>108213.09315961</v>
      </c>
      <c r="V6" s="6">
        <f t="shared" ca="1" si="11"/>
        <v>18711931.379982948</v>
      </c>
    </row>
    <row r="7" spans="1:29">
      <c r="A7" s="197">
        <v>41791</v>
      </c>
      <c r="B7">
        <f t="shared" si="1"/>
        <v>6</v>
      </c>
      <c r="C7">
        <f t="shared" si="2"/>
        <v>2014</v>
      </c>
      <c r="D7" s="6">
        <f>'Monthly Data (longer 09-23)'!E67</f>
        <v>23455955.836681671</v>
      </c>
      <c r="E7" s="226">
        <f ca="1">'Weather Data'!AN43</f>
        <v>11.023552299140979</v>
      </c>
      <c r="F7" s="226">
        <f ca="1">'Weather Data'!BC43</f>
        <v>145.07</v>
      </c>
      <c r="G7" s="6">
        <f>'Monthly Data (14-23) Used'!DD7</f>
        <v>0</v>
      </c>
      <c r="H7">
        <f>'Monthly Data (14-23) Used'!DG7</f>
        <v>0</v>
      </c>
      <c r="I7" s="6">
        <f>'Monthly Data (14-23) Used'!CB7</f>
        <v>30</v>
      </c>
      <c r="J7" s="6">
        <f>'Monthly Data (14-23) Used'!CA7</f>
        <v>0</v>
      </c>
      <c r="K7" s="6">
        <f>'Monthly Data (14-23) Used'!BJ7</f>
        <v>6</v>
      </c>
      <c r="N7" s="6">
        <f t="shared" si="3"/>
        <v>-7179191.8731795801</v>
      </c>
      <c r="O7" s="6">
        <f t="shared" ca="1" si="4"/>
        <v>78256.76258287055</v>
      </c>
      <c r="P7" s="6">
        <f t="shared" ca="1" si="5"/>
        <v>9663903.7601247206</v>
      </c>
      <c r="Q7" s="6">
        <f t="shared" si="6"/>
        <v>0</v>
      </c>
      <c r="R7" s="6">
        <f t="shared" si="7"/>
        <v>0</v>
      </c>
      <c r="S7" s="6">
        <f t="shared" si="8"/>
        <v>22371518.548837077</v>
      </c>
      <c r="T7" s="6">
        <f t="shared" si="9"/>
        <v>0</v>
      </c>
      <c r="U7" s="6">
        <f t="shared" si="10"/>
        <v>129855.711791532</v>
      </c>
      <c r="V7" s="6">
        <f t="shared" ca="1" si="11"/>
        <v>25064342.910156619</v>
      </c>
      <c r="Z7" t="s">
        <v>217</v>
      </c>
      <c r="AA7" t="s">
        <v>218</v>
      </c>
      <c r="AB7" t="s">
        <v>219</v>
      </c>
      <c r="AC7" t="s">
        <v>220</v>
      </c>
    </row>
    <row r="8" spans="1:29">
      <c r="A8" s="197">
        <v>41821</v>
      </c>
      <c r="B8">
        <f t="shared" si="1"/>
        <v>7</v>
      </c>
      <c r="C8">
        <f t="shared" si="2"/>
        <v>2014</v>
      </c>
      <c r="D8" s="6">
        <f>'Monthly Data (longer 09-23)'!E68</f>
        <v>26457534.836681671</v>
      </c>
      <c r="E8" s="226">
        <f ca="1">'Weather Data'!AN44</f>
        <v>0.75</v>
      </c>
      <c r="F8" s="226">
        <f ca="1">'Weather Data'!BC44</f>
        <v>211.23289540171805</v>
      </c>
      <c r="G8" s="6">
        <f>'Monthly Data (14-23) Used'!DD8</f>
        <v>0</v>
      </c>
      <c r="H8">
        <f>'Monthly Data (14-23) Used'!DG8</f>
        <v>0</v>
      </c>
      <c r="I8" s="6">
        <f>'Monthly Data (14-23) Used'!CB8</f>
        <v>31</v>
      </c>
      <c r="J8" s="6">
        <f>'Monthly Data (14-23) Used'!CA8</f>
        <v>0</v>
      </c>
      <c r="K8" s="6">
        <f>'Monthly Data (14-23) Used'!BJ8</f>
        <v>7</v>
      </c>
      <c r="N8" s="6">
        <f t="shared" si="3"/>
        <v>-7179191.8731795801</v>
      </c>
      <c r="O8" s="6">
        <f t="shared" ca="1" si="4"/>
        <v>5324.2884275812421</v>
      </c>
      <c r="P8" s="6">
        <f t="shared" ca="1" si="5"/>
        <v>14071375.006098401</v>
      </c>
      <c r="Q8" s="6">
        <f t="shared" si="6"/>
        <v>0</v>
      </c>
      <c r="R8" s="6">
        <f t="shared" si="7"/>
        <v>0</v>
      </c>
      <c r="S8" s="6">
        <f t="shared" si="8"/>
        <v>23117235.833798315</v>
      </c>
      <c r="T8" s="6">
        <f t="shared" si="9"/>
        <v>0</v>
      </c>
      <c r="U8" s="6">
        <f t="shared" si="10"/>
        <v>151498.330423454</v>
      </c>
      <c r="V8" s="6">
        <f t="shared" ca="1" si="11"/>
        <v>30166241.585568171</v>
      </c>
      <c r="Y8" t="s">
        <v>221</v>
      </c>
      <c r="Z8" s="6">
        <v>-7179191.8731795801</v>
      </c>
      <c r="AA8" s="6">
        <v>2421348.9844704899</v>
      </c>
      <c r="AB8" s="7">
        <v>-2.9649554521978798</v>
      </c>
      <c r="AC8" s="194">
        <v>3.6998457431867801E-3</v>
      </c>
    </row>
    <row r="9" spans="1:29">
      <c r="A9" s="197">
        <v>41852</v>
      </c>
      <c r="B9">
        <f t="shared" si="1"/>
        <v>8</v>
      </c>
      <c r="C9">
        <f t="shared" si="2"/>
        <v>2014</v>
      </c>
      <c r="D9" s="6">
        <f>'Monthly Data (longer 09-23)'!E69</f>
        <v>25904876.836681671</v>
      </c>
      <c r="E9" s="226">
        <f ca="1">'Weather Data'!AN45</f>
        <v>2.7971045982819609</v>
      </c>
      <c r="F9" s="226">
        <f ca="1">'Weather Data'!BC45</f>
        <v>183.87605861546231</v>
      </c>
      <c r="G9" s="6">
        <f>'Monthly Data (14-23) Used'!DD9</f>
        <v>0</v>
      </c>
      <c r="H9">
        <f>'Monthly Data (14-23) Used'!DG9</f>
        <v>0</v>
      </c>
      <c r="I9" s="6">
        <f>'Monthly Data (14-23) Used'!CB9</f>
        <v>31</v>
      </c>
      <c r="J9" s="6">
        <f>'Monthly Data (14-23) Used'!CA9</f>
        <v>0</v>
      </c>
      <c r="K9" s="6">
        <f>'Monthly Data (14-23) Used'!BJ9</f>
        <v>8</v>
      </c>
      <c r="N9" s="6">
        <f t="shared" si="3"/>
        <v>-7179191.8731795801</v>
      </c>
      <c r="O9" s="6">
        <f t="shared" ca="1" si="4"/>
        <v>19856.788857822565</v>
      </c>
      <c r="P9" s="6">
        <f t="shared" ca="1" si="5"/>
        <v>12248986.932176741</v>
      </c>
      <c r="Q9" s="6">
        <f t="shared" si="6"/>
        <v>0</v>
      </c>
      <c r="R9" s="6">
        <f t="shared" si="7"/>
        <v>0</v>
      </c>
      <c r="S9" s="6">
        <f t="shared" si="8"/>
        <v>23117235.833798315</v>
      </c>
      <c r="T9" s="6">
        <f t="shared" si="9"/>
        <v>0</v>
      </c>
      <c r="U9" s="6">
        <f t="shared" si="10"/>
        <v>173140.949055376</v>
      </c>
      <c r="V9" s="6">
        <f t="shared" ca="1" si="11"/>
        <v>28380028.630708676</v>
      </c>
      <c r="Y9" t="s">
        <v>28</v>
      </c>
      <c r="Z9" s="6">
        <v>7099.0512367749898</v>
      </c>
      <c r="AA9" s="6">
        <v>562.68262319050405</v>
      </c>
      <c r="AB9" s="7">
        <v>12.616439435293399</v>
      </c>
      <c r="AC9" s="194">
        <v>3.04563569599431E-23</v>
      </c>
    </row>
    <row r="10" spans="1:29">
      <c r="A10" s="197">
        <v>41883</v>
      </c>
      <c r="B10">
        <f t="shared" si="1"/>
        <v>9</v>
      </c>
      <c r="C10">
        <f t="shared" si="2"/>
        <v>2014</v>
      </c>
      <c r="D10" s="6">
        <f>'Monthly Data (longer 09-23)'!E70</f>
        <v>20673917.836681671</v>
      </c>
      <c r="E10" s="226">
        <f ca="1">'Weather Data'!AN46</f>
        <v>39.200656897422931</v>
      </c>
      <c r="F10" s="226">
        <f ca="1">'Weather Data'!BC46</f>
        <v>90.709343102577066</v>
      </c>
      <c r="G10" s="6">
        <f>'Monthly Data (14-23) Used'!DD10</f>
        <v>0</v>
      </c>
      <c r="H10">
        <f>'Monthly Data (14-23) Used'!DG10</f>
        <v>0</v>
      </c>
      <c r="I10" s="6">
        <f>'Monthly Data (14-23) Used'!CB10</f>
        <v>30</v>
      </c>
      <c r="J10" s="6">
        <f>'Monthly Data (14-23) Used'!CA10</f>
        <v>0</v>
      </c>
      <c r="K10" s="6">
        <f>'Monthly Data (14-23) Used'!BJ10</f>
        <v>9</v>
      </c>
      <c r="N10" s="6">
        <f t="shared" si="3"/>
        <v>-7179191.8731795801</v>
      </c>
      <c r="O10" s="6">
        <f t="shared" ca="1" si="4"/>
        <v>278287.47183004231</v>
      </c>
      <c r="P10" s="6">
        <f t="shared" ca="1" si="5"/>
        <v>6042643.9779929547</v>
      </c>
      <c r="Q10" s="6">
        <f t="shared" si="6"/>
        <v>0</v>
      </c>
      <c r="R10" s="6">
        <f t="shared" si="7"/>
        <v>0</v>
      </c>
      <c r="S10" s="6">
        <f t="shared" si="8"/>
        <v>22371518.548837077</v>
      </c>
      <c r="T10" s="6">
        <f t="shared" si="9"/>
        <v>0</v>
      </c>
      <c r="U10" s="6">
        <f t="shared" si="10"/>
        <v>194783.567687298</v>
      </c>
      <c r="V10" s="6">
        <f t="shared" ca="1" si="11"/>
        <v>21708041.693167794</v>
      </c>
      <c r="Y10" t="s">
        <v>31</v>
      </c>
      <c r="Z10" s="6">
        <v>66615.452954606197</v>
      </c>
      <c r="AA10" s="6">
        <v>2171.6750680487498</v>
      </c>
      <c r="AB10" s="7">
        <v>30.674686989182099</v>
      </c>
      <c r="AC10" s="194">
        <v>2.5235925548551699E-56</v>
      </c>
    </row>
    <row r="11" spans="1:29">
      <c r="A11" s="197">
        <v>41913</v>
      </c>
      <c r="B11">
        <f t="shared" si="1"/>
        <v>10</v>
      </c>
      <c r="C11">
        <f t="shared" si="2"/>
        <v>2014</v>
      </c>
      <c r="D11" s="6">
        <f>'Monthly Data (longer 09-23)'!E71</f>
        <v>16731629.83668167</v>
      </c>
      <c r="E11" s="226">
        <f ca="1">'Weather Data'!AN47</f>
        <v>194.90420919656393</v>
      </c>
      <c r="F11" s="226">
        <f ca="1">'Weather Data'!BC47</f>
        <v>20.479999999999997</v>
      </c>
      <c r="G11" s="6">
        <f>'Monthly Data (14-23) Used'!DD11</f>
        <v>0</v>
      </c>
      <c r="H11">
        <f>'Monthly Data (14-23) Used'!DG11</f>
        <v>0</v>
      </c>
      <c r="I11" s="6">
        <f>'Monthly Data (14-23) Used'!CB11</f>
        <v>31</v>
      </c>
      <c r="J11" s="6">
        <f>'Monthly Data (14-23) Used'!CA11</f>
        <v>1</v>
      </c>
      <c r="K11" s="6">
        <f>'Monthly Data (14-23) Used'!BJ11</f>
        <v>10</v>
      </c>
      <c r="N11" s="6">
        <f t="shared" si="3"/>
        <v>-7179191.8731795801</v>
      </c>
      <c r="O11" s="6">
        <f t="shared" ca="1" si="4"/>
        <v>1383634.9673495186</v>
      </c>
      <c r="P11" s="6">
        <f t="shared" ca="1" si="5"/>
        <v>1364284.4765103348</v>
      </c>
      <c r="Q11" s="6">
        <f t="shared" si="6"/>
        <v>0</v>
      </c>
      <c r="R11" s="6">
        <f t="shared" si="7"/>
        <v>0</v>
      </c>
      <c r="S11" s="6">
        <f t="shared" si="8"/>
        <v>23117235.833798315</v>
      </c>
      <c r="T11" s="6">
        <f t="shared" si="9"/>
        <v>-1713930.83126266</v>
      </c>
      <c r="U11" s="6">
        <f t="shared" si="10"/>
        <v>216426.18631922</v>
      </c>
      <c r="V11" s="6">
        <f t="shared" ca="1" si="11"/>
        <v>17188458.759535149</v>
      </c>
      <c r="Y11" t="s">
        <v>107</v>
      </c>
      <c r="Z11" s="6">
        <v>2408.2471971356599</v>
      </c>
      <c r="AA11" s="6">
        <v>825.05465231889798</v>
      </c>
      <c r="AB11" s="7">
        <v>2.9188941488506801</v>
      </c>
      <c r="AC11" s="194">
        <v>4.2469762449880398E-3</v>
      </c>
    </row>
    <row r="12" spans="1:29">
      <c r="A12" s="197">
        <v>41944</v>
      </c>
      <c r="B12">
        <f t="shared" si="1"/>
        <v>11</v>
      </c>
      <c r="C12">
        <f t="shared" si="2"/>
        <v>2014</v>
      </c>
      <c r="D12" s="6">
        <f>'Monthly Data (longer 09-23)'!E72</f>
        <v>18386181.836681671</v>
      </c>
      <c r="E12" s="226">
        <f ca="1">'Weather Data'!AN48</f>
        <v>404.02065689742301</v>
      </c>
      <c r="F12" s="226">
        <f ca="1">'Weather Data'!BC48</f>
        <v>0.6699999999999996</v>
      </c>
      <c r="G12" s="6">
        <f>'Monthly Data (14-23) Used'!DD12</f>
        <v>0</v>
      </c>
      <c r="H12">
        <f>'Monthly Data (14-23) Used'!DG12</f>
        <v>0</v>
      </c>
      <c r="I12" s="6">
        <f>'Monthly Data (14-23) Used'!CB12</f>
        <v>30</v>
      </c>
      <c r="J12" s="6">
        <f>'Monthly Data (14-23) Used'!CA12</f>
        <v>1</v>
      </c>
      <c r="K12" s="6">
        <f>'Monthly Data (14-23) Used'!BJ12</f>
        <v>11</v>
      </c>
      <c r="N12" s="6">
        <f t="shared" si="3"/>
        <v>-7179191.8731795801</v>
      </c>
      <c r="O12" s="6">
        <f t="shared" ca="1" si="4"/>
        <v>2868163.3440302946</v>
      </c>
      <c r="P12" s="6">
        <f t="shared" ca="1" si="5"/>
        <v>44632.353479586127</v>
      </c>
      <c r="Q12" s="6">
        <f t="shared" si="6"/>
        <v>0</v>
      </c>
      <c r="R12" s="6">
        <f t="shared" si="7"/>
        <v>0</v>
      </c>
      <c r="S12" s="6">
        <f t="shared" si="8"/>
        <v>22371518.548837077</v>
      </c>
      <c r="T12" s="6">
        <f t="shared" si="9"/>
        <v>-1713930.83126266</v>
      </c>
      <c r="U12" s="6">
        <f t="shared" si="10"/>
        <v>238068.804951142</v>
      </c>
      <c r="V12" s="6">
        <f t="shared" ca="1" si="11"/>
        <v>16629260.34685586</v>
      </c>
      <c r="Y12" t="s">
        <v>110</v>
      </c>
      <c r="Z12" s="6">
        <v>15377.542525126401</v>
      </c>
      <c r="AA12" s="6">
        <v>2295.8072713681699</v>
      </c>
      <c r="AB12" s="7">
        <v>6.6980981883388901</v>
      </c>
      <c r="AC12" s="194">
        <v>8.8297922276175602E-10</v>
      </c>
    </row>
    <row r="13" spans="1:29">
      <c r="A13" s="197">
        <v>41974</v>
      </c>
      <c r="B13">
        <f t="shared" si="1"/>
        <v>12</v>
      </c>
      <c r="C13">
        <f t="shared" si="2"/>
        <v>2014</v>
      </c>
      <c r="D13" s="6">
        <f>'Monthly Data (longer 09-23)'!E73</f>
        <v>20794911.836681671</v>
      </c>
      <c r="E13" s="226">
        <f ca="1">'Weather Data'!AN49</f>
        <v>533.7700000000001</v>
      </c>
      <c r="F13" s="226">
        <f ca="1">'Weather Data'!BC49</f>
        <v>0</v>
      </c>
      <c r="G13" s="6">
        <f>'Monthly Data (14-23) Used'!DD13</f>
        <v>0</v>
      </c>
      <c r="H13">
        <f>'Monthly Data (14-23) Used'!DG13</f>
        <v>0</v>
      </c>
      <c r="I13" s="6">
        <f>'Monthly Data (14-23) Used'!CB13</f>
        <v>31</v>
      </c>
      <c r="J13" s="6">
        <f>'Monthly Data (14-23) Used'!CA13</f>
        <v>0</v>
      </c>
      <c r="K13" s="6">
        <f>'Monthly Data (14-23) Used'!BJ13</f>
        <v>12</v>
      </c>
      <c r="N13" s="6">
        <f t="shared" si="3"/>
        <v>-7179191.8731795801</v>
      </c>
      <c r="O13" s="6">
        <f t="shared" ca="1" si="4"/>
        <v>3789260.5786533868</v>
      </c>
      <c r="P13" s="6">
        <f t="shared" ca="1" si="5"/>
        <v>0</v>
      </c>
      <c r="Q13" s="6">
        <f t="shared" si="6"/>
        <v>0</v>
      </c>
      <c r="R13" s="6">
        <f t="shared" si="7"/>
        <v>0</v>
      </c>
      <c r="S13" s="6">
        <f t="shared" si="8"/>
        <v>23117235.833798315</v>
      </c>
      <c r="T13" s="6">
        <f t="shared" si="9"/>
        <v>0</v>
      </c>
      <c r="U13" s="6">
        <f t="shared" si="10"/>
        <v>259711.423583064</v>
      </c>
      <c r="V13" s="6">
        <f t="shared" ca="1" si="11"/>
        <v>19987015.962855186</v>
      </c>
      <c r="Y13" t="s">
        <v>240</v>
      </c>
      <c r="Z13" s="6">
        <v>745717.28496123594</v>
      </c>
      <c r="AA13" s="6">
        <v>81925.625680227298</v>
      </c>
      <c r="AB13" s="7">
        <v>9.1023691155185702</v>
      </c>
      <c r="AC13" s="194">
        <v>3.8873107494885897E-15</v>
      </c>
    </row>
    <row r="14" spans="1:29">
      <c r="A14" s="197">
        <v>42005</v>
      </c>
      <c r="B14">
        <f t="shared" si="1"/>
        <v>1</v>
      </c>
      <c r="C14">
        <f t="shared" si="2"/>
        <v>2015</v>
      </c>
      <c r="D14" s="6">
        <f>'Monthly Data (longer 09-23)'!E74</f>
        <v>21479947.723403674</v>
      </c>
      <c r="E14" s="7">
        <f t="shared" ref="E14:F21" ca="1" si="12">E2</f>
        <v>671</v>
      </c>
      <c r="F14" s="7">
        <f t="shared" ca="1" si="12"/>
        <v>0</v>
      </c>
      <c r="G14" s="6">
        <f>'Monthly Data (14-23) Used'!DD14</f>
        <v>0</v>
      </c>
      <c r="H14">
        <f>'Monthly Data (14-23) Used'!DG14</f>
        <v>0</v>
      </c>
      <c r="I14" s="6">
        <f>'Monthly Data (14-23) Used'!CB14</f>
        <v>31</v>
      </c>
      <c r="J14" s="6">
        <f>'Monthly Data (14-23) Used'!CA14</f>
        <v>0</v>
      </c>
      <c r="K14" s="6">
        <f>'Monthly Data (14-23) Used'!BJ14</f>
        <v>13</v>
      </c>
      <c r="N14" s="6">
        <f t="shared" si="3"/>
        <v>-7179191.8731795801</v>
      </c>
      <c r="O14" s="6">
        <f t="shared" ca="1" si="4"/>
        <v>4763463.3798760185</v>
      </c>
      <c r="P14" s="6">
        <f t="shared" ca="1" si="5"/>
        <v>0</v>
      </c>
      <c r="Q14" s="6">
        <f t="shared" si="6"/>
        <v>0</v>
      </c>
      <c r="R14" s="6">
        <f t="shared" si="7"/>
        <v>0</v>
      </c>
      <c r="S14" s="6">
        <f t="shared" si="8"/>
        <v>23117235.833798315</v>
      </c>
      <c r="T14" s="6">
        <f t="shared" si="9"/>
        <v>0</v>
      </c>
      <c r="U14" s="6">
        <f t="shared" si="10"/>
        <v>281354.042214986</v>
      </c>
      <c r="V14" s="6">
        <f t="shared" ca="1" si="11"/>
        <v>20982861.382709738</v>
      </c>
      <c r="Y14" t="s">
        <v>78</v>
      </c>
      <c r="Z14" s="6">
        <v>-1713930.83126266</v>
      </c>
      <c r="AA14" s="6">
        <v>195555.46434043601</v>
      </c>
      <c r="AB14" s="7">
        <v>-8.7644231115880906</v>
      </c>
      <c r="AC14" s="194">
        <v>2.3142884768171701E-14</v>
      </c>
    </row>
    <row r="15" spans="1:29">
      <c r="A15" s="197">
        <v>42036</v>
      </c>
      <c r="B15">
        <f t="shared" si="1"/>
        <v>2</v>
      </c>
      <c r="C15">
        <f t="shared" si="2"/>
        <v>2015</v>
      </c>
      <c r="D15" s="6">
        <f>'Monthly Data (longer 09-23)'!E75</f>
        <v>19316640.723403674</v>
      </c>
      <c r="E15" s="7">
        <f t="shared" ca="1" si="12"/>
        <v>595.51355229914111</v>
      </c>
      <c r="F15" s="7">
        <f t="shared" ca="1" si="12"/>
        <v>0</v>
      </c>
      <c r="G15" s="6">
        <f>'Monthly Data (14-23) Used'!DD15</f>
        <v>0</v>
      </c>
      <c r="H15">
        <f>'Monthly Data (14-23) Used'!DG15</f>
        <v>0</v>
      </c>
      <c r="I15" s="6">
        <f>'Monthly Data (14-23) Used'!CB15</f>
        <v>28</v>
      </c>
      <c r="J15" s="6">
        <f>'Monthly Data (14-23) Used'!CA15</f>
        <v>0</v>
      </c>
      <c r="K15" s="6">
        <f>'Monthly Data (14-23) Used'!BJ15</f>
        <v>14</v>
      </c>
      <c r="N15" s="6">
        <f t="shared" si="3"/>
        <v>-7179191.8731795801</v>
      </c>
      <c r="O15" s="6">
        <f t="shared" ca="1" si="4"/>
        <v>4227581.2199654849</v>
      </c>
      <c r="P15" s="6">
        <f t="shared" ca="1" si="5"/>
        <v>0</v>
      </c>
      <c r="Q15" s="6">
        <f t="shared" si="6"/>
        <v>0</v>
      </c>
      <c r="R15" s="6">
        <f t="shared" si="7"/>
        <v>0</v>
      </c>
      <c r="S15" s="6">
        <f t="shared" si="8"/>
        <v>20880083.978914607</v>
      </c>
      <c r="T15" s="6">
        <f t="shared" si="9"/>
        <v>0</v>
      </c>
      <c r="U15" s="6">
        <f t="shared" si="10"/>
        <v>302996.66084690799</v>
      </c>
      <c r="V15" s="6">
        <f t="shared" ca="1" si="11"/>
        <v>18231469.986547422</v>
      </c>
      <c r="Y15" t="s">
        <v>61</v>
      </c>
      <c r="Z15" s="6">
        <v>21642.618631922</v>
      </c>
      <c r="AA15" s="6">
        <v>2864.2160703694199</v>
      </c>
      <c r="AB15" s="7">
        <v>7.5562101811441398</v>
      </c>
      <c r="AC15" s="194">
        <v>1.2179827203737001E-11</v>
      </c>
    </row>
    <row r="16" spans="1:29">
      <c r="A16" s="197">
        <v>42064</v>
      </c>
      <c r="B16">
        <f t="shared" si="1"/>
        <v>3</v>
      </c>
      <c r="C16">
        <f t="shared" si="2"/>
        <v>2015</v>
      </c>
      <c r="D16" s="6">
        <f>'Monthly Data (longer 09-23)'!E76</f>
        <v>18803817.723403674</v>
      </c>
      <c r="E16" s="7">
        <f t="shared" ca="1" si="12"/>
        <v>496.46355229914104</v>
      </c>
      <c r="F16" s="7">
        <f t="shared" ca="1" si="12"/>
        <v>0</v>
      </c>
      <c r="G16" s="6">
        <f>'Monthly Data (14-23) Used'!DD16</f>
        <v>0</v>
      </c>
      <c r="H16">
        <f>'Monthly Data (14-23) Used'!DG16</f>
        <v>0</v>
      </c>
      <c r="I16" s="6">
        <f>'Monthly Data (14-23) Used'!CB16</f>
        <v>31</v>
      </c>
      <c r="J16" s="6">
        <f>'Monthly Data (14-23) Used'!CA16</f>
        <v>1</v>
      </c>
      <c r="K16" s="6">
        <f>'Monthly Data (14-23) Used'!BJ16</f>
        <v>15</v>
      </c>
      <c r="N16" s="6">
        <f t="shared" si="3"/>
        <v>-7179191.8731795801</v>
      </c>
      <c r="O16" s="6">
        <f t="shared" ca="1" si="4"/>
        <v>3524420.194962922</v>
      </c>
      <c r="P16" s="6">
        <f t="shared" ca="1" si="5"/>
        <v>0</v>
      </c>
      <c r="Q16" s="6">
        <f t="shared" si="6"/>
        <v>0</v>
      </c>
      <c r="R16" s="6">
        <f t="shared" si="7"/>
        <v>0</v>
      </c>
      <c r="S16" s="6">
        <f t="shared" si="8"/>
        <v>23117235.833798315</v>
      </c>
      <c r="T16" s="6">
        <f t="shared" si="9"/>
        <v>-1713930.83126266</v>
      </c>
      <c r="U16" s="6">
        <f t="shared" si="10"/>
        <v>324639.27947882999</v>
      </c>
      <c r="V16" s="6">
        <f t="shared" ca="1" si="11"/>
        <v>18073172.603797827</v>
      </c>
    </row>
    <row r="17" spans="1:28">
      <c r="A17" s="197">
        <v>42095</v>
      </c>
      <c r="B17">
        <f t="shared" si="1"/>
        <v>4</v>
      </c>
      <c r="C17">
        <f t="shared" si="2"/>
        <v>2015</v>
      </c>
      <c r="D17" s="6">
        <f>'Monthly Data (longer 09-23)'!E77</f>
        <v>16195044.723403674</v>
      </c>
      <c r="E17" s="7">
        <f t="shared" ca="1" si="12"/>
        <v>296.23000000000008</v>
      </c>
      <c r="F17" s="7">
        <f t="shared" ca="1" si="12"/>
        <v>3.0799999999999996</v>
      </c>
      <c r="G17" s="6">
        <f>'Monthly Data (14-23) Used'!DD17</f>
        <v>0</v>
      </c>
      <c r="H17">
        <f>'Monthly Data (14-23) Used'!DG17</f>
        <v>0</v>
      </c>
      <c r="I17" s="6">
        <f>'Monthly Data (14-23) Used'!CB17</f>
        <v>30</v>
      </c>
      <c r="J17" s="6">
        <f>'Monthly Data (14-23) Used'!CA17</f>
        <v>1</v>
      </c>
      <c r="K17" s="6">
        <f>'Monthly Data (14-23) Used'!BJ17</f>
        <v>16</v>
      </c>
      <c r="N17" s="6">
        <f t="shared" si="3"/>
        <v>-7179191.8731795801</v>
      </c>
      <c r="O17" s="6">
        <f t="shared" ca="1" si="4"/>
        <v>2102951.9478698559</v>
      </c>
      <c r="P17" s="6">
        <f t="shared" ca="1" si="5"/>
        <v>205175.59510018706</v>
      </c>
      <c r="Q17" s="6">
        <f t="shared" si="6"/>
        <v>0</v>
      </c>
      <c r="R17" s="6">
        <f t="shared" si="7"/>
        <v>0</v>
      </c>
      <c r="S17" s="6">
        <f t="shared" si="8"/>
        <v>22371518.548837077</v>
      </c>
      <c r="T17" s="6">
        <f t="shared" si="9"/>
        <v>-1713930.83126266</v>
      </c>
      <c r="U17" s="6">
        <f t="shared" si="10"/>
        <v>346281.89811075199</v>
      </c>
      <c r="V17" s="6">
        <f t="shared" ca="1" si="11"/>
        <v>16132805.28547563</v>
      </c>
      <c r="Y17" t="s">
        <v>223</v>
      </c>
    </row>
    <row r="18" spans="1:28">
      <c r="A18" s="197">
        <v>42125</v>
      </c>
      <c r="B18">
        <f t="shared" si="1"/>
        <v>5</v>
      </c>
      <c r="C18">
        <f t="shared" si="2"/>
        <v>2015</v>
      </c>
      <c r="D18" s="6">
        <f>'Monthly Data (longer 09-23)'!E78</f>
        <v>18481715.723403674</v>
      </c>
      <c r="E18" s="7">
        <f t="shared" ca="1" si="12"/>
        <v>116.90355229914098</v>
      </c>
      <c r="F18" s="7">
        <f t="shared" ca="1" si="12"/>
        <v>53.286447700859014</v>
      </c>
      <c r="G18" s="6">
        <f>'Monthly Data (14-23) Used'!DD18</f>
        <v>0</v>
      </c>
      <c r="H18">
        <f>'Monthly Data (14-23) Used'!DG18</f>
        <v>0</v>
      </c>
      <c r="I18" s="6">
        <f>'Monthly Data (14-23) Used'!CB18</f>
        <v>31</v>
      </c>
      <c r="J18" s="6">
        <f>'Monthly Data (14-23) Used'!CA18</f>
        <v>1</v>
      </c>
      <c r="K18" s="6">
        <f>'Monthly Data (14-23) Used'!BJ18</f>
        <v>17</v>
      </c>
      <c r="N18" s="6">
        <f t="shared" si="3"/>
        <v>-7179191.8731795801</v>
      </c>
      <c r="O18" s="6">
        <f t="shared" ca="1" si="4"/>
        <v>829904.30753260653</v>
      </c>
      <c r="P18" s="6">
        <f t="shared" ca="1" si="5"/>
        <v>3549700.8499346571</v>
      </c>
      <c r="Q18" s="6">
        <f t="shared" si="6"/>
        <v>0</v>
      </c>
      <c r="R18" s="6">
        <f t="shared" si="7"/>
        <v>0</v>
      </c>
      <c r="S18" s="6">
        <f t="shared" si="8"/>
        <v>23117235.833798315</v>
      </c>
      <c r="T18" s="6">
        <f t="shared" si="9"/>
        <v>-1713930.83126266</v>
      </c>
      <c r="U18" s="6">
        <f t="shared" si="10"/>
        <v>367924.51674267399</v>
      </c>
      <c r="V18" s="6">
        <f t="shared" ca="1" si="11"/>
        <v>18971642.803566013</v>
      </c>
      <c r="Y18" t="s">
        <v>226</v>
      </c>
      <c r="Z18" s="193">
        <v>60004027897544</v>
      </c>
      <c r="AA18" t="s">
        <v>227</v>
      </c>
      <c r="AB18" s="193">
        <v>731949.62195851596</v>
      </c>
    </row>
    <row r="19" spans="1:28">
      <c r="A19" s="197">
        <v>42156</v>
      </c>
      <c r="B19">
        <f t="shared" si="1"/>
        <v>6</v>
      </c>
      <c r="C19">
        <f t="shared" si="2"/>
        <v>2015</v>
      </c>
      <c r="D19" s="6">
        <f>'Monthly Data (longer 09-23)'!E79</f>
        <v>22013089.723403674</v>
      </c>
      <c r="E19" s="7">
        <f t="shared" ca="1" si="12"/>
        <v>11.023552299140979</v>
      </c>
      <c r="F19" s="7">
        <f t="shared" ca="1" si="12"/>
        <v>145.07</v>
      </c>
      <c r="G19" s="6">
        <f>'Monthly Data (14-23) Used'!DD19</f>
        <v>0</v>
      </c>
      <c r="H19">
        <f>'Monthly Data (14-23) Used'!DG19</f>
        <v>0</v>
      </c>
      <c r="I19" s="6">
        <f>'Monthly Data (14-23) Used'!CB19</f>
        <v>30</v>
      </c>
      <c r="J19" s="6">
        <f>'Monthly Data (14-23) Used'!CA19</f>
        <v>0</v>
      </c>
      <c r="K19" s="6">
        <f>'Monthly Data (14-23) Used'!BJ19</f>
        <v>18</v>
      </c>
      <c r="N19" s="6">
        <f t="shared" si="3"/>
        <v>-7179191.8731795801</v>
      </c>
      <c r="O19" s="6">
        <f t="shared" ca="1" si="4"/>
        <v>78256.76258287055</v>
      </c>
      <c r="P19" s="6">
        <f t="shared" ca="1" si="5"/>
        <v>9663903.7601247206</v>
      </c>
      <c r="Q19" s="6">
        <f t="shared" si="6"/>
        <v>0</v>
      </c>
      <c r="R19" s="6">
        <f t="shared" si="7"/>
        <v>0</v>
      </c>
      <c r="S19" s="6">
        <f t="shared" si="8"/>
        <v>22371518.548837077</v>
      </c>
      <c r="T19" s="6">
        <f t="shared" si="9"/>
        <v>0</v>
      </c>
      <c r="U19" s="6">
        <f t="shared" si="10"/>
        <v>389567.13537459599</v>
      </c>
      <c r="V19" s="6">
        <f t="shared" ca="1" si="11"/>
        <v>25324054.333739683</v>
      </c>
      <c r="Y19" t="s">
        <v>228</v>
      </c>
      <c r="Z19" s="193">
        <v>0.981004440981741</v>
      </c>
      <c r="AA19" t="s">
        <v>229</v>
      </c>
      <c r="AB19" s="193">
        <v>0.9798172185431</v>
      </c>
    </row>
    <row r="20" spans="1:28">
      <c r="A20" s="197">
        <v>42186</v>
      </c>
      <c r="B20">
        <f t="shared" si="1"/>
        <v>7</v>
      </c>
      <c r="C20">
        <f t="shared" si="2"/>
        <v>2015</v>
      </c>
      <c r="D20" s="6">
        <f>'Monthly Data (longer 09-23)'!E80</f>
        <v>27823012.723403674</v>
      </c>
      <c r="E20" s="7">
        <f t="shared" ca="1" si="12"/>
        <v>0.75</v>
      </c>
      <c r="F20" s="7">
        <f t="shared" ca="1" si="12"/>
        <v>211.23289540171805</v>
      </c>
      <c r="G20" s="6">
        <f>'Monthly Data (14-23) Used'!DD20</f>
        <v>0</v>
      </c>
      <c r="H20">
        <f>'Monthly Data (14-23) Used'!DG20</f>
        <v>0</v>
      </c>
      <c r="I20" s="6">
        <f>'Monthly Data (14-23) Used'!CB20</f>
        <v>31</v>
      </c>
      <c r="J20" s="6">
        <f>'Monthly Data (14-23) Used'!CA20</f>
        <v>0</v>
      </c>
      <c r="K20" s="6">
        <f>'Monthly Data (14-23) Used'!BJ20</f>
        <v>19</v>
      </c>
      <c r="N20" s="6">
        <f t="shared" si="3"/>
        <v>-7179191.8731795801</v>
      </c>
      <c r="O20" s="6">
        <f t="shared" ca="1" si="4"/>
        <v>5324.2884275812421</v>
      </c>
      <c r="P20" s="6">
        <f t="shared" ca="1" si="5"/>
        <v>14071375.006098401</v>
      </c>
      <c r="Q20" s="6">
        <f t="shared" si="6"/>
        <v>0</v>
      </c>
      <c r="R20" s="6">
        <f t="shared" si="7"/>
        <v>0</v>
      </c>
      <c r="S20" s="6">
        <f t="shared" si="8"/>
        <v>23117235.833798315</v>
      </c>
      <c r="T20" s="6">
        <f t="shared" si="9"/>
        <v>0</v>
      </c>
      <c r="U20" s="6">
        <f t="shared" si="10"/>
        <v>411209.75400651799</v>
      </c>
      <c r="V20" s="6">
        <f t="shared" ca="1" si="11"/>
        <v>30425953.009151231</v>
      </c>
      <c r="Y20" t="s">
        <v>246</v>
      </c>
      <c r="Z20" s="75">
        <v>667.489932962372</v>
      </c>
      <c r="AA20" t="s">
        <v>231</v>
      </c>
      <c r="AB20" s="105">
        <v>3.48891869527766E-88</v>
      </c>
    </row>
    <row r="21" spans="1:28">
      <c r="A21" s="197">
        <v>42217</v>
      </c>
      <c r="B21">
        <f t="shared" si="1"/>
        <v>8</v>
      </c>
      <c r="C21">
        <f t="shared" si="2"/>
        <v>2015</v>
      </c>
      <c r="D21" s="6">
        <f>'Monthly Data (longer 09-23)'!E81</f>
        <v>28533565.723403674</v>
      </c>
      <c r="E21" s="7">
        <f t="shared" ca="1" si="12"/>
        <v>2.7971045982819609</v>
      </c>
      <c r="F21" s="7">
        <f t="shared" ca="1" si="12"/>
        <v>183.87605861546231</v>
      </c>
      <c r="G21" s="6">
        <f>'Monthly Data (14-23) Used'!DD21</f>
        <v>0</v>
      </c>
      <c r="H21">
        <f>'Monthly Data (14-23) Used'!DG21</f>
        <v>0</v>
      </c>
      <c r="I21" s="6">
        <f>'Monthly Data (14-23) Used'!CB21</f>
        <v>31</v>
      </c>
      <c r="J21" s="6">
        <f>'Monthly Data (14-23) Used'!CA21</f>
        <v>0</v>
      </c>
      <c r="K21" s="6">
        <f>'Monthly Data (14-23) Used'!BJ21</f>
        <v>20</v>
      </c>
      <c r="N21" s="6">
        <f t="shared" si="3"/>
        <v>-7179191.8731795801</v>
      </c>
      <c r="O21" s="6">
        <f t="shared" ca="1" si="4"/>
        <v>19856.788857822565</v>
      </c>
      <c r="P21" s="6">
        <f t="shared" ca="1" si="5"/>
        <v>12248986.932176741</v>
      </c>
      <c r="Q21" s="6">
        <f t="shared" si="6"/>
        <v>0</v>
      </c>
      <c r="R21" s="6">
        <f t="shared" si="7"/>
        <v>0</v>
      </c>
      <c r="S21" s="6">
        <f t="shared" si="8"/>
        <v>23117235.833798315</v>
      </c>
      <c r="T21" s="6">
        <f t="shared" si="9"/>
        <v>0</v>
      </c>
      <c r="U21" s="6">
        <f t="shared" si="10"/>
        <v>432852.37263843999</v>
      </c>
      <c r="V21" s="6">
        <f t="shared" ca="1" si="11"/>
        <v>28639740.05429174</v>
      </c>
      <c r="Y21" t="s">
        <v>232</v>
      </c>
      <c r="Z21" s="75">
        <v>1.8984809701152901E-2</v>
      </c>
      <c r="AA21" t="s">
        <v>233</v>
      </c>
      <c r="AB21" s="105">
        <v>1.94717080391</v>
      </c>
    </row>
    <row r="22" spans="1:28">
      <c r="A22" s="197">
        <v>42248</v>
      </c>
      <c r="B22">
        <f t="shared" si="1"/>
        <v>9</v>
      </c>
      <c r="C22">
        <f t="shared" si="2"/>
        <v>2015</v>
      </c>
      <c r="D22" s="6">
        <f>'Monthly Data (longer 09-23)'!E82</f>
        <v>22645412.723403674</v>
      </c>
      <c r="E22" s="7">
        <f t="shared" ref="E22:F41" ca="1" si="13">E10</f>
        <v>39.200656897422931</v>
      </c>
      <c r="F22" s="7">
        <f t="shared" ca="1" si="13"/>
        <v>90.709343102577066</v>
      </c>
      <c r="G22" s="6">
        <f>'Monthly Data (14-23) Used'!DD22</f>
        <v>0</v>
      </c>
      <c r="H22">
        <f>'Monthly Data (14-23) Used'!DG22</f>
        <v>0</v>
      </c>
      <c r="I22" s="6">
        <f>'Monthly Data (14-23) Used'!CB22</f>
        <v>30</v>
      </c>
      <c r="J22" s="6">
        <f>'Monthly Data (14-23) Used'!CA22</f>
        <v>0</v>
      </c>
      <c r="K22" s="6">
        <f>'Monthly Data (14-23) Used'!BJ22</f>
        <v>21</v>
      </c>
      <c r="N22" s="6">
        <f t="shared" si="3"/>
        <v>-7179191.8731795801</v>
      </c>
      <c r="O22" s="6">
        <f t="shared" ca="1" si="4"/>
        <v>278287.47183004231</v>
      </c>
      <c r="P22" s="6">
        <f t="shared" ca="1" si="5"/>
        <v>6042643.9779929547</v>
      </c>
      <c r="Q22" s="6">
        <f t="shared" si="6"/>
        <v>0</v>
      </c>
      <c r="R22" s="6">
        <f t="shared" si="7"/>
        <v>0</v>
      </c>
      <c r="S22" s="6">
        <f t="shared" si="8"/>
        <v>22371518.548837077</v>
      </c>
      <c r="T22" s="6">
        <f t="shared" si="9"/>
        <v>0</v>
      </c>
      <c r="U22" s="6">
        <f t="shared" si="10"/>
        <v>454494.99127036199</v>
      </c>
      <c r="V22" s="6">
        <f t="shared" ca="1" si="11"/>
        <v>21967753.116750859</v>
      </c>
      <c r="Z22" s="195"/>
      <c r="AB22" s="105"/>
    </row>
    <row r="23" spans="1:28">
      <c r="A23" s="197">
        <v>42278</v>
      </c>
      <c r="B23">
        <f t="shared" si="1"/>
        <v>10</v>
      </c>
      <c r="C23">
        <f t="shared" si="2"/>
        <v>2015</v>
      </c>
      <c r="D23" s="6">
        <f>'Monthly Data (longer 09-23)'!E83</f>
        <v>17144608.723403674</v>
      </c>
      <c r="E23" s="7">
        <f t="shared" ca="1" si="13"/>
        <v>194.90420919656393</v>
      </c>
      <c r="F23" s="7">
        <f t="shared" ca="1" si="13"/>
        <v>20.479999999999997</v>
      </c>
      <c r="G23" s="6">
        <f>'Monthly Data (14-23) Used'!DD23</f>
        <v>0</v>
      </c>
      <c r="H23">
        <f>'Monthly Data (14-23) Used'!DG23</f>
        <v>0</v>
      </c>
      <c r="I23" s="6">
        <f>'Monthly Data (14-23) Used'!CB23</f>
        <v>31</v>
      </c>
      <c r="J23" s="6">
        <f>'Monthly Data (14-23) Used'!CA23</f>
        <v>1</v>
      </c>
      <c r="K23" s="6">
        <f>'Monthly Data (14-23) Used'!BJ23</f>
        <v>22</v>
      </c>
      <c r="N23" s="6">
        <f t="shared" si="3"/>
        <v>-7179191.8731795801</v>
      </c>
      <c r="O23" s="6">
        <f t="shared" ca="1" si="4"/>
        <v>1383634.9673495186</v>
      </c>
      <c r="P23" s="6">
        <f t="shared" ca="1" si="5"/>
        <v>1364284.4765103348</v>
      </c>
      <c r="Q23" s="6">
        <f t="shared" si="6"/>
        <v>0</v>
      </c>
      <c r="R23" s="6">
        <f t="shared" si="7"/>
        <v>0</v>
      </c>
      <c r="S23" s="6">
        <f t="shared" si="8"/>
        <v>23117235.833798315</v>
      </c>
      <c r="T23" s="6">
        <f t="shared" si="9"/>
        <v>-1713930.83126266</v>
      </c>
      <c r="U23" s="6">
        <f t="shared" si="10"/>
        <v>476137.60990228399</v>
      </c>
      <c r="V23" s="6">
        <f t="shared" ca="1" si="11"/>
        <v>17448170.183118213</v>
      </c>
      <c r="Y23" t="s">
        <v>247</v>
      </c>
      <c r="Z23" s="195"/>
      <c r="AB23" s="105"/>
    </row>
    <row r="24" spans="1:28">
      <c r="A24" s="197">
        <v>42309</v>
      </c>
      <c r="B24">
        <f t="shared" si="1"/>
        <v>11</v>
      </c>
      <c r="C24">
        <f t="shared" si="2"/>
        <v>2015</v>
      </c>
      <c r="D24" s="6">
        <f>'Monthly Data (longer 09-23)'!E84</f>
        <v>16846922.723403674</v>
      </c>
      <c r="E24" s="7">
        <f t="shared" ca="1" si="13"/>
        <v>404.02065689742301</v>
      </c>
      <c r="F24" s="7">
        <f t="shared" ca="1" si="13"/>
        <v>0.6699999999999996</v>
      </c>
      <c r="G24" s="6">
        <f>'Monthly Data (14-23) Used'!DD24</f>
        <v>0</v>
      </c>
      <c r="H24">
        <f>'Monthly Data (14-23) Used'!DG24</f>
        <v>0</v>
      </c>
      <c r="I24" s="6">
        <f>'Monthly Data (14-23) Used'!CB24</f>
        <v>30</v>
      </c>
      <c r="J24" s="6">
        <f>'Monthly Data (14-23) Used'!CA24</f>
        <v>1</v>
      </c>
      <c r="K24" s="6">
        <f>'Monthly Data (14-23) Used'!BJ24</f>
        <v>23</v>
      </c>
      <c r="N24" s="6">
        <f t="shared" si="3"/>
        <v>-7179191.8731795801</v>
      </c>
      <c r="O24" s="6">
        <f t="shared" ca="1" si="4"/>
        <v>2868163.3440302946</v>
      </c>
      <c r="P24" s="6">
        <f t="shared" ca="1" si="5"/>
        <v>44632.353479586127</v>
      </c>
      <c r="Q24" s="6">
        <f t="shared" si="6"/>
        <v>0</v>
      </c>
      <c r="R24" s="6">
        <f t="shared" si="7"/>
        <v>0</v>
      </c>
      <c r="S24" s="6">
        <f t="shared" si="8"/>
        <v>22371518.548837077</v>
      </c>
      <c r="T24" s="6">
        <f t="shared" si="9"/>
        <v>-1713930.83126266</v>
      </c>
      <c r="U24" s="6">
        <f t="shared" si="10"/>
        <v>497780.22853420599</v>
      </c>
      <c r="V24" s="6">
        <f t="shared" ca="1" si="11"/>
        <v>16888971.770438924</v>
      </c>
      <c r="Y24" t="s">
        <v>224</v>
      </c>
      <c r="Z24">
        <v>22403540.575963099</v>
      </c>
      <c r="AA24" t="s">
        <v>225</v>
      </c>
      <c r="AB24">
        <v>5143283.59289834</v>
      </c>
    </row>
    <row r="25" spans="1:28">
      <c r="A25" s="197">
        <v>42339</v>
      </c>
      <c r="B25">
        <f t="shared" si="1"/>
        <v>12</v>
      </c>
      <c r="C25">
        <f t="shared" si="2"/>
        <v>2015</v>
      </c>
      <c r="D25" s="6">
        <f>'Monthly Data (longer 09-23)'!E85</f>
        <v>19493995.723403674</v>
      </c>
      <c r="E25" s="7">
        <f t="shared" ca="1" si="13"/>
        <v>533.7700000000001</v>
      </c>
      <c r="F25" s="7">
        <f t="shared" ca="1" si="13"/>
        <v>0</v>
      </c>
      <c r="G25" s="6">
        <f>'Monthly Data (14-23) Used'!DD25</f>
        <v>0</v>
      </c>
      <c r="H25">
        <f>'Monthly Data (14-23) Used'!DG25</f>
        <v>0</v>
      </c>
      <c r="I25" s="6">
        <f>'Monthly Data (14-23) Used'!CB25</f>
        <v>31</v>
      </c>
      <c r="J25" s="6">
        <f>'Monthly Data (14-23) Used'!CA25</f>
        <v>0</v>
      </c>
      <c r="K25" s="6">
        <f>'Monthly Data (14-23) Used'!BJ25</f>
        <v>24</v>
      </c>
      <c r="N25" s="6">
        <f t="shared" si="3"/>
        <v>-7179191.8731795801</v>
      </c>
      <c r="O25" s="6">
        <f t="shared" ca="1" si="4"/>
        <v>3789260.5786533868</v>
      </c>
      <c r="P25" s="6">
        <f t="shared" ca="1" si="5"/>
        <v>0</v>
      </c>
      <c r="Q25" s="6">
        <f t="shared" si="6"/>
        <v>0</v>
      </c>
      <c r="R25" s="6">
        <f t="shared" si="7"/>
        <v>0</v>
      </c>
      <c r="S25" s="6">
        <f t="shared" si="8"/>
        <v>23117235.833798315</v>
      </c>
      <c r="T25" s="6">
        <f t="shared" si="9"/>
        <v>0</v>
      </c>
      <c r="U25" s="6">
        <f t="shared" si="10"/>
        <v>519422.84716612799</v>
      </c>
      <c r="V25" s="6">
        <f t="shared" ca="1" si="11"/>
        <v>20246727.386438251</v>
      </c>
    </row>
    <row r="26" spans="1:28">
      <c r="A26" s="197">
        <v>42370</v>
      </c>
      <c r="B26">
        <f t="shared" si="1"/>
        <v>1</v>
      </c>
      <c r="C26">
        <f t="shared" si="2"/>
        <v>2016</v>
      </c>
      <c r="D26" s="6">
        <f>'Monthly Data (longer 09-23)'!E86</f>
        <v>20444371.530323215</v>
      </c>
      <c r="E26" s="7">
        <f t="shared" ca="1" si="13"/>
        <v>671</v>
      </c>
      <c r="F26" s="7">
        <f t="shared" ca="1" si="13"/>
        <v>0</v>
      </c>
      <c r="G26" s="6">
        <f>'Monthly Data (14-23) Used'!DD26</f>
        <v>0</v>
      </c>
      <c r="H26">
        <f>'Monthly Data (14-23) Used'!DG26</f>
        <v>0</v>
      </c>
      <c r="I26" s="6">
        <f>'Monthly Data (14-23) Used'!CB26</f>
        <v>31</v>
      </c>
      <c r="J26" s="6">
        <f>'Monthly Data (14-23) Used'!CA26</f>
        <v>0</v>
      </c>
      <c r="K26" s="6">
        <f>'Monthly Data (14-23) Used'!BJ26</f>
        <v>25</v>
      </c>
      <c r="N26" s="6">
        <f t="shared" si="3"/>
        <v>-7179191.8731795801</v>
      </c>
      <c r="O26" s="6">
        <f t="shared" ca="1" si="4"/>
        <v>4763463.3798760185</v>
      </c>
      <c r="P26" s="6">
        <f t="shared" ca="1" si="5"/>
        <v>0</v>
      </c>
      <c r="Q26" s="6">
        <f t="shared" si="6"/>
        <v>0</v>
      </c>
      <c r="R26" s="6">
        <f t="shared" si="7"/>
        <v>0</v>
      </c>
      <c r="S26" s="6">
        <f t="shared" si="8"/>
        <v>23117235.833798315</v>
      </c>
      <c r="T26" s="6">
        <f t="shared" si="9"/>
        <v>0</v>
      </c>
      <c r="U26" s="6">
        <f t="shared" si="10"/>
        <v>541065.46579804993</v>
      </c>
      <c r="V26" s="6">
        <f t="shared" ca="1" si="11"/>
        <v>21242572.806292802</v>
      </c>
    </row>
    <row r="27" spans="1:28">
      <c r="A27" s="197">
        <v>42401</v>
      </c>
      <c r="B27">
        <f t="shared" si="1"/>
        <v>2</v>
      </c>
      <c r="C27">
        <f t="shared" si="2"/>
        <v>2016</v>
      </c>
      <c r="D27" s="6">
        <f>'Monthly Data (longer 09-23)'!E87</f>
        <v>18189613.530323215</v>
      </c>
      <c r="E27" s="7">
        <f t="shared" ca="1" si="13"/>
        <v>595.51355229914111</v>
      </c>
      <c r="F27" s="7">
        <f t="shared" ca="1" si="13"/>
        <v>0</v>
      </c>
      <c r="G27" s="6">
        <f>'Monthly Data (14-23) Used'!DD27</f>
        <v>0</v>
      </c>
      <c r="H27">
        <f>'Monthly Data (14-23) Used'!DG27</f>
        <v>0</v>
      </c>
      <c r="I27" s="6">
        <f>'Monthly Data (14-23) Used'!CB27</f>
        <v>29</v>
      </c>
      <c r="J27" s="6">
        <f>'Monthly Data (14-23) Used'!CA27</f>
        <v>0</v>
      </c>
      <c r="K27" s="6">
        <f>'Monthly Data (14-23) Used'!BJ27</f>
        <v>26</v>
      </c>
      <c r="N27" s="6">
        <f t="shared" si="3"/>
        <v>-7179191.8731795801</v>
      </c>
      <c r="O27" s="6">
        <f t="shared" ca="1" si="4"/>
        <v>4227581.2199654849</v>
      </c>
      <c r="P27" s="6">
        <f t="shared" ca="1" si="5"/>
        <v>0</v>
      </c>
      <c r="Q27" s="6">
        <f t="shared" si="6"/>
        <v>0</v>
      </c>
      <c r="R27" s="6">
        <f t="shared" si="7"/>
        <v>0</v>
      </c>
      <c r="S27" s="6">
        <f t="shared" si="8"/>
        <v>21625801.263875842</v>
      </c>
      <c r="T27" s="6">
        <f t="shared" si="9"/>
        <v>0</v>
      </c>
      <c r="U27" s="6">
        <f t="shared" si="10"/>
        <v>562708.08442997199</v>
      </c>
      <c r="V27" s="6">
        <f t="shared" ca="1" si="11"/>
        <v>19236898.695091717</v>
      </c>
    </row>
    <row r="28" spans="1:28">
      <c r="A28" s="197">
        <v>42430</v>
      </c>
      <c r="B28">
        <f t="shared" si="1"/>
        <v>3</v>
      </c>
      <c r="C28">
        <f t="shared" si="2"/>
        <v>2016</v>
      </c>
      <c r="D28" s="6">
        <f>'Monthly Data (longer 09-23)'!E88</f>
        <v>17798736.530323215</v>
      </c>
      <c r="E28" s="7">
        <f t="shared" ca="1" si="13"/>
        <v>496.46355229914104</v>
      </c>
      <c r="F28" s="7">
        <f t="shared" ca="1" si="13"/>
        <v>0</v>
      </c>
      <c r="G28" s="6">
        <f>'Monthly Data (14-23) Used'!DD28</f>
        <v>0</v>
      </c>
      <c r="H28">
        <f>'Monthly Data (14-23) Used'!DG28</f>
        <v>0</v>
      </c>
      <c r="I28" s="6">
        <f>'Monthly Data (14-23) Used'!CB28</f>
        <v>31</v>
      </c>
      <c r="J28" s="6">
        <f>'Monthly Data (14-23) Used'!CA28</f>
        <v>1</v>
      </c>
      <c r="K28" s="6">
        <f>'Monthly Data (14-23) Used'!BJ28</f>
        <v>27</v>
      </c>
      <c r="N28" s="6">
        <f t="shared" si="3"/>
        <v>-7179191.8731795801</v>
      </c>
      <c r="O28" s="6">
        <f t="shared" ca="1" si="4"/>
        <v>3524420.194962922</v>
      </c>
      <c r="P28" s="6">
        <f t="shared" ca="1" si="5"/>
        <v>0</v>
      </c>
      <c r="Q28" s="6">
        <f t="shared" si="6"/>
        <v>0</v>
      </c>
      <c r="R28" s="6">
        <f t="shared" si="7"/>
        <v>0</v>
      </c>
      <c r="S28" s="6">
        <f t="shared" si="8"/>
        <v>23117235.833798315</v>
      </c>
      <c r="T28" s="6">
        <f t="shared" si="9"/>
        <v>-1713930.83126266</v>
      </c>
      <c r="U28" s="6">
        <f t="shared" si="10"/>
        <v>584350.70306189405</v>
      </c>
      <c r="V28" s="6">
        <f t="shared" ca="1" si="11"/>
        <v>18332884.027380891</v>
      </c>
    </row>
    <row r="29" spans="1:28">
      <c r="A29" s="197">
        <v>42461</v>
      </c>
      <c r="B29">
        <f t="shared" si="1"/>
        <v>4</v>
      </c>
      <c r="C29">
        <f t="shared" si="2"/>
        <v>2016</v>
      </c>
      <c r="D29" s="6">
        <f>'Monthly Data (longer 09-23)'!E89</f>
        <v>16235715.530323217</v>
      </c>
      <c r="E29" s="7">
        <f t="shared" ca="1" si="13"/>
        <v>296.23000000000008</v>
      </c>
      <c r="F29" s="7">
        <f t="shared" ca="1" si="13"/>
        <v>3.0799999999999996</v>
      </c>
      <c r="G29" s="6">
        <f>'Monthly Data (14-23) Used'!DD29</f>
        <v>0</v>
      </c>
      <c r="H29">
        <f>'Monthly Data (14-23) Used'!DG29</f>
        <v>0</v>
      </c>
      <c r="I29" s="6">
        <f>'Monthly Data (14-23) Used'!CB29</f>
        <v>30</v>
      </c>
      <c r="J29" s="6">
        <f>'Monthly Data (14-23) Used'!CA29</f>
        <v>1</v>
      </c>
      <c r="K29" s="6">
        <f>'Monthly Data (14-23) Used'!BJ29</f>
        <v>28</v>
      </c>
      <c r="N29" s="6">
        <f t="shared" si="3"/>
        <v>-7179191.8731795801</v>
      </c>
      <c r="O29" s="6">
        <f t="shared" ca="1" si="4"/>
        <v>2102951.9478698559</v>
      </c>
      <c r="P29" s="6">
        <f t="shared" ca="1" si="5"/>
        <v>205175.59510018706</v>
      </c>
      <c r="Q29" s="6">
        <f t="shared" si="6"/>
        <v>0</v>
      </c>
      <c r="R29" s="6">
        <f t="shared" si="7"/>
        <v>0</v>
      </c>
      <c r="S29" s="6">
        <f t="shared" si="8"/>
        <v>22371518.548837077</v>
      </c>
      <c r="T29" s="6">
        <f t="shared" si="9"/>
        <v>-1713930.83126266</v>
      </c>
      <c r="U29" s="6">
        <f t="shared" si="10"/>
        <v>605993.32169381599</v>
      </c>
      <c r="V29" s="6">
        <f t="shared" ca="1" si="11"/>
        <v>16392516.709058695</v>
      </c>
    </row>
    <row r="30" spans="1:28">
      <c r="A30" s="197">
        <v>42491</v>
      </c>
      <c r="B30">
        <f t="shared" si="1"/>
        <v>5</v>
      </c>
      <c r="C30">
        <f t="shared" si="2"/>
        <v>2016</v>
      </c>
      <c r="D30" s="6">
        <f>'Monthly Data (longer 09-23)'!E90</f>
        <v>18754139.530323215</v>
      </c>
      <c r="E30" s="7">
        <f t="shared" ca="1" si="13"/>
        <v>116.90355229914098</v>
      </c>
      <c r="F30" s="7">
        <f t="shared" ca="1" si="13"/>
        <v>53.286447700859014</v>
      </c>
      <c r="G30" s="6">
        <f>'Monthly Data (14-23) Used'!DD30</f>
        <v>0</v>
      </c>
      <c r="H30">
        <f>'Monthly Data (14-23) Used'!DG30</f>
        <v>0</v>
      </c>
      <c r="I30" s="6">
        <f>'Monthly Data (14-23) Used'!CB30</f>
        <v>31</v>
      </c>
      <c r="J30" s="6">
        <f>'Monthly Data (14-23) Used'!CA30</f>
        <v>1</v>
      </c>
      <c r="K30" s="6">
        <f>'Monthly Data (14-23) Used'!BJ30</f>
        <v>29</v>
      </c>
      <c r="N30" s="6">
        <f t="shared" si="3"/>
        <v>-7179191.8731795801</v>
      </c>
      <c r="O30" s="6">
        <f t="shared" ca="1" si="4"/>
        <v>829904.30753260653</v>
      </c>
      <c r="P30" s="6">
        <f t="shared" ca="1" si="5"/>
        <v>3549700.8499346571</v>
      </c>
      <c r="Q30" s="6">
        <f t="shared" si="6"/>
        <v>0</v>
      </c>
      <c r="R30" s="6">
        <f t="shared" si="7"/>
        <v>0</v>
      </c>
      <c r="S30" s="6">
        <f t="shared" si="8"/>
        <v>23117235.833798315</v>
      </c>
      <c r="T30" s="6">
        <f t="shared" si="9"/>
        <v>-1713930.83126266</v>
      </c>
      <c r="U30" s="6">
        <f t="shared" si="10"/>
        <v>627635.94032573793</v>
      </c>
      <c r="V30" s="6">
        <f t="shared" ca="1" si="11"/>
        <v>19231354.227149077</v>
      </c>
    </row>
    <row r="31" spans="1:28">
      <c r="A31" s="197">
        <v>42522</v>
      </c>
      <c r="B31">
        <f t="shared" si="1"/>
        <v>6</v>
      </c>
      <c r="C31">
        <f t="shared" si="2"/>
        <v>2016</v>
      </c>
      <c r="D31" s="6">
        <f>'Monthly Data (longer 09-23)'!E91</f>
        <v>25384555.530323215</v>
      </c>
      <c r="E31" s="7">
        <f t="shared" ca="1" si="13"/>
        <v>11.023552299140979</v>
      </c>
      <c r="F31" s="7">
        <f t="shared" ca="1" si="13"/>
        <v>145.07</v>
      </c>
      <c r="G31" s="6">
        <f>'Monthly Data (14-23) Used'!DD31</f>
        <v>0</v>
      </c>
      <c r="H31">
        <f>'Monthly Data (14-23) Used'!DG31</f>
        <v>0</v>
      </c>
      <c r="I31" s="6">
        <f>'Monthly Data (14-23) Used'!CB31</f>
        <v>30</v>
      </c>
      <c r="J31" s="6">
        <f>'Monthly Data (14-23) Used'!CA31</f>
        <v>0</v>
      </c>
      <c r="K31" s="6">
        <f>'Monthly Data (14-23) Used'!BJ31</f>
        <v>30</v>
      </c>
      <c r="N31" s="6">
        <f t="shared" si="3"/>
        <v>-7179191.8731795801</v>
      </c>
      <c r="O31" s="6">
        <f t="shared" ca="1" si="4"/>
        <v>78256.76258287055</v>
      </c>
      <c r="P31" s="6">
        <f t="shared" ca="1" si="5"/>
        <v>9663903.7601247206</v>
      </c>
      <c r="Q31" s="6">
        <f t="shared" si="6"/>
        <v>0</v>
      </c>
      <c r="R31" s="6">
        <f t="shared" si="7"/>
        <v>0</v>
      </c>
      <c r="S31" s="6">
        <f t="shared" si="8"/>
        <v>22371518.548837077</v>
      </c>
      <c r="T31" s="6">
        <f t="shared" si="9"/>
        <v>0</v>
      </c>
      <c r="U31" s="6">
        <f t="shared" si="10"/>
        <v>649278.55895765999</v>
      </c>
      <c r="V31" s="6">
        <f t="shared" ca="1" si="11"/>
        <v>25583765.757322747</v>
      </c>
    </row>
    <row r="32" spans="1:28">
      <c r="A32" s="197">
        <v>42552</v>
      </c>
      <c r="B32">
        <f t="shared" si="1"/>
        <v>7</v>
      </c>
      <c r="C32">
        <f t="shared" si="2"/>
        <v>2016</v>
      </c>
      <c r="D32" s="6">
        <f>'Monthly Data (longer 09-23)'!E92</f>
        <v>32718193.530323215</v>
      </c>
      <c r="E32" s="7">
        <f t="shared" ca="1" si="13"/>
        <v>0.75</v>
      </c>
      <c r="F32" s="7">
        <f t="shared" ca="1" si="13"/>
        <v>211.23289540171805</v>
      </c>
      <c r="G32" s="6">
        <f>'Monthly Data (14-23) Used'!DD32</f>
        <v>0</v>
      </c>
      <c r="H32">
        <f>'Monthly Data (14-23) Used'!DG32</f>
        <v>0</v>
      </c>
      <c r="I32" s="6">
        <f>'Monthly Data (14-23) Used'!CB32</f>
        <v>31</v>
      </c>
      <c r="J32" s="6">
        <f>'Monthly Data (14-23) Used'!CA32</f>
        <v>0</v>
      </c>
      <c r="K32" s="6">
        <f>'Monthly Data (14-23) Used'!BJ32</f>
        <v>31</v>
      </c>
      <c r="N32" s="6">
        <f t="shared" si="3"/>
        <v>-7179191.8731795801</v>
      </c>
      <c r="O32" s="6">
        <f t="shared" ca="1" si="4"/>
        <v>5324.2884275812421</v>
      </c>
      <c r="P32" s="6">
        <f t="shared" ca="1" si="5"/>
        <v>14071375.006098401</v>
      </c>
      <c r="Q32" s="6">
        <f t="shared" si="6"/>
        <v>0</v>
      </c>
      <c r="R32" s="6">
        <f t="shared" si="7"/>
        <v>0</v>
      </c>
      <c r="S32" s="6">
        <f t="shared" si="8"/>
        <v>23117235.833798315</v>
      </c>
      <c r="T32" s="6">
        <f t="shared" si="9"/>
        <v>0</v>
      </c>
      <c r="U32" s="6">
        <f t="shared" si="10"/>
        <v>670921.17758958205</v>
      </c>
      <c r="V32" s="6">
        <f t="shared" ca="1" si="11"/>
        <v>30685664.432734296</v>
      </c>
    </row>
    <row r="33" spans="1:22">
      <c r="A33" s="197">
        <v>42583</v>
      </c>
      <c r="B33">
        <f t="shared" si="1"/>
        <v>8</v>
      </c>
      <c r="C33">
        <f t="shared" si="2"/>
        <v>2016</v>
      </c>
      <c r="D33" s="6">
        <f>'Monthly Data (longer 09-23)'!E93</f>
        <v>32669359.530323215</v>
      </c>
      <c r="E33" s="7">
        <f t="shared" ca="1" si="13"/>
        <v>2.7971045982819609</v>
      </c>
      <c r="F33" s="7">
        <f t="shared" ca="1" si="13"/>
        <v>183.87605861546231</v>
      </c>
      <c r="G33" s="6">
        <f>'Monthly Data (14-23) Used'!DD33</f>
        <v>0</v>
      </c>
      <c r="H33">
        <f>'Monthly Data (14-23) Used'!DG33</f>
        <v>0</v>
      </c>
      <c r="I33" s="6">
        <f>'Monthly Data (14-23) Used'!CB33</f>
        <v>31</v>
      </c>
      <c r="J33" s="6">
        <f>'Monthly Data (14-23) Used'!CA33</f>
        <v>0</v>
      </c>
      <c r="K33" s="6">
        <f>'Monthly Data (14-23) Used'!BJ33</f>
        <v>32</v>
      </c>
      <c r="N33" s="6">
        <f t="shared" si="3"/>
        <v>-7179191.8731795801</v>
      </c>
      <c r="O33" s="6">
        <f t="shared" ca="1" si="4"/>
        <v>19856.788857822565</v>
      </c>
      <c r="P33" s="6">
        <f t="shared" ca="1" si="5"/>
        <v>12248986.932176741</v>
      </c>
      <c r="Q33" s="6">
        <f t="shared" si="6"/>
        <v>0</v>
      </c>
      <c r="R33" s="6">
        <f t="shared" si="7"/>
        <v>0</v>
      </c>
      <c r="S33" s="6">
        <f t="shared" si="8"/>
        <v>23117235.833798315</v>
      </c>
      <c r="T33" s="6">
        <f t="shared" si="9"/>
        <v>0</v>
      </c>
      <c r="U33" s="6">
        <f t="shared" si="10"/>
        <v>692563.79622150399</v>
      </c>
      <c r="V33" s="6">
        <f t="shared" ca="1" si="11"/>
        <v>28899451.477874801</v>
      </c>
    </row>
    <row r="34" spans="1:22">
      <c r="A34" s="197">
        <v>42614</v>
      </c>
      <c r="B34">
        <f t="shared" si="1"/>
        <v>9</v>
      </c>
      <c r="C34">
        <f t="shared" si="2"/>
        <v>2016</v>
      </c>
      <c r="D34" s="6">
        <f>'Monthly Data (longer 09-23)'!E94</f>
        <v>23856752.530323215</v>
      </c>
      <c r="E34" s="7">
        <f t="shared" ca="1" si="13"/>
        <v>39.200656897422931</v>
      </c>
      <c r="F34" s="7">
        <f t="shared" ca="1" si="13"/>
        <v>90.709343102577066</v>
      </c>
      <c r="G34" s="6">
        <f>'Monthly Data (14-23) Used'!DD34</f>
        <v>0</v>
      </c>
      <c r="H34">
        <f>'Monthly Data (14-23) Used'!DG34</f>
        <v>0</v>
      </c>
      <c r="I34" s="6">
        <f>'Monthly Data (14-23) Used'!CB34</f>
        <v>30</v>
      </c>
      <c r="J34" s="6">
        <f>'Monthly Data (14-23) Used'!CA34</f>
        <v>0</v>
      </c>
      <c r="K34" s="6">
        <f>'Monthly Data (14-23) Used'!BJ34</f>
        <v>33</v>
      </c>
      <c r="N34" s="6">
        <f t="shared" si="3"/>
        <v>-7179191.8731795801</v>
      </c>
      <c r="O34" s="6">
        <f t="shared" ref="O34:O54" ca="1" si="14">E34*$Z$9</f>
        <v>278287.47183004231</v>
      </c>
      <c r="P34" s="6">
        <f t="shared" ref="P34:P54" ca="1" si="15">F34*$Z$10</f>
        <v>6042643.9779929547</v>
      </c>
      <c r="Q34" s="6">
        <f t="shared" ref="Q34:Q54" si="16">G34*$Z$11</f>
        <v>0</v>
      </c>
      <c r="R34" s="6">
        <f t="shared" ref="R34:R54" si="17">H34*$Z$12</f>
        <v>0</v>
      </c>
      <c r="S34" s="6">
        <f t="shared" ref="S34:S54" si="18">I34*$Z$13</f>
        <v>22371518.548837077</v>
      </c>
      <c r="T34" s="6">
        <f t="shared" ref="T34:T54" si="19">J34*$Z$14</f>
        <v>0</v>
      </c>
      <c r="U34" s="6">
        <f t="shared" ref="U34:U54" si="20">K34*$Z$15</f>
        <v>714206.41485342593</v>
      </c>
      <c r="V34" s="6">
        <f t="shared" ref="V34:V54" ca="1" si="21">SUM(N34:U34)</f>
        <v>22227464.540333923</v>
      </c>
    </row>
    <row r="35" spans="1:22">
      <c r="A35" s="197">
        <v>42644</v>
      </c>
      <c r="B35">
        <f t="shared" si="1"/>
        <v>10</v>
      </c>
      <c r="C35">
        <f t="shared" si="2"/>
        <v>2016</v>
      </c>
      <c r="D35" s="6">
        <f>'Monthly Data (longer 09-23)'!E95</f>
        <v>18119212.530323215</v>
      </c>
      <c r="E35" s="7">
        <f t="shared" ca="1" si="13"/>
        <v>194.90420919656393</v>
      </c>
      <c r="F35" s="7">
        <f t="shared" ca="1" si="13"/>
        <v>20.479999999999997</v>
      </c>
      <c r="G35" s="6">
        <f>'Monthly Data (14-23) Used'!DD35</f>
        <v>0</v>
      </c>
      <c r="H35">
        <f>'Monthly Data (14-23) Used'!DG35</f>
        <v>0</v>
      </c>
      <c r="I35" s="6">
        <f>'Monthly Data (14-23) Used'!CB35</f>
        <v>31</v>
      </c>
      <c r="J35" s="6">
        <f>'Monthly Data (14-23) Used'!CA35</f>
        <v>1</v>
      </c>
      <c r="K35" s="6">
        <f>'Monthly Data (14-23) Used'!BJ35</f>
        <v>34</v>
      </c>
      <c r="N35" s="6">
        <f t="shared" si="3"/>
        <v>-7179191.8731795801</v>
      </c>
      <c r="O35" s="6">
        <f t="shared" ca="1" si="14"/>
        <v>1383634.9673495186</v>
      </c>
      <c r="P35" s="6">
        <f t="shared" ca="1" si="15"/>
        <v>1364284.4765103348</v>
      </c>
      <c r="Q35" s="6">
        <f t="shared" si="16"/>
        <v>0</v>
      </c>
      <c r="R35" s="6">
        <f t="shared" si="17"/>
        <v>0</v>
      </c>
      <c r="S35" s="6">
        <f t="shared" si="18"/>
        <v>23117235.833798315</v>
      </c>
      <c r="T35" s="6">
        <f t="shared" si="19"/>
        <v>-1713930.83126266</v>
      </c>
      <c r="U35" s="6">
        <f t="shared" si="20"/>
        <v>735849.03348534799</v>
      </c>
      <c r="V35" s="6">
        <f t="shared" ca="1" si="21"/>
        <v>17707881.606701277</v>
      </c>
    </row>
    <row r="36" spans="1:22">
      <c r="A36" s="197">
        <v>42675</v>
      </c>
      <c r="B36">
        <f t="shared" si="1"/>
        <v>11</v>
      </c>
      <c r="C36">
        <f t="shared" si="2"/>
        <v>2016</v>
      </c>
      <c r="D36" s="6">
        <f>'Monthly Data (longer 09-23)'!E96</f>
        <v>17041780.530323215</v>
      </c>
      <c r="E36" s="7">
        <f t="shared" ca="1" si="13"/>
        <v>404.02065689742301</v>
      </c>
      <c r="F36" s="7">
        <f t="shared" ca="1" si="13"/>
        <v>0.6699999999999996</v>
      </c>
      <c r="G36" s="6">
        <f>'Monthly Data (14-23) Used'!DD36</f>
        <v>0</v>
      </c>
      <c r="H36">
        <f>'Monthly Data (14-23) Used'!DG36</f>
        <v>0</v>
      </c>
      <c r="I36" s="6">
        <f>'Monthly Data (14-23) Used'!CB36</f>
        <v>30</v>
      </c>
      <c r="J36" s="6">
        <f>'Monthly Data (14-23) Used'!CA36</f>
        <v>1</v>
      </c>
      <c r="K36" s="6">
        <f>'Monthly Data (14-23) Used'!BJ36</f>
        <v>35</v>
      </c>
      <c r="N36" s="6">
        <f t="shared" si="3"/>
        <v>-7179191.8731795801</v>
      </c>
      <c r="O36" s="6">
        <f t="shared" ca="1" si="14"/>
        <v>2868163.3440302946</v>
      </c>
      <c r="P36" s="6">
        <f t="shared" ca="1" si="15"/>
        <v>44632.353479586127</v>
      </c>
      <c r="Q36" s="6">
        <f t="shared" si="16"/>
        <v>0</v>
      </c>
      <c r="R36" s="6">
        <f t="shared" si="17"/>
        <v>0</v>
      </c>
      <c r="S36" s="6">
        <f t="shared" si="18"/>
        <v>22371518.548837077</v>
      </c>
      <c r="T36" s="6">
        <f t="shared" si="19"/>
        <v>-1713930.83126266</v>
      </c>
      <c r="U36" s="6">
        <f t="shared" si="20"/>
        <v>757491.65211727004</v>
      </c>
      <c r="V36" s="6">
        <f t="shared" ca="1" si="21"/>
        <v>17148683.194021989</v>
      </c>
    </row>
    <row r="37" spans="1:22">
      <c r="A37" s="197">
        <v>42705</v>
      </c>
      <c r="B37">
        <f t="shared" si="1"/>
        <v>12</v>
      </c>
      <c r="C37">
        <f t="shared" si="2"/>
        <v>2016</v>
      </c>
      <c r="D37" s="6">
        <f>'Monthly Data (longer 09-23)'!E97</f>
        <v>20517598.530323215</v>
      </c>
      <c r="E37" s="7">
        <f t="shared" ca="1" si="13"/>
        <v>533.7700000000001</v>
      </c>
      <c r="F37" s="7">
        <f t="shared" ca="1" si="13"/>
        <v>0</v>
      </c>
      <c r="G37" s="6">
        <f>'Monthly Data (14-23) Used'!DD37</f>
        <v>0</v>
      </c>
      <c r="H37">
        <f>'Monthly Data (14-23) Used'!DG37</f>
        <v>0</v>
      </c>
      <c r="I37" s="6">
        <f>'Monthly Data (14-23) Used'!CB37</f>
        <v>31</v>
      </c>
      <c r="J37" s="6">
        <f>'Monthly Data (14-23) Used'!CA37</f>
        <v>0</v>
      </c>
      <c r="K37" s="6">
        <f>'Monthly Data (14-23) Used'!BJ37</f>
        <v>36</v>
      </c>
      <c r="N37" s="6">
        <f t="shared" si="3"/>
        <v>-7179191.8731795801</v>
      </c>
      <c r="O37" s="6">
        <f t="shared" ca="1" si="14"/>
        <v>3789260.5786533868</v>
      </c>
      <c r="P37" s="6">
        <f t="shared" ca="1" si="15"/>
        <v>0</v>
      </c>
      <c r="Q37" s="6">
        <f t="shared" si="16"/>
        <v>0</v>
      </c>
      <c r="R37" s="6">
        <f t="shared" si="17"/>
        <v>0</v>
      </c>
      <c r="S37" s="6">
        <f t="shared" si="18"/>
        <v>23117235.833798315</v>
      </c>
      <c r="T37" s="6">
        <f t="shared" si="19"/>
        <v>0</v>
      </c>
      <c r="U37" s="6">
        <f t="shared" si="20"/>
        <v>779134.27074919199</v>
      </c>
      <c r="V37" s="6">
        <f t="shared" ca="1" si="21"/>
        <v>20506438.810021315</v>
      </c>
    </row>
    <row r="38" spans="1:22">
      <c r="A38" s="197">
        <v>42736</v>
      </c>
      <c r="B38">
        <f t="shared" si="1"/>
        <v>1</v>
      </c>
      <c r="C38">
        <f t="shared" si="2"/>
        <v>2017</v>
      </c>
      <c r="D38" s="6">
        <f>'Monthly Data (longer 09-23)'!E98</f>
        <v>20681776.379516236</v>
      </c>
      <c r="E38" s="7">
        <f t="shared" ca="1" si="13"/>
        <v>671</v>
      </c>
      <c r="F38" s="7">
        <f t="shared" ca="1" si="13"/>
        <v>0</v>
      </c>
      <c r="G38" s="6">
        <f>'Monthly Data (14-23) Used'!DD38</f>
        <v>0</v>
      </c>
      <c r="H38">
        <f>'Monthly Data (14-23) Used'!DG38</f>
        <v>0</v>
      </c>
      <c r="I38" s="6">
        <f>'Monthly Data (14-23) Used'!CB38</f>
        <v>31</v>
      </c>
      <c r="J38" s="6">
        <f>'Monthly Data (14-23) Used'!CA38</f>
        <v>0</v>
      </c>
      <c r="K38" s="6">
        <f>'Monthly Data (14-23) Used'!BJ38</f>
        <v>37</v>
      </c>
      <c r="N38" s="6">
        <f t="shared" si="3"/>
        <v>-7179191.8731795801</v>
      </c>
      <c r="O38" s="6">
        <f t="shared" ca="1" si="14"/>
        <v>4763463.3798760185</v>
      </c>
      <c r="P38" s="6">
        <f t="shared" ca="1" si="15"/>
        <v>0</v>
      </c>
      <c r="Q38" s="6">
        <f t="shared" si="16"/>
        <v>0</v>
      </c>
      <c r="R38" s="6">
        <f t="shared" si="17"/>
        <v>0</v>
      </c>
      <c r="S38" s="6">
        <f t="shared" si="18"/>
        <v>23117235.833798315</v>
      </c>
      <c r="T38" s="6">
        <f t="shared" si="19"/>
        <v>0</v>
      </c>
      <c r="U38" s="6">
        <f t="shared" si="20"/>
        <v>800776.88938111393</v>
      </c>
      <c r="V38" s="6">
        <f t="shared" ca="1" si="21"/>
        <v>21502284.229875866</v>
      </c>
    </row>
    <row r="39" spans="1:22">
      <c r="A39" s="197">
        <v>42767</v>
      </c>
      <c r="B39">
        <f t="shared" si="1"/>
        <v>2</v>
      </c>
      <c r="C39">
        <f t="shared" si="2"/>
        <v>2017</v>
      </c>
      <c r="D39" s="6">
        <f>'Monthly Data (longer 09-23)'!E99</f>
        <v>17714932.379516236</v>
      </c>
      <c r="E39" s="7">
        <f t="shared" ca="1" si="13"/>
        <v>595.51355229914111</v>
      </c>
      <c r="F39" s="7">
        <f t="shared" ca="1" si="13"/>
        <v>0</v>
      </c>
      <c r="G39" s="6">
        <f>'Monthly Data (14-23) Used'!DD39</f>
        <v>0</v>
      </c>
      <c r="H39">
        <f>'Monthly Data (14-23) Used'!DG39</f>
        <v>0</v>
      </c>
      <c r="I39" s="6">
        <f>'Monthly Data (14-23) Used'!CB39</f>
        <v>28</v>
      </c>
      <c r="J39" s="6">
        <f>'Monthly Data (14-23) Used'!CA39</f>
        <v>0</v>
      </c>
      <c r="K39" s="6">
        <f>'Monthly Data (14-23) Used'!BJ39</f>
        <v>38</v>
      </c>
      <c r="N39" s="6">
        <f t="shared" si="3"/>
        <v>-7179191.8731795801</v>
      </c>
      <c r="O39" s="6">
        <f t="shared" ca="1" si="14"/>
        <v>4227581.2199654849</v>
      </c>
      <c r="P39" s="6">
        <f t="shared" ca="1" si="15"/>
        <v>0</v>
      </c>
      <c r="Q39" s="6">
        <f t="shared" si="16"/>
        <v>0</v>
      </c>
      <c r="R39" s="6">
        <f t="shared" si="17"/>
        <v>0</v>
      </c>
      <c r="S39" s="6">
        <f t="shared" si="18"/>
        <v>20880083.978914607</v>
      </c>
      <c r="T39" s="6">
        <f t="shared" si="19"/>
        <v>0</v>
      </c>
      <c r="U39" s="6">
        <f t="shared" si="20"/>
        <v>822419.50801303599</v>
      </c>
      <c r="V39" s="6">
        <f t="shared" ca="1" si="21"/>
        <v>18750892.83371355</v>
      </c>
    </row>
    <row r="40" spans="1:22">
      <c r="A40" s="197">
        <v>42795</v>
      </c>
      <c r="B40">
        <f t="shared" si="1"/>
        <v>3</v>
      </c>
      <c r="C40">
        <f t="shared" si="2"/>
        <v>2017</v>
      </c>
      <c r="D40" s="6">
        <f>'Monthly Data (longer 09-23)'!E100</f>
        <v>17378968.379516236</v>
      </c>
      <c r="E40" s="7">
        <f t="shared" ca="1" si="13"/>
        <v>496.46355229914104</v>
      </c>
      <c r="F40" s="7">
        <f t="shared" ca="1" si="13"/>
        <v>0</v>
      </c>
      <c r="G40" s="6">
        <f>'Monthly Data (14-23) Used'!DD40</f>
        <v>0</v>
      </c>
      <c r="H40">
        <f>'Monthly Data (14-23) Used'!DG40</f>
        <v>0</v>
      </c>
      <c r="I40" s="6">
        <f>'Monthly Data (14-23) Used'!CB40</f>
        <v>31</v>
      </c>
      <c r="J40" s="6">
        <f>'Monthly Data (14-23) Used'!CA40</f>
        <v>1</v>
      </c>
      <c r="K40" s="6">
        <f>'Monthly Data (14-23) Used'!BJ40</f>
        <v>39</v>
      </c>
      <c r="N40" s="6">
        <f t="shared" si="3"/>
        <v>-7179191.8731795801</v>
      </c>
      <c r="O40" s="6">
        <f t="shared" ca="1" si="14"/>
        <v>3524420.194962922</v>
      </c>
      <c r="P40" s="6">
        <f t="shared" ca="1" si="15"/>
        <v>0</v>
      </c>
      <c r="Q40" s="6">
        <f t="shared" si="16"/>
        <v>0</v>
      </c>
      <c r="R40" s="6">
        <f t="shared" si="17"/>
        <v>0</v>
      </c>
      <c r="S40" s="6">
        <f t="shared" si="18"/>
        <v>23117235.833798315</v>
      </c>
      <c r="T40" s="6">
        <f t="shared" si="19"/>
        <v>-1713930.83126266</v>
      </c>
      <c r="U40" s="6">
        <f t="shared" si="20"/>
        <v>844062.12664495804</v>
      </c>
      <c r="V40" s="6">
        <f t="shared" ca="1" si="21"/>
        <v>18592595.450963955</v>
      </c>
    </row>
    <row r="41" spans="1:22">
      <c r="A41" s="197">
        <v>42826</v>
      </c>
      <c r="B41">
        <f t="shared" si="1"/>
        <v>4</v>
      </c>
      <c r="C41">
        <f t="shared" si="2"/>
        <v>2017</v>
      </c>
      <c r="D41" s="6">
        <f>'Monthly Data (longer 09-23)'!E101</f>
        <v>16275550.379516236</v>
      </c>
      <c r="E41" s="7">
        <f t="shared" ca="1" si="13"/>
        <v>296.23000000000008</v>
      </c>
      <c r="F41" s="7">
        <f t="shared" ca="1" si="13"/>
        <v>3.0799999999999996</v>
      </c>
      <c r="G41" s="6">
        <f>'Monthly Data (14-23) Used'!DD41</f>
        <v>0</v>
      </c>
      <c r="H41">
        <f>'Monthly Data (14-23) Used'!DG41</f>
        <v>0</v>
      </c>
      <c r="I41" s="6">
        <f>'Monthly Data (14-23) Used'!CB41</f>
        <v>30</v>
      </c>
      <c r="J41" s="6">
        <f>'Monthly Data (14-23) Used'!CA41</f>
        <v>1</v>
      </c>
      <c r="K41" s="6">
        <f>'Monthly Data (14-23) Used'!BJ41</f>
        <v>40</v>
      </c>
      <c r="N41" s="6">
        <f t="shared" si="3"/>
        <v>-7179191.8731795801</v>
      </c>
      <c r="O41" s="6">
        <f t="shared" ca="1" si="14"/>
        <v>2102951.9478698559</v>
      </c>
      <c r="P41" s="6">
        <f t="shared" ca="1" si="15"/>
        <v>205175.59510018706</v>
      </c>
      <c r="Q41" s="6">
        <f t="shared" si="16"/>
        <v>0</v>
      </c>
      <c r="R41" s="6">
        <f t="shared" si="17"/>
        <v>0</v>
      </c>
      <c r="S41" s="6">
        <f t="shared" si="18"/>
        <v>22371518.548837077</v>
      </c>
      <c r="T41" s="6">
        <f t="shared" si="19"/>
        <v>-1713930.83126266</v>
      </c>
      <c r="U41" s="6">
        <f t="shared" si="20"/>
        <v>865704.74527687998</v>
      </c>
      <c r="V41" s="6">
        <f t="shared" ca="1" si="21"/>
        <v>16652228.132641759</v>
      </c>
    </row>
    <row r="42" spans="1:22">
      <c r="A42" s="197">
        <v>42856</v>
      </c>
      <c r="B42">
        <f t="shared" ref="B42:B105" si="22">MONTH(A42)</f>
        <v>5</v>
      </c>
      <c r="C42">
        <f t="shared" ref="C42:C105" si="23">YEAR(A42)</f>
        <v>2017</v>
      </c>
      <c r="D42" s="6">
        <f>'Monthly Data (longer 09-23)'!E102</f>
        <v>16926841.379516236</v>
      </c>
      <c r="E42" s="7">
        <f t="shared" ref="E42:F61" ca="1" si="24">E30</f>
        <v>116.90355229914098</v>
      </c>
      <c r="F42" s="7">
        <f t="shared" ca="1" si="24"/>
        <v>53.286447700859014</v>
      </c>
      <c r="G42" s="6">
        <f>'Monthly Data (14-23) Used'!DD42</f>
        <v>0</v>
      </c>
      <c r="H42">
        <f>'Monthly Data (14-23) Used'!DG42</f>
        <v>0</v>
      </c>
      <c r="I42" s="6">
        <f>'Monthly Data (14-23) Used'!CB42</f>
        <v>31</v>
      </c>
      <c r="J42" s="6">
        <f>'Monthly Data (14-23) Used'!CA42</f>
        <v>1</v>
      </c>
      <c r="K42" s="6">
        <f>'Monthly Data (14-23) Used'!BJ42</f>
        <v>41</v>
      </c>
      <c r="N42" s="6">
        <f t="shared" si="3"/>
        <v>-7179191.8731795801</v>
      </c>
      <c r="O42" s="6">
        <f t="shared" ca="1" si="14"/>
        <v>829904.30753260653</v>
      </c>
      <c r="P42" s="6">
        <f t="shared" ca="1" si="15"/>
        <v>3549700.8499346571</v>
      </c>
      <c r="Q42" s="6">
        <f t="shared" si="16"/>
        <v>0</v>
      </c>
      <c r="R42" s="6">
        <f t="shared" si="17"/>
        <v>0</v>
      </c>
      <c r="S42" s="6">
        <f t="shared" si="18"/>
        <v>23117235.833798315</v>
      </c>
      <c r="T42" s="6">
        <f t="shared" si="19"/>
        <v>-1713930.83126266</v>
      </c>
      <c r="U42" s="6">
        <f t="shared" si="20"/>
        <v>887347.36390880193</v>
      </c>
      <c r="V42" s="6">
        <f t="shared" ca="1" si="21"/>
        <v>19491065.650732141</v>
      </c>
    </row>
    <row r="43" spans="1:22">
      <c r="A43" s="197">
        <v>42887</v>
      </c>
      <c r="B43">
        <f t="shared" si="22"/>
        <v>6</v>
      </c>
      <c r="C43">
        <f t="shared" si="23"/>
        <v>2017</v>
      </c>
      <c r="D43" s="6">
        <f>'Monthly Data (longer 09-23)'!E103</f>
        <v>24525329.379516236</v>
      </c>
      <c r="E43" s="7">
        <f t="shared" ca="1" si="24"/>
        <v>11.023552299140979</v>
      </c>
      <c r="F43" s="7">
        <f t="shared" ca="1" si="24"/>
        <v>145.07</v>
      </c>
      <c r="G43" s="6">
        <f>'Monthly Data (14-23) Used'!DD43</f>
        <v>0</v>
      </c>
      <c r="H43">
        <f>'Monthly Data (14-23) Used'!DG43</f>
        <v>0</v>
      </c>
      <c r="I43" s="6">
        <f>'Monthly Data (14-23) Used'!CB43</f>
        <v>30</v>
      </c>
      <c r="J43" s="6">
        <f>'Monthly Data (14-23) Used'!CA43</f>
        <v>0</v>
      </c>
      <c r="K43" s="6">
        <f>'Monthly Data (14-23) Used'!BJ43</f>
        <v>42</v>
      </c>
      <c r="N43" s="6">
        <f t="shared" si="3"/>
        <v>-7179191.8731795801</v>
      </c>
      <c r="O43" s="6">
        <f t="shared" ca="1" si="14"/>
        <v>78256.76258287055</v>
      </c>
      <c r="P43" s="6">
        <f t="shared" ca="1" si="15"/>
        <v>9663903.7601247206</v>
      </c>
      <c r="Q43" s="6">
        <f t="shared" si="16"/>
        <v>0</v>
      </c>
      <c r="R43" s="6">
        <f t="shared" si="17"/>
        <v>0</v>
      </c>
      <c r="S43" s="6">
        <f t="shared" si="18"/>
        <v>22371518.548837077</v>
      </c>
      <c r="T43" s="6">
        <f t="shared" si="19"/>
        <v>0</v>
      </c>
      <c r="U43" s="6">
        <f t="shared" si="20"/>
        <v>908989.98254072398</v>
      </c>
      <c r="V43" s="6">
        <f t="shared" ca="1" si="21"/>
        <v>25843477.180905811</v>
      </c>
    </row>
    <row r="44" spans="1:22">
      <c r="A44" s="197">
        <v>42917</v>
      </c>
      <c r="B44">
        <f t="shared" si="22"/>
        <v>7</v>
      </c>
      <c r="C44">
        <f t="shared" si="23"/>
        <v>2017</v>
      </c>
      <c r="D44" s="6">
        <f>'Monthly Data (longer 09-23)'!E104</f>
        <v>29775102.379516236</v>
      </c>
      <c r="E44" s="7">
        <f t="shared" ca="1" si="24"/>
        <v>0.75</v>
      </c>
      <c r="F44" s="7">
        <f t="shared" ca="1" si="24"/>
        <v>211.23289540171805</v>
      </c>
      <c r="G44" s="6">
        <f>'Monthly Data (14-23) Used'!DD44</f>
        <v>0</v>
      </c>
      <c r="H44">
        <f>'Monthly Data (14-23) Used'!DG44</f>
        <v>0</v>
      </c>
      <c r="I44" s="6">
        <f>'Monthly Data (14-23) Used'!CB44</f>
        <v>31</v>
      </c>
      <c r="J44" s="6">
        <f>'Monthly Data (14-23) Used'!CA44</f>
        <v>0</v>
      </c>
      <c r="K44" s="6">
        <f>'Monthly Data (14-23) Used'!BJ44</f>
        <v>43</v>
      </c>
      <c r="N44" s="6">
        <f t="shared" si="3"/>
        <v>-7179191.8731795801</v>
      </c>
      <c r="O44" s="6">
        <f t="shared" ca="1" si="14"/>
        <v>5324.2884275812421</v>
      </c>
      <c r="P44" s="6">
        <f t="shared" ca="1" si="15"/>
        <v>14071375.006098401</v>
      </c>
      <c r="Q44" s="6">
        <f t="shared" si="16"/>
        <v>0</v>
      </c>
      <c r="R44" s="6">
        <f t="shared" si="17"/>
        <v>0</v>
      </c>
      <c r="S44" s="6">
        <f t="shared" si="18"/>
        <v>23117235.833798315</v>
      </c>
      <c r="T44" s="6">
        <f t="shared" si="19"/>
        <v>0</v>
      </c>
      <c r="U44" s="6">
        <f t="shared" si="20"/>
        <v>930632.60117264604</v>
      </c>
      <c r="V44" s="6">
        <f t="shared" ca="1" si="21"/>
        <v>30945375.85631736</v>
      </c>
    </row>
    <row r="45" spans="1:22">
      <c r="A45" s="197">
        <v>42948</v>
      </c>
      <c r="B45">
        <f t="shared" si="22"/>
        <v>8</v>
      </c>
      <c r="C45">
        <f t="shared" si="23"/>
        <v>2017</v>
      </c>
      <c r="D45" s="6">
        <f>'Monthly Data (longer 09-23)'!E105</f>
        <v>27308050.379516236</v>
      </c>
      <c r="E45" s="7">
        <f t="shared" ca="1" si="24"/>
        <v>2.7971045982819609</v>
      </c>
      <c r="F45" s="7">
        <f t="shared" ca="1" si="24"/>
        <v>183.87605861546231</v>
      </c>
      <c r="G45" s="6">
        <f>'Monthly Data (14-23) Used'!DD45</f>
        <v>0</v>
      </c>
      <c r="H45">
        <f>'Monthly Data (14-23) Used'!DG45</f>
        <v>0</v>
      </c>
      <c r="I45" s="6">
        <f>'Monthly Data (14-23) Used'!CB45</f>
        <v>31</v>
      </c>
      <c r="J45" s="6">
        <f>'Monthly Data (14-23) Used'!CA45</f>
        <v>0</v>
      </c>
      <c r="K45" s="6">
        <f>'Monthly Data (14-23) Used'!BJ45</f>
        <v>44</v>
      </c>
      <c r="N45" s="6">
        <f t="shared" si="3"/>
        <v>-7179191.8731795801</v>
      </c>
      <c r="O45" s="6">
        <f t="shared" ca="1" si="14"/>
        <v>19856.788857822565</v>
      </c>
      <c r="P45" s="6">
        <f t="shared" ca="1" si="15"/>
        <v>12248986.932176741</v>
      </c>
      <c r="Q45" s="6">
        <f t="shared" si="16"/>
        <v>0</v>
      </c>
      <c r="R45" s="6">
        <f t="shared" si="17"/>
        <v>0</v>
      </c>
      <c r="S45" s="6">
        <f t="shared" si="18"/>
        <v>23117235.833798315</v>
      </c>
      <c r="T45" s="6">
        <f t="shared" si="19"/>
        <v>0</v>
      </c>
      <c r="U45" s="6">
        <f t="shared" si="20"/>
        <v>952275.21980456798</v>
      </c>
      <c r="V45" s="6">
        <f t="shared" ca="1" si="21"/>
        <v>29159162.901457865</v>
      </c>
    </row>
    <row r="46" spans="1:22">
      <c r="A46" s="197">
        <v>42979</v>
      </c>
      <c r="B46">
        <f t="shared" si="22"/>
        <v>9</v>
      </c>
      <c r="C46">
        <f t="shared" si="23"/>
        <v>2017</v>
      </c>
      <c r="D46" s="6">
        <f>'Monthly Data (longer 09-23)'!E106</f>
        <v>22403228.379516236</v>
      </c>
      <c r="E46" s="7">
        <f t="shared" ca="1" si="24"/>
        <v>39.200656897422931</v>
      </c>
      <c r="F46" s="7">
        <f t="shared" ca="1" si="24"/>
        <v>90.709343102577066</v>
      </c>
      <c r="G46" s="6">
        <f>'Monthly Data (14-23) Used'!DD46</f>
        <v>0</v>
      </c>
      <c r="H46">
        <f>'Monthly Data (14-23) Used'!DG46</f>
        <v>0</v>
      </c>
      <c r="I46" s="6">
        <f>'Monthly Data (14-23) Used'!CB46</f>
        <v>30</v>
      </c>
      <c r="J46" s="6">
        <f>'Monthly Data (14-23) Used'!CA46</f>
        <v>0</v>
      </c>
      <c r="K46" s="6">
        <f>'Monthly Data (14-23) Used'!BJ46</f>
        <v>45</v>
      </c>
      <c r="N46" s="6">
        <f t="shared" si="3"/>
        <v>-7179191.8731795801</v>
      </c>
      <c r="O46" s="6">
        <f t="shared" ca="1" si="14"/>
        <v>278287.47183004231</v>
      </c>
      <c r="P46" s="6">
        <f t="shared" ca="1" si="15"/>
        <v>6042643.9779929547</v>
      </c>
      <c r="Q46" s="6">
        <f t="shared" si="16"/>
        <v>0</v>
      </c>
      <c r="R46" s="6">
        <f t="shared" si="17"/>
        <v>0</v>
      </c>
      <c r="S46" s="6">
        <f t="shared" si="18"/>
        <v>22371518.548837077</v>
      </c>
      <c r="T46" s="6">
        <f t="shared" si="19"/>
        <v>0</v>
      </c>
      <c r="U46" s="6">
        <f t="shared" si="20"/>
        <v>973917.83843648992</v>
      </c>
      <c r="V46" s="6">
        <f t="shared" ca="1" si="21"/>
        <v>22487175.963916987</v>
      </c>
    </row>
    <row r="47" spans="1:22">
      <c r="A47" s="197">
        <v>43009</v>
      </c>
      <c r="B47">
        <f t="shared" si="22"/>
        <v>10</v>
      </c>
      <c r="C47">
        <f t="shared" si="23"/>
        <v>2017</v>
      </c>
      <c r="D47" s="6">
        <f>'Monthly Data (longer 09-23)'!E107</f>
        <v>19127092.379516236</v>
      </c>
      <c r="E47" s="7">
        <f t="shared" ca="1" si="24"/>
        <v>194.90420919656393</v>
      </c>
      <c r="F47" s="7">
        <f t="shared" ca="1" si="24"/>
        <v>20.479999999999997</v>
      </c>
      <c r="G47" s="6">
        <f>'Monthly Data (14-23) Used'!DD47</f>
        <v>0</v>
      </c>
      <c r="H47">
        <f>'Monthly Data (14-23) Used'!DG47</f>
        <v>0</v>
      </c>
      <c r="I47" s="6">
        <f>'Monthly Data (14-23) Used'!CB47</f>
        <v>31</v>
      </c>
      <c r="J47" s="6">
        <f>'Monthly Data (14-23) Used'!CA47</f>
        <v>1</v>
      </c>
      <c r="K47" s="6">
        <f>'Monthly Data (14-23) Used'!BJ47</f>
        <v>46</v>
      </c>
      <c r="N47" s="6">
        <f t="shared" si="3"/>
        <v>-7179191.8731795801</v>
      </c>
      <c r="O47" s="6">
        <f t="shared" ca="1" si="14"/>
        <v>1383634.9673495186</v>
      </c>
      <c r="P47" s="6">
        <f t="shared" ca="1" si="15"/>
        <v>1364284.4765103348</v>
      </c>
      <c r="Q47" s="6">
        <f t="shared" si="16"/>
        <v>0</v>
      </c>
      <c r="R47" s="6">
        <f t="shared" si="17"/>
        <v>0</v>
      </c>
      <c r="S47" s="6">
        <f t="shared" si="18"/>
        <v>23117235.833798315</v>
      </c>
      <c r="T47" s="6">
        <f t="shared" si="19"/>
        <v>-1713930.83126266</v>
      </c>
      <c r="U47" s="6">
        <f t="shared" si="20"/>
        <v>995560.45706841198</v>
      </c>
      <c r="V47" s="6">
        <f t="shared" ca="1" si="21"/>
        <v>17967593.030284341</v>
      </c>
    </row>
    <row r="48" spans="1:22">
      <c r="A48" s="197">
        <v>43040</v>
      </c>
      <c r="B48">
        <f t="shared" si="22"/>
        <v>11</v>
      </c>
      <c r="C48">
        <f t="shared" si="23"/>
        <v>2017</v>
      </c>
      <c r="D48" s="6">
        <f>'Monthly Data (longer 09-23)'!E108</f>
        <v>18138322.379516236</v>
      </c>
      <c r="E48" s="7">
        <f t="shared" ca="1" si="24"/>
        <v>404.02065689742301</v>
      </c>
      <c r="F48" s="7">
        <f t="shared" ca="1" si="24"/>
        <v>0.6699999999999996</v>
      </c>
      <c r="G48" s="6">
        <f>'Monthly Data (14-23) Used'!DD48</f>
        <v>0</v>
      </c>
      <c r="H48">
        <f>'Monthly Data (14-23) Used'!DG48</f>
        <v>0</v>
      </c>
      <c r="I48" s="6">
        <f>'Monthly Data (14-23) Used'!CB48</f>
        <v>30</v>
      </c>
      <c r="J48" s="6">
        <f>'Monthly Data (14-23) Used'!CA48</f>
        <v>1</v>
      </c>
      <c r="K48" s="6">
        <f>'Monthly Data (14-23) Used'!BJ48</f>
        <v>47</v>
      </c>
      <c r="N48" s="6">
        <f t="shared" si="3"/>
        <v>-7179191.8731795801</v>
      </c>
      <c r="O48" s="6">
        <f t="shared" ca="1" si="14"/>
        <v>2868163.3440302946</v>
      </c>
      <c r="P48" s="6">
        <f t="shared" ca="1" si="15"/>
        <v>44632.353479586127</v>
      </c>
      <c r="Q48" s="6">
        <f t="shared" si="16"/>
        <v>0</v>
      </c>
      <c r="R48" s="6">
        <f t="shared" si="17"/>
        <v>0</v>
      </c>
      <c r="S48" s="6">
        <f t="shared" si="18"/>
        <v>22371518.548837077</v>
      </c>
      <c r="T48" s="6">
        <f t="shared" si="19"/>
        <v>-1713930.83126266</v>
      </c>
      <c r="U48" s="6">
        <f t="shared" si="20"/>
        <v>1017203.075700334</v>
      </c>
      <c r="V48" s="6">
        <f t="shared" ca="1" si="21"/>
        <v>17408394.617605053</v>
      </c>
    </row>
    <row r="49" spans="1:22">
      <c r="A49" s="197">
        <v>43070</v>
      </c>
      <c r="B49">
        <f t="shared" si="22"/>
        <v>12</v>
      </c>
      <c r="C49">
        <f t="shared" si="23"/>
        <v>2017</v>
      </c>
      <c r="D49" s="6">
        <f>'Monthly Data (longer 09-23)'!E109</f>
        <v>21160329.379516236</v>
      </c>
      <c r="E49" s="7">
        <f t="shared" ca="1" si="24"/>
        <v>533.7700000000001</v>
      </c>
      <c r="F49" s="7">
        <f t="shared" ca="1" si="24"/>
        <v>0</v>
      </c>
      <c r="G49" s="6">
        <f>'Monthly Data (14-23) Used'!DD49</f>
        <v>0</v>
      </c>
      <c r="H49">
        <f>'Monthly Data (14-23) Used'!DG49</f>
        <v>0</v>
      </c>
      <c r="I49" s="6">
        <f>'Monthly Data (14-23) Used'!CB49</f>
        <v>31</v>
      </c>
      <c r="J49" s="6">
        <f>'Monthly Data (14-23) Used'!CA49</f>
        <v>0</v>
      </c>
      <c r="K49" s="6">
        <f>'Monthly Data (14-23) Used'!BJ49</f>
        <v>48</v>
      </c>
      <c r="N49" s="6">
        <f t="shared" si="3"/>
        <v>-7179191.8731795801</v>
      </c>
      <c r="O49" s="6">
        <f t="shared" ca="1" si="14"/>
        <v>3789260.5786533868</v>
      </c>
      <c r="P49" s="6">
        <f t="shared" ca="1" si="15"/>
        <v>0</v>
      </c>
      <c r="Q49" s="6">
        <f t="shared" si="16"/>
        <v>0</v>
      </c>
      <c r="R49" s="6">
        <f t="shared" si="17"/>
        <v>0</v>
      </c>
      <c r="S49" s="6">
        <f t="shared" si="18"/>
        <v>23117235.833798315</v>
      </c>
      <c r="T49" s="6">
        <f t="shared" si="19"/>
        <v>0</v>
      </c>
      <c r="U49" s="6">
        <f t="shared" si="20"/>
        <v>1038845.694332256</v>
      </c>
      <c r="V49" s="6">
        <f t="shared" ca="1" si="21"/>
        <v>20766150.233604379</v>
      </c>
    </row>
    <row r="50" spans="1:22">
      <c r="A50" s="197">
        <v>43101</v>
      </c>
      <c r="B50">
        <f t="shared" si="22"/>
        <v>1</v>
      </c>
      <c r="C50">
        <f t="shared" si="23"/>
        <v>2018</v>
      </c>
      <c r="D50" s="6">
        <f>'Monthly Data (longer 09-23)'!E110</f>
        <v>22336162.245851178</v>
      </c>
      <c r="E50" s="7">
        <f t="shared" ca="1" si="24"/>
        <v>671</v>
      </c>
      <c r="F50" s="7">
        <f t="shared" ca="1" si="24"/>
        <v>0</v>
      </c>
      <c r="G50" s="6">
        <f>'Monthly Data (14-23) Used'!DD50</f>
        <v>0</v>
      </c>
      <c r="H50">
        <f>'Monthly Data (14-23) Used'!DG50</f>
        <v>0</v>
      </c>
      <c r="I50" s="6">
        <f>'Monthly Data (14-23) Used'!CB50</f>
        <v>31</v>
      </c>
      <c r="J50" s="6">
        <f>'Monthly Data (14-23) Used'!CA50</f>
        <v>0</v>
      </c>
      <c r="K50" s="6">
        <f>'Monthly Data (14-23) Used'!BJ50</f>
        <v>49</v>
      </c>
      <c r="N50" s="6">
        <f t="shared" si="3"/>
        <v>-7179191.8731795801</v>
      </c>
      <c r="O50" s="6">
        <f t="shared" ca="1" si="14"/>
        <v>4763463.3798760185</v>
      </c>
      <c r="P50" s="6">
        <f t="shared" ca="1" si="15"/>
        <v>0</v>
      </c>
      <c r="Q50" s="6">
        <f t="shared" si="16"/>
        <v>0</v>
      </c>
      <c r="R50" s="6">
        <f t="shared" si="17"/>
        <v>0</v>
      </c>
      <c r="S50" s="6">
        <f t="shared" si="18"/>
        <v>23117235.833798315</v>
      </c>
      <c r="T50" s="6">
        <f t="shared" si="19"/>
        <v>0</v>
      </c>
      <c r="U50" s="6">
        <f t="shared" si="20"/>
        <v>1060488.3129641779</v>
      </c>
      <c r="V50" s="6">
        <f t="shared" ca="1" si="21"/>
        <v>21761995.653458931</v>
      </c>
    </row>
    <row r="51" spans="1:22">
      <c r="A51" s="197">
        <v>43132</v>
      </c>
      <c r="B51">
        <f t="shared" si="22"/>
        <v>2</v>
      </c>
      <c r="C51">
        <f t="shared" si="23"/>
        <v>2018</v>
      </c>
      <c r="D51" s="6">
        <f>'Monthly Data (longer 09-23)'!E111</f>
        <v>19216319.245851178</v>
      </c>
      <c r="E51" s="7">
        <f t="shared" ca="1" si="24"/>
        <v>595.51355229914111</v>
      </c>
      <c r="F51" s="7">
        <f t="shared" ca="1" si="24"/>
        <v>0</v>
      </c>
      <c r="G51" s="6">
        <f>'Monthly Data (14-23) Used'!DD51</f>
        <v>0</v>
      </c>
      <c r="H51">
        <f>'Monthly Data (14-23) Used'!DG51</f>
        <v>0</v>
      </c>
      <c r="I51" s="6">
        <f>'Monthly Data (14-23) Used'!CB51</f>
        <v>28</v>
      </c>
      <c r="J51" s="6">
        <f>'Monthly Data (14-23) Used'!CA51</f>
        <v>0</v>
      </c>
      <c r="K51" s="6">
        <f>'Monthly Data (14-23) Used'!BJ51</f>
        <v>50</v>
      </c>
      <c r="N51" s="6">
        <f t="shared" si="3"/>
        <v>-7179191.8731795801</v>
      </c>
      <c r="O51" s="6">
        <f t="shared" ca="1" si="14"/>
        <v>4227581.2199654849</v>
      </c>
      <c r="P51" s="6">
        <f t="shared" ca="1" si="15"/>
        <v>0</v>
      </c>
      <c r="Q51" s="6">
        <f t="shared" si="16"/>
        <v>0</v>
      </c>
      <c r="R51" s="6">
        <f t="shared" si="17"/>
        <v>0</v>
      </c>
      <c r="S51" s="6">
        <f t="shared" si="18"/>
        <v>20880083.978914607</v>
      </c>
      <c r="T51" s="6">
        <f t="shared" si="19"/>
        <v>0</v>
      </c>
      <c r="U51" s="6">
        <f t="shared" si="20"/>
        <v>1082130.9315960999</v>
      </c>
      <c r="V51" s="6">
        <f t="shared" ca="1" si="21"/>
        <v>19010604.257296614</v>
      </c>
    </row>
    <row r="52" spans="1:22">
      <c r="A52" s="197">
        <v>43160</v>
      </c>
      <c r="B52">
        <f t="shared" si="22"/>
        <v>3</v>
      </c>
      <c r="C52">
        <f t="shared" si="23"/>
        <v>2018</v>
      </c>
      <c r="D52" s="6">
        <f>'Monthly Data (longer 09-23)'!E112</f>
        <v>18321227.245851178</v>
      </c>
      <c r="E52" s="7">
        <f t="shared" ca="1" si="24"/>
        <v>496.46355229914104</v>
      </c>
      <c r="F52" s="7">
        <f t="shared" ca="1" si="24"/>
        <v>0</v>
      </c>
      <c r="G52" s="6">
        <f>'Monthly Data (14-23) Used'!DD52</f>
        <v>0</v>
      </c>
      <c r="H52">
        <f>'Monthly Data (14-23) Used'!DG52</f>
        <v>0</v>
      </c>
      <c r="I52" s="6">
        <f>'Monthly Data (14-23) Used'!CB52</f>
        <v>31</v>
      </c>
      <c r="J52" s="6">
        <f>'Monthly Data (14-23) Used'!CA52</f>
        <v>1</v>
      </c>
      <c r="K52" s="6">
        <f>'Monthly Data (14-23) Used'!BJ52</f>
        <v>51</v>
      </c>
      <c r="N52" s="6">
        <f t="shared" si="3"/>
        <v>-7179191.8731795801</v>
      </c>
      <c r="O52" s="6">
        <f t="shared" ca="1" si="14"/>
        <v>3524420.194962922</v>
      </c>
      <c r="P52" s="6">
        <f t="shared" ca="1" si="15"/>
        <v>0</v>
      </c>
      <c r="Q52" s="6">
        <f t="shared" si="16"/>
        <v>0</v>
      </c>
      <c r="R52" s="6">
        <f t="shared" si="17"/>
        <v>0</v>
      </c>
      <c r="S52" s="6">
        <f t="shared" si="18"/>
        <v>23117235.833798315</v>
      </c>
      <c r="T52" s="6">
        <f t="shared" si="19"/>
        <v>-1713930.83126266</v>
      </c>
      <c r="U52" s="6">
        <f t="shared" si="20"/>
        <v>1103773.550228022</v>
      </c>
      <c r="V52" s="6">
        <f t="shared" ca="1" si="21"/>
        <v>18852306.87454702</v>
      </c>
    </row>
    <row r="53" spans="1:22">
      <c r="A53" s="197">
        <v>43191</v>
      </c>
      <c r="B53">
        <f t="shared" si="22"/>
        <v>4</v>
      </c>
      <c r="C53">
        <f t="shared" si="23"/>
        <v>2018</v>
      </c>
      <c r="D53" s="6">
        <f>'Monthly Data (longer 09-23)'!E113</f>
        <v>17447768.245851178</v>
      </c>
      <c r="E53" s="7">
        <f t="shared" ca="1" si="24"/>
        <v>296.23000000000008</v>
      </c>
      <c r="F53" s="7">
        <f t="shared" ca="1" si="24"/>
        <v>3.0799999999999996</v>
      </c>
      <c r="G53" s="6">
        <f>'Monthly Data (14-23) Used'!DD53</f>
        <v>0</v>
      </c>
      <c r="H53">
        <f>'Monthly Data (14-23) Used'!DG53</f>
        <v>0</v>
      </c>
      <c r="I53" s="6">
        <f>'Monthly Data (14-23) Used'!CB53</f>
        <v>30</v>
      </c>
      <c r="J53" s="6">
        <f>'Monthly Data (14-23) Used'!CA53</f>
        <v>1</v>
      </c>
      <c r="K53" s="6">
        <f>'Monthly Data (14-23) Used'!BJ53</f>
        <v>52</v>
      </c>
      <c r="N53" s="6">
        <f t="shared" si="3"/>
        <v>-7179191.8731795801</v>
      </c>
      <c r="O53" s="6">
        <f t="shared" ca="1" si="14"/>
        <v>2102951.9478698559</v>
      </c>
      <c r="P53" s="6">
        <f t="shared" ca="1" si="15"/>
        <v>205175.59510018706</v>
      </c>
      <c r="Q53" s="6">
        <f t="shared" si="16"/>
        <v>0</v>
      </c>
      <c r="R53" s="6">
        <f t="shared" si="17"/>
        <v>0</v>
      </c>
      <c r="S53" s="6">
        <f t="shared" si="18"/>
        <v>22371518.548837077</v>
      </c>
      <c r="T53" s="6">
        <f t="shared" si="19"/>
        <v>-1713930.83126266</v>
      </c>
      <c r="U53" s="6">
        <f t="shared" si="20"/>
        <v>1125416.168859944</v>
      </c>
      <c r="V53" s="6">
        <f t="shared" ca="1" si="21"/>
        <v>16911939.556224823</v>
      </c>
    </row>
    <row r="54" spans="1:22">
      <c r="A54" s="197">
        <v>43221</v>
      </c>
      <c r="B54">
        <f t="shared" si="22"/>
        <v>5</v>
      </c>
      <c r="C54">
        <f t="shared" si="23"/>
        <v>2018</v>
      </c>
      <c r="D54" s="6">
        <f>'Monthly Data (longer 09-23)'!E114</f>
        <v>20454320.245851178</v>
      </c>
      <c r="E54" s="7">
        <f t="shared" ca="1" si="24"/>
        <v>116.90355229914098</v>
      </c>
      <c r="F54" s="7">
        <f t="shared" ca="1" si="24"/>
        <v>53.286447700859014</v>
      </c>
      <c r="G54" s="6">
        <f>'Monthly Data (14-23) Used'!DD54</f>
        <v>0</v>
      </c>
      <c r="H54">
        <f>'Monthly Data (14-23) Used'!DG54</f>
        <v>0</v>
      </c>
      <c r="I54" s="6">
        <f>'Monthly Data (14-23) Used'!CB54</f>
        <v>31</v>
      </c>
      <c r="J54" s="6">
        <f>'Monthly Data (14-23) Used'!CA54</f>
        <v>1</v>
      </c>
      <c r="K54" s="6">
        <f>'Monthly Data (14-23) Used'!BJ54</f>
        <v>53</v>
      </c>
      <c r="N54" s="6">
        <f t="shared" si="3"/>
        <v>-7179191.8731795801</v>
      </c>
      <c r="O54" s="6">
        <f t="shared" ca="1" si="14"/>
        <v>829904.30753260653</v>
      </c>
      <c r="P54" s="6">
        <f t="shared" ca="1" si="15"/>
        <v>3549700.8499346571</v>
      </c>
      <c r="Q54" s="6">
        <f t="shared" si="16"/>
        <v>0</v>
      </c>
      <c r="R54" s="6">
        <f t="shared" si="17"/>
        <v>0</v>
      </c>
      <c r="S54" s="6">
        <f t="shared" si="18"/>
        <v>23117235.833798315</v>
      </c>
      <c r="T54" s="6">
        <f t="shared" si="19"/>
        <v>-1713930.83126266</v>
      </c>
      <c r="U54" s="6">
        <f t="shared" si="20"/>
        <v>1147058.7874918659</v>
      </c>
      <c r="V54" s="6">
        <f t="shared" ca="1" si="21"/>
        <v>19750777.074315205</v>
      </c>
    </row>
    <row r="55" spans="1:22">
      <c r="A55" s="197">
        <v>43252</v>
      </c>
      <c r="B55">
        <f t="shared" si="22"/>
        <v>6</v>
      </c>
      <c r="C55">
        <f t="shared" si="23"/>
        <v>2018</v>
      </c>
      <c r="D55" s="6">
        <f>'Monthly Data (longer 09-23)'!E115</f>
        <v>25949584.245851178</v>
      </c>
      <c r="E55" s="7">
        <f t="shared" ca="1" si="24"/>
        <v>11.023552299140979</v>
      </c>
      <c r="F55" s="7">
        <f t="shared" ca="1" si="24"/>
        <v>145.07</v>
      </c>
      <c r="G55" s="6">
        <f>'Monthly Data (14-23) Used'!DD55</f>
        <v>0</v>
      </c>
      <c r="H55">
        <f>'Monthly Data (14-23) Used'!DG55</f>
        <v>0</v>
      </c>
      <c r="I55" s="6">
        <f>'Monthly Data (14-23) Used'!CB55</f>
        <v>30</v>
      </c>
      <c r="J55" s="6">
        <f>'Monthly Data (14-23) Used'!CA55</f>
        <v>0</v>
      </c>
      <c r="K55" s="6">
        <f>'Monthly Data (14-23) Used'!BJ55</f>
        <v>54</v>
      </c>
      <c r="N55" s="6">
        <f t="shared" ref="N55:N118" si="25">$Z$8</f>
        <v>-7179191.8731795801</v>
      </c>
      <c r="O55" s="6">
        <f t="shared" ref="O55:O77" ca="1" si="26">E55*$Z$9</f>
        <v>78256.76258287055</v>
      </c>
      <c r="P55" s="6">
        <f t="shared" ref="P55:P77" ca="1" si="27">F55*$Z$10</f>
        <v>9663903.7601247206</v>
      </c>
      <c r="Q55" s="6">
        <f t="shared" ref="Q55:Q77" si="28">G55*$Z$11</f>
        <v>0</v>
      </c>
      <c r="R55" s="6">
        <f t="shared" ref="R55:R77" si="29">H55*$Z$12</f>
        <v>0</v>
      </c>
      <c r="S55" s="6">
        <f t="shared" ref="S55:S77" si="30">I55*$Z$13</f>
        <v>22371518.548837077</v>
      </c>
      <c r="T55" s="6">
        <f t="shared" ref="T55:T77" si="31">J55*$Z$14</f>
        <v>0</v>
      </c>
      <c r="U55" s="6">
        <f t="shared" ref="U55:U77" si="32">K55*$Z$15</f>
        <v>1168701.4061237881</v>
      </c>
      <c r="V55" s="6">
        <f t="shared" ref="V55:V109" ca="1" si="33">SUM(N55:U55)</f>
        <v>26103188.604488876</v>
      </c>
    </row>
    <row r="56" spans="1:22">
      <c r="A56" s="197">
        <v>43282</v>
      </c>
      <c r="B56">
        <f t="shared" si="22"/>
        <v>7</v>
      </c>
      <c r="C56">
        <f t="shared" si="23"/>
        <v>2018</v>
      </c>
      <c r="D56" s="6">
        <f>'Monthly Data (longer 09-23)'!E116</f>
        <v>33050239.245851178</v>
      </c>
      <c r="E56" s="7">
        <f t="shared" ca="1" si="24"/>
        <v>0.75</v>
      </c>
      <c r="F56" s="7">
        <f t="shared" ca="1" si="24"/>
        <v>211.23289540171805</v>
      </c>
      <c r="G56" s="6">
        <f>'Monthly Data (14-23) Used'!DD56</f>
        <v>0</v>
      </c>
      <c r="H56">
        <f>'Monthly Data (14-23) Used'!DG56</f>
        <v>0</v>
      </c>
      <c r="I56" s="6">
        <f>'Monthly Data (14-23) Used'!CB56</f>
        <v>31</v>
      </c>
      <c r="J56" s="6">
        <f>'Monthly Data (14-23) Used'!CA56</f>
        <v>0</v>
      </c>
      <c r="K56" s="6">
        <f>'Monthly Data (14-23) Used'!BJ56</f>
        <v>55</v>
      </c>
      <c r="N56" s="6">
        <f t="shared" si="25"/>
        <v>-7179191.8731795801</v>
      </c>
      <c r="O56" s="6">
        <f t="shared" ca="1" si="26"/>
        <v>5324.2884275812421</v>
      </c>
      <c r="P56" s="6">
        <f t="shared" ca="1" si="27"/>
        <v>14071375.006098401</v>
      </c>
      <c r="Q56" s="6">
        <f t="shared" si="28"/>
        <v>0</v>
      </c>
      <c r="R56" s="6">
        <f t="shared" si="29"/>
        <v>0</v>
      </c>
      <c r="S56" s="6">
        <f t="shared" si="30"/>
        <v>23117235.833798315</v>
      </c>
      <c r="T56" s="6">
        <f t="shared" si="31"/>
        <v>0</v>
      </c>
      <c r="U56" s="6">
        <f t="shared" si="32"/>
        <v>1190344.02475571</v>
      </c>
      <c r="V56" s="6">
        <f t="shared" ca="1" si="33"/>
        <v>31205087.279900424</v>
      </c>
    </row>
    <row r="57" spans="1:22">
      <c r="A57" s="197">
        <v>43313</v>
      </c>
      <c r="B57">
        <f t="shared" si="22"/>
        <v>8</v>
      </c>
      <c r="C57">
        <f t="shared" si="23"/>
        <v>2018</v>
      </c>
      <c r="D57" s="6">
        <f>'Monthly Data (longer 09-23)'!E117</f>
        <v>32860565.245851178</v>
      </c>
      <c r="E57" s="7">
        <f t="shared" ca="1" si="24"/>
        <v>2.7971045982819609</v>
      </c>
      <c r="F57" s="7">
        <f t="shared" ca="1" si="24"/>
        <v>183.87605861546231</v>
      </c>
      <c r="G57" s="6">
        <f>'Monthly Data (14-23) Used'!DD57</f>
        <v>0</v>
      </c>
      <c r="H57">
        <f>'Monthly Data (14-23) Used'!DG57</f>
        <v>0</v>
      </c>
      <c r="I57" s="6">
        <f>'Monthly Data (14-23) Used'!CB57</f>
        <v>31</v>
      </c>
      <c r="J57" s="6">
        <f>'Monthly Data (14-23) Used'!CA57</f>
        <v>0</v>
      </c>
      <c r="K57" s="6">
        <f>'Monthly Data (14-23) Used'!BJ57</f>
        <v>56</v>
      </c>
      <c r="N57" s="6">
        <f t="shared" si="25"/>
        <v>-7179191.8731795801</v>
      </c>
      <c r="O57" s="6">
        <f t="shared" ca="1" si="26"/>
        <v>19856.788857822565</v>
      </c>
      <c r="P57" s="6">
        <f t="shared" ca="1" si="27"/>
        <v>12248986.932176741</v>
      </c>
      <c r="Q57" s="6">
        <f t="shared" si="28"/>
        <v>0</v>
      </c>
      <c r="R57" s="6">
        <f t="shared" si="29"/>
        <v>0</v>
      </c>
      <c r="S57" s="6">
        <f t="shared" si="30"/>
        <v>23117235.833798315</v>
      </c>
      <c r="T57" s="6">
        <f t="shared" si="31"/>
        <v>0</v>
      </c>
      <c r="U57" s="6">
        <f t="shared" si="32"/>
        <v>1211986.643387632</v>
      </c>
      <c r="V57" s="6">
        <f t="shared" ca="1" si="33"/>
        <v>29418874.325040929</v>
      </c>
    </row>
    <row r="58" spans="1:22">
      <c r="A58" s="197">
        <v>43344</v>
      </c>
      <c r="B58">
        <f t="shared" si="22"/>
        <v>9</v>
      </c>
      <c r="C58">
        <f t="shared" si="23"/>
        <v>2018</v>
      </c>
      <c r="D58" s="6">
        <f>'Monthly Data (longer 09-23)'!E118</f>
        <v>24883110.245851178</v>
      </c>
      <c r="E58" s="7">
        <f t="shared" ca="1" si="24"/>
        <v>39.200656897422931</v>
      </c>
      <c r="F58" s="7">
        <f t="shared" ca="1" si="24"/>
        <v>90.709343102577066</v>
      </c>
      <c r="G58" s="6">
        <f>'Monthly Data (14-23) Used'!DD58</f>
        <v>0</v>
      </c>
      <c r="H58">
        <f>'Monthly Data (14-23) Used'!DG58</f>
        <v>0</v>
      </c>
      <c r="I58" s="6">
        <f>'Monthly Data (14-23) Used'!CB58</f>
        <v>30</v>
      </c>
      <c r="J58" s="6">
        <f>'Monthly Data (14-23) Used'!CA58</f>
        <v>0</v>
      </c>
      <c r="K58" s="6">
        <f>'Monthly Data (14-23) Used'!BJ58</f>
        <v>57</v>
      </c>
      <c r="N58" s="6">
        <f t="shared" si="25"/>
        <v>-7179191.8731795801</v>
      </c>
      <c r="O58" s="6">
        <f t="shared" ca="1" si="26"/>
        <v>278287.47183004231</v>
      </c>
      <c r="P58" s="6">
        <f t="shared" ca="1" si="27"/>
        <v>6042643.9779929547</v>
      </c>
      <c r="Q58" s="6">
        <f t="shared" si="28"/>
        <v>0</v>
      </c>
      <c r="R58" s="6">
        <f t="shared" si="29"/>
        <v>0</v>
      </c>
      <c r="S58" s="6">
        <f t="shared" si="30"/>
        <v>22371518.548837077</v>
      </c>
      <c r="T58" s="6">
        <f t="shared" si="31"/>
        <v>0</v>
      </c>
      <c r="U58" s="6">
        <f t="shared" si="32"/>
        <v>1233629.2620195539</v>
      </c>
      <c r="V58" s="6">
        <f t="shared" ca="1" si="33"/>
        <v>22746887.387500048</v>
      </c>
    </row>
    <row r="59" spans="1:22">
      <c r="A59" s="197">
        <v>43374</v>
      </c>
      <c r="B59">
        <f t="shared" si="22"/>
        <v>10</v>
      </c>
      <c r="C59">
        <f t="shared" si="23"/>
        <v>2018</v>
      </c>
      <c r="D59" s="6">
        <f>'Monthly Data (longer 09-23)'!E119</f>
        <v>18771880.245851178</v>
      </c>
      <c r="E59" s="7">
        <f t="shared" ca="1" si="24"/>
        <v>194.90420919656393</v>
      </c>
      <c r="F59" s="7">
        <f t="shared" ca="1" si="24"/>
        <v>20.479999999999997</v>
      </c>
      <c r="G59" s="6">
        <f>'Monthly Data (14-23) Used'!DD59</f>
        <v>0</v>
      </c>
      <c r="H59">
        <f>'Monthly Data (14-23) Used'!DG59</f>
        <v>0</v>
      </c>
      <c r="I59" s="6">
        <f>'Monthly Data (14-23) Used'!CB59</f>
        <v>31</v>
      </c>
      <c r="J59" s="6">
        <f>'Monthly Data (14-23) Used'!CA59</f>
        <v>1</v>
      </c>
      <c r="K59" s="6">
        <f>'Monthly Data (14-23) Used'!BJ59</f>
        <v>58</v>
      </c>
      <c r="N59" s="6">
        <f t="shared" si="25"/>
        <v>-7179191.8731795801</v>
      </c>
      <c r="O59" s="6">
        <f t="shared" ca="1" si="26"/>
        <v>1383634.9673495186</v>
      </c>
      <c r="P59" s="6">
        <f t="shared" ca="1" si="27"/>
        <v>1364284.4765103348</v>
      </c>
      <c r="Q59" s="6">
        <f t="shared" si="28"/>
        <v>0</v>
      </c>
      <c r="R59" s="6">
        <f t="shared" si="29"/>
        <v>0</v>
      </c>
      <c r="S59" s="6">
        <f t="shared" si="30"/>
        <v>23117235.833798315</v>
      </c>
      <c r="T59" s="6">
        <f t="shared" si="31"/>
        <v>-1713930.83126266</v>
      </c>
      <c r="U59" s="6">
        <f t="shared" si="32"/>
        <v>1255271.8806514759</v>
      </c>
      <c r="V59" s="6">
        <f t="shared" ca="1" si="33"/>
        <v>18227304.453867406</v>
      </c>
    </row>
    <row r="60" spans="1:22">
      <c r="A60" s="197">
        <v>43405</v>
      </c>
      <c r="B60">
        <f t="shared" si="22"/>
        <v>11</v>
      </c>
      <c r="C60">
        <f t="shared" si="23"/>
        <v>2018</v>
      </c>
      <c r="D60" s="6">
        <f>'Monthly Data (longer 09-23)'!E120</f>
        <v>18982383.245851178</v>
      </c>
      <c r="E60" s="7">
        <f t="shared" ca="1" si="24"/>
        <v>404.02065689742301</v>
      </c>
      <c r="F60" s="7">
        <f t="shared" ca="1" si="24"/>
        <v>0.6699999999999996</v>
      </c>
      <c r="G60" s="6">
        <f>'Monthly Data (14-23) Used'!DD60</f>
        <v>0</v>
      </c>
      <c r="H60">
        <f>'Monthly Data (14-23) Used'!DG60</f>
        <v>0</v>
      </c>
      <c r="I60" s="6">
        <f>'Monthly Data (14-23) Used'!CB60</f>
        <v>30</v>
      </c>
      <c r="J60" s="6">
        <f>'Monthly Data (14-23) Used'!CA60</f>
        <v>1</v>
      </c>
      <c r="K60" s="6">
        <f>'Monthly Data (14-23) Used'!BJ60</f>
        <v>59</v>
      </c>
      <c r="N60" s="6">
        <f t="shared" si="25"/>
        <v>-7179191.8731795801</v>
      </c>
      <c r="O60" s="6">
        <f t="shared" ca="1" si="26"/>
        <v>2868163.3440302946</v>
      </c>
      <c r="P60" s="6">
        <f t="shared" ca="1" si="27"/>
        <v>44632.353479586127</v>
      </c>
      <c r="Q60" s="6">
        <f t="shared" si="28"/>
        <v>0</v>
      </c>
      <c r="R60" s="6">
        <f t="shared" si="29"/>
        <v>0</v>
      </c>
      <c r="S60" s="6">
        <f t="shared" si="30"/>
        <v>22371518.548837077</v>
      </c>
      <c r="T60" s="6">
        <f t="shared" si="31"/>
        <v>-1713930.83126266</v>
      </c>
      <c r="U60" s="6">
        <f t="shared" si="32"/>
        <v>1276914.499283398</v>
      </c>
      <c r="V60" s="6">
        <f t="shared" ca="1" si="33"/>
        <v>17668106.041188117</v>
      </c>
    </row>
    <row r="61" spans="1:22">
      <c r="A61" s="197">
        <v>43435</v>
      </c>
      <c r="B61">
        <f t="shared" si="22"/>
        <v>12</v>
      </c>
      <c r="C61">
        <f t="shared" si="23"/>
        <v>2018</v>
      </c>
      <c r="D61" s="6">
        <f>'Monthly Data (longer 09-23)'!E121</f>
        <v>21382567.245851178</v>
      </c>
      <c r="E61" s="7">
        <f t="shared" ca="1" si="24"/>
        <v>533.7700000000001</v>
      </c>
      <c r="F61" s="7">
        <f t="shared" ca="1" si="24"/>
        <v>0</v>
      </c>
      <c r="G61" s="6">
        <f>'Monthly Data (14-23) Used'!DD61</f>
        <v>0</v>
      </c>
      <c r="H61">
        <f>'Monthly Data (14-23) Used'!DG61</f>
        <v>0</v>
      </c>
      <c r="I61" s="6">
        <f>'Monthly Data (14-23) Used'!CB61</f>
        <v>31</v>
      </c>
      <c r="J61" s="6">
        <f>'Monthly Data (14-23) Used'!CA61</f>
        <v>0</v>
      </c>
      <c r="K61" s="6">
        <f>'Monthly Data (14-23) Used'!BJ61</f>
        <v>60</v>
      </c>
      <c r="N61" s="6">
        <f t="shared" si="25"/>
        <v>-7179191.8731795801</v>
      </c>
      <c r="O61" s="6">
        <f t="shared" ca="1" si="26"/>
        <v>3789260.5786533868</v>
      </c>
      <c r="P61" s="6">
        <f t="shared" ca="1" si="27"/>
        <v>0</v>
      </c>
      <c r="Q61" s="6">
        <f t="shared" si="28"/>
        <v>0</v>
      </c>
      <c r="R61" s="6">
        <f t="shared" si="29"/>
        <v>0</v>
      </c>
      <c r="S61" s="6">
        <f t="shared" si="30"/>
        <v>23117235.833798315</v>
      </c>
      <c r="T61" s="6">
        <f t="shared" si="31"/>
        <v>0</v>
      </c>
      <c r="U61" s="6">
        <f t="shared" si="32"/>
        <v>1298557.11791532</v>
      </c>
      <c r="V61" s="6">
        <f t="shared" ca="1" si="33"/>
        <v>21025861.657187443</v>
      </c>
    </row>
    <row r="62" spans="1:22">
      <c r="A62" s="197">
        <v>43466</v>
      </c>
      <c r="B62">
        <f t="shared" si="22"/>
        <v>1</v>
      </c>
      <c r="C62">
        <f t="shared" si="23"/>
        <v>2019</v>
      </c>
      <c r="D62" s="6">
        <f>'Monthly Data (longer 09-23)'!E122</f>
        <v>21716101.81829688</v>
      </c>
      <c r="E62" s="7">
        <f t="shared" ref="E62:F81" ca="1" si="34">E50</f>
        <v>671</v>
      </c>
      <c r="F62" s="7">
        <f t="shared" ca="1" si="34"/>
        <v>0</v>
      </c>
      <c r="G62" s="6">
        <f>'Monthly Data (14-23) Used'!DD62</f>
        <v>0</v>
      </c>
      <c r="H62">
        <f>'Monthly Data (14-23) Used'!DG62</f>
        <v>0</v>
      </c>
      <c r="I62" s="6">
        <f>'Monthly Data (14-23) Used'!CB62</f>
        <v>31</v>
      </c>
      <c r="J62" s="6">
        <f>'Monthly Data (14-23) Used'!CA62</f>
        <v>0</v>
      </c>
      <c r="K62" s="6">
        <f>'Monthly Data (14-23) Used'!BJ62</f>
        <v>61</v>
      </c>
      <c r="N62" s="6">
        <f t="shared" si="25"/>
        <v>-7179191.8731795801</v>
      </c>
      <c r="O62" s="6">
        <f t="shared" ca="1" si="26"/>
        <v>4763463.3798760185</v>
      </c>
      <c r="P62" s="6">
        <f t="shared" ca="1" si="27"/>
        <v>0</v>
      </c>
      <c r="Q62" s="6">
        <f t="shared" si="28"/>
        <v>0</v>
      </c>
      <c r="R62" s="6">
        <f t="shared" si="29"/>
        <v>0</v>
      </c>
      <c r="S62" s="6">
        <f t="shared" si="30"/>
        <v>23117235.833798315</v>
      </c>
      <c r="T62" s="6">
        <f t="shared" si="31"/>
        <v>0</v>
      </c>
      <c r="U62" s="6">
        <f t="shared" si="32"/>
        <v>1320199.7365472419</v>
      </c>
      <c r="V62" s="6">
        <f t="shared" ca="1" si="33"/>
        <v>22021707.077041995</v>
      </c>
    </row>
    <row r="63" spans="1:22">
      <c r="A63" s="197">
        <v>43497</v>
      </c>
      <c r="B63">
        <f t="shared" si="22"/>
        <v>2</v>
      </c>
      <c r="C63">
        <f t="shared" si="23"/>
        <v>2019</v>
      </c>
      <c r="D63" s="6">
        <f>'Monthly Data (longer 09-23)'!E123</f>
        <v>19213803.81829688</v>
      </c>
      <c r="E63" s="7">
        <f t="shared" ca="1" si="34"/>
        <v>595.51355229914111</v>
      </c>
      <c r="F63" s="7">
        <f t="shared" ca="1" si="34"/>
        <v>0</v>
      </c>
      <c r="G63" s="6">
        <f>'Monthly Data (14-23) Used'!DD63</f>
        <v>0</v>
      </c>
      <c r="H63">
        <f>'Monthly Data (14-23) Used'!DG63</f>
        <v>0</v>
      </c>
      <c r="I63" s="6">
        <f>'Monthly Data (14-23) Used'!CB63</f>
        <v>28</v>
      </c>
      <c r="J63" s="6">
        <f>'Monthly Data (14-23) Used'!CA63</f>
        <v>0</v>
      </c>
      <c r="K63" s="6">
        <f>'Monthly Data (14-23) Used'!BJ63</f>
        <v>62</v>
      </c>
      <c r="N63" s="6">
        <f t="shared" si="25"/>
        <v>-7179191.8731795801</v>
      </c>
      <c r="O63" s="6">
        <f t="shared" ca="1" si="26"/>
        <v>4227581.2199654849</v>
      </c>
      <c r="P63" s="6">
        <f t="shared" ca="1" si="27"/>
        <v>0</v>
      </c>
      <c r="Q63" s="6">
        <f t="shared" si="28"/>
        <v>0</v>
      </c>
      <c r="R63" s="6">
        <f t="shared" si="29"/>
        <v>0</v>
      </c>
      <c r="S63" s="6">
        <f t="shared" si="30"/>
        <v>20880083.978914607</v>
      </c>
      <c r="T63" s="6">
        <f t="shared" si="31"/>
        <v>0</v>
      </c>
      <c r="U63" s="6">
        <f t="shared" si="32"/>
        <v>1341842.3551791641</v>
      </c>
      <c r="V63" s="6">
        <f t="shared" ca="1" si="33"/>
        <v>19270315.680879679</v>
      </c>
    </row>
    <row r="64" spans="1:22">
      <c r="A64" s="197">
        <v>43525</v>
      </c>
      <c r="B64">
        <f t="shared" si="22"/>
        <v>3</v>
      </c>
      <c r="C64">
        <f t="shared" si="23"/>
        <v>2019</v>
      </c>
      <c r="D64" s="6">
        <f>'Monthly Data (longer 09-23)'!E124</f>
        <v>19623814.81829688</v>
      </c>
      <c r="E64" s="7">
        <f t="shared" ca="1" si="34"/>
        <v>496.46355229914104</v>
      </c>
      <c r="F64" s="7">
        <f t="shared" ca="1" si="34"/>
        <v>0</v>
      </c>
      <c r="G64" s="6">
        <f>'Monthly Data (14-23) Used'!DD64</f>
        <v>0</v>
      </c>
      <c r="H64">
        <f>'Monthly Data (14-23) Used'!DG64</f>
        <v>0</v>
      </c>
      <c r="I64" s="6">
        <f>'Monthly Data (14-23) Used'!CB64</f>
        <v>31</v>
      </c>
      <c r="J64" s="6">
        <f>'Monthly Data (14-23) Used'!CA64</f>
        <v>1</v>
      </c>
      <c r="K64" s="6">
        <f>'Monthly Data (14-23) Used'!BJ64</f>
        <v>63</v>
      </c>
      <c r="N64" s="6">
        <f t="shared" si="25"/>
        <v>-7179191.8731795801</v>
      </c>
      <c r="O64" s="6">
        <f t="shared" ca="1" si="26"/>
        <v>3524420.194962922</v>
      </c>
      <c r="P64" s="6">
        <f t="shared" ca="1" si="27"/>
        <v>0</v>
      </c>
      <c r="Q64" s="6">
        <f t="shared" si="28"/>
        <v>0</v>
      </c>
      <c r="R64" s="6">
        <f t="shared" si="29"/>
        <v>0</v>
      </c>
      <c r="S64" s="6">
        <f t="shared" si="30"/>
        <v>23117235.833798315</v>
      </c>
      <c r="T64" s="6">
        <f t="shared" si="31"/>
        <v>-1713930.83126266</v>
      </c>
      <c r="U64" s="6">
        <f t="shared" si="32"/>
        <v>1363484.973811086</v>
      </c>
      <c r="V64" s="6">
        <f t="shared" ca="1" si="33"/>
        <v>19112018.298130084</v>
      </c>
    </row>
    <row r="65" spans="1:22">
      <c r="A65" s="197">
        <v>43556</v>
      </c>
      <c r="B65">
        <f t="shared" si="22"/>
        <v>4</v>
      </c>
      <c r="C65">
        <f t="shared" si="23"/>
        <v>2019</v>
      </c>
      <c r="D65" s="6">
        <f>'Monthly Data (longer 09-23)'!E125</f>
        <v>16928351.81829688</v>
      </c>
      <c r="E65" s="7">
        <f t="shared" ca="1" si="34"/>
        <v>296.23000000000008</v>
      </c>
      <c r="F65" s="7">
        <f t="shared" ca="1" si="34"/>
        <v>3.0799999999999996</v>
      </c>
      <c r="G65" s="6">
        <f>'Monthly Data (14-23) Used'!DD65</f>
        <v>0</v>
      </c>
      <c r="H65">
        <f>'Monthly Data (14-23) Used'!DG65</f>
        <v>0</v>
      </c>
      <c r="I65" s="6">
        <f>'Monthly Data (14-23) Used'!CB65</f>
        <v>30</v>
      </c>
      <c r="J65" s="6">
        <f>'Monthly Data (14-23) Used'!CA65</f>
        <v>1</v>
      </c>
      <c r="K65" s="6">
        <f>'Monthly Data (14-23) Used'!BJ65</f>
        <v>64</v>
      </c>
      <c r="N65" s="6">
        <f t="shared" si="25"/>
        <v>-7179191.8731795801</v>
      </c>
      <c r="O65" s="6">
        <f t="shared" ca="1" si="26"/>
        <v>2102951.9478698559</v>
      </c>
      <c r="P65" s="6">
        <f t="shared" ca="1" si="27"/>
        <v>205175.59510018706</v>
      </c>
      <c r="Q65" s="6">
        <f t="shared" si="28"/>
        <v>0</v>
      </c>
      <c r="R65" s="6">
        <f t="shared" si="29"/>
        <v>0</v>
      </c>
      <c r="S65" s="6">
        <f t="shared" si="30"/>
        <v>22371518.548837077</v>
      </c>
      <c r="T65" s="6">
        <f t="shared" si="31"/>
        <v>-1713930.83126266</v>
      </c>
      <c r="U65" s="6">
        <f t="shared" si="32"/>
        <v>1385127.592443008</v>
      </c>
      <c r="V65" s="6">
        <f t="shared" ca="1" si="33"/>
        <v>17171650.979807887</v>
      </c>
    </row>
    <row r="66" spans="1:22">
      <c r="A66" s="197">
        <v>43586</v>
      </c>
      <c r="B66">
        <f t="shared" si="22"/>
        <v>5</v>
      </c>
      <c r="C66">
        <f t="shared" si="23"/>
        <v>2019</v>
      </c>
      <c r="D66" s="6">
        <f>'Monthly Data (longer 09-23)'!E126</f>
        <v>17835562.81829688</v>
      </c>
      <c r="E66" s="7">
        <f t="shared" ca="1" si="34"/>
        <v>116.90355229914098</v>
      </c>
      <c r="F66" s="7">
        <f t="shared" ca="1" si="34"/>
        <v>53.286447700859014</v>
      </c>
      <c r="G66" s="6">
        <f>'Monthly Data (14-23) Used'!DD66</f>
        <v>0</v>
      </c>
      <c r="H66">
        <f>'Monthly Data (14-23) Used'!DG66</f>
        <v>0</v>
      </c>
      <c r="I66" s="6">
        <f>'Monthly Data (14-23) Used'!CB66</f>
        <v>31</v>
      </c>
      <c r="J66" s="6">
        <f>'Monthly Data (14-23) Used'!CA66</f>
        <v>1</v>
      </c>
      <c r="K66" s="6">
        <f>'Monthly Data (14-23) Used'!BJ66</f>
        <v>65</v>
      </c>
      <c r="N66" s="6">
        <f t="shared" si="25"/>
        <v>-7179191.8731795801</v>
      </c>
      <c r="O66" s="6">
        <f t="shared" ca="1" si="26"/>
        <v>829904.30753260653</v>
      </c>
      <c r="P66" s="6">
        <f t="shared" ca="1" si="27"/>
        <v>3549700.8499346571</v>
      </c>
      <c r="Q66" s="6">
        <f t="shared" si="28"/>
        <v>0</v>
      </c>
      <c r="R66" s="6">
        <f t="shared" si="29"/>
        <v>0</v>
      </c>
      <c r="S66" s="6">
        <f t="shared" si="30"/>
        <v>23117235.833798315</v>
      </c>
      <c r="T66" s="6">
        <f t="shared" si="31"/>
        <v>-1713930.83126266</v>
      </c>
      <c r="U66" s="6">
        <f t="shared" si="32"/>
        <v>1406770.2110749299</v>
      </c>
      <c r="V66" s="6">
        <f t="shared" ca="1" si="33"/>
        <v>20010488.497898269</v>
      </c>
    </row>
    <row r="67" spans="1:22">
      <c r="A67" s="197">
        <v>43617</v>
      </c>
      <c r="B67">
        <f t="shared" si="22"/>
        <v>6</v>
      </c>
      <c r="C67">
        <f t="shared" si="23"/>
        <v>2019</v>
      </c>
      <c r="D67" s="6">
        <f>'Monthly Data (longer 09-23)'!E127</f>
        <v>23514118.81829688</v>
      </c>
      <c r="E67" s="7">
        <f t="shared" ca="1" si="34"/>
        <v>11.023552299140979</v>
      </c>
      <c r="F67" s="7">
        <f t="shared" ca="1" si="34"/>
        <v>145.07</v>
      </c>
      <c r="G67" s="6">
        <f>'Monthly Data (14-23) Used'!DD67</f>
        <v>0</v>
      </c>
      <c r="H67">
        <f>'Monthly Data (14-23) Used'!DG67</f>
        <v>0</v>
      </c>
      <c r="I67" s="6">
        <f>'Monthly Data (14-23) Used'!CB67</f>
        <v>30</v>
      </c>
      <c r="J67" s="6">
        <f>'Monthly Data (14-23) Used'!CA67</f>
        <v>0</v>
      </c>
      <c r="K67" s="6">
        <f>'Monthly Data (14-23) Used'!BJ67</f>
        <v>66</v>
      </c>
      <c r="N67" s="6">
        <f t="shared" si="25"/>
        <v>-7179191.8731795801</v>
      </c>
      <c r="O67" s="6">
        <f t="shared" ca="1" si="26"/>
        <v>78256.76258287055</v>
      </c>
      <c r="P67" s="6">
        <f t="shared" ca="1" si="27"/>
        <v>9663903.7601247206</v>
      </c>
      <c r="Q67" s="6">
        <f t="shared" si="28"/>
        <v>0</v>
      </c>
      <c r="R67" s="6">
        <f t="shared" si="29"/>
        <v>0</v>
      </c>
      <c r="S67" s="6">
        <f t="shared" si="30"/>
        <v>22371518.548837077</v>
      </c>
      <c r="T67" s="6">
        <f t="shared" si="31"/>
        <v>0</v>
      </c>
      <c r="U67" s="6">
        <f t="shared" si="32"/>
        <v>1428412.8297068519</v>
      </c>
      <c r="V67" s="6">
        <f t="shared" ca="1" si="33"/>
        <v>26362900.02807194</v>
      </c>
    </row>
    <row r="68" spans="1:22">
      <c r="A68" s="197">
        <v>43647</v>
      </c>
      <c r="B68">
        <f t="shared" si="22"/>
        <v>7</v>
      </c>
      <c r="C68">
        <f t="shared" si="23"/>
        <v>2019</v>
      </c>
      <c r="D68" s="6">
        <f>'Monthly Data (longer 09-23)'!E128</f>
        <v>34879844.81829688</v>
      </c>
      <c r="E68" s="7">
        <f t="shared" ca="1" si="34"/>
        <v>0.75</v>
      </c>
      <c r="F68" s="7">
        <f t="shared" ca="1" si="34"/>
        <v>211.23289540171805</v>
      </c>
      <c r="G68" s="6">
        <f>'Monthly Data (14-23) Used'!DD68</f>
        <v>0</v>
      </c>
      <c r="H68">
        <f>'Monthly Data (14-23) Used'!DG68</f>
        <v>0</v>
      </c>
      <c r="I68" s="6">
        <f>'Monthly Data (14-23) Used'!CB68</f>
        <v>31</v>
      </c>
      <c r="J68" s="6">
        <f>'Monthly Data (14-23) Used'!CA68</f>
        <v>0</v>
      </c>
      <c r="K68" s="6">
        <f>'Monthly Data (14-23) Used'!BJ68</f>
        <v>67</v>
      </c>
      <c r="N68" s="6">
        <f t="shared" si="25"/>
        <v>-7179191.8731795801</v>
      </c>
      <c r="O68" s="6">
        <f t="shared" ca="1" si="26"/>
        <v>5324.2884275812421</v>
      </c>
      <c r="P68" s="6">
        <f t="shared" ca="1" si="27"/>
        <v>14071375.006098401</v>
      </c>
      <c r="Q68" s="6">
        <f t="shared" si="28"/>
        <v>0</v>
      </c>
      <c r="R68" s="6">
        <f t="shared" si="29"/>
        <v>0</v>
      </c>
      <c r="S68" s="6">
        <f t="shared" si="30"/>
        <v>23117235.833798315</v>
      </c>
      <c r="T68" s="6">
        <f t="shared" si="31"/>
        <v>0</v>
      </c>
      <c r="U68" s="6">
        <f t="shared" si="32"/>
        <v>1450055.448338774</v>
      </c>
      <c r="V68" s="6">
        <f t="shared" ca="1" si="33"/>
        <v>31464798.703483488</v>
      </c>
    </row>
    <row r="69" spans="1:22">
      <c r="A69" s="197">
        <v>43678</v>
      </c>
      <c r="B69">
        <f t="shared" si="22"/>
        <v>8</v>
      </c>
      <c r="C69">
        <f t="shared" si="23"/>
        <v>2019</v>
      </c>
      <c r="D69" s="6">
        <f>'Monthly Data (longer 09-23)'!E129</f>
        <v>30755784.81829688</v>
      </c>
      <c r="E69" s="7">
        <f t="shared" ca="1" si="34"/>
        <v>2.7971045982819609</v>
      </c>
      <c r="F69" s="7">
        <f t="shared" ca="1" si="34"/>
        <v>183.87605861546231</v>
      </c>
      <c r="G69" s="6">
        <f>'Monthly Data (14-23) Used'!DD69</f>
        <v>0</v>
      </c>
      <c r="H69">
        <f>'Monthly Data (14-23) Used'!DG69</f>
        <v>0</v>
      </c>
      <c r="I69" s="6">
        <f>'Monthly Data (14-23) Used'!CB69</f>
        <v>31</v>
      </c>
      <c r="J69" s="6">
        <f>'Monthly Data (14-23) Used'!CA69</f>
        <v>0</v>
      </c>
      <c r="K69" s="6">
        <f>'Monthly Data (14-23) Used'!BJ69</f>
        <v>68</v>
      </c>
      <c r="N69" s="6">
        <f t="shared" si="25"/>
        <v>-7179191.8731795801</v>
      </c>
      <c r="O69" s="6">
        <f t="shared" ca="1" si="26"/>
        <v>19856.788857822565</v>
      </c>
      <c r="P69" s="6">
        <f t="shared" ca="1" si="27"/>
        <v>12248986.932176741</v>
      </c>
      <c r="Q69" s="6">
        <f t="shared" si="28"/>
        <v>0</v>
      </c>
      <c r="R69" s="6">
        <f t="shared" si="29"/>
        <v>0</v>
      </c>
      <c r="S69" s="6">
        <f t="shared" si="30"/>
        <v>23117235.833798315</v>
      </c>
      <c r="T69" s="6">
        <f t="shared" si="31"/>
        <v>0</v>
      </c>
      <c r="U69" s="6">
        <f t="shared" si="32"/>
        <v>1471698.066970696</v>
      </c>
      <c r="V69" s="6">
        <f t="shared" ca="1" si="33"/>
        <v>29678585.748623993</v>
      </c>
    </row>
    <row r="70" spans="1:22">
      <c r="A70" s="197">
        <v>43709</v>
      </c>
      <c r="B70">
        <f t="shared" si="22"/>
        <v>9</v>
      </c>
      <c r="C70">
        <f t="shared" si="23"/>
        <v>2019</v>
      </c>
      <c r="D70" s="6">
        <f>'Monthly Data (longer 09-23)'!E130</f>
        <v>23830627.81829688</v>
      </c>
      <c r="E70" s="7">
        <f t="shared" ca="1" si="34"/>
        <v>39.200656897422931</v>
      </c>
      <c r="F70" s="7">
        <f t="shared" ca="1" si="34"/>
        <v>90.709343102577066</v>
      </c>
      <c r="G70" s="6">
        <f>'Monthly Data (14-23) Used'!DD70</f>
        <v>0</v>
      </c>
      <c r="H70">
        <f>'Monthly Data (14-23) Used'!DG70</f>
        <v>0</v>
      </c>
      <c r="I70" s="6">
        <f>'Monthly Data (14-23) Used'!CB70</f>
        <v>30</v>
      </c>
      <c r="J70" s="6">
        <f>'Monthly Data (14-23) Used'!CA70</f>
        <v>0</v>
      </c>
      <c r="K70" s="6">
        <f>'Monthly Data (14-23) Used'!BJ70</f>
        <v>69</v>
      </c>
      <c r="N70" s="6">
        <f t="shared" si="25"/>
        <v>-7179191.8731795801</v>
      </c>
      <c r="O70" s="6">
        <f t="shared" ca="1" si="26"/>
        <v>278287.47183004231</v>
      </c>
      <c r="P70" s="6">
        <f t="shared" ca="1" si="27"/>
        <v>6042643.9779929547</v>
      </c>
      <c r="Q70" s="6">
        <f t="shared" si="28"/>
        <v>0</v>
      </c>
      <c r="R70" s="6">
        <f t="shared" si="29"/>
        <v>0</v>
      </c>
      <c r="S70" s="6">
        <f t="shared" si="30"/>
        <v>22371518.548837077</v>
      </c>
      <c r="T70" s="6">
        <f t="shared" si="31"/>
        <v>0</v>
      </c>
      <c r="U70" s="6">
        <f t="shared" si="32"/>
        <v>1493340.6856026179</v>
      </c>
      <c r="V70" s="6">
        <f t="shared" ca="1" si="33"/>
        <v>23006598.811083112</v>
      </c>
    </row>
    <row r="71" spans="1:22">
      <c r="A71" s="197">
        <v>43739</v>
      </c>
      <c r="B71">
        <f t="shared" si="22"/>
        <v>10</v>
      </c>
      <c r="C71">
        <f t="shared" si="23"/>
        <v>2019</v>
      </c>
      <c r="D71" s="6">
        <f>'Monthly Data (longer 09-23)'!E131</f>
        <v>18077838.81829688</v>
      </c>
      <c r="E71" s="7">
        <f t="shared" ca="1" si="34"/>
        <v>194.90420919656393</v>
      </c>
      <c r="F71" s="7">
        <f t="shared" ca="1" si="34"/>
        <v>20.479999999999997</v>
      </c>
      <c r="G71" s="6">
        <f>'Monthly Data (14-23) Used'!DD71</f>
        <v>0</v>
      </c>
      <c r="H71">
        <f>'Monthly Data (14-23) Used'!DG71</f>
        <v>0</v>
      </c>
      <c r="I71" s="6">
        <f>'Monthly Data (14-23) Used'!CB71</f>
        <v>31</v>
      </c>
      <c r="J71" s="6">
        <f>'Monthly Data (14-23) Used'!CA71</f>
        <v>1</v>
      </c>
      <c r="K71" s="6">
        <f>'Monthly Data (14-23) Used'!BJ71</f>
        <v>70</v>
      </c>
      <c r="N71" s="6">
        <f t="shared" si="25"/>
        <v>-7179191.8731795801</v>
      </c>
      <c r="O71" s="6">
        <f t="shared" ca="1" si="26"/>
        <v>1383634.9673495186</v>
      </c>
      <c r="P71" s="6">
        <f t="shared" ca="1" si="27"/>
        <v>1364284.4765103348</v>
      </c>
      <c r="Q71" s="6">
        <f t="shared" si="28"/>
        <v>0</v>
      </c>
      <c r="R71" s="6">
        <f t="shared" si="29"/>
        <v>0</v>
      </c>
      <c r="S71" s="6">
        <f t="shared" si="30"/>
        <v>23117235.833798315</v>
      </c>
      <c r="T71" s="6">
        <f t="shared" si="31"/>
        <v>-1713930.83126266</v>
      </c>
      <c r="U71" s="6">
        <f t="shared" si="32"/>
        <v>1514983.3042345401</v>
      </c>
      <c r="V71" s="6">
        <f t="shared" ca="1" si="33"/>
        <v>18487015.877450466</v>
      </c>
    </row>
    <row r="72" spans="1:22">
      <c r="A72" s="197">
        <v>43770</v>
      </c>
      <c r="B72">
        <f t="shared" si="22"/>
        <v>11</v>
      </c>
      <c r="C72">
        <f t="shared" si="23"/>
        <v>2019</v>
      </c>
      <c r="D72" s="6">
        <f>'Monthly Data (longer 09-23)'!E132</f>
        <v>19283634.81829688</v>
      </c>
      <c r="E72" s="7">
        <f t="shared" ca="1" si="34"/>
        <v>404.02065689742301</v>
      </c>
      <c r="F72" s="7">
        <f t="shared" ca="1" si="34"/>
        <v>0.6699999999999996</v>
      </c>
      <c r="G72" s="6">
        <f>'Monthly Data (14-23) Used'!DD72</f>
        <v>0</v>
      </c>
      <c r="H72">
        <f>'Monthly Data (14-23) Used'!DG72</f>
        <v>0</v>
      </c>
      <c r="I72" s="6">
        <f>'Monthly Data (14-23) Used'!CB72</f>
        <v>30</v>
      </c>
      <c r="J72" s="6">
        <f>'Monthly Data (14-23) Used'!CA72</f>
        <v>1</v>
      </c>
      <c r="K72" s="6">
        <f>'Monthly Data (14-23) Used'!BJ72</f>
        <v>71</v>
      </c>
      <c r="N72" s="6">
        <f t="shared" si="25"/>
        <v>-7179191.8731795801</v>
      </c>
      <c r="O72" s="6">
        <f t="shared" ca="1" si="26"/>
        <v>2868163.3440302946</v>
      </c>
      <c r="P72" s="6">
        <f t="shared" ca="1" si="27"/>
        <v>44632.353479586127</v>
      </c>
      <c r="Q72" s="6">
        <f t="shared" si="28"/>
        <v>0</v>
      </c>
      <c r="R72" s="6">
        <f t="shared" si="29"/>
        <v>0</v>
      </c>
      <c r="S72" s="6">
        <f t="shared" si="30"/>
        <v>22371518.548837077</v>
      </c>
      <c r="T72" s="6">
        <f t="shared" si="31"/>
        <v>-1713930.83126266</v>
      </c>
      <c r="U72" s="6">
        <f t="shared" si="32"/>
        <v>1536625.922866462</v>
      </c>
      <c r="V72" s="6">
        <f t="shared" ca="1" si="33"/>
        <v>17927817.464771181</v>
      </c>
    </row>
    <row r="73" spans="1:22">
      <c r="A73" s="197">
        <v>43800</v>
      </c>
      <c r="B73">
        <f t="shared" si="22"/>
        <v>12</v>
      </c>
      <c r="C73">
        <f t="shared" si="23"/>
        <v>2019</v>
      </c>
      <c r="D73" s="6">
        <f>'Monthly Data (longer 09-23)'!E133</f>
        <v>21585918.81829688</v>
      </c>
      <c r="E73" s="7">
        <f t="shared" ca="1" si="34"/>
        <v>533.7700000000001</v>
      </c>
      <c r="F73" s="7">
        <f t="shared" ca="1" si="34"/>
        <v>0</v>
      </c>
      <c r="G73" s="6">
        <f>'Monthly Data (14-23) Used'!DD73</f>
        <v>0</v>
      </c>
      <c r="H73">
        <f>'Monthly Data (14-23) Used'!DG73</f>
        <v>0</v>
      </c>
      <c r="I73" s="6">
        <f>'Monthly Data (14-23) Used'!CB73</f>
        <v>31</v>
      </c>
      <c r="J73" s="6">
        <f>'Monthly Data (14-23) Used'!CA73</f>
        <v>0</v>
      </c>
      <c r="K73" s="6">
        <f>'Monthly Data (14-23) Used'!BJ73</f>
        <v>72</v>
      </c>
      <c r="N73" s="6">
        <f t="shared" si="25"/>
        <v>-7179191.8731795801</v>
      </c>
      <c r="O73" s="6">
        <f t="shared" ca="1" si="26"/>
        <v>3789260.5786533868</v>
      </c>
      <c r="P73" s="6">
        <f t="shared" ca="1" si="27"/>
        <v>0</v>
      </c>
      <c r="Q73" s="6">
        <f t="shared" si="28"/>
        <v>0</v>
      </c>
      <c r="R73" s="6">
        <f t="shared" si="29"/>
        <v>0</v>
      </c>
      <c r="S73" s="6">
        <f t="shared" si="30"/>
        <v>23117235.833798315</v>
      </c>
      <c r="T73" s="6">
        <f t="shared" si="31"/>
        <v>0</v>
      </c>
      <c r="U73" s="6">
        <f t="shared" si="32"/>
        <v>1558268.541498384</v>
      </c>
      <c r="V73" s="6">
        <f t="shared" ca="1" si="33"/>
        <v>21285573.080770507</v>
      </c>
    </row>
    <row r="74" spans="1:22">
      <c r="A74" s="197">
        <v>43831</v>
      </c>
      <c r="B74">
        <f t="shared" si="22"/>
        <v>1</v>
      </c>
      <c r="C74">
        <f t="shared" si="23"/>
        <v>2020</v>
      </c>
      <c r="D74" s="6">
        <f>'Monthly Data (longer 09-23)'!E134</f>
        <v>20814897.730626732</v>
      </c>
      <c r="E74" s="7">
        <f t="shared" ca="1" si="34"/>
        <v>671</v>
      </c>
      <c r="F74" s="7">
        <f t="shared" ca="1" si="34"/>
        <v>0</v>
      </c>
      <c r="G74" s="6">
        <f>'Monthly Data (14-23) Used'!DD74</f>
        <v>0</v>
      </c>
      <c r="H74">
        <f>'Monthly Data (14-23) Used'!DG74</f>
        <v>0</v>
      </c>
      <c r="I74" s="6">
        <f>'Monthly Data (14-23) Used'!CB74</f>
        <v>31</v>
      </c>
      <c r="J74" s="6">
        <f>'Monthly Data (14-23) Used'!CA74</f>
        <v>0</v>
      </c>
      <c r="K74" s="6">
        <f>'Monthly Data (14-23) Used'!BJ74</f>
        <v>73</v>
      </c>
      <c r="M74" t="s">
        <v>81</v>
      </c>
      <c r="N74" s="6">
        <f t="shared" si="25"/>
        <v>-7179191.8731795801</v>
      </c>
      <c r="O74" s="6">
        <f t="shared" ca="1" si="26"/>
        <v>4763463.3798760185</v>
      </c>
      <c r="P74" s="6">
        <f t="shared" ca="1" si="27"/>
        <v>0</v>
      </c>
      <c r="Q74" s="6">
        <f t="shared" si="28"/>
        <v>0</v>
      </c>
      <c r="R74" s="6">
        <f t="shared" si="29"/>
        <v>0</v>
      </c>
      <c r="S74" s="6">
        <f t="shared" si="30"/>
        <v>23117235.833798315</v>
      </c>
      <c r="T74" s="6">
        <f t="shared" si="31"/>
        <v>0</v>
      </c>
      <c r="U74" s="6">
        <f t="shared" si="32"/>
        <v>1579911.1601303059</v>
      </c>
      <c r="V74" s="6">
        <f t="shared" ca="1" si="33"/>
        <v>22281418.500625059</v>
      </c>
    </row>
    <row r="75" spans="1:22">
      <c r="A75" s="197">
        <v>43862</v>
      </c>
      <c r="B75">
        <f t="shared" si="22"/>
        <v>2</v>
      </c>
      <c r="C75">
        <f t="shared" si="23"/>
        <v>2020</v>
      </c>
      <c r="D75" s="6">
        <f>'Monthly Data (longer 09-23)'!E135</f>
        <v>19314397.730626732</v>
      </c>
      <c r="E75" s="7">
        <f t="shared" ca="1" si="34"/>
        <v>595.51355229914111</v>
      </c>
      <c r="F75" s="7">
        <f t="shared" ca="1" si="34"/>
        <v>0</v>
      </c>
      <c r="G75" s="6">
        <f ca="1">E75*M75</f>
        <v>0</v>
      </c>
      <c r="H75" s="6">
        <f ca="1">F75*M75</f>
        <v>0</v>
      </c>
      <c r="I75" s="6">
        <f>'Monthly Data (14-23) Used'!CB75</f>
        <v>29</v>
      </c>
      <c r="J75" s="6">
        <f>'Monthly Data (14-23) Used'!CA75</f>
        <v>0</v>
      </c>
      <c r="K75" s="6">
        <f>'Monthly Data (14-23) Used'!BJ75</f>
        <v>74</v>
      </c>
      <c r="M75">
        <f>'Monthly Data (longer 09-23)'!CF135</f>
        <v>0</v>
      </c>
      <c r="N75" s="6">
        <f t="shared" si="25"/>
        <v>-7179191.8731795801</v>
      </c>
      <c r="O75" s="6">
        <f t="shared" ca="1" si="26"/>
        <v>4227581.2199654849</v>
      </c>
      <c r="P75" s="6">
        <f t="shared" ca="1" si="27"/>
        <v>0</v>
      </c>
      <c r="Q75" s="6">
        <f t="shared" ca="1" si="28"/>
        <v>0</v>
      </c>
      <c r="R75" s="6">
        <f t="shared" ca="1" si="29"/>
        <v>0</v>
      </c>
      <c r="S75" s="6">
        <f t="shared" si="30"/>
        <v>21625801.263875842</v>
      </c>
      <c r="T75" s="6">
        <f t="shared" si="31"/>
        <v>0</v>
      </c>
      <c r="U75" s="6">
        <f t="shared" si="32"/>
        <v>1601553.7787622279</v>
      </c>
      <c r="V75" s="6">
        <f t="shared" ca="1" si="33"/>
        <v>20275744.389423974</v>
      </c>
    </row>
    <row r="76" spans="1:22">
      <c r="A76" s="197">
        <v>43891</v>
      </c>
      <c r="B76">
        <f t="shared" si="22"/>
        <v>3</v>
      </c>
      <c r="C76">
        <f t="shared" si="23"/>
        <v>2020</v>
      </c>
      <c r="D76" s="6">
        <f>'Monthly Data (longer 09-23)'!E136</f>
        <v>19587303.730626732</v>
      </c>
      <c r="E76" s="7">
        <f t="shared" ca="1" si="34"/>
        <v>496.46355229914104</v>
      </c>
      <c r="F76" s="7">
        <f t="shared" ca="1" si="34"/>
        <v>0</v>
      </c>
      <c r="G76" s="6">
        <f ca="1">E76*M76</f>
        <v>248.23177614957052</v>
      </c>
      <c r="H76" s="6">
        <f ca="1">F76*M76</f>
        <v>0</v>
      </c>
      <c r="I76" s="6">
        <f>'Monthly Data (14-23) Used'!CB76</f>
        <v>31</v>
      </c>
      <c r="J76" s="6">
        <f>'Monthly Data (14-23) Used'!CA76</f>
        <v>1</v>
      </c>
      <c r="K76" s="6">
        <f>'Monthly Data (14-23) Used'!BJ76</f>
        <v>75</v>
      </c>
      <c r="L76" s="7"/>
      <c r="M76">
        <f>'Monthly Data (longer 09-23)'!CF136</f>
        <v>0.5</v>
      </c>
      <c r="N76" s="6">
        <f t="shared" si="25"/>
        <v>-7179191.8731795801</v>
      </c>
      <c r="O76" s="6">
        <f t="shared" ca="1" si="26"/>
        <v>3524420.194962922</v>
      </c>
      <c r="P76" s="6">
        <f t="shared" ca="1" si="27"/>
        <v>0</v>
      </c>
      <c r="Q76" s="6">
        <f t="shared" ca="1" si="28"/>
        <v>597803.47915220971</v>
      </c>
      <c r="R76" s="6">
        <f t="shared" ca="1" si="29"/>
        <v>0</v>
      </c>
      <c r="S76" s="6">
        <f t="shared" si="30"/>
        <v>23117235.833798315</v>
      </c>
      <c r="T76" s="6">
        <f t="shared" si="31"/>
        <v>-1713930.83126266</v>
      </c>
      <c r="U76" s="6">
        <f t="shared" si="32"/>
        <v>1623196.39739415</v>
      </c>
      <c r="V76" s="6">
        <f t="shared" ca="1" si="33"/>
        <v>19969533.200865358</v>
      </c>
    </row>
    <row r="77" spans="1:22">
      <c r="A77" s="197">
        <v>43922</v>
      </c>
      <c r="B77">
        <f t="shared" si="22"/>
        <v>4</v>
      </c>
      <c r="C77">
        <f t="shared" si="23"/>
        <v>2020</v>
      </c>
      <c r="D77" s="6">
        <f>'Monthly Data (longer 09-23)'!E137</f>
        <v>18859222.730626732</v>
      </c>
      <c r="E77" s="7">
        <f t="shared" ca="1" si="34"/>
        <v>296.23000000000008</v>
      </c>
      <c r="F77" s="7">
        <f t="shared" ca="1" si="34"/>
        <v>3.0799999999999996</v>
      </c>
      <c r="G77" s="6">
        <f t="shared" ref="G77:G139" ca="1" si="35">E77*M77</f>
        <v>296.23000000000008</v>
      </c>
      <c r="H77" s="6">
        <f t="shared" ref="H77:H139" ca="1" si="36">F77*M77</f>
        <v>3.0799999999999996</v>
      </c>
      <c r="I77" s="6">
        <f>'Monthly Data (14-23) Used'!CB77</f>
        <v>30</v>
      </c>
      <c r="J77" s="6">
        <f>'Monthly Data (14-23) Used'!CA77</f>
        <v>1</v>
      </c>
      <c r="K77" s="6">
        <f>'Monthly Data (14-23) Used'!BJ77</f>
        <v>76</v>
      </c>
      <c r="L77" s="7"/>
      <c r="M77">
        <f>'Monthly Data (longer 09-23)'!CF137</f>
        <v>1</v>
      </c>
      <c r="N77" s="6">
        <f t="shared" si="25"/>
        <v>-7179191.8731795801</v>
      </c>
      <c r="O77" s="6">
        <f t="shared" ca="1" si="26"/>
        <v>2102951.9478698559</v>
      </c>
      <c r="P77" s="6">
        <f t="shared" ca="1" si="27"/>
        <v>205175.59510018706</v>
      </c>
      <c r="Q77" s="6">
        <f t="shared" ca="1" si="28"/>
        <v>713395.06720749673</v>
      </c>
      <c r="R77" s="6">
        <f t="shared" ca="1" si="29"/>
        <v>47362.830977389305</v>
      </c>
      <c r="S77" s="6">
        <f t="shared" si="30"/>
        <v>22371518.548837077</v>
      </c>
      <c r="T77" s="6">
        <f t="shared" si="31"/>
        <v>-1713930.83126266</v>
      </c>
      <c r="U77" s="6">
        <f t="shared" si="32"/>
        <v>1644839.016026072</v>
      </c>
      <c r="V77" s="6">
        <f t="shared" ca="1" si="33"/>
        <v>18192120.30157584</v>
      </c>
    </row>
    <row r="78" spans="1:22">
      <c r="A78" s="197">
        <v>43952</v>
      </c>
      <c r="B78">
        <f t="shared" si="22"/>
        <v>5</v>
      </c>
      <c r="C78">
        <f t="shared" si="23"/>
        <v>2020</v>
      </c>
      <c r="D78" s="6">
        <f>'Monthly Data (longer 09-23)'!E138</f>
        <v>21309027.730626732</v>
      </c>
      <c r="E78" s="7">
        <f t="shared" ca="1" si="34"/>
        <v>116.90355229914098</v>
      </c>
      <c r="F78" s="7">
        <f t="shared" ca="1" si="34"/>
        <v>53.286447700859014</v>
      </c>
      <c r="G78" s="6">
        <f t="shared" ca="1" si="35"/>
        <v>116.90355229914098</v>
      </c>
      <c r="H78" s="6">
        <f t="shared" ca="1" si="36"/>
        <v>53.286447700859014</v>
      </c>
      <c r="I78" s="6">
        <f>'Monthly Data (14-23) Used'!CB78</f>
        <v>31</v>
      </c>
      <c r="J78" s="6">
        <f>'Monthly Data (14-23) Used'!CA78</f>
        <v>1</v>
      </c>
      <c r="K78" s="6">
        <f>'Monthly Data (14-23) Used'!BJ78</f>
        <v>77</v>
      </c>
      <c r="L78" s="7"/>
      <c r="M78">
        <f>'Monthly Data (longer 09-23)'!CF138</f>
        <v>1</v>
      </c>
      <c r="N78" s="6">
        <f t="shared" si="25"/>
        <v>-7179191.8731795801</v>
      </c>
      <c r="O78" s="6">
        <f t="shared" ref="O78:O141" ca="1" si="37">E78*$Z$9</f>
        <v>829904.30753260653</v>
      </c>
      <c r="P78" s="6">
        <f t="shared" ref="P78:P141" ca="1" si="38">F78*$Z$10</f>
        <v>3549700.8499346571</v>
      </c>
      <c r="Q78" s="6">
        <f t="shared" ref="Q78:Q141" ca="1" si="39">G78*$Z$11</f>
        <v>281532.65215960832</v>
      </c>
      <c r="R78" s="6">
        <f t="shared" ref="R78:R141" ca="1" si="40">H78*$Z$12</f>
        <v>819414.61553288344</v>
      </c>
      <c r="S78" s="6">
        <f t="shared" ref="S78:S141" si="41">I78*$Z$13</f>
        <v>23117235.833798315</v>
      </c>
      <c r="T78" s="6">
        <f t="shared" ref="T78:T141" si="42">J78*$Z$14</f>
        <v>-1713930.83126266</v>
      </c>
      <c r="U78" s="6">
        <f t="shared" ref="U78:U141" si="43">K78*$Z$15</f>
        <v>1666481.6346579939</v>
      </c>
      <c r="V78" s="6">
        <f t="shared" ca="1" si="33"/>
        <v>21371147.189173825</v>
      </c>
    </row>
    <row r="79" spans="1:22">
      <c r="A79" s="197">
        <v>43983</v>
      </c>
      <c r="B79">
        <f t="shared" si="22"/>
        <v>6</v>
      </c>
      <c r="C79">
        <f t="shared" si="23"/>
        <v>2020</v>
      </c>
      <c r="D79" s="6">
        <f>'Monthly Data (longer 09-23)'!E139</f>
        <v>29738196.730626732</v>
      </c>
      <c r="E79" s="7">
        <f t="shared" ca="1" si="34"/>
        <v>11.023552299140979</v>
      </c>
      <c r="F79" s="7">
        <f t="shared" ca="1" si="34"/>
        <v>145.07</v>
      </c>
      <c r="G79" s="6">
        <f t="shared" ca="1" si="35"/>
        <v>11.023552299140979</v>
      </c>
      <c r="H79" s="6">
        <f t="shared" ca="1" si="36"/>
        <v>145.07</v>
      </c>
      <c r="I79" s="6">
        <f>'Monthly Data (14-23) Used'!CB79</f>
        <v>30</v>
      </c>
      <c r="J79" s="6">
        <f>'Monthly Data (14-23) Used'!CA79</f>
        <v>0</v>
      </c>
      <c r="K79" s="6">
        <f>'Monthly Data (14-23) Used'!BJ79</f>
        <v>78</v>
      </c>
      <c r="L79" s="7"/>
      <c r="M79">
        <f>'Monthly Data (longer 09-23)'!CF139</f>
        <v>1</v>
      </c>
      <c r="N79" s="6">
        <f t="shared" si="25"/>
        <v>-7179191.8731795801</v>
      </c>
      <c r="O79" s="6">
        <f t="shared" ca="1" si="37"/>
        <v>78256.76258287055</v>
      </c>
      <c r="P79" s="6">
        <f t="shared" ca="1" si="38"/>
        <v>9663903.7601247206</v>
      </c>
      <c r="Q79" s="6">
        <f t="shared" ca="1" si="39"/>
        <v>26547.438926884624</v>
      </c>
      <c r="R79" s="6">
        <f t="shared" ca="1" si="40"/>
        <v>2230820.0941200866</v>
      </c>
      <c r="S79" s="6">
        <f t="shared" si="41"/>
        <v>22371518.548837077</v>
      </c>
      <c r="T79" s="6">
        <f t="shared" si="42"/>
        <v>0</v>
      </c>
      <c r="U79" s="6">
        <f t="shared" si="43"/>
        <v>1688124.2532899161</v>
      </c>
      <c r="V79" s="6">
        <f t="shared" ca="1" si="33"/>
        <v>28879978.984701976</v>
      </c>
    </row>
    <row r="80" spans="1:22">
      <c r="A80" s="197">
        <v>44013</v>
      </c>
      <c r="B80">
        <f t="shared" si="22"/>
        <v>7</v>
      </c>
      <c r="C80">
        <f t="shared" si="23"/>
        <v>2020</v>
      </c>
      <c r="D80" s="6">
        <f>'Monthly Data (longer 09-23)'!E140</f>
        <v>39172531.730626732</v>
      </c>
      <c r="E80" s="7">
        <f t="shared" ca="1" si="34"/>
        <v>0.75</v>
      </c>
      <c r="F80" s="7">
        <f t="shared" ca="1" si="34"/>
        <v>211.23289540171805</v>
      </c>
      <c r="G80" s="6">
        <f t="shared" ca="1" si="35"/>
        <v>0.75</v>
      </c>
      <c r="H80" s="6">
        <f t="shared" ca="1" si="36"/>
        <v>211.23289540171805</v>
      </c>
      <c r="I80" s="6">
        <f>'Monthly Data (14-23) Used'!CB80</f>
        <v>31</v>
      </c>
      <c r="J80" s="6">
        <f>'Monthly Data (14-23) Used'!CA80</f>
        <v>0</v>
      </c>
      <c r="K80" s="6">
        <f>'Monthly Data (14-23) Used'!BJ80</f>
        <v>79</v>
      </c>
      <c r="L80" s="7"/>
      <c r="M80">
        <f>'Monthly Data (longer 09-23)'!CF140</f>
        <v>1</v>
      </c>
      <c r="N80" s="6">
        <f t="shared" si="25"/>
        <v>-7179191.8731795801</v>
      </c>
      <c r="O80" s="6">
        <f t="shared" ca="1" si="37"/>
        <v>5324.2884275812421</v>
      </c>
      <c r="P80" s="6">
        <f t="shared" ca="1" si="38"/>
        <v>14071375.006098401</v>
      </c>
      <c r="Q80" s="6">
        <f t="shared" ca="1" si="39"/>
        <v>1806.1853978517449</v>
      </c>
      <c r="R80" s="6">
        <f t="shared" ca="1" si="40"/>
        <v>3248242.8317454965</v>
      </c>
      <c r="S80" s="6">
        <f t="shared" si="41"/>
        <v>23117235.833798315</v>
      </c>
      <c r="T80" s="6">
        <f t="shared" si="42"/>
        <v>0</v>
      </c>
      <c r="U80" s="6">
        <f t="shared" si="43"/>
        <v>1709766.871921838</v>
      </c>
      <c r="V80" s="6">
        <f t="shared" ca="1" si="33"/>
        <v>34974559.144209906</v>
      </c>
    </row>
    <row r="81" spans="1:22">
      <c r="A81" s="197">
        <v>44044</v>
      </c>
      <c r="B81">
        <f t="shared" si="22"/>
        <v>8</v>
      </c>
      <c r="C81">
        <f t="shared" si="23"/>
        <v>2020</v>
      </c>
      <c r="D81" s="6">
        <f>'Monthly Data (longer 09-23)'!E141</f>
        <v>33842332.730626732</v>
      </c>
      <c r="E81" s="7">
        <f t="shared" ca="1" si="34"/>
        <v>2.7971045982819609</v>
      </c>
      <c r="F81" s="7">
        <f t="shared" ca="1" si="34"/>
        <v>183.87605861546231</v>
      </c>
      <c r="G81" s="6">
        <f t="shared" ca="1" si="35"/>
        <v>2.7971045982819609</v>
      </c>
      <c r="H81" s="6">
        <f t="shared" ca="1" si="36"/>
        <v>183.87605861546231</v>
      </c>
      <c r="I81" s="6">
        <f>'Monthly Data (14-23) Used'!CB81</f>
        <v>31</v>
      </c>
      <c r="J81" s="6">
        <f>'Monthly Data (14-23) Used'!CA81</f>
        <v>0</v>
      </c>
      <c r="K81" s="6">
        <f>'Monthly Data (14-23) Used'!BJ81</f>
        <v>80</v>
      </c>
      <c r="L81" s="7"/>
      <c r="M81">
        <f>'Monthly Data (longer 09-23)'!CF141</f>
        <v>1</v>
      </c>
      <c r="N81" s="6">
        <f t="shared" si="25"/>
        <v>-7179191.8731795801</v>
      </c>
      <c r="O81" s="6">
        <f t="shared" ca="1" si="37"/>
        <v>19856.788857822565</v>
      </c>
      <c r="P81" s="6">
        <f t="shared" ca="1" si="38"/>
        <v>12248986.932176741</v>
      </c>
      <c r="Q81" s="6">
        <f t="shared" ca="1" si="39"/>
        <v>6736.1193089077988</v>
      </c>
      <c r="R81" s="6">
        <f t="shared" ca="1" si="40"/>
        <v>2827561.9107119064</v>
      </c>
      <c r="S81" s="6">
        <f t="shared" si="41"/>
        <v>23117235.833798315</v>
      </c>
      <c r="T81" s="6">
        <f t="shared" si="42"/>
        <v>0</v>
      </c>
      <c r="U81" s="6">
        <f t="shared" si="43"/>
        <v>1731409.49055376</v>
      </c>
      <c r="V81" s="6">
        <f t="shared" ca="1" si="33"/>
        <v>32772595.202227872</v>
      </c>
    </row>
    <row r="82" spans="1:22">
      <c r="A82" s="197">
        <v>44075</v>
      </c>
      <c r="B82">
        <f t="shared" si="22"/>
        <v>9</v>
      </c>
      <c r="C82">
        <f t="shared" si="23"/>
        <v>2020</v>
      </c>
      <c r="D82" s="6">
        <f>'Monthly Data (longer 09-23)'!E142</f>
        <v>22476560.730626732</v>
      </c>
      <c r="E82" s="7">
        <f t="shared" ref="E82:F101" ca="1" si="44">E70</f>
        <v>39.200656897422931</v>
      </c>
      <c r="F82" s="7">
        <f t="shared" ca="1" si="44"/>
        <v>90.709343102577066</v>
      </c>
      <c r="G82" s="6">
        <f t="shared" ca="1" si="35"/>
        <v>39.200656897422931</v>
      </c>
      <c r="H82" s="6">
        <f t="shared" ca="1" si="36"/>
        <v>90.709343102577066</v>
      </c>
      <c r="I82" s="6">
        <f>'Monthly Data (14-23) Used'!CB82</f>
        <v>30</v>
      </c>
      <c r="J82" s="6">
        <f>'Monthly Data (14-23) Used'!CA82</f>
        <v>0</v>
      </c>
      <c r="K82" s="6">
        <f>'Monthly Data (14-23) Used'!BJ82</f>
        <v>81</v>
      </c>
      <c r="L82" s="7"/>
      <c r="M82">
        <f>'Monthly Data (longer 09-23)'!CF142</f>
        <v>1</v>
      </c>
      <c r="N82" s="6">
        <f t="shared" si="25"/>
        <v>-7179191.8731795801</v>
      </c>
      <c r="O82" s="6">
        <f t="shared" ca="1" si="37"/>
        <v>278287.47183004231</v>
      </c>
      <c r="P82" s="6">
        <f t="shared" ca="1" si="38"/>
        <v>6042643.9779929547</v>
      </c>
      <c r="Q82" s="6">
        <f t="shared" ca="1" si="39"/>
        <v>94404.872099095446</v>
      </c>
      <c r="R82" s="6">
        <f t="shared" ca="1" si="40"/>
        <v>1394886.78098616</v>
      </c>
      <c r="S82" s="6">
        <f t="shared" si="41"/>
        <v>22371518.548837077</v>
      </c>
      <c r="T82" s="6">
        <f t="shared" si="42"/>
        <v>0</v>
      </c>
      <c r="U82" s="6">
        <f t="shared" si="43"/>
        <v>1753052.1091856819</v>
      </c>
      <c r="V82" s="6">
        <f t="shared" ca="1" si="33"/>
        <v>24755601.88775143</v>
      </c>
    </row>
    <row r="83" spans="1:22">
      <c r="A83" s="197">
        <v>44105</v>
      </c>
      <c r="B83">
        <f t="shared" si="22"/>
        <v>10</v>
      </c>
      <c r="C83">
        <f t="shared" si="23"/>
        <v>2020</v>
      </c>
      <c r="D83" s="6">
        <f>'Monthly Data (longer 09-23)'!E143</f>
        <v>18710830.730626732</v>
      </c>
      <c r="E83" s="7">
        <f t="shared" ca="1" si="44"/>
        <v>194.90420919656393</v>
      </c>
      <c r="F83" s="7">
        <f t="shared" ca="1" si="44"/>
        <v>20.479999999999997</v>
      </c>
      <c r="G83" s="6">
        <f t="shared" ca="1" si="35"/>
        <v>194.90420919656393</v>
      </c>
      <c r="H83" s="6">
        <f t="shared" ca="1" si="36"/>
        <v>20.479999999999997</v>
      </c>
      <c r="I83" s="6">
        <f>'Monthly Data (14-23) Used'!CB83</f>
        <v>31</v>
      </c>
      <c r="J83" s="6">
        <f>'Monthly Data (14-23) Used'!CA83</f>
        <v>1</v>
      </c>
      <c r="K83" s="6">
        <f>'Monthly Data (14-23) Used'!BJ83</f>
        <v>82</v>
      </c>
      <c r="L83" s="7"/>
      <c r="M83">
        <f>'Monthly Data (longer 09-23)'!CF143</f>
        <v>1</v>
      </c>
      <c r="N83" s="6">
        <f t="shared" si="25"/>
        <v>-7179191.8731795801</v>
      </c>
      <c r="O83" s="6">
        <f t="shared" ca="1" si="37"/>
        <v>1383634.9673495186</v>
      </c>
      <c r="P83" s="6">
        <f t="shared" ca="1" si="38"/>
        <v>1364284.4765103348</v>
      </c>
      <c r="Q83" s="6">
        <f t="shared" ca="1" si="39"/>
        <v>469377.51550756738</v>
      </c>
      <c r="R83" s="6">
        <f t="shared" ca="1" si="40"/>
        <v>314932.07091458864</v>
      </c>
      <c r="S83" s="6">
        <f t="shared" si="41"/>
        <v>23117235.833798315</v>
      </c>
      <c r="T83" s="6">
        <f t="shared" si="42"/>
        <v>-1713930.83126266</v>
      </c>
      <c r="U83" s="6">
        <f t="shared" si="43"/>
        <v>1774694.7278176039</v>
      </c>
      <c r="V83" s="6">
        <f t="shared" ca="1" si="33"/>
        <v>19531036.887455687</v>
      </c>
    </row>
    <row r="84" spans="1:22">
      <c r="A84" s="197">
        <v>44136</v>
      </c>
      <c r="B84">
        <f t="shared" si="22"/>
        <v>11</v>
      </c>
      <c r="C84">
        <f t="shared" si="23"/>
        <v>2020</v>
      </c>
      <c r="D84" s="6">
        <f>'Monthly Data (longer 09-23)'!E144</f>
        <v>19119222.730626732</v>
      </c>
      <c r="E84" s="7">
        <f t="shared" ca="1" si="44"/>
        <v>404.02065689742301</v>
      </c>
      <c r="F84" s="7">
        <f t="shared" ca="1" si="44"/>
        <v>0.6699999999999996</v>
      </c>
      <c r="G84" s="6">
        <f t="shared" ca="1" si="35"/>
        <v>404.02065689742301</v>
      </c>
      <c r="H84" s="6">
        <f t="shared" ca="1" si="36"/>
        <v>0.6699999999999996</v>
      </c>
      <c r="I84" s="6">
        <f>'Monthly Data (14-23) Used'!CB84</f>
        <v>30</v>
      </c>
      <c r="J84" s="6">
        <f>'Monthly Data (14-23) Used'!CA84</f>
        <v>1</v>
      </c>
      <c r="K84" s="6">
        <f>'Monthly Data (14-23) Used'!BJ84</f>
        <v>83</v>
      </c>
      <c r="L84" s="7"/>
      <c r="M84">
        <f>'Monthly Data (longer 09-23)'!CF144</f>
        <v>1</v>
      </c>
      <c r="N84" s="6">
        <f t="shared" si="25"/>
        <v>-7179191.8731795801</v>
      </c>
      <c r="O84" s="6">
        <f t="shared" ca="1" si="37"/>
        <v>2868163.3440302946</v>
      </c>
      <c r="P84" s="6">
        <f t="shared" ca="1" si="38"/>
        <v>44632.353479586127</v>
      </c>
      <c r="Q84" s="6">
        <f t="shared" ca="1" si="39"/>
        <v>972981.61455812713</v>
      </c>
      <c r="R84" s="6">
        <f t="shared" ca="1" si="40"/>
        <v>10302.953491834682</v>
      </c>
      <c r="S84" s="6">
        <f t="shared" si="41"/>
        <v>22371518.548837077</v>
      </c>
      <c r="T84" s="6">
        <f t="shared" si="42"/>
        <v>-1713930.83126266</v>
      </c>
      <c r="U84" s="6">
        <f t="shared" si="43"/>
        <v>1796337.346449526</v>
      </c>
      <c r="V84" s="6">
        <f t="shared" ca="1" si="33"/>
        <v>19170813.456404209</v>
      </c>
    </row>
    <row r="85" spans="1:22">
      <c r="A85" s="197">
        <v>44166</v>
      </c>
      <c r="B85">
        <f t="shared" si="22"/>
        <v>12</v>
      </c>
      <c r="C85">
        <f t="shared" si="23"/>
        <v>2020</v>
      </c>
      <c r="D85" s="6">
        <f>'Monthly Data (longer 09-23)'!E145</f>
        <v>23161092.730626732</v>
      </c>
      <c r="E85" s="7">
        <f t="shared" ca="1" si="44"/>
        <v>533.7700000000001</v>
      </c>
      <c r="F85" s="7">
        <f t="shared" ca="1" si="44"/>
        <v>0</v>
      </c>
      <c r="G85" s="6">
        <f t="shared" ca="1" si="35"/>
        <v>533.7700000000001</v>
      </c>
      <c r="H85" s="6">
        <f t="shared" ca="1" si="36"/>
        <v>0</v>
      </c>
      <c r="I85" s="6">
        <f>'Monthly Data (14-23) Used'!CB85</f>
        <v>31</v>
      </c>
      <c r="J85" s="6">
        <f>'Monthly Data (14-23) Used'!CA85</f>
        <v>0</v>
      </c>
      <c r="K85" s="6">
        <f>'Monthly Data (14-23) Used'!BJ85</f>
        <v>84</v>
      </c>
      <c r="L85" s="7"/>
      <c r="M85">
        <f>'Monthly Data (longer 09-23)'!CF145</f>
        <v>1</v>
      </c>
      <c r="N85" s="6">
        <f t="shared" si="25"/>
        <v>-7179191.8731795801</v>
      </c>
      <c r="O85" s="6">
        <f t="shared" ca="1" si="37"/>
        <v>3789260.5786533868</v>
      </c>
      <c r="P85" s="6">
        <f t="shared" ca="1" si="38"/>
        <v>0</v>
      </c>
      <c r="Q85" s="6">
        <f t="shared" ca="1" si="39"/>
        <v>1285450.1064151013</v>
      </c>
      <c r="R85" s="6">
        <f t="shared" ca="1" si="40"/>
        <v>0</v>
      </c>
      <c r="S85" s="6">
        <f t="shared" si="41"/>
        <v>23117235.833798315</v>
      </c>
      <c r="T85" s="6">
        <f t="shared" si="42"/>
        <v>0</v>
      </c>
      <c r="U85" s="6">
        <f t="shared" si="43"/>
        <v>1817979.965081448</v>
      </c>
      <c r="V85" s="6">
        <f t="shared" ca="1" si="33"/>
        <v>22830734.610768672</v>
      </c>
    </row>
    <row r="86" spans="1:22">
      <c r="A86" s="197">
        <v>44197</v>
      </c>
      <c r="B86">
        <f t="shared" si="22"/>
        <v>1</v>
      </c>
      <c r="C86">
        <f t="shared" si="23"/>
        <v>2021</v>
      </c>
      <c r="D86" s="6">
        <f>'Monthly Data (longer 09-23)'!E146</f>
        <v>22785374.314028163</v>
      </c>
      <c r="E86" s="7">
        <f t="shared" ca="1" si="44"/>
        <v>671</v>
      </c>
      <c r="F86" s="7">
        <f t="shared" ca="1" si="44"/>
        <v>0</v>
      </c>
      <c r="G86" s="6">
        <f t="shared" ca="1" si="35"/>
        <v>503.25</v>
      </c>
      <c r="H86" s="6">
        <f t="shared" ca="1" si="36"/>
        <v>0</v>
      </c>
      <c r="I86" s="6">
        <f>'Monthly Data (14-23) Used'!CB86</f>
        <v>31</v>
      </c>
      <c r="J86" s="6">
        <f>'Monthly Data (14-23) Used'!CA86</f>
        <v>0</v>
      </c>
      <c r="K86" s="6">
        <f>'Monthly Data (14-23) Used'!BJ86</f>
        <v>85</v>
      </c>
      <c r="L86" s="7"/>
      <c r="M86">
        <f>'Monthly Data (longer 09-23)'!CF146</f>
        <v>0.75</v>
      </c>
      <c r="N86" s="6">
        <f t="shared" si="25"/>
        <v>-7179191.8731795801</v>
      </c>
      <c r="O86" s="6">
        <f t="shared" ca="1" si="37"/>
        <v>4763463.3798760185</v>
      </c>
      <c r="P86" s="6">
        <f t="shared" ca="1" si="38"/>
        <v>0</v>
      </c>
      <c r="Q86" s="6">
        <f t="shared" ca="1" si="39"/>
        <v>1211950.4019585208</v>
      </c>
      <c r="R86" s="6">
        <f t="shared" ca="1" si="40"/>
        <v>0</v>
      </c>
      <c r="S86" s="6">
        <f t="shared" si="41"/>
        <v>23117235.833798315</v>
      </c>
      <c r="T86" s="6">
        <f t="shared" si="42"/>
        <v>0</v>
      </c>
      <c r="U86" s="6">
        <f t="shared" si="43"/>
        <v>1839622.5837133699</v>
      </c>
      <c r="V86" s="6">
        <f t="shared" ca="1" si="33"/>
        <v>23753080.326166645</v>
      </c>
    </row>
    <row r="87" spans="1:22">
      <c r="A87" s="197">
        <v>44228</v>
      </c>
      <c r="B87">
        <f t="shared" si="22"/>
        <v>2</v>
      </c>
      <c r="C87">
        <f t="shared" si="23"/>
        <v>2021</v>
      </c>
      <c r="D87" s="6">
        <f>'Monthly Data (longer 09-23)'!E147</f>
        <v>21023404.314028163</v>
      </c>
      <c r="E87" s="7">
        <f t="shared" ca="1" si="44"/>
        <v>595.51355229914111</v>
      </c>
      <c r="F87" s="7">
        <f t="shared" ca="1" si="44"/>
        <v>0</v>
      </c>
      <c r="G87" s="6">
        <f t="shared" ca="1" si="35"/>
        <v>446.63516422435583</v>
      </c>
      <c r="H87" s="6">
        <f t="shared" ca="1" si="36"/>
        <v>0</v>
      </c>
      <c r="I87" s="6">
        <f>'Monthly Data (14-23) Used'!CB87</f>
        <v>28</v>
      </c>
      <c r="J87" s="6">
        <f>'Monthly Data (14-23) Used'!CA87</f>
        <v>0</v>
      </c>
      <c r="K87" s="6">
        <f>'Monthly Data (14-23) Used'!BJ87</f>
        <v>86</v>
      </c>
      <c r="L87" s="7"/>
      <c r="M87">
        <f>'Monthly Data (longer 09-23)'!CF147</f>
        <v>0.75</v>
      </c>
      <c r="N87" s="6">
        <f t="shared" si="25"/>
        <v>-7179191.8731795801</v>
      </c>
      <c r="O87" s="6">
        <f t="shared" ca="1" si="37"/>
        <v>4227581.2199654849</v>
      </c>
      <c r="P87" s="6">
        <f t="shared" ca="1" si="38"/>
        <v>0</v>
      </c>
      <c r="Q87" s="6">
        <f t="shared" ca="1" si="39"/>
        <v>1075607.88238553</v>
      </c>
      <c r="R87" s="6">
        <f t="shared" ca="1" si="40"/>
        <v>0</v>
      </c>
      <c r="S87" s="6">
        <f t="shared" si="41"/>
        <v>20880083.978914607</v>
      </c>
      <c r="T87" s="6">
        <f t="shared" si="42"/>
        <v>0</v>
      </c>
      <c r="U87" s="6">
        <f t="shared" si="43"/>
        <v>1861265.2023452921</v>
      </c>
      <c r="V87" s="6">
        <f t="shared" ca="1" si="33"/>
        <v>20865346.410431337</v>
      </c>
    </row>
    <row r="88" spans="1:22">
      <c r="A88" s="197">
        <v>44256</v>
      </c>
      <c r="B88">
        <f t="shared" si="22"/>
        <v>3</v>
      </c>
      <c r="C88">
        <f t="shared" si="23"/>
        <v>2021</v>
      </c>
      <c r="D88" s="6">
        <f>'Monthly Data (longer 09-23)'!E148</f>
        <v>19528691.314028163</v>
      </c>
      <c r="E88" s="7">
        <f t="shared" ca="1" si="44"/>
        <v>496.46355229914104</v>
      </c>
      <c r="F88" s="7">
        <f t="shared" ca="1" si="44"/>
        <v>0</v>
      </c>
      <c r="G88" s="6">
        <f t="shared" ca="1" si="35"/>
        <v>372.34766422435575</v>
      </c>
      <c r="H88" s="6">
        <f t="shared" ca="1" si="36"/>
        <v>0</v>
      </c>
      <c r="I88" s="6">
        <f>'Monthly Data (14-23) Used'!CB88</f>
        <v>31</v>
      </c>
      <c r="J88" s="6">
        <f>'Monthly Data (14-23) Used'!CA88</f>
        <v>1</v>
      </c>
      <c r="K88" s="6">
        <f>'Monthly Data (14-23) Used'!BJ88</f>
        <v>87</v>
      </c>
      <c r="L88" s="7"/>
      <c r="M88">
        <f>'Monthly Data (longer 09-23)'!CF148</f>
        <v>0.75</v>
      </c>
      <c r="N88" s="6">
        <f t="shared" si="25"/>
        <v>-7179191.8731795801</v>
      </c>
      <c r="O88" s="6">
        <f t="shared" ca="1" si="37"/>
        <v>3524420.194962922</v>
      </c>
      <c r="P88" s="6">
        <f t="shared" ca="1" si="38"/>
        <v>0</v>
      </c>
      <c r="Q88" s="6">
        <f t="shared" ca="1" si="39"/>
        <v>896705.21872831462</v>
      </c>
      <c r="R88" s="6">
        <f t="shared" ca="1" si="40"/>
        <v>0</v>
      </c>
      <c r="S88" s="6">
        <f t="shared" si="41"/>
        <v>23117235.833798315</v>
      </c>
      <c r="T88" s="6">
        <f t="shared" si="42"/>
        <v>-1713930.83126266</v>
      </c>
      <c r="U88" s="6">
        <f t="shared" si="43"/>
        <v>1882907.820977214</v>
      </c>
      <c r="V88" s="6">
        <f t="shared" ca="1" si="33"/>
        <v>20528146.364024527</v>
      </c>
    </row>
    <row r="89" spans="1:22">
      <c r="A89" s="197">
        <v>44287</v>
      </c>
      <c r="B89">
        <f t="shared" si="22"/>
        <v>4</v>
      </c>
      <c r="C89">
        <f t="shared" si="23"/>
        <v>2021</v>
      </c>
      <c r="D89" s="6">
        <f>'Monthly Data (longer 09-23)'!E149</f>
        <v>18206323.314028163</v>
      </c>
      <c r="E89" s="7">
        <f t="shared" ca="1" si="44"/>
        <v>296.23000000000008</v>
      </c>
      <c r="F89" s="7">
        <f t="shared" ca="1" si="44"/>
        <v>3.0799999999999996</v>
      </c>
      <c r="G89" s="6">
        <f t="shared" ca="1" si="35"/>
        <v>222.17250000000007</v>
      </c>
      <c r="H89" s="6">
        <f t="shared" ca="1" si="36"/>
        <v>2.3099999999999996</v>
      </c>
      <c r="I89" s="6">
        <f>'Monthly Data (14-23) Used'!CB89</f>
        <v>30</v>
      </c>
      <c r="J89" s="6">
        <f>'Monthly Data (14-23) Used'!CA89</f>
        <v>1</v>
      </c>
      <c r="K89" s="6">
        <f>'Monthly Data (14-23) Used'!BJ89</f>
        <v>88</v>
      </c>
      <c r="L89" s="7"/>
      <c r="M89">
        <f>'Monthly Data (longer 09-23)'!CF149</f>
        <v>0.75</v>
      </c>
      <c r="N89" s="6">
        <f t="shared" si="25"/>
        <v>-7179191.8731795801</v>
      </c>
      <c r="O89" s="6">
        <f t="shared" ca="1" si="37"/>
        <v>2102951.9478698559</v>
      </c>
      <c r="P89" s="6">
        <f t="shared" ca="1" si="38"/>
        <v>205175.59510018706</v>
      </c>
      <c r="Q89" s="6">
        <f t="shared" ca="1" si="39"/>
        <v>535046.30040562258</v>
      </c>
      <c r="R89" s="6">
        <f t="shared" ca="1" si="40"/>
        <v>35522.123233041981</v>
      </c>
      <c r="S89" s="6">
        <f t="shared" si="41"/>
        <v>22371518.548837077</v>
      </c>
      <c r="T89" s="6">
        <f t="shared" si="42"/>
        <v>-1713930.83126266</v>
      </c>
      <c r="U89" s="6">
        <f t="shared" si="43"/>
        <v>1904550.439609136</v>
      </c>
      <c r="V89" s="6">
        <f t="shared" ca="1" si="33"/>
        <v>18261642.25061268</v>
      </c>
    </row>
    <row r="90" spans="1:22">
      <c r="A90" s="197">
        <v>44317</v>
      </c>
      <c r="B90">
        <f t="shared" si="22"/>
        <v>5</v>
      </c>
      <c r="C90">
        <f t="shared" si="23"/>
        <v>2021</v>
      </c>
      <c r="D90" s="6">
        <f>'Monthly Data (longer 09-23)'!E150</f>
        <v>21868557.314028163</v>
      </c>
      <c r="E90" s="7">
        <f t="shared" ca="1" si="44"/>
        <v>116.90355229914098</v>
      </c>
      <c r="F90" s="7">
        <f t="shared" ca="1" si="44"/>
        <v>53.286447700859014</v>
      </c>
      <c r="G90" s="6">
        <f t="shared" ca="1" si="35"/>
        <v>87.677664224355738</v>
      </c>
      <c r="H90" s="6">
        <f t="shared" ca="1" si="36"/>
        <v>39.964835775644261</v>
      </c>
      <c r="I90" s="6">
        <f>'Monthly Data (14-23) Used'!CB90</f>
        <v>31</v>
      </c>
      <c r="J90" s="6">
        <f>'Monthly Data (14-23) Used'!CA90</f>
        <v>1</v>
      </c>
      <c r="K90" s="6">
        <f>'Monthly Data (14-23) Used'!BJ90</f>
        <v>89</v>
      </c>
      <c r="L90" s="7"/>
      <c r="M90">
        <f>'Monthly Data (longer 09-23)'!CF150</f>
        <v>0.75</v>
      </c>
      <c r="N90" s="6">
        <f t="shared" si="25"/>
        <v>-7179191.8731795801</v>
      </c>
      <c r="O90" s="6">
        <f t="shared" ca="1" si="37"/>
        <v>829904.30753260653</v>
      </c>
      <c r="P90" s="6">
        <f t="shared" ca="1" si="38"/>
        <v>3549700.8499346571</v>
      </c>
      <c r="Q90" s="6">
        <f t="shared" ca="1" si="39"/>
        <v>211149.48911970624</v>
      </c>
      <c r="R90" s="6">
        <f t="shared" ca="1" si="40"/>
        <v>614560.96164966258</v>
      </c>
      <c r="S90" s="6">
        <f t="shared" si="41"/>
        <v>23117235.833798315</v>
      </c>
      <c r="T90" s="6">
        <f t="shared" si="42"/>
        <v>-1713930.83126266</v>
      </c>
      <c r="U90" s="6">
        <f t="shared" si="43"/>
        <v>1926193.0582410579</v>
      </c>
      <c r="V90" s="6">
        <f t="shared" ca="1" si="33"/>
        <v>21355621.795833766</v>
      </c>
    </row>
    <row r="91" spans="1:22">
      <c r="A91" s="197">
        <v>44348</v>
      </c>
      <c r="B91">
        <f t="shared" si="22"/>
        <v>6</v>
      </c>
      <c r="C91">
        <f t="shared" si="23"/>
        <v>2021</v>
      </c>
      <c r="D91" s="6">
        <f>'Monthly Data (longer 09-23)'!E151</f>
        <v>30617187.314028163</v>
      </c>
      <c r="E91" s="7">
        <f t="shared" ca="1" si="44"/>
        <v>11.023552299140979</v>
      </c>
      <c r="F91" s="7">
        <f t="shared" ca="1" si="44"/>
        <v>145.07</v>
      </c>
      <c r="G91" s="6">
        <f t="shared" ca="1" si="35"/>
        <v>8.2676642243557339</v>
      </c>
      <c r="H91" s="6">
        <f t="shared" ca="1" si="36"/>
        <v>108.80249999999999</v>
      </c>
      <c r="I91" s="6">
        <f>'Monthly Data (14-23) Used'!CB91</f>
        <v>30</v>
      </c>
      <c r="J91" s="6">
        <f>'Monthly Data (14-23) Used'!CA91</f>
        <v>0</v>
      </c>
      <c r="K91" s="6">
        <f>'Monthly Data (14-23) Used'!BJ91</f>
        <v>90</v>
      </c>
      <c r="L91" s="7"/>
      <c r="M91">
        <f>'Monthly Data (longer 09-23)'!CF151</f>
        <v>0.75</v>
      </c>
      <c r="N91" s="6">
        <f t="shared" si="25"/>
        <v>-7179191.8731795801</v>
      </c>
      <c r="O91" s="6">
        <f t="shared" ca="1" si="37"/>
        <v>78256.76258287055</v>
      </c>
      <c r="P91" s="6">
        <f t="shared" ca="1" si="38"/>
        <v>9663903.7601247206</v>
      </c>
      <c r="Q91" s="6">
        <f t="shared" ca="1" si="39"/>
        <v>19910.579195163467</v>
      </c>
      <c r="R91" s="6">
        <f t="shared" ca="1" si="40"/>
        <v>1673115.0705900651</v>
      </c>
      <c r="S91" s="6">
        <f t="shared" si="41"/>
        <v>22371518.548837077</v>
      </c>
      <c r="T91" s="6">
        <f t="shared" si="42"/>
        <v>0</v>
      </c>
      <c r="U91" s="6">
        <f t="shared" si="43"/>
        <v>1947835.6768729798</v>
      </c>
      <c r="V91" s="6">
        <f t="shared" ca="1" si="33"/>
        <v>28575348.525023296</v>
      </c>
    </row>
    <row r="92" spans="1:22">
      <c r="A92" s="197">
        <v>44378</v>
      </c>
      <c r="B92">
        <f t="shared" si="22"/>
        <v>7</v>
      </c>
      <c r="C92">
        <f t="shared" si="23"/>
        <v>2021</v>
      </c>
      <c r="D92" s="6">
        <f>'Monthly Data (longer 09-23)'!E152</f>
        <v>33247959.314028163</v>
      </c>
      <c r="E92" s="7">
        <f t="shared" ca="1" si="44"/>
        <v>0.75</v>
      </c>
      <c r="F92" s="7">
        <f t="shared" ca="1" si="44"/>
        <v>211.23289540171805</v>
      </c>
      <c r="G92" s="6">
        <f t="shared" ca="1" si="35"/>
        <v>0.5625</v>
      </c>
      <c r="H92" s="6">
        <f t="shared" ca="1" si="36"/>
        <v>158.42467155128855</v>
      </c>
      <c r="I92" s="6">
        <f>'Monthly Data (14-23) Used'!CB92</f>
        <v>31</v>
      </c>
      <c r="J92" s="6">
        <f>'Monthly Data (14-23) Used'!CA92</f>
        <v>0</v>
      </c>
      <c r="K92" s="6">
        <f>'Monthly Data (14-23) Used'!BJ92</f>
        <v>91</v>
      </c>
      <c r="L92" s="7"/>
      <c r="M92">
        <f>'Monthly Data (longer 09-23)'!CF152</f>
        <v>0.75</v>
      </c>
      <c r="N92" s="6">
        <f t="shared" si="25"/>
        <v>-7179191.8731795801</v>
      </c>
      <c r="O92" s="6">
        <f t="shared" ca="1" si="37"/>
        <v>5324.2884275812421</v>
      </c>
      <c r="P92" s="6">
        <f t="shared" ca="1" si="38"/>
        <v>14071375.006098401</v>
      </c>
      <c r="Q92" s="6">
        <f t="shared" ca="1" si="39"/>
        <v>1354.6390483888088</v>
      </c>
      <c r="R92" s="6">
        <f t="shared" ca="1" si="40"/>
        <v>2436182.1238091225</v>
      </c>
      <c r="S92" s="6">
        <f t="shared" si="41"/>
        <v>23117235.833798315</v>
      </c>
      <c r="T92" s="6">
        <f t="shared" si="42"/>
        <v>0</v>
      </c>
      <c r="U92" s="6">
        <f t="shared" si="43"/>
        <v>1969478.295504902</v>
      </c>
      <c r="V92" s="6">
        <f t="shared" ca="1" si="33"/>
        <v>34421758.313507132</v>
      </c>
    </row>
    <row r="93" spans="1:22">
      <c r="A93" s="197">
        <v>44409</v>
      </c>
      <c r="B93">
        <f t="shared" si="22"/>
        <v>8</v>
      </c>
      <c r="C93">
        <f t="shared" si="23"/>
        <v>2021</v>
      </c>
      <c r="D93" s="6">
        <f>'Monthly Data (longer 09-23)'!E153</f>
        <v>36175514.314028166</v>
      </c>
      <c r="E93" s="7">
        <f t="shared" ca="1" si="44"/>
        <v>2.7971045982819609</v>
      </c>
      <c r="F93" s="7">
        <f t="shared" ca="1" si="44"/>
        <v>183.87605861546231</v>
      </c>
      <c r="G93" s="6">
        <f t="shared" ca="1" si="35"/>
        <v>2.0978284487114705</v>
      </c>
      <c r="H93" s="6">
        <f t="shared" ca="1" si="36"/>
        <v>137.90704396159674</v>
      </c>
      <c r="I93" s="6">
        <f>'Monthly Data (14-23) Used'!CB93</f>
        <v>31</v>
      </c>
      <c r="J93" s="6">
        <f>'Monthly Data (14-23) Used'!CA93</f>
        <v>0</v>
      </c>
      <c r="K93" s="6">
        <f>'Monthly Data (14-23) Used'!BJ93</f>
        <v>92</v>
      </c>
      <c r="L93" s="7"/>
      <c r="M93">
        <f>'Monthly Data (longer 09-23)'!CF153</f>
        <v>0.75</v>
      </c>
      <c r="N93" s="6">
        <f t="shared" si="25"/>
        <v>-7179191.8731795801</v>
      </c>
      <c r="O93" s="6">
        <f t="shared" ca="1" si="37"/>
        <v>19856.788857822565</v>
      </c>
      <c r="P93" s="6">
        <f t="shared" ca="1" si="38"/>
        <v>12248986.932176741</v>
      </c>
      <c r="Q93" s="6">
        <f t="shared" ca="1" si="39"/>
        <v>5052.0894816808486</v>
      </c>
      <c r="R93" s="6">
        <f t="shared" ca="1" si="40"/>
        <v>2120671.4330339297</v>
      </c>
      <c r="S93" s="6">
        <f t="shared" si="41"/>
        <v>23117235.833798315</v>
      </c>
      <c r="T93" s="6">
        <f t="shared" si="42"/>
        <v>0</v>
      </c>
      <c r="U93" s="6">
        <f t="shared" si="43"/>
        <v>1991120.914136824</v>
      </c>
      <c r="V93" s="6">
        <f t="shared" ca="1" si="33"/>
        <v>32323732.118305732</v>
      </c>
    </row>
    <row r="94" spans="1:22">
      <c r="A94" s="197">
        <v>44440</v>
      </c>
      <c r="B94">
        <f t="shared" si="22"/>
        <v>9</v>
      </c>
      <c r="C94">
        <f t="shared" si="23"/>
        <v>2021</v>
      </c>
      <c r="D94" s="6">
        <f>'Monthly Data (longer 09-23)'!E154</f>
        <v>25045935.314028163</v>
      </c>
      <c r="E94" s="7">
        <f t="shared" ca="1" si="44"/>
        <v>39.200656897422931</v>
      </c>
      <c r="F94" s="7">
        <f t="shared" ca="1" si="44"/>
        <v>90.709343102577066</v>
      </c>
      <c r="G94" s="6">
        <f t="shared" ca="1" si="35"/>
        <v>29.400492673067198</v>
      </c>
      <c r="H94" s="6">
        <f t="shared" ca="1" si="36"/>
        <v>68.032007326932799</v>
      </c>
      <c r="I94" s="6">
        <f>'Monthly Data (14-23) Used'!CB94</f>
        <v>30</v>
      </c>
      <c r="J94" s="6">
        <f>'Monthly Data (14-23) Used'!CA94</f>
        <v>0</v>
      </c>
      <c r="K94" s="6">
        <f>'Monthly Data (14-23) Used'!BJ94</f>
        <v>93</v>
      </c>
      <c r="L94" s="7"/>
      <c r="M94">
        <f>'Monthly Data (longer 09-23)'!CF154</f>
        <v>0.75</v>
      </c>
      <c r="N94" s="6">
        <f t="shared" si="25"/>
        <v>-7179191.8731795801</v>
      </c>
      <c r="O94" s="6">
        <f t="shared" ca="1" si="37"/>
        <v>278287.47183004231</v>
      </c>
      <c r="P94" s="6">
        <f t="shared" ca="1" si="38"/>
        <v>6042643.9779929547</v>
      </c>
      <c r="Q94" s="6">
        <f t="shared" ca="1" si="39"/>
        <v>70803.654074321588</v>
      </c>
      <c r="R94" s="6">
        <f t="shared" ca="1" si="40"/>
        <v>1046165.08573962</v>
      </c>
      <c r="S94" s="6">
        <f t="shared" si="41"/>
        <v>22371518.548837077</v>
      </c>
      <c r="T94" s="6">
        <f t="shared" si="42"/>
        <v>0</v>
      </c>
      <c r="U94" s="6">
        <f t="shared" si="43"/>
        <v>2012763.5327687459</v>
      </c>
      <c r="V94" s="6">
        <f t="shared" ca="1" si="33"/>
        <v>24642990.398063179</v>
      </c>
    </row>
    <row r="95" spans="1:22">
      <c r="A95" s="197">
        <v>44470</v>
      </c>
      <c r="B95">
        <f t="shared" si="22"/>
        <v>10</v>
      </c>
      <c r="C95">
        <f t="shared" si="23"/>
        <v>2021</v>
      </c>
      <c r="D95" s="6">
        <f>'Monthly Data (longer 09-23)'!E155</f>
        <v>20811938.314028163</v>
      </c>
      <c r="E95" s="7">
        <f t="shared" ca="1" si="44"/>
        <v>194.90420919656393</v>
      </c>
      <c r="F95" s="7">
        <f t="shared" ca="1" si="44"/>
        <v>20.479999999999997</v>
      </c>
      <c r="G95" s="6">
        <f t="shared" ca="1" si="35"/>
        <v>146.17815689742295</v>
      </c>
      <c r="H95" s="6">
        <f t="shared" ca="1" si="36"/>
        <v>15.359999999999998</v>
      </c>
      <c r="I95" s="6">
        <f>'Monthly Data (14-23) Used'!CB95</f>
        <v>31</v>
      </c>
      <c r="J95" s="6">
        <f>'Monthly Data (14-23) Used'!CA95</f>
        <v>1</v>
      </c>
      <c r="K95" s="6">
        <f>'Monthly Data (14-23) Used'!BJ95</f>
        <v>94</v>
      </c>
      <c r="L95" s="7"/>
      <c r="M95">
        <f>'Monthly Data (longer 09-23)'!CF155</f>
        <v>0.75</v>
      </c>
      <c r="N95" s="6">
        <f t="shared" si="25"/>
        <v>-7179191.8731795801</v>
      </c>
      <c r="O95" s="6">
        <f t="shared" ca="1" si="37"/>
        <v>1383634.9673495186</v>
      </c>
      <c r="P95" s="6">
        <f t="shared" ca="1" si="38"/>
        <v>1364284.4765103348</v>
      </c>
      <c r="Q95" s="6">
        <f t="shared" ca="1" si="39"/>
        <v>352033.13663067558</v>
      </c>
      <c r="R95" s="6">
        <f t="shared" ca="1" si="40"/>
        <v>236199.05318594148</v>
      </c>
      <c r="S95" s="6">
        <f t="shared" si="41"/>
        <v>23117235.833798315</v>
      </c>
      <c r="T95" s="6">
        <f t="shared" si="42"/>
        <v>-1713930.83126266</v>
      </c>
      <c r="U95" s="6">
        <f t="shared" si="43"/>
        <v>2034406.1514006681</v>
      </c>
      <c r="V95" s="6">
        <f t="shared" ca="1" si="33"/>
        <v>19594670.914433215</v>
      </c>
    </row>
    <row r="96" spans="1:22">
      <c r="A96" s="197">
        <v>44501</v>
      </c>
      <c r="B96">
        <f t="shared" si="22"/>
        <v>11</v>
      </c>
      <c r="C96">
        <f t="shared" si="23"/>
        <v>2021</v>
      </c>
      <c r="D96" s="6">
        <f>'Monthly Data (longer 09-23)'!E156</f>
        <v>19647364.314028163</v>
      </c>
      <c r="E96" s="7">
        <f t="shared" ca="1" si="44"/>
        <v>404.02065689742301</v>
      </c>
      <c r="F96" s="7">
        <f t="shared" ca="1" si="44"/>
        <v>0.6699999999999996</v>
      </c>
      <c r="G96" s="6">
        <f t="shared" ca="1" si="35"/>
        <v>303.01549267306723</v>
      </c>
      <c r="H96" s="6">
        <f t="shared" ca="1" si="36"/>
        <v>0.50249999999999972</v>
      </c>
      <c r="I96" s="6">
        <f>'Monthly Data (14-23) Used'!CB96</f>
        <v>30</v>
      </c>
      <c r="J96" s="6">
        <f>'Monthly Data (14-23) Used'!CA96</f>
        <v>1</v>
      </c>
      <c r="K96" s="6">
        <f>'Monthly Data (14-23) Used'!BJ96</f>
        <v>95</v>
      </c>
      <c r="L96" s="7"/>
      <c r="M96">
        <f>'Monthly Data (longer 09-23)'!CF156</f>
        <v>0.75</v>
      </c>
      <c r="N96" s="6">
        <f t="shared" si="25"/>
        <v>-7179191.8731795801</v>
      </c>
      <c r="O96" s="6">
        <f t="shared" ca="1" si="37"/>
        <v>2868163.3440302946</v>
      </c>
      <c r="P96" s="6">
        <f t="shared" ca="1" si="38"/>
        <v>44632.353479586127</v>
      </c>
      <c r="Q96" s="6">
        <f t="shared" ca="1" si="39"/>
        <v>729736.2109185952</v>
      </c>
      <c r="R96" s="6">
        <f t="shared" ca="1" si="40"/>
        <v>7727.2151188760117</v>
      </c>
      <c r="S96" s="6">
        <f t="shared" si="41"/>
        <v>22371518.548837077</v>
      </c>
      <c r="T96" s="6">
        <f t="shared" si="42"/>
        <v>-1713930.83126266</v>
      </c>
      <c r="U96" s="6">
        <f t="shared" si="43"/>
        <v>2056048.77003259</v>
      </c>
      <c r="V96" s="6">
        <f t="shared" ca="1" si="33"/>
        <v>19184703.737974778</v>
      </c>
    </row>
    <row r="97" spans="1:22">
      <c r="A97" s="197">
        <v>44531</v>
      </c>
      <c r="B97">
        <f t="shared" si="22"/>
        <v>12</v>
      </c>
      <c r="C97">
        <f t="shared" si="23"/>
        <v>2021</v>
      </c>
      <c r="D97" s="6">
        <f>'Monthly Data (longer 09-23)'!E157</f>
        <v>22395464.314028163</v>
      </c>
      <c r="E97" s="7">
        <f t="shared" ca="1" si="44"/>
        <v>533.7700000000001</v>
      </c>
      <c r="F97" s="7">
        <f t="shared" ca="1" si="44"/>
        <v>0</v>
      </c>
      <c r="G97" s="6">
        <f t="shared" ca="1" si="35"/>
        <v>400.3275000000001</v>
      </c>
      <c r="H97" s="6">
        <f t="shared" ca="1" si="36"/>
        <v>0</v>
      </c>
      <c r="I97" s="6">
        <f>'Monthly Data (14-23) Used'!CB97</f>
        <v>31</v>
      </c>
      <c r="J97" s="6">
        <f>'Monthly Data (14-23) Used'!CA97</f>
        <v>0</v>
      </c>
      <c r="K97" s="6">
        <f>'Monthly Data (14-23) Used'!BJ97</f>
        <v>96</v>
      </c>
      <c r="L97" s="7"/>
      <c r="M97">
        <f>'Monthly Data (longer 09-23)'!CF157</f>
        <v>0.75</v>
      </c>
      <c r="N97" s="6">
        <f t="shared" si="25"/>
        <v>-7179191.8731795801</v>
      </c>
      <c r="O97" s="6">
        <f t="shared" ca="1" si="37"/>
        <v>3789260.5786533868</v>
      </c>
      <c r="P97" s="6">
        <f t="shared" ca="1" si="38"/>
        <v>0</v>
      </c>
      <c r="Q97" s="6">
        <f t="shared" ca="1" si="39"/>
        <v>964087.57981132611</v>
      </c>
      <c r="R97" s="6">
        <f t="shared" ca="1" si="40"/>
        <v>0</v>
      </c>
      <c r="S97" s="6">
        <f t="shared" si="41"/>
        <v>23117235.833798315</v>
      </c>
      <c r="T97" s="6">
        <f t="shared" si="42"/>
        <v>0</v>
      </c>
      <c r="U97" s="6">
        <f t="shared" si="43"/>
        <v>2077691.388664512</v>
      </c>
      <c r="V97" s="6">
        <f t="shared" ca="1" si="33"/>
        <v>22769083.507747963</v>
      </c>
    </row>
    <row r="98" spans="1:22">
      <c r="A98" s="197">
        <v>44562</v>
      </c>
      <c r="B98">
        <f t="shared" si="22"/>
        <v>1</v>
      </c>
      <c r="C98">
        <f t="shared" si="23"/>
        <v>2022</v>
      </c>
      <c r="D98" s="6">
        <f>'Monthly Data (longer 09-23)'!E158</f>
        <v>24029016.395077039</v>
      </c>
      <c r="E98" s="7">
        <f t="shared" ca="1" si="44"/>
        <v>671</v>
      </c>
      <c r="F98" s="7">
        <f t="shared" ca="1" si="44"/>
        <v>0</v>
      </c>
      <c r="G98" s="6">
        <f t="shared" ca="1" si="35"/>
        <v>335.5</v>
      </c>
      <c r="H98" s="6">
        <f t="shared" ca="1" si="36"/>
        <v>0</v>
      </c>
      <c r="I98" s="6">
        <f>'Monthly Data (14-23) Used'!CB98</f>
        <v>31</v>
      </c>
      <c r="J98" s="6">
        <f>'Monthly Data (14-23) Used'!CA98</f>
        <v>0</v>
      </c>
      <c r="K98" s="6">
        <f>'Monthly Data (14-23) Used'!BJ98</f>
        <v>97</v>
      </c>
      <c r="L98" s="7"/>
      <c r="M98">
        <f>'Monthly Data (longer 09-23)'!CF158</f>
        <v>0.5</v>
      </c>
      <c r="N98" s="6">
        <f t="shared" si="25"/>
        <v>-7179191.8731795801</v>
      </c>
      <c r="O98" s="6">
        <f t="shared" ca="1" si="37"/>
        <v>4763463.3798760185</v>
      </c>
      <c r="P98" s="6">
        <f t="shared" ca="1" si="38"/>
        <v>0</v>
      </c>
      <c r="Q98" s="6">
        <f t="shared" ca="1" si="39"/>
        <v>807966.93463901395</v>
      </c>
      <c r="R98" s="6">
        <f t="shared" ca="1" si="40"/>
        <v>0</v>
      </c>
      <c r="S98" s="6">
        <f t="shared" si="41"/>
        <v>23117235.833798315</v>
      </c>
      <c r="T98" s="6">
        <f t="shared" si="42"/>
        <v>0</v>
      </c>
      <c r="U98" s="6">
        <f t="shared" si="43"/>
        <v>2099334.0072964341</v>
      </c>
      <c r="V98" s="6">
        <f t="shared" ca="1" si="33"/>
        <v>23608808.282430202</v>
      </c>
    </row>
    <row r="99" spans="1:22">
      <c r="A99" s="197">
        <v>44593</v>
      </c>
      <c r="B99">
        <f t="shared" si="22"/>
        <v>2</v>
      </c>
      <c r="C99">
        <f t="shared" si="23"/>
        <v>2022</v>
      </c>
      <c r="D99" s="6">
        <f>'Monthly Data (longer 09-23)'!E159</f>
        <v>20773941.395077039</v>
      </c>
      <c r="E99" s="7">
        <f t="shared" ca="1" si="44"/>
        <v>595.51355229914111</v>
      </c>
      <c r="F99" s="7">
        <f t="shared" ca="1" si="44"/>
        <v>0</v>
      </c>
      <c r="G99" s="6">
        <f t="shared" ca="1" si="35"/>
        <v>297.75677614957056</v>
      </c>
      <c r="H99" s="6">
        <f t="shared" ca="1" si="36"/>
        <v>0</v>
      </c>
      <c r="I99" s="6">
        <f>'Monthly Data (14-23) Used'!CB99</f>
        <v>28</v>
      </c>
      <c r="J99" s="6">
        <f>'Monthly Data (14-23) Used'!CA99</f>
        <v>0</v>
      </c>
      <c r="K99" s="6">
        <f>'Monthly Data (14-23) Used'!BJ99</f>
        <v>98</v>
      </c>
      <c r="L99" s="7"/>
      <c r="M99">
        <f>'Monthly Data (longer 09-23)'!CF159</f>
        <v>0.5</v>
      </c>
      <c r="N99" s="6">
        <f t="shared" si="25"/>
        <v>-7179191.8731795801</v>
      </c>
      <c r="O99" s="6">
        <f t="shared" ca="1" si="37"/>
        <v>4227581.2199654849</v>
      </c>
      <c r="P99" s="6">
        <f t="shared" ca="1" si="38"/>
        <v>0</v>
      </c>
      <c r="Q99" s="6">
        <f t="shared" ca="1" si="39"/>
        <v>717071.92159035336</v>
      </c>
      <c r="R99" s="6">
        <f t="shared" ca="1" si="40"/>
        <v>0</v>
      </c>
      <c r="S99" s="6">
        <f t="shared" si="41"/>
        <v>20880083.978914607</v>
      </c>
      <c r="T99" s="6">
        <f t="shared" si="42"/>
        <v>0</v>
      </c>
      <c r="U99" s="6">
        <f t="shared" si="43"/>
        <v>2120976.6259283558</v>
      </c>
      <c r="V99" s="6">
        <f t="shared" ca="1" si="33"/>
        <v>20766521.873219222</v>
      </c>
    </row>
    <row r="100" spans="1:22">
      <c r="A100" s="197">
        <v>44621</v>
      </c>
      <c r="B100">
        <f t="shared" si="22"/>
        <v>3</v>
      </c>
      <c r="C100">
        <f t="shared" si="23"/>
        <v>2022</v>
      </c>
      <c r="D100" s="6">
        <f>'Monthly Data (longer 09-23)'!E160</f>
        <v>20336375.395077039</v>
      </c>
      <c r="E100" s="7">
        <f t="shared" ca="1" si="44"/>
        <v>496.46355229914104</v>
      </c>
      <c r="F100" s="7">
        <f t="shared" ca="1" si="44"/>
        <v>0</v>
      </c>
      <c r="G100" s="6">
        <f t="shared" ca="1" si="35"/>
        <v>248.23177614957052</v>
      </c>
      <c r="H100" s="6">
        <f t="shared" ca="1" si="36"/>
        <v>0</v>
      </c>
      <c r="I100" s="6">
        <f>'Monthly Data (14-23) Used'!CB100</f>
        <v>31</v>
      </c>
      <c r="J100" s="6">
        <f>'Monthly Data (14-23) Used'!CA100</f>
        <v>1</v>
      </c>
      <c r="K100" s="6">
        <f>'Monthly Data (14-23) Used'!BJ100</f>
        <v>99</v>
      </c>
      <c r="L100" s="7"/>
      <c r="M100">
        <f>'Monthly Data (longer 09-23)'!CF160</f>
        <v>0.5</v>
      </c>
      <c r="N100" s="6">
        <f t="shared" si="25"/>
        <v>-7179191.8731795801</v>
      </c>
      <c r="O100" s="6">
        <f t="shared" ca="1" si="37"/>
        <v>3524420.194962922</v>
      </c>
      <c r="P100" s="6">
        <f t="shared" ca="1" si="38"/>
        <v>0</v>
      </c>
      <c r="Q100" s="6">
        <f t="shared" ca="1" si="39"/>
        <v>597803.47915220971</v>
      </c>
      <c r="R100" s="6">
        <f t="shared" ca="1" si="40"/>
        <v>0</v>
      </c>
      <c r="S100" s="6">
        <f t="shared" si="41"/>
        <v>23117235.833798315</v>
      </c>
      <c r="T100" s="6">
        <f t="shared" si="42"/>
        <v>-1713930.83126266</v>
      </c>
      <c r="U100" s="6">
        <f t="shared" si="43"/>
        <v>2142619.244560278</v>
      </c>
      <c r="V100" s="6">
        <f t="shared" ca="1" si="33"/>
        <v>20488956.048031487</v>
      </c>
    </row>
    <row r="101" spans="1:22">
      <c r="A101" s="197">
        <v>44652</v>
      </c>
      <c r="B101">
        <f t="shared" si="22"/>
        <v>4</v>
      </c>
      <c r="C101">
        <f t="shared" si="23"/>
        <v>2022</v>
      </c>
      <c r="D101" s="6">
        <f>'Monthly Data (longer 09-23)'!E161</f>
        <v>18574452.395077039</v>
      </c>
      <c r="E101" s="7">
        <f t="shared" ca="1" si="44"/>
        <v>296.23000000000008</v>
      </c>
      <c r="F101" s="7">
        <f t="shared" ca="1" si="44"/>
        <v>3.0799999999999996</v>
      </c>
      <c r="G101" s="6">
        <f t="shared" ca="1" si="35"/>
        <v>148.11500000000004</v>
      </c>
      <c r="H101" s="6">
        <f t="shared" ca="1" si="36"/>
        <v>1.5399999999999998</v>
      </c>
      <c r="I101" s="6">
        <f>'Monthly Data (14-23) Used'!CB101</f>
        <v>30</v>
      </c>
      <c r="J101" s="6">
        <f>'Monthly Data (14-23) Used'!CA101</f>
        <v>1</v>
      </c>
      <c r="K101" s="6">
        <f>'Monthly Data (14-23) Used'!BJ101</f>
        <v>100</v>
      </c>
      <c r="L101" s="7"/>
      <c r="M101">
        <f>'Monthly Data (longer 09-23)'!CF161</f>
        <v>0.5</v>
      </c>
      <c r="N101" s="6">
        <f t="shared" si="25"/>
        <v>-7179191.8731795801</v>
      </c>
      <c r="O101" s="6">
        <f t="shared" ca="1" si="37"/>
        <v>2102951.9478698559</v>
      </c>
      <c r="P101" s="6">
        <f t="shared" ca="1" si="38"/>
        <v>205175.59510018706</v>
      </c>
      <c r="Q101" s="6">
        <f t="shared" ca="1" si="39"/>
        <v>356697.53360374836</v>
      </c>
      <c r="R101" s="6">
        <f t="shared" ca="1" si="40"/>
        <v>23681.415488694653</v>
      </c>
      <c r="S101" s="6">
        <f t="shared" si="41"/>
        <v>22371518.548837077</v>
      </c>
      <c r="T101" s="6">
        <f t="shared" si="42"/>
        <v>-1713930.83126266</v>
      </c>
      <c r="U101" s="6">
        <f t="shared" si="43"/>
        <v>2164261.8631921997</v>
      </c>
      <c r="V101" s="6">
        <f t="shared" ca="1" si="33"/>
        <v>18331164.199649524</v>
      </c>
    </row>
    <row r="102" spans="1:22">
      <c r="A102" s="197">
        <v>44682</v>
      </c>
      <c r="B102">
        <f t="shared" si="22"/>
        <v>5</v>
      </c>
      <c r="C102">
        <f t="shared" si="23"/>
        <v>2022</v>
      </c>
      <c r="D102" s="6">
        <f>'Monthly Data (longer 09-23)'!E162</f>
        <v>21615955.395077039</v>
      </c>
      <c r="E102" s="7">
        <f t="shared" ref="E102:F109" ca="1" si="45">E90</f>
        <v>116.90355229914098</v>
      </c>
      <c r="F102" s="7">
        <f t="shared" ca="1" si="45"/>
        <v>53.286447700859014</v>
      </c>
      <c r="G102" s="6">
        <f t="shared" ca="1" si="35"/>
        <v>58.451776149570492</v>
      </c>
      <c r="H102" s="6">
        <f t="shared" ca="1" si="36"/>
        <v>26.643223850429507</v>
      </c>
      <c r="I102" s="6">
        <f>'Monthly Data (14-23) Used'!CB102</f>
        <v>31</v>
      </c>
      <c r="J102" s="6">
        <f>'Monthly Data (14-23) Used'!CA102</f>
        <v>1</v>
      </c>
      <c r="K102" s="6">
        <f>'Monthly Data (14-23) Used'!BJ102</f>
        <v>101</v>
      </c>
      <c r="L102" s="7"/>
      <c r="M102">
        <f>'Monthly Data (longer 09-23)'!CF162</f>
        <v>0.5</v>
      </c>
      <c r="N102" s="6">
        <f t="shared" si="25"/>
        <v>-7179191.8731795801</v>
      </c>
      <c r="O102" s="6">
        <f t="shared" ca="1" si="37"/>
        <v>829904.30753260653</v>
      </c>
      <c r="P102" s="6">
        <f t="shared" ca="1" si="38"/>
        <v>3549700.8499346571</v>
      </c>
      <c r="Q102" s="6">
        <f t="shared" ca="1" si="39"/>
        <v>140766.32607980416</v>
      </c>
      <c r="R102" s="6">
        <f t="shared" ca="1" si="40"/>
        <v>409707.30776644172</v>
      </c>
      <c r="S102" s="6">
        <f t="shared" si="41"/>
        <v>23117235.833798315</v>
      </c>
      <c r="T102" s="6">
        <f t="shared" si="42"/>
        <v>-1713930.83126266</v>
      </c>
      <c r="U102" s="6">
        <f t="shared" si="43"/>
        <v>2185904.4818241219</v>
      </c>
      <c r="V102" s="6">
        <f t="shared" ca="1" si="33"/>
        <v>21340096.402493708</v>
      </c>
    </row>
    <row r="103" spans="1:22">
      <c r="A103" s="197">
        <v>44713</v>
      </c>
      <c r="B103">
        <f t="shared" si="22"/>
        <v>6</v>
      </c>
      <c r="C103">
        <f t="shared" si="23"/>
        <v>2022</v>
      </c>
      <c r="D103" s="6">
        <f>'Monthly Data (longer 09-23)'!E163</f>
        <v>28777042.395077039</v>
      </c>
      <c r="E103" s="7">
        <f t="shared" ca="1" si="45"/>
        <v>11.023552299140979</v>
      </c>
      <c r="F103" s="7">
        <f t="shared" ca="1" si="45"/>
        <v>145.07</v>
      </c>
      <c r="G103" s="6">
        <f t="shared" ca="1" si="35"/>
        <v>5.5117761495704896</v>
      </c>
      <c r="H103" s="6">
        <f t="shared" ca="1" si="36"/>
        <v>72.534999999999997</v>
      </c>
      <c r="I103" s="6">
        <f>'Monthly Data (14-23) Used'!CB103</f>
        <v>30</v>
      </c>
      <c r="J103" s="6">
        <f>'Monthly Data (14-23) Used'!CA103</f>
        <v>0</v>
      </c>
      <c r="K103" s="6">
        <f>'Monthly Data (14-23) Used'!BJ103</f>
        <v>102</v>
      </c>
      <c r="L103" s="7"/>
      <c r="M103">
        <f>'Monthly Data (longer 09-23)'!CF163</f>
        <v>0.5</v>
      </c>
      <c r="N103" s="6">
        <f t="shared" si="25"/>
        <v>-7179191.8731795801</v>
      </c>
      <c r="O103" s="6">
        <f t="shared" ca="1" si="37"/>
        <v>78256.76258287055</v>
      </c>
      <c r="P103" s="6">
        <f t="shared" ca="1" si="38"/>
        <v>9663903.7601247206</v>
      </c>
      <c r="Q103" s="6">
        <f t="shared" ca="1" si="39"/>
        <v>13273.719463442312</v>
      </c>
      <c r="R103" s="6">
        <f t="shared" ca="1" si="40"/>
        <v>1115410.0470600433</v>
      </c>
      <c r="S103" s="6">
        <f t="shared" si="41"/>
        <v>22371518.548837077</v>
      </c>
      <c r="T103" s="6">
        <f t="shared" si="42"/>
        <v>0</v>
      </c>
      <c r="U103" s="6">
        <f t="shared" si="43"/>
        <v>2207547.1004560441</v>
      </c>
      <c r="V103" s="6">
        <f t="shared" ca="1" si="33"/>
        <v>28270718.065344617</v>
      </c>
    </row>
    <row r="104" spans="1:22">
      <c r="A104" s="197">
        <v>44743</v>
      </c>
      <c r="B104">
        <f t="shared" si="22"/>
        <v>7</v>
      </c>
      <c r="C104">
        <f t="shared" si="23"/>
        <v>2022</v>
      </c>
      <c r="D104" s="6">
        <f>'Monthly Data (longer 09-23)'!E164</f>
        <v>34236495.395077035</v>
      </c>
      <c r="E104" s="7">
        <f t="shared" ca="1" si="45"/>
        <v>0.75</v>
      </c>
      <c r="F104" s="7">
        <f t="shared" ca="1" si="45"/>
        <v>211.23289540171805</v>
      </c>
      <c r="G104" s="6">
        <f t="shared" ca="1" si="35"/>
        <v>0.375</v>
      </c>
      <c r="H104" s="6">
        <f t="shared" ca="1" si="36"/>
        <v>105.61644770085903</v>
      </c>
      <c r="I104" s="6">
        <f>'Monthly Data (14-23) Used'!CB104</f>
        <v>31</v>
      </c>
      <c r="J104" s="6">
        <f>'Monthly Data (14-23) Used'!CA104</f>
        <v>0</v>
      </c>
      <c r="K104" s="6">
        <f>'Monthly Data (14-23) Used'!BJ104</f>
        <v>103</v>
      </c>
      <c r="L104" s="7"/>
      <c r="M104">
        <f>'Monthly Data (longer 09-23)'!CF164</f>
        <v>0.5</v>
      </c>
      <c r="N104" s="6">
        <f t="shared" si="25"/>
        <v>-7179191.8731795801</v>
      </c>
      <c r="O104" s="6">
        <f t="shared" ca="1" si="37"/>
        <v>5324.2884275812421</v>
      </c>
      <c r="P104" s="6">
        <f t="shared" ca="1" si="38"/>
        <v>14071375.006098401</v>
      </c>
      <c r="Q104" s="6">
        <f t="shared" ca="1" si="39"/>
        <v>903.09269892587247</v>
      </c>
      <c r="R104" s="6">
        <f t="shared" ca="1" si="40"/>
        <v>1624121.4158727482</v>
      </c>
      <c r="S104" s="6">
        <f t="shared" si="41"/>
        <v>23117235.833798315</v>
      </c>
      <c r="T104" s="6">
        <f t="shared" si="42"/>
        <v>0</v>
      </c>
      <c r="U104" s="6">
        <f t="shared" si="43"/>
        <v>2229189.7190879658</v>
      </c>
      <c r="V104" s="6">
        <f t="shared" ca="1" si="33"/>
        <v>33868957.482804358</v>
      </c>
    </row>
    <row r="105" spans="1:22">
      <c r="A105" s="197">
        <v>44774</v>
      </c>
      <c r="B105">
        <f t="shared" si="22"/>
        <v>8</v>
      </c>
      <c r="C105">
        <f t="shared" si="23"/>
        <v>2022</v>
      </c>
      <c r="D105" s="6">
        <f>'Monthly Data (longer 09-23)'!E165</f>
        <v>32874209.395077039</v>
      </c>
      <c r="E105" s="7">
        <f t="shared" ca="1" si="45"/>
        <v>2.7971045982819609</v>
      </c>
      <c r="F105" s="7">
        <f t="shared" ca="1" si="45"/>
        <v>183.87605861546231</v>
      </c>
      <c r="G105" s="6">
        <f t="shared" ca="1" si="35"/>
        <v>1.3985522991409804</v>
      </c>
      <c r="H105" s="6">
        <f t="shared" ca="1" si="36"/>
        <v>91.938029307731156</v>
      </c>
      <c r="I105" s="6">
        <f>'Monthly Data (14-23) Used'!CB105</f>
        <v>31</v>
      </c>
      <c r="J105" s="6">
        <f>'Monthly Data (14-23) Used'!CA105</f>
        <v>0</v>
      </c>
      <c r="K105" s="6">
        <f>'Monthly Data (14-23) Used'!BJ105</f>
        <v>104</v>
      </c>
      <c r="L105" s="7"/>
      <c r="M105">
        <f>'Monthly Data (longer 09-23)'!CF165</f>
        <v>0.5</v>
      </c>
      <c r="N105" s="6">
        <f t="shared" si="25"/>
        <v>-7179191.8731795801</v>
      </c>
      <c r="O105" s="6">
        <f t="shared" ca="1" si="37"/>
        <v>19856.788857822565</v>
      </c>
      <c r="P105" s="6">
        <f t="shared" ca="1" si="38"/>
        <v>12248986.932176741</v>
      </c>
      <c r="Q105" s="6">
        <f t="shared" ca="1" si="39"/>
        <v>3368.0596544538994</v>
      </c>
      <c r="R105" s="6">
        <f t="shared" ca="1" si="40"/>
        <v>1413780.9553559532</v>
      </c>
      <c r="S105" s="6">
        <f t="shared" si="41"/>
        <v>23117235.833798315</v>
      </c>
      <c r="T105" s="6">
        <f t="shared" si="42"/>
        <v>0</v>
      </c>
      <c r="U105" s="6">
        <f t="shared" si="43"/>
        <v>2250832.337719888</v>
      </c>
      <c r="V105" s="6">
        <f t="shared" ca="1" si="33"/>
        <v>31874869.034383595</v>
      </c>
    </row>
    <row r="106" spans="1:22">
      <c r="A106" s="197">
        <v>44805</v>
      </c>
      <c r="B106">
        <f>MONTH(A106)</f>
        <v>9</v>
      </c>
      <c r="C106">
        <f>YEAR(A106)</f>
        <v>2022</v>
      </c>
      <c r="D106" s="6">
        <f>'Monthly Data (longer 09-23)'!E166</f>
        <v>25053426.395077039</v>
      </c>
      <c r="E106" s="7">
        <f t="shared" ca="1" si="45"/>
        <v>39.200656897422931</v>
      </c>
      <c r="F106" s="7">
        <f t="shared" ca="1" si="45"/>
        <v>90.709343102577066</v>
      </c>
      <c r="G106" s="6">
        <f t="shared" ca="1" si="35"/>
        <v>19.600328448711466</v>
      </c>
      <c r="H106" s="6">
        <f t="shared" ca="1" si="36"/>
        <v>45.354671551288533</v>
      </c>
      <c r="I106" s="6">
        <f>'Monthly Data (14-23) Used'!CB106</f>
        <v>30</v>
      </c>
      <c r="J106" s="6">
        <f>'Monthly Data (14-23) Used'!CA106</f>
        <v>0</v>
      </c>
      <c r="K106" s="6">
        <f>'Monthly Data (14-23) Used'!BJ106</f>
        <v>105</v>
      </c>
      <c r="L106" s="7"/>
      <c r="M106">
        <f>'Monthly Data (longer 09-23)'!CF166</f>
        <v>0.5</v>
      </c>
      <c r="N106" s="6">
        <f t="shared" si="25"/>
        <v>-7179191.8731795801</v>
      </c>
      <c r="O106" s="6">
        <f t="shared" ca="1" si="37"/>
        <v>278287.47183004231</v>
      </c>
      <c r="P106" s="6">
        <f t="shared" ca="1" si="38"/>
        <v>6042643.9779929547</v>
      </c>
      <c r="Q106" s="6">
        <f t="shared" ca="1" si="39"/>
        <v>47202.436049547723</v>
      </c>
      <c r="R106" s="6">
        <f t="shared" ca="1" si="40"/>
        <v>697443.39049308002</v>
      </c>
      <c r="S106" s="6">
        <f t="shared" si="41"/>
        <v>22371518.548837077</v>
      </c>
      <c r="T106" s="6">
        <f t="shared" si="42"/>
        <v>0</v>
      </c>
      <c r="U106" s="6">
        <f t="shared" si="43"/>
        <v>2272474.9563518101</v>
      </c>
      <c r="V106" s="6">
        <f t="shared" ca="1" si="33"/>
        <v>24530378.908374932</v>
      </c>
    </row>
    <row r="107" spans="1:22">
      <c r="A107" s="197">
        <v>44835</v>
      </c>
      <c r="B107">
        <f>MONTH(A107)</f>
        <v>10</v>
      </c>
      <c r="C107">
        <f>YEAR(A107)</f>
        <v>2022</v>
      </c>
      <c r="D107" s="6">
        <f>'Monthly Data (longer 09-23)'!E167</f>
        <v>18291228.395077039</v>
      </c>
      <c r="E107" s="7">
        <f t="shared" ca="1" si="45"/>
        <v>194.90420919656393</v>
      </c>
      <c r="F107" s="7">
        <f t="shared" ca="1" si="45"/>
        <v>20.479999999999997</v>
      </c>
      <c r="G107" s="6">
        <f t="shared" ca="1" si="35"/>
        <v>97.452104598281963</v>
      </c>
      <c r="H107" s="6">
        <f t="shared" ca="1" si="36"/>
        <v>10.239999999999998</v>
      </c>
      <c r="I107" s="6">
        <f>'Monthly Data (14-23) Used'!CB107</f>
        <v>31</v>
      </c>
      <c r="J107" s="6">
        <f>'Monthly Data (14-23) Used'!CA107</f>
        <v>1</v>
      </c>
      <c r="K107" s="6">
        <f>'Monthly Data (14-23) Used'!BJ107</f>
        <v>106</v>
      </c>
      <c r="L107" s="7"/>
      <c r="M107">
        <f>'Monthly Data (longer 09-23)'!CF167</f>
        <v>0.5</v>
      </c>
      <c r="N107" s="6">
        <f t="shared" si="25"/>
        <v>-7179191.8731795801</v>
      </c>
      <c r="O107" s="6">
        <f t="shared" ca="1" si="37"/>
        <v>1383634.9673495186</v>
      </c>
      <c r="P107" s="6">
        <f t="shared" ca="1" si="38"/>
        <v>1364284.4765103348</v>
      </c>
      <c r="Q107" s="6">
        <f t="shared" ca="1" si="39"/>
        <v>234688.75775378369</v>
      </c>
      <c r="R107" s="6">
        <f t="shared" ca="1" si="40"/>
        <v>157466.03545729432</v>
      </c>
      <c r="S107" s="6">
        <f t="shared" si="41"/>
        <v>23117235.833798315</v>
      </c>
      <c r="T107" s="6">
        <f t="shared" si="42"/>
        <v>-1713930.83126266</v>
      </c>
      <c r="U107" s="6">
        <f t="shared" si="43"/>
        <v>2294117.5749837318</v>
      </c>
      <c r="V107" s="6">
        <f t="shared" ca="1" si="33"/>
        <v>19658304.941410739</v>
      </c>
    </row>
    <row r="108" spans="1:22">
      <c r="A108" s="197">
        <v>44866</v>
      </c>
      <c r="B108">
        <f>MONTH(A108)</f>
        <v>11</v>
      </c>
      <c r="C108">
        <f>YEAR(A108)</f>
        <v>2022</v>
      </c>
      <c r="D108" s="6">
        <f>'Monthly Data (longer 09-23)'!E168</f>
        <v>19004520.395077039</v>
      </c>
      <c r="E108" s="7">
        <f t="shared" ca="1" si="45"/>
        <v>404.02065689742301</v>
      </c>
      <c r="F108" s="7">
        <f t="shared" ca="1" si="45"/>
        <v>0.6699999999999996</v>
      </c>
      <c r="G108" s="6">
        <f t="shared" ca="1" si="35"/>
        <v>202.0103284487115</v>
      </c>
      <c r="H108" s="6">
        <f t="shared" ca="1" si="36"/>
        <v>0.3349999999999998</v>
      </c>
      <c r="I108" s="6">
        <f>'Monthly Data (14-23) Used'!CB108</f>
        <v>30</v>
      </c>
      <c r="J108" s="6">
        <f>'Monthly Data (14-23) Used'!CA108</f>
        <v>1</v>
      </c>
      <c r="K108" s="6">
        <f>'Monthly Data (14-23) Used'!BJ108</f>
        <v>107</v>
      </c>
      <c r="L108" s="7"/>
      <c r="M108">
        <f>'Monthly Data (longer 09-23)'!CF168</f>
        <v>0.5</v>
      </c>
      <c r="N108" s="6">
        <f t="shared" si="25"/>
        <v>-7179191.8731795801</v>
      </c>
      <c r="O108" s="6">
        <f t="shared" ca="1" si="37"/>
        <v>2868163.3440302946</v>
      </c>
      <c r="P108" s="6">
        <f t="shared" ca="1" si="38"/>
        <v>44632.353479586127</v>
      </c>
      <c r="Q108" s="6">
        <f t="shared" ca="1" si="39"/>
        <v>486490.80727906356</v>
      </c>
      <c r="R108" s="6">
        <f t="shared" ca="1" si="40"/>
        <v>5151.4767459173408</v>
      </c>
      <c r="S108" s="6">
        <f t="shared" si="41"/>
        <v>22371518.548837077</v>
      </c>
      <c r="T108" s="6">
        <f t="shared" si="42"/>
        <v>-1713930.83126266</v>
      </c>
      <c r="U108" s="6">
        <f t="shared" si="43"/>
        <v>2315760.193615654</v>
      </c>
      <c r="V108" s="6">
        <f t="shared" ca="1" si="33"/>
        <v>19198594.01954535</v>
      </c>
    </row>
    <row r="109" spans="1:22">
      <c r="A109" s="197">
        <v>44896</v>
      </c>
      <c r="B109">
        <f>MONTH(A109)</f>
        <v>12</v>
      </c>
      <c r="C109">
        <f>YEAR(A109)</f>
        <v>2022</v>
      </c>
      <c r="D109" s="6">
        <f>'Monthly Data (longer 09-23)'!E169</f>
        <v>23067827.395077039</v>
      </c>
      <c r="E109" s="7">
        <f t="shared" ca="1" si="45"/>
        <v>533.7700000000001</v>
      </c>
      <c r="F109" s="7">
        <f t="shared" ca="1" si="45"/>
        <v>0</v>
      </c>
      <c r="G109" s="6">
        <f t="shared" ca="1" si="35"/>
        <v>266.88500000000005</v>
      </c>
      <c r="H109" s="6">
        <f t="shared" ca="1" si="36"/>
        <v>0</v>
      </c>
      <c r="I109" s="6">
        <f>'Monthly Data (14-23) Used'!CB109</f>
        <v>31</v>
      </c>
      <c r="J109" s="6">
        <f>'Monthly Data (14-23) Used'!CA109</f>
        <v>0</v>
      </c>
      <c r="K109" s="6">
        <f>'Monthly Data (14-23) Used'!BJ109</f>
        <v>108</v>
      </c>
      <c r="L109" s="7"/>
      <c r="M109">
        <f>'Monthly Data (longer 09-23)'!CF169</f>
        <v>0.5</v>
      </c>
      <c r="N109" s="6">
        <f t="shared" si="25"/>
        <v>-7179191.8731795801</v>
      </c>
      <c r="O109" s="6">
        <f t="shared" ca="1" si="37"/>
        <v>3789260.5786533868</v>
      </c>
      <c r="P109" s="6">
        <f t="shared" ca="1" si="38"/>
        <v>0</v>
      </c>
      <c r="Q109" s="6">
        <f t="shared" ca="1" si="39"/>
        <v>642725.05320755066</v>
      </c>
      <c r="R109" s="6">
        <f t="shared" ca="1" si="40"/>
        <v>0</v>
      </c>
      <c r="S109" s="6">
        <f t="shared" si="41"/>
        <v>23117235.833798315</v>
      </c>
      <c r="T109" s="6">
        <f t="shared" si="42"/>
        <v>0</v>
      </c>
      <c r="U109" s="6">
        <f t="shared" si="43"/>
        <v>2337402.8122475762</v>
      </c>
      <c r="V109" s="6">
        <f t="shared" ca="1" si="33"/>
        <v>22707432.40472725</v>
      </c>
    </row>
    <row r="110" spans="1:22">
      <c r="A110" s="197">
        <v>44927</v>
      </c>
      <c r="B110">
        <f t="shared" ref="B110:B121" si="46">MONTH(A110)</f>
        <v>1</v>
      </c>
      <c r="C110">
        <f t="shared" ref="C110:C121" si="47">YEAR(A110)</f>
        <v>2023</v>
      </c>
      <c r="D110" s="6">
        <f>'Monthly Data (longer 09-23)'!E170</f>
        <v>21739653.020592146</v>
      </c>
      <c r="E110" s="7">
        <f t="shared" ref="E110:F121" ca="1" si="48">E98</f>
        <v>671</v>
      </c>
      <c r="F110" s="7">
        <f t="shared" ca="1" si="48"/>
        <v>0</v>
      </c>
      <c r="G110" s="6">
        <f t="shared" ref="G110:G121" ca="1" si="49">E110*M110</f>
        <v>167.75</v>
      </c>
      <c r="H110" s="6">
        <f t="shared" ref="H110:H121" ca="1" si="50">F110*M110</f>
        <v>0</v>
      </c>
      <c r="I110" s="6">
        <f>'Monthly Data (14-23) Used'!CB110</f>
        <v>31</v>
      </c>
      <c r="J110" s="6">
        <f>'Monthly Data (14-23) Used'!CA110</f>
        <v>0</v>
      </c>
      <c r="K110" s="6">
        <f>'Monthly Data (14-23) Used'!BJ110</f>
        <v>109</v>
      </c>
      <c r="L110" s="7"/>
      <c r="M110">
        <f>'Monthly Data (longer 09-23)'!CF170</f>
        <v>0.25</v>
      </c>
      <c r="N110" s="6">
        <f t="shared" si="25"/>
        <v>-7179191.8731795801</v>
      </c>
      <c r="O110" s="6">
        <f t="shared" ref="O110:O121" ca="1" si="51">E110*$Z$9</f>
        <v>4763463.3798760185</v>
      </c>
      <c r="P110" s="6">
        <f t="shared" ref="P110:P121" ca="1" si="52">F110*$Z$10</f>
        <v>0</v>
      </c>
      <c r="Q110" s="6">
        <f t="shared" ref="Q110:Q121" ca="1" si="53">G110*$Z$11</f>
        <v>403983.46731950698</v>
      </c>
      <c r="R110" s="6">
        <f t="shared" ref="R110:R121" ca="1" si="54">H110*$Z$12</f>
        <v>0</v>
      </c>
      <c r="S110" s="6">
        <f t="shared" ref="S110:S121" si="55">I110*$Z$13</f>
        <v>23117235.833798315</v>
      </c>
      <c r="T110" s="6">
        <f t="shared" ref="T110:T121" si="56">J110*$Z$14</f>
        <v>0</v>
      </c>
      <c r="U110" s="6">
        <f t="shared" ref="U110:U121" si="57">K110*$Z$15</f>
        <v>2359045.4308794979</v>
      </c>
      <c r="V110" s="6">
        <f t="shared" ref="V110:V121" ca="1" si="58">SUM(N110:U110)</f>
        <v>23464536.238693759</v>
      </c>
    </row>
    <row r="111" spans="1:22">
      <c r="A111" s="197">
        <v>44958</v>
      </c>
      <c r="B111">
        <f t="shared" si="46"/>
        <v>2</v>
      </c>
      <c r="C111">
        <f t="shared" si="47"/>
        <v>2023</v>
      </c>
      <c r="D111" s="6">
        <f>'Monthly Data (longer 09-23)'!E171</f>
        <v>19325500.364851363</v>
      </c>
      <c r="E111" s="7">
        <f t="shared" ca="1" si="48"/>
        <v>595.51355229914111</v>
      </c>
      <c r="F111" s="7">
        <f t="shared" ca="1" si="48"/>
        <v>0</v>
      </c>
      <c r="G111" s="6">
        <f t="shared" ca="1" si="49"/>
        <v>148.87838807478528</v>
      </c>
      <c r="H111" s="6">
        <f t="shared" ca="1" si="50"/>
        <v>0</v>
      </c>
      <c r="I111" s="6">
        <f>'Monthly Data (14-23) Used'!CB111</f>
        <v>28</v>
      </c>
      <c r="J111" s="6">
        <f>'Monthly Data (14-23) Used'!CA111</f>
        <v>0</v>
      </c>
      <c r="K111" s="6">
        <f>'Monthly Data (14-23) Used'!BJ111</f>
        <v>110</v>
      </c>
      <c r="L111" s="7"/>
      <c r="M111">
        <f>'Monthly Data (longer 09-23)'!CF171</f>
        <v>0.25</v>
      </c>
      <c r="N111" s="6">
        <f t="shared" si="25"/>
        <v>-7179191.8731795801</v>
      </c>
      <c r="O111" s="6">
        <f t="shared" ca="1" si="51"/>
        <v>4227581.2199654849</v>
      </c>
      <c r="P111" s="6">
        <f t="shared" ca="1" si="52"/>
        <v>0</v>
      </c>
      <c r="Q111" s="6">
        <f t="shared" ca="1" si="53"/>
        <v>358535.96079517668</v>
      </c>
      <c r="R111" s="6">
        <f t="shared" ca="1" si="54"/>
        <v>0</v>
      </c>
      <c r="S111" s="6">
        <f t="shared" si="55"/>
        <v>20880083.978914607</v>
      </c>
      <c r="T111" s="6">
        <f t="shared" si="56"/>
        <v>0</v>
      </c>
      <c r="U111" s="6">
        <f t="shared" si="57"/>
        <v>2380688.0495114201</v>
      </c>
      <c r="V111" s="6">
        <f t="shared" ca="1" si="58"/>
        <v>20667697.336007111</v>
      </c>
    </row>
    <row r="112" spans="1:22">
      <c r="A112" s="197">
        <v>44986</v>
      </c>
      <c r="B112">
        <f t="shared" si="46"/>
        <v>3</v>
      </c>
      <c r="C112">
        <f t="shared" si="47"/>
        <v>2023</v>
      </c>
      <c r="D112" s="6">
        <f>'Monthly Data (longer 09-23)'!E172</f>
        <v>20403192.423943333</v>
      </c>
      <c r="E112" s="7">
        <f t="shared" ca="1" si="48"/>
        <v>496.46355229914104</v>
      </c>
      <c r="F112" s="7">
        <f t="shared" ca="1" si="48"/>
        <v>0</v>
      </c>
      <c r="G112" s="6">
        <f t="shared" ca="1" si="49"/>
        <v>124.11588807478526</v>
      </c>
      <c r="H112" s="6">
        <f t="shared" ca="1" si="50"/>
        <v>0</v>
      </c>
      <c r="I112" s="6">
        <f>'Monthly Data (14-23) Used'!CB112</f>
        <v>31</v>
      </c>
      <c r="J112" s="6">
        <f>'Monthly Data (14-23) Used'!CA112</f>
        <v>1</v>
      </c>
      <c r="K112" s="6">
        <f>'Monthly Data (14-23) Used'!BJ112</f>
        <v>111</v>
      </c>
      <c r="L112" s="7"/>
      <c r="M112">
        <f>'Monthly Data (longer 09-23)'!CF172</f>
        <v>0.25</v>
      </c>
      <c r="N112" s="6">
        <f t="shared" si="25"/>
        <v>-7179191.8731795801</v>
      </c>
      <c r="O112" s="6">
        <f t="shared" ca="1" si="51"/>
        <v>3524420.194962922</v>
      </c>
      <c r="P112" s="6">
        <f t="shared" ca="1" si="52"/>
        <v>0</v>
      </c>
      <c r="Q112" s="6">
        <f t="shared" ca="1" si="53"/>
        <v>298901.73957610485</v>
      </c>
      <c r="R112" s="6">
        <f t="shared" ca="1" si="54"/>
        <v>0</v>
      </c>
      <c r="S112" s="6">
        <f t="shared" si="55"/>
        <v>23117235.833798315</v>
      </c>
      <c r="T112" s="6">
        <f t="shared" si="56"/>
        <v>-1713930.83126266</v>
      </c>
      <c r="U112" s="6">
        <f t="shared" si="57"/>
        <v>2402330.6681433418</v>
      </c>
      <c r="V112" s="6">
        <f t="shared" ca="1" si="58"/>
        <v>20449765.732038446</v>
      </c>
    </row>
    <row r="113" spans="1:24">
      <c r="A113" s="197">
        <v>45017</v>
      </c>
      <c r="B113">
        <f t="shared" si="46"/>
        <v>4</v>
      </c>
      <c r="C113">
        <f t="shared" si="47"/>
        <v>2023</v>
      </c>
      <c r="D113" s="6">
        <f>'Monthly Data (longer 09-23)'!E173</f>
        <v>18268877.853255227</v>
      </c>
      <c r="E113" s="7">
        <f t="shared" ca="1" si="48"/>
        <v>296.23000000000008</v>
      </c>
      <c r="F113" s="7">
        <f t="shared" ca="1" si="48"/>
        <v>3.0799999999999996</v>
      </c>
      <c r="G113" s="6">
        <f t="shared" ca="1" si="49"/>
        <v>74.057500000000019</v>
      </c>
      <c r="H113" s="6">
        <f t="shared" ca="1" si="50"/>
        <v>0.76999999999999991</v>
      </c>
      <c r="I113" s="6">
        <f>'Monthly Data (14-23) Used'!CB113</f>
        <v>30</v>
      </c>
      <c r="J113" s="6">
        <f>'Monthly Data (14-23) Used'!CA113</f>
        <v>1</v>
      </c>
      <c r="K113" s="6">
        <f>'Monthly Data (14-23) Used'!BJ113</f>
        <v>112</v>
      </c>
      <c r="L113" s="7"/>
      <c r="M113">
        <f>'Monthly Data (longer 09-23)'!CF173</f>
        <v>0.25</v>
      </c>
      <c r="N113" s="6">
        <f t="shared" si="25"/>
        <v>-7179191.8731795801</v>
      </c>
      <c r="O113" s="6">
        <f t="shared" ca="1" si="51"/>
        <v>2102951.9478698559</v>
      </c>
      <c r="P113" s="6">
        <f t="shared" ca="1" si="52"/>
        <v>205175.59510018706</v>
      </c>
      <c r="Q113" s="6">
        <f t="shared" ca="1" si="53"/>
        <v>178348.76680187418</v>
      </c>
      <c r="R113" s="6">
        <f t="shared" ca="1" si="54"/>
        <v>11840.707744347326</v>
      </c>
      <c r="S113" s="6">
        <f t="shared" si="55"/>
        <v>22371518.548837077</v>
      </c>
      <c r="T113" s="6">
        <f t="shared" si="56"/>
        <v>-1713930.83126266</v>
      </c>
      <c r="U113" s="6">
        <f t="shared" si="57"/>
        <v>2423973.286775264</v>
      </c>
      <c r="V113" s="6">
        <f t="shared" ca="1" si="58"/>
        <v>18400686.148686364</v>
      </c>
    </row>
    <row r="114" spans="1:24">
      <c r="A114" s="197">
        <v>45047</v>
      </c>
      <c r="B114">
        <f t="shared" si="46"/>
        <v>5</v>
      </c>
      <c r="C114">
        <f t="shared" si="47"/>
        <v>2023</v>
      </c>
      <c r="D114" s="6">
        <f>'Monthly Data (longer 09-23)'!E174</f>
        <v>19695117.745425321</v>
      </c>
      <c r="E114" s="7">
        <f t="shared" ca="1" si="48"/>
        <v>116.90355229914098</v>
      </c>
      <c r="F114" s="7">
        <f t="shared" ca="1" si="48"/>
        <v>53.286447700859014</v>
      </c>
      <c r="G114" s="6">
        <f t="shared" ca="1" si="49"/>
        <v>29.225888074785246</v>
      </c>
      <c r="H114" s="6">
        <f t="shared" ca="1" si="50"/>
        <v>13.321611925214754</v>
      </c>
      <c r="I114" s="6">
        <f>'Monthly Data (14-23) Used'!CB114</f>
        <v>31</v>
      </c>
      <c r="J114" s="6">
        <f>'Monthly Data (14-23) Used'!CA114</f>
        <v>1</v>
      </c>
      <c r="K114" s="6">
        <f>'Monthly Data (14-23) Used'!BJ114</f>
        <v>113</v>
      </c>
      <c r="L114" s="7"/>
      <c r="M114">
        <f>'Monthly Data (longer 09-23)'!CF174</f>
        <v>0.25</v>
      </c>
      <c r="N114" s="6">
        <f t="shared" si="25"/>
        <v>-7179191.8731795801</v>
      </c>
      <c r="O114" s="6">
        <f t="shared" ca="1" si="51"/>
        <v>829904.30753260653</v>
      </c>
      <c r="P114" s="6">
        <f t="shared" ca="1" si="52"/>
        <v>3549700.8499346571</v>
      </c>
      <c r="Q114" s="6">
        <f t="shared" ca="1" si="53"/>
        <v>70383.16303990208</v>
      </c>
      <c r="R114" s="6">
        <f t="shared" ca="1" si="54"/>
        <v>204853.65388322086</v>
      </c>
      <c r="S114" s="6">
        <f t="shared" si="55"/>
        <v>23117235.833798315</v>
      </c>
      <c r="T114" s="6">
        <f t="shared" si="56"/>
        <v>-1713930.83126266</v>
      </c>
      <c r="U114" s="6">
        <f t="shared" si="57"/>
        <v>2445615.9054071861</v>
      </c>
      <c r="V114" s="6">
        <f t="shared" ca="1" si="58"/>
        <v>21324571.009153649</v>
      </c>
    </row>
    <row r="115" spans="1:24">
      <c r="A115" s="197">
        <v>45078</v>
      </c>
      <c r="B115">
        <f t="shared" si="46"/>
        <v>6</v>
      </c>
      <c r="C115">
        <f t="shared" si="47"/>
        <v>2023</v>
      </c>
      <c r="D115" s="6">
        <f>'Monthly Data (longer 09-23)'!E175</f>
        <v>25536410.654737167</v>
      </c>
      <c r="E115" s="7">
        <f t="shared" ca="1" si="48"/>
        <v>11.023552299140979</v>
      </c>
      <c r="F115" s="7">
        <f t="shared" ca="1" si="48"/>
        <v>145.07</v>
      </c>
      <c r="G115" s="6">
        <f t="shared" ca="1" si="49"/>
        <v>2.7558880747852448</v>
      </c>
      <c r="H115" s="6">
        <f t="shared" ca="1" si="50"/>
        <v>36.267499999999998</v>
      </c>
      <c r="I115" s="6">
        <f>'Monthly Data (14-23) Used'!CB115</f>
        <v>30</v>
      </c>
      <c r="J115" s="6">
        <f>'Monthly Data (14-23) Used'!CA115</f>
        <v>0</v>
      </c>
      <c r="K115" s="6">
        <f>'Monthly Data (14-23) Used'!BJ115</f>
        <v>114</v>
      </c>
      <c r="L115" s="7"/>
      <c r="M115">
        <f>'Monthly Data (longer 09-23)'!CF175</f>
        <v>0.25</v>
      </c>
      <c r="N115" s="6">
        <f t="shared" si="25"/>
        <v>-7179191.8731795801</v>
      </c>
      <c r="O115" s="6">
        <f t="shared" ca="1" si="51"/>
        <v>78256.76258287055</v>
      </c>
      <c r="P115" s="6">
        <f t="shared" ca="1" si="52"/>
        <v>9663903.7601247206</v>
      </c>
      <c r="Q115" s="6">
        <f t="shared" ca="1" si="53"/>
        <v>6636.8597317211561</v>
      </c>
      <c r="R115" s="6">
        <f t="shared" ca="1" si="54"/>
        <v>557705.02353002166</v>
      </c>
      <c r="S115" s="6">
        <f t="shared" si="55"/>
        <v>22371518.548837077</v>
      </c>
      <c r="T115" s="6">
        <f t="shared" si="56"/>
        <v>0</v>
      </c>
      <c r="U115" s="6">
        <f t="shared" si="57"/>
        <v>2467258.5240391078</v>
      </c>
      <c r="V115" s="6">
        <f t="shared" ca="1" si="58"/>
        <v>27966087.605665941</v>
      </c>
    </row>
    <row r="116" spans="1:24">
      <c r="A116" s="197">
        <v>45108</v>
      </c>
      <c r="B116">
        <f t="shared" si="46"/>
        <v>7</v>
      </c>
      <c r="C116">
        <f t="shared" si="47"/>
        <v>2023</v>
      </c>
      <c r="D116" s="6">
        <f>'Monthly Data (longer 09-23)'!E176</f>
        <v>33012016.936593421</v>
      </c>
      <c r="E116" s="7">
        <f t="shared" ca="1" si="48"/>
        <v>0.75</v>
      </c>
      <c r="F116" s="7">
        <f t="shared" ca="1" si="48"/>
        <v>211.23289540171805</v>
      </c>
      <c r="G116" s="6">
        <f t="shared" ca="1" si="49"/>
        <v>0.1875</v>
      </c>
      <c r="H116" s="6">
        <f t="shared" ca="1" si="50"/>
        <v>52.808223850429513</v>
      </c>
      <c r="I116" s="6">
        <f>'Monthly Data (14-23) Used'!CB116</f>
        <v>31</v>
      </c>
      <c r="J116" s="6">
        <f>'Monthly Data (14-23) Used'!CA116</f>
        <v>0</v>
      </c>
      <c r="K116" s="6">
        <f>'Monthly Data (14-23) Used'!BJ116</f>
        <v>115</v>
      </c>
      <c r="L116" s="7"/>
      <c r="M116">
        <f>'Monthly Data (longer 09-23)'!CF176</f>
        <v>0.25</v>
      </c>
      <c r="N116" s="6">
        <f t="shared" si="25"/>
        <v>-7179191.8731795801</v>
      </c>
      <c r="O116" s="6">
        <f t="shared" ca="1" si="51"/>
        <v>5324.2884275812421</v>
      </c>
      <c r="P116" s="6">
        <f t="shared" ca="1" si="52"/>
        <v>14071375.006098401</v>
      </c>
      <c r="Q116" s="6">
        <f t="shared" ca="1" si="53"/>
        <v>451.54634946293623</v>
      </c>
      <c r="R116" s="6">
        <f t="shared" ca="1" si="54"/>
        <v>812060.70793637412</v>
      </c>
      <c r="S116" s="6">
        <f t="shared" si="55"/>
        <v>23117235.833798315</v>
      </c>
      <c r="T116" s="6">
        <f t="shared" si="56"/>
        <v>0</v>
      </c>
      <c r="U116" s="6">
        <f t="shared" si="57"/>
        <v>2488901.14267103</v>
      </c>
      <c r="V116" s="6">
        <f t="shared" ca="1" si="58"/>
        <v>33316156.652101584</v>
      </c>
    </row>
    <row r="117" spans="1:24">
      <c r="A117" s="197">
        <v>45139</v>
      </c>
      <c r="B117">
        <f t="shared" si="46"/>
        <v>8</v>
      </c>
      <c r="C117">
        <f t="shared" si="47"/>
        <v>2023</v>
      </c>
      <c r="D117" s="6">
        <f>'Monthly Data (longer 09-23)'!E177</f>
        <v>29791544.592128277</v>
      </c>
      <c r="E117" s="7">
        <f t="shared" ca="1" si="48"/>
        <v>2.7971045982819609</v>
      </c>
      <c r="F117" s="7">
        <f t="shared" ca="1" si="48"/>
        <v>183.87605861546231</v>
      </c>
      <c r="G117" s="6">
        <f t="shared" ca="1" si="49"/>
        <v>0.69927614957049022</v>
      </c>
      <c r="H117" s="6">
        <f t="shared" ca="1" si="50"/>
        <v>45.969014653865578</v>
      </c>
      <c r="I117" s="6">
        <f>'Monthly Data (14-23) Used'!CB117</f>
        <v>31</v>
      </c>
      <c r="J117" s="6">
        <f>'Monthly Data (14-23) Used'!CA117</f>
        <v>0</v>
      </c>
      <c r="K117" s="6">
        <f>'Monthly Data (14-23) Used'!BJ117</f>
        <v>116</v>
      </c>
      <c r="L117" s="7"/>
      <c r="M117">
        <f>'Monthly Data (longer 09-23)'!CF177</f>
        <v>0.25</v>
      </c>
      <c r="N117" s="6">
        <f t="shared" si="25"/>
        <v>-7179191.8731795801</v>
      </c>
      <c r="O117" s="6">
        <f t="shared" ca="1" si="51"/>
        <v>19856.788857822565</v>
      </c>
      <c r="P117" s="6">
        <f t="shared" ca="1" si="52"/>
        <v>12248986.932176741</v>
      </c>
      <c r="Q117" s="6">
        <f t="shared" ca="1" si="53"/>
        <v>1684.0298272269497</v>
      </c>
      <c r="R117" s="6">
        <f t="shared" ca="1" si="54"/>
        <v>706890.4776779766</v>
      </c>
      <c r="S117" s="6">
        <f t="shared" si="55"/>
        <v>23117235.833798315</v>
      </c>
      <c r="T117" s="6">
        <f t="shared" si="56"/>
        <v>0</v>
      </c>
      <c r="U117" s="6">
        <f t="shared" si="57"/>
        <v>2510543.7613029517</v>
      </c>
      <c r="V117" s="6">
        <f t="shared" ca="1" si="58"/>
        <v>31426005.950461455</v>
      </c>
    </row>
    <row r="118" spans="1:24">
      <c r="A118" s="197">
        <v>45170</v>
      </c>
      <c r="B118">
        <f t="shared" si="46"/>
        <v>9</v>
      </c>
      <c r="C118">
        <f t="shared" si="47"/>
        <v>2023</v>
      </c>
      <c r="D118" s="6">
        <f>'Monthly Data (longer 09-23)'!E178</f>
        <v>24279616.849699214</v>
      </c>
      <c r="E118" s="7">
        <f t="shared" ca="1" si="48"/>
        <v>39.200656897422931</v>
      </c>
      <c r="F118" s="7">
        <f t="shared" ca="1" si="48"/>
        <v>90.709343102577066</v>
      </c>
      <c r="G118" s="6">
        <f t="shared" ca="1" si="49"/>
        <v>9.8001642243557328</v>
      </c>
      <c r="H118" s="6">
        <f t="shared" ca="1" si="50"/>
        <v>22.677335775644266</v>
      </c>
      <c r="I118" s="6">
        <f>'Monthly Data (14-23) Used'!CB118</f>
        <v>30</v>
      </c>
      <c r="J118" s="6">
        <f>'Monthly Data (14-23) Used'!CA118</f>
        <v>0</v>
      </c>
      <c r="K118" s="6">
        <f>'Monthly Data (14-23) Used'!BJ118</f>
        <v>117</v>
      </c>
      <c r="L118" s="7"/>
      <c r="M118">
        <f>'Monthly Data (longer 09-23)'!CF178</f>
        <v>0.25</v>
      </c>
      <c r="N118" s="6">
        <f t="shared" si="25"/>
        <v>-7179191.8731795801</v>
      </c>
      <c r="O118" s="6">
        <f t="shared" ca="1" si="51"/>
        <v>278287.47183004231</v>
      </c>
      <c r="P118" s="6">
        <f t="shared" ca="1" si="52"/>
        <v>6042643.9779929547</v>
      </c>
      <c r="Q118" s="6">
        <f t="shared" ca="1" si="53"/>
        <v>23601.218024773862</v>
      </c>
      <c r="R118" s="6">
        <f t="shared" ca="1" si="54"/>
        <v>348721.69524654001</v>
      </c>
      <c r="S118" s="6">
        <f t="shared" si="55"/>
        <v>22371518.548837077</v>
      </c>
      <c r="T118" s="6">
        <f t="shared" si="56"/>
        <v>0</v>
      </c>
      <c r="U118" s="6">
        <f t="shared" si="57"/>
        <v>2532186.3799348739</v>
      </c>
      <c r="V118" s="6">
        <f t="shared" ca="1" si="58"/>
        <v>24417767.41868668</v>
      </c>
    </row>
    <row r="119" spans="1:24">
      <c r="A119" s="197">
        <v>45200</v>
      </c>
      <c r="B119">
        <f t="shared" si="46"/>
        <v>10</v>
      </c>
      <c r="C119">
        <f t="shared" si="47"/>
        <v>2023</v>
      </c>
      <c r="D119" s="6">
        <f>'Monthly Data (longer 09-23)'!E179</f>
        <v>19662271.76550518</v>
      </c>
      <c r="E119" s="7">
        <f t="shared" ca="1" si="48"/>
        <v>194.90420919656393</v>
      </c>
      <c r="F119" s="7">
        <f t="shared" ca="1" si="48"/>
        <v>20.479999999999997</v>
      </c>
      <c r="G119" s="6">
        <f t="shared" ca="1" si="49"/>
        <v>48.726052299140981</v>
      </c>
      <c r="H119" s="6">
        <f t="shared" ca="1" si="50"/>
        <v>5.1199999999999992</v>
      </c>
      <c r="I119" s="6">
        <f>'Monthly Data (14-23) Used'!CB119</f>
        <v>31</v>
      </c>
      <c r="J119" s="6">
        <f>'Monthly Data (14-23) Used'!CA119</f>
        <v>1</v>
      </c>
      <c r="K119" s="6">
        <f>'Monthly Data (14-23) Used'!BJ119</f>
        <v>118</v>
      </c>
      <c r="L119" s="7"/>
      <c r="M119">
        <f>'Monthly Data (longer 09-23)'!CF179</f>
        <v>0.25</v>
      </c>
      <c r="N119" s="6">
        <f>$Z$8</f>
        <v>-7179191.8731795801</v>
      </c>
      <c r="O119" s="6">
        <f t="shared" ca="1" si="51"/>
        <v>1383634.9673495186</v>
      </c>
      <c r="P119" s="6">
        <f t="shared" ca="1" si="52"/>
        <v>1364284.4765103348</v>
      </c>
      <c r="Q119" s="6">
        <f t="shared" ca="1" si="53"/>
        <v>117344.37887689185</v>
      </c>
      <c r="R119" s="6">
        <f t="shared" ca="1" si="54"/>
        <v>78733.017728647159</v>
      </c>
      <c r="S119" s="6">
        <f t="shared" si="55"/>
        <v>23117235.833798315</v>
      </c>
      <c r="T119" s="6">
        <f t="shared" si="56"/>
        <v>-1713930.83126266</v>
      </c>
      <c r="U119" s="6">
        <f t="shared" si="57"/>
        <v>2553828.9985667961</v>
      </c>
      <c r="V119" s="6">
        <f t="shared" ca="1" si="58"/>
        <v>19721938.968388263</v>
      </c>
    </row>
    <row r="120" spans="1:24">
      <c r="A120" s="197">
        <v>45231</v>
      </c>
      <c r="B120">
        <f t="shared" si="46"/>
        <v>11</v>
      </c>
      <c r="C120">
        <f t="shared" si="47"/>
        <v>2023</v>
      </c>
      <c r="D120" s="6">
        <f>'Monthly Data (longer 09-23)'!E180</f>
        <v>19498370.0278183</v>
      </c>
      <c r="E120" s="7">
        <f t="shared" ca="1" si="48"/>
        <v>404.02065689742301</v>
      </c>
      <c r="F120" s="7">
        <f t="shared" ca="1" si="48"/>
        <v>0.6699999999999996</v>
      </c>
      <c r="G120" s="6">
        <f t="shared" ca="1" si="49"/>
        <v>101.00516422435575</v>
      </c>
      <c r="H120" s="6">
        <f t="shared" ca="1" si="50"/>
        <v>0.1674999999999999</v>
      </c>
      <c r="I120" s="6">
        <f>'Monthly Data (14-23) Used'!CB120</f>
        <v>30</v>
      </c>
      <c r="J120" s="6">
        <f>'Monthly Data (14-23) Used'!CA120</f>
        <v>1</v>
      </c>
      <c r="K120" s="6">
        <f>'Monthly Data (14-23) Used'!BJ120</f>
        <v>119</v>
      </c>
      <c r="L120" s="7"/>
      <c r="M120">
        <f>'Monthly Data (longer 09-23)'!CF180</f>
        <v>0.25</v>
      </c>
      <c r="N120" s="6">
        <f>$Z$8</f>
        <v>-7179191.8731795801</v>
      </c>
      <c r="O120" s="6">
        <f t="shared" ca="1" si="51"/>
        <v>2868163.3440302946</v>
      </c>
      <c r="P120" s="6">
        <f t="shared" ca="1" si="52"/>
        <v>44632.353479586127</v>
      </c>
      <c r="Q120" s="6">
        <f t="shared" ca="1" si="53"/>
        <v>243245.40363953178</v>
      </c>
      <c r="R120" s="6">
        <f t="shared" ca="1" si="54"/>
        <v>2575.7383729586704</v>
      </c>
      <c r="S120" s="6">
        <f t="shared" si="55"/>
        <v>22371518.548837077</v>
      </c>
      <c r="T120" s="6">
        <f t="shared" si="56"/>
        <v>-1713930.83126266</v>
      </c>
      <c r="U120" s="6">
        <f t="shared" si="57"/>
        <v>2575471.6171987178</v>
      </c>
      <c r="V120" s="6">
        <f t="shared" ca="1" si="58"/>
        <v>19212484.301115926</v>
      </c>
      <c r="X120" s="101"/>
    </row>
    <row r="121" spans="1:24">
      <c r="A121" s="197">
        <v>45261</v>
      </c>
      <c r="B121">
        <f t="shared" si="46"/>
        <v>12</v>
      </c>
      <c r="C121">
        <f t="shared" si="47"/>
        <v>2023</v>
      </c>
      <c r="D121" s="6">
        <f>'Monthly Data (longer 09-23)'!E181</f>
        <v>21949733.195365354</v>
      </c>
      <c r="E121" s="7">
        <f t="shared" ca="1" si="48"/>
        <v>533.7700000000001</v>
      </c>
      <c r="F121" s="7">
        <f t="shared" ca="1" si="48"/>
        <v>0</v>
      </c>
      <c r="G121" s="6">
        <f t="shared" ca="1" si="49"/>
        <v>133.44250000000002</v>
      </c>
      <c r="H121" s="6">
        <f t="shared" ca="1" si="50"/>
        <v>0</v>
      </c>
      <c r="I121" s="6">
        <f>'Monthly Data (14-23) Used'!CB121</f>
        <v>31</v>
      </c>
      <c r="J121" s="6">
        <f>'Monthly Data (14-23) Used'!CA121</f>
        <v>0</v>
      </c>
      <c r="K121" s="6">
        <f>'Monthly Data (14-23) Used'!BJ121</f>
        <v>120</v>
      </c>
      <c r="L121" s="7"/>
      <c r="M121">
        <f>'Monthly Data (longer 09-23)'!CF181</f>
        <v>0.25</v>
      </c>
      <c r="N121" s="6">
        <f>$Z$8</f>
        <v>-7179191.8731795801</v>
      </c>
      <c r="O121" s="6">
        <f t="shared" ca="1" si="51"/>
        <v>3789260.5786533868</v>
      </c>
      <c r="P121" s="6">
        <f t="shared" ca="1" si="52"/>
        <v>0</v>
      </c>
      <c r="Q121" s="6">
        <f t="shared" ca="1" si="53"/>
        <v>321362.52660377533</v>
      </c>
      <c r="R121" s="6">
        <f t="shared" ca="1" si="54"/>
        <v>0</v>
      </c>
      <c r="S121" s="6">
        <f t="shared" si="55"/>
        <v>23117235.833798315</v>
      </c>
      <c r="T121" s="6">
        <f t="shared" si="56"/>
        <v>0</v>
      </c>
      <c r="U121" s="6">
        <f t="shared" si="57"/>
        <v>2597114.23583064</v>
      </c>
      <c r="V121" s="6">
        <f t="shared" ca="1" si="58"/>
        <v>22645781.301706534</v>
      </c>
      <c r="X121" s="101"/>
    </row>
    <row r="122" spans="1:24">
      <c r="A122" s="197">
        <v>45292</v>
      </c>
      <c r="B122">
        <f t="shared" ref="B122:B133" si="59">MONTH(A122)</f>
        <v>1</v>
      </c>
      <c r="C122">
        <f t="shared" ref="C122:C133" si="60">YEAR(A122)</f>
        <v>2024</v>
      </c>
      <c r="D122" s="6"/>
      <c r="E122" s="7">
        <f t="shared" ref="E122:F133" ca="1" si="61">E110</f>
        <v>671</v>
      </c>
      <c r="F122" s="7">
        <f t="shared" ca="1" si="61"/>
        <v>0</v>
      </c>
      <c r="G122" s="6">
        <f t="shared" ca="1" si="35"/>
        <v>167.75</v>
      </c>
      <c r="H122" s="6">
        <f t="shared" ca="1" si="36"/>
        <v>0</v>
      </c>
      <c r="I122" s="16">
        <f t="shared" ref="I122:I145" si="62">I74</f>
        <v>31</v>
      </c>
      <c r="J122" s="16">
        <f t="shared" ref="J122:J145" si="63">J110</f>
        <v>0</v>
      </c>
      <c r="K122" s="16">
        <f t="shared" ref="K122:K145" si="64">K121+1</f>
        <v>121</v>
      </c>
      <c r="L122" s="7"/>
      <c r="M122">
        <v>0.25</v>
      </c>
      <c r="N122" s="6">
        <f t="shared" ref="N122:N145" si="65">$Z$8</f>
        <v>-7179191.8731795801</v>
      </c>
      <c r="O122" s="6">
        <f t="shared" ca="1" si="37"/>
        <v>4763463.3798760185</v>
      </c>
      <c r="P122" s="6">
        <f t="shared" ca="1" si="38"/>
        <v>0</v>
      </c>
      <c r="Q122" s="6">
        <f t="shared" ca="1" si="39"/>
        <v>403983.46731950698</v>
      </c>
      <c r="R122" s="6">
        <f t="shared" ca="1" si="40"/>
        <v>0</v>
      </c>
      <c r="S122" s="6">
        <f t="shared" si="41"/>
        <v>23117235.833798315</v>
      </c>
      <c r="T122" s="6">
        <f t="shared" si="42"/>
        <v>0</v>
      </c>
      <c r="U122" s="6">
        <f t="shared" si="43"/>
        <v>2618756.8544625621</v>
      </c>
      <c r="V122" s="6">
        <f t="shared" ref="V122:V145" ca="1" si="66">SUM(N122:U122)</f>
        <v>23724247.662276819</v>
      </c>
    </row>
    <row r="123" spans="1:24">
      <c r="A123" s="197">
        <v>45323</v>
      </c>
      <c r="B123">
        <f t="shared" si="59"/>
        <v>2</v>
      </c>
      <c r="C123">
        <f t="shared" si="60"/>
        <v>2024</v>
      </c>
      <c r="D123" s="6"/>
      <c r="E123" s="7">
        <f t="shared" ca="1" si="61"/>
        <v>595.51355229914111</v>
      </c>
      <c r="F123" s="7">
        <f t="shared" ca="1" si="61"/>
        <v>0</v>
      </c>
      <c r="G123" s="6">
        <f t="shared" ca="1" si="35"/>
        <v>148.87838807478528</v>
      </c>
      <c r="H123" s="6">
        <f t="shared" ca="1" si="36"/>
        <v>0</v>
      </c>
      <c r="I123" s="16">
        <f t="shared" si="62"/>
        <v>29</v>
      </c>
      <c r="J123" s="16">
        <f t="shared" si="63"/>
        <v>0</v>
      </c>
      <c r="K123" s="16">
        <f t="shared" si="64"/>
        <v>122</v>
      </c>
      <c r="L123" s="7"/>
      <c r="M123">
        <f t="shared" ref="M123:M145" si="67">M122</f>
        <v>0.25</v>
      </c>
      <c r="N123" s="6">
        <f t="shared" si="65"/>
        <v>-7179191.8731795801</v>
      </c>
      <c r="O123" s="6">
        <f t="shared" ca="1" si="37"/>
        <v>4227581.2199654849</v>
      </c>
      <c r="P123" s="6">
        <f t="shared" ca="1" si="38"/>
        <v>0</v>
      </c>
      <c r="Q123" s="6">
        <f t="shared" ca="1" si="39"/>
        <v>358535.96079517668</v>
      </c>
      <c r="R123" s="6">
        <f t="shared" ca="1" si="40"/>
        <v>0</v>
      </c>
      <c r="S123" s="6">
        <f t="shared" si="41"/>
        <v>21625801.263875842</v>
      </c>
      <c r="T123" s="6">
        <f t="shared" si="42"/>
        <v>0</v>
      </c>
      <c r="U123" s="6">
        <f t="shared" si="43"/>
        <v>2640399.4730944838</v>
      </c>
      <c r="V123" s="6">
        <f t="shared" ca="1" si="66"/>
        <v>21673126.04455141</v>
      </c>
    </row>
    <row r="124" spans="1:24">
      <c r="A124" s="197">
        <v>45352</v>
      </c>
      <c r="B124">
        <f t="shared" si="59"/>
        <v>3</v>
      </c>
      <c r="C124">
        <f t="shared" si="60"/>
        <v>2024</v>
      </c>
      <c r="D124" s="6"/>
      <c r="E124" s="7">
        <f t="shared" ca="1" si="61"/>
        <v>496.46355229914104</v>
      </c>
      <c r="F124" s="7">
        <f t="shared" ca="1" si="61"/>
        <v>0</v>
      </c>
      <c r="G124" s="6">
        <f t="shared" ca="1" si="35"/>
        <v>124.11588807478526</v>
      </c>
      <c r="H124" s="6">
        <f t="shared" ca="1" si="36"/>
        <v>0</v>
      </c>
      <c r="I124" s="16">
        <f t="shared" si="62"/>
        <v>31</v>
      </c>
      <c r="J124" s="16">
        <f t="shared" si="63"/>
        <v>1</v>
      </c>
      <c r="K124" s="16">
        <f t="shared" si="64"/>
        <v>123</v>
      </c>
      <c r="L124" s="7"/>
      <c r="M124">
        <f t="shared" si="67"/>
        <v>0.25</v>
      </c>
      <c r="N124" s="6">
        <f t="shared" si="65"/>
        <v>-7179191.8731795801</v>
      </c>
      <c r="O124" s="6">
        <f t="shared" ca="1" si="37"/>
        <v>3524420.194962922</v>
      </c>
      <c r="P124" s="6">
        <f t="shared" ca="1" si="38"/>
        <v>0</v>
      </c>
      <c r="Q124" s="6">
        <f t="shared" ca="1" si="39"/>
        <v>298901.73957610485</v>
      </c>
      <c r="R124" s="6">
        <f t="shared" ca="1" si="40"/>
        <v>0</v>
      </c>
      <c r="S124" s="6">
        <f t="shared" si="41"/>
        <v>23117235.833798315</v>
      </c>
      <c r="T124" s="6">
        <f t="shared" si="42"/>
        <v>-1713930.83126266</v>
      </c>
      <c r="U124" s="6">
        <f t="shared" si="43"/>
        <v>2662042.091726406</v>
      </c>
      <c r="V124" s="6">
        <f t="shared" ca="1" si="66"/>
        <v>20709477.15562151</v>
      </c>
    </row>
    <row r="125" spans="1:24">
      <c r="A125" s="197">
        <v>45383</v>
      </c>
      <c r="B125">
        <f t="shared" si="59"/>
        <v>4</v>
      </c>
      <c r="C125">
        <f t="shared" si="60"/>
        <v>2024</v>
      </c>
      <c r="D125" s="6"/>
      <c r="E125" s="7">
        <f t="shared" ca="1" si="61"/>
        <v>296.23000000000008</v>
      </c>
      <c r="F125" s="7">
        <f t="shared" ca="1" si="61"/>
        <v>3.0799999999999996</v>
      </c>
      <c r="G125" s="6">
        <f t="shared" ca="1" si="35"/>
        <v>74.057500000000019</v>
      </c>
      <c r="H125" s="6">
        <f t="shared" ca="1" si="36"/>
        <v>0.76999999999999991</v>
      </c>
      <c r="I125" s="16">
        <f t="shared" si="62"/>
        <v>30</v>
      </c>
      <c r="J125" s="16">
        <f t="shared" si="63"/>
        <v>1</v>
      </c>
      <c r="K125" s="16">
        <f t="shared" si="64"/>
        <v>124</v>
      </c>
      <c r="L125" s="7"/>
      <c r="M125">
        <f t="shared" si="67"/>
        <v>0.25</v>
      </c>
      <c r="N125" s="6">
        <f t="shared" si="65"/>
        <v>-7179191.8731795801</v>
      </c>
      <c r="O125" s="6">
        <f t="shared" ca="1" si="37"/>
        <v>2102951.9478698559</v>
      </c>
      <c r="P125" s="6">
        <f t="shared" ca="1" si="38"/>
        <v>205175.59510018706</v>
      </c>
      <c r="Q125" s="6">
        <f t="shared" ca="1" si="39"/>
        <v>178348.76680187418</v>
      </c>
      <c r="R125" s="6">
        <f t="shared" ca="1" si="40"/>
        <v>11840.707744347326</v>
      </c>
      <c r="S125" s="6">
        <f t="shared" si="41"/>
        <v>22371518.548837077</v>
      </c>
      <c r="T125" s="6">
        <f t="shared" si="42"/>
        <v>-1713930.83126266</v>
      </c>
      <c r="U125" s="6">
        <f t="shared" si="43"/>
        <v>2683684.7103583282</v>
      </c>
      <c r="V125" s="6">
        <f t="shared" ca="1" si="66"/>
        <v>18660397.572269429</v>
      </c>
    </row>
    <row r="126" spans="1:24">
      <c r="A126" s="197">
        <v>45413</v>
      </c>
      <c r="B126">
        <f t="shared" si="59"/>
        <v>5</v>
      </c>
      <c r="C126">
        <f t="shared" si="60"/>
        <v>2024</v>
      </c>
      <c r="D126" s="6"/>
      <c r="E126" s="7">
        <f t="shared" ca="1" si="61"/>
        <v>116.90355229914098</v>
      </c>
      <c r="F126" s="7">
        <f t="shared" ca="1" si="61"/>
        <v>53.286447700859014</v>
      </c>
      <c r="G126" s="6">
        <f t="shared" ca="1" si="35"/>
        <v>29.225888074785246</v>
      </c>
      <c r="H126" s="6">
        <f t="shared" ca="1" si="36"/>
        <v>13.321611925214754</v>
      </c>
      <c r="I126" s="16">
        <f t="shared" si="62"/>
        <v>31</v>
      </c>
      <c r="J126" s="16">
        <f t="shared" si="63"/>
        <v>1</v>
      </c>
      <c r="K126" s="16">
        <f t="shared" si="64"/>
        <v>125</v>
      </c>
      <c r="L126" s="7"/>
      <c r="M126">
        <f t="shared" si="67"/>
        <v>0.25</v>
      </c>
      <c r="N126" s="6">
        <f t="shared" si="65"/>
        <v>-7179191.8731795801</v>
      </c>
      <c r="O126" s="6">
        <f t="shared" ca="1" si="37"/>
        <v>829904.30753260653</v>
      </c>
      <c r="P126" s="6">
        <f t="shared" ca="1" si="38"/>
        <v>3549700.8499346571</v>
      </c>
      <c r="Q126" s="6">
        <f t="shared" ca="1" si="39"/>
        <v>70383.16303990208</v>
      </c>
      <c r="R126" s="6">
        <f t="shared" ca="1" si="40"/>
        <v>204853.65388322086</v>
      </c>
      <c r="S126" s="6">
        <f t="shared" si="41"/>
        <v>23117235.833798315</v>
      </c>
      <c r="T126" s="6">
        <f t="shared" si="42"/>
        <v>-1713930.83126266</v>
      </c>
      <c r="U126" s="6">
        <f t="shared" si="43"/>
        <v>2705327.3289902499</v>
      </c>
      <c r="V126" s="6">
        <f t="shared" ca="1" si="66"/>
        <v>21584282.432736713</v>
      </c>
    </row>
    <row r="127" spans="1:24">
      <c r="A127" s="197">
        <v>45444</v>
      </c>
      <c r="B127">
        <f t="shared" si="59"/>
        <v>6</v>
      </c>
      <c r="C127">
        <f t="shared" si="60"/>
        <v>2024</v>
      </c>
      <c r="D127" s="6"/>
      <c r="E127" s="7">
        <f t="shared" ca="1" si="61"/>
        <v>11.023552299140979</v>
      </c>
      <c r="F127" s="7">
        <f t="shared" ca="1" si="61"/>
        <v>145.07</v>
      </c>
      <c r="G127" s="6">
        <f t="shared" ca="1" si="35"/>
        <v>2.7558880747852448</v>
      </c>
      <c r="H127" s="6">
        <f t="shared" ca="1" si="36"/>
        <v>36.267499999999998</v>
      </c>
      <c r="I127" s="16">
        <f t="shared" si="62"/>
        <v>30</v>
      </c>
      <c r="J127" s="16">
        <f t="shared" si="63"/>
        <v>0</v>
      </c>
      <c r="K127" s="16">
        <f t="shared" si="64"/>
        <v>126</v>
      </c>
      <c r="L127" s="7"/>
      <c r="M127">
        <f t="shared" si="67"/>
        <v>0.25</v>
      </c>
      <c r="N127" s="6">
        <f t="shared" si="65"/>
        <v>-7179191.8731795801</v>
      </c>
      <c r="O127" s="6">
        <f t="shared" ca="1" si="37"/>
        <v>78256.76258287055</v>
      </c>
      <c r="P127" s="6">
        <f t="shared" ca="1" si="38"/>
        <v>9663903.7601247206</v>
      </c>
      <c r="Q127" s="6">
        <f t="shared" ca="1" si="39"/>
        <v>6636.8597317211561</v>
      </c>
      <c r="R127" s="6">
        <f t="shared" ca="1" si="40"/>
        <v>557705.02353002166</v>
      </c>
      <c r="S127" s="6">
        <f t="shared" si="41"/>
        <v>22371518.548837077</v>
      </c>
      <c r="T127" s="6">
        <f t="shared" si="42"/>
        <v>0</v>
      </c>
      <c r="U127" s="6">
        <f t="shared" si="43"/>
        <v>2726969.9476221721</v>
      </c>
      <c r="V127" s="6">
        <f t="shared" ca="1" si="66"/>
        <v>28225799.029249005</v>
      </c>
    </row>
    <row r="128" spans="1:24">
      <c r="A128" s="197">
        <v>45474</v>
      </c>
      <c r="B128">
        <f t="shared" si="59"/>
        <v>7</v>
      </c>
      <c r="C128">
        <f t="shared" si="60"/>
        <v>2024</v>
      </c>
      <c r="D128" s="6"/>
      <c r="E128" s="7">
        <f t="shared" ca="1" si="61"/>
        <v>0.75</v>
      </c>
      <c r="F128" s="7">
        <f t="shared" ca="1" si="61"/>
        <v>211.23289540171805</v>
      </c>
      <c r="G128" s="6">
        <f t="shared" ca="1" si="35"/>
        <v>0.1875</v>
      </c>
      <c r="H128" s="6">
        <f t="shared" ca="1" si="36"/>
        <v>52.808223850429513</v>
      </c>
      <c r="I128" s="16">
        <f t="shared" si="62"/>
        <v>31</v>
      </c>
      <c r="J128" s="16">
        <f t="shared" si="63"/>
        <v>0</v>
      </c>
      <c r="K128" s="16">
        <f t="shared" si="64"/>
        <v>127</v>
      </c>
      <c r="L128" s="7"/>
      <c r="M128">
        <f t="shared" si="67"/>
        <v>0.25</v>
      </c>
      <c r="N128" s="6">
        <f t="shared" si="65"/>
        <v>-7179191.8731795801</v>
      </c>
      <c r="O128" s="6">
        <f t="shared" ca="1" si="37"/>
        <v>5324.2884275812421</v>
      </c>
      <c r="P128" s="6">
        <f t="shared" ca="1" si="38"/>
        <v>14071375.006098401</v>
      </c>
      <c r="Q128" s="6">
        <f t="shared" ca="1" si="39"/>
        <v>451.54634946293623</v>
      </c>
      <c r="R128" s="6">
        <f t="shared" ca="1" si="40"/>
        <v>812060.70793637412</v>
      </c>
      <c r="S128" s="6">
        <f t="shared" si="41"/>
        <v>23117235.833798315</v>
      </c>
      <c r="T128" s="6">
        <f t="shared" si="42"/>
        <v>0</v>
      </c>
      <c r="U128" s="6">
        <f t="shared" si="43"/>
        <v>2748612.5662540938</v>
      </c>
      <c r="V128" s="6">
        <f t="shared" ca="1" si="66"/>
        <v>33575868.075684644</v>
      </c>
    </row>
    <row r="129" spans="1:22">
      <c r="A129" s="197">
        <v>45505</v>
      </c>
      <c r="B129">
        <f t="shared" si="59"/>
        <v>8</v>
      </c>
      <c r="C129">
        <f t="shared" si="60"/>
        <v>2024</v>
      </c>
      <c r="D129" s="6"/>
      <c r="E129" s="7">
        <f t="shared" ca="1" si="61"/>
        <v>2.7971045982819609</v>
      </c>
      <c r="F129" s="7">
        <f t="shared" ca="1" si="61"/>
        <v>183.87605861546231</v>
      </c>
      <c r="G129" s="6">
        <f t="shared" ca="1" si="35"/>
        <v>0.69927614957049022</v>
      </c>
      <c r="H129" s="6">
        <f t="shared" ca="1" si="36"/>
        <v>45.969014653865578</v>
      </c>
      <c r="I129" s="16">
        <f t="shared" si="62"/>
        <v>31</v>
      </c>
      <c r="J129" s="16">
        <f t="shared" si="63"/>
        <v>0</v>
      </c>
      <c r="K129" s="16">
        <f t="shared" si="64"/>
        <v>128</v>
      </c>
      <c r="L129" s="7"/>
      <c r="M129">
        <f t="shared" si="67"/>
        <v>0.25</v>
      </c>
      <c r="N129" s="6">
        <f t="shared" si="65"/>
        <v>-7179191.8731795801</v>
      </c>
      <c r="O129" s="6">
        <f t="shared" ca="1" si="37"/>
        <v>19856.788857822565</v>
      </c>
      <c r="P129" s="6">
        <f t="shared" ca="1" si="38"/>
        <v>12248986.932176741</v>
      </c>
      <c r="Q129" s="6">
        <f t="shared" ca="1" si="39"/>
        <v>1684.0298272269497</v>
      </c>
      <c r="R129" s="6">
        <f t="shared" ca="1" si="40"/>
        <v>706890.4776779766</v>
      </c>
      <c r="S129" s="6">
        <f t="shared" si="41"/>
        <v>23117235.833798315</v>
      </c>
      <c r="T129" s="6">
        <f t="shared" si="42"/>
        <v>0</v>
      </c>
      <c r="U129" s="6">
        <f t="shared" si="43"/>
        <v>2770255.184886016</v>
      </c>
      <c r="V129" s="6">
        <f t="shared" ca="1" si="66"/>
        <v>31685717.374044519</v>
      </c>
    </row>
    <row r="130" spans="1:22">
      <c r="A130" s="197">
        <v>45536</v>
      </c>
      <c r="B130">
        <f t="shared" si="59"/>
        <v>9</v>
      </c>
      <c r="C130">
        <f t="shared" si="60"/>
        <v>2024</v>
      </c>
      <c r="D130" s="6"/>
      <c r="E130" s="7">
        <f t="shared" ca="1" si="61"/>
        <v>39.200656897422931</v>
      </c>
      <c r="F130" s="7">
        <f t="shared" ca="1" si="61"/>
        <v>90.709343102577066</v>
      </c>
      <c r="G130" s="6">
        <f t="shared" ca="1" si="35"/>
        <v>9.8001642243557328</v>
      </c>
      <c r="H130" s="6">
        <f t="shared" ca="1" si="36"/>
        <v>22.677335775644266</v>
      </c>
      <c r="I130" s="16">
        <f t="shared" si="62"/>
        <v>30</v>
      </c>
      <c r="J130" s="16">
        <f t="shared" si="63"/>
        <v>0</v>
      </c>
      <c r="K130" s="16">
        <f t="shared" si="64"/>
        <v>129</v>
      </c>
      <c r="L130" s="7"/>
      <c r="M130">
        <f t="shared" si="67"/>
        <v>0.25</v>
      </c>
      <c r="N130" s="6">
        <f t="shared" si="65"/>
        <v>-7179191.8731795801</v>
      </c>
      <c r="O130" s="6">
        <f t="shared" ca="1" si="37"/>
        <v>278287.47183004231</v>
      </c>
      <c r="P130" s="6">
        <f t="shared" ca="1" si="38"/>
        <v>6042643.9779929547</v>
      </c>
      <c r="Q130" s="6">
        <f t="shared" ca="1" si="39"/>
        <v>23601.218024773862</v>
      </c>
      <c r="R130" s="6">
        <f t="shared" ca="1" si="40"/>
        <v>348721.69524654001</v>
      </c>
      <c r="S130" s="6">
        <f t="shared" si="41"/>
        <v>22371518.548837077</v>
      </c>
      <c r="T130" s="6">
        <f t="shared" si="42"/>
        <v>0</v>
      </c>
      <c r="U130" s="6">
        <f t="shared" si="43"/>
        <v>2791897.8035179381</v>
      </c>
      <c r="V130" s="6">
        <f t="shared" ca="1" si="66"/>
        <v>24677478.842269745</v>
      </c>
    </row>
    <row r="131" spans="1:22">
      <c r="A131" s="197">
        <v>45566</v>
      </c>
      <c r="B131">
        <f t="shared" si="59"/>
        <v>10</v>
      </c>
      <c r="C131">
        <f t="shared" si="60"/>
        <v>2024</v>
      </c>
      <c r="D131" s="6"/>
      <c r="E131" s="7">
        <f t="shared" ca="1" si="61"/>
        <v>194.90420919656393</v>
      </c>
      <c r="F131" s="7">
        <f t="shared" ca="1" si="61"/>
        <v>20.479999999999997</v>
      </c>
      <c r="G131" s="6">
        <f t="shared" ca="1" si="35"/>
        <v>48.726052299140981</v>
      </c>
      <c r="H131" s="6">
        <f t="shared" ca="1" si="36"/>
        <v>5.1199999999999992</v>
      </c>
      <c r="I131" s="16">
        <f t="shared" si="62"/>
        <v>31</v>
      </c>
      <c r="J131" s="16">
        <f t="shared" si="63"/>
        <v>1</v>
      </c>
      <c r="K131" s="16">
        <f t="shared" si="64"/>
        <v>130</v>
      </c>
      <c r="L131" s="7"/>
      <c r="M131">
        <f t="shared" si="67"/>
        <v>0.25</v>
      </c>
      <c r="N131" s="6">
        <f t="shared" si="65"/>
        <v>-7179191.8731795801</v>
      </c>
      <c r="O131" s="6">
        <f t="shared" ca="1" si="37"/>
        <v>1383634.9673495186</v>
      </c>
      <c r="P131" s="6">
        <f t="shared" ca="1" si="38"/>
        <v>1364284.4765103348</v>
      </c>
      <c r="Q131" s="6">
        <f t="shared" ca="1" si="39"/>
        <v>117344.37887689185</v>
      </c>
      <c r="R131" s="6">
        <f t="shared" ca="1" si="40"/>
        <v>78733.017728647159</v>
      </c>
      <c r="S131" s="6">
        <f t="shared" si="41"/>
        <v>23117235.833798315</v>
      </c>
      <c r="T131" s="6">
        <f t="shared" si="42"/>
        <v>-1713930.83126266</v>
      </c>
      <c r="U131" s="6">
        <f t="shared" si="43"/>
        <v>2813540.4221498598</v>
      </c>
      <c r="V131" s="6">
        <f t="shared" ca="1" si="66"/>
        <v>19981650.391971327</v>
      </c>
    </row>
    <row r="132" spans="1:22">
      <c r="A132" s="197">
        <v>45597</v>
      </c>
      <c r="B132">
        <f t="shared" si="59"/>
        <v>11</v>
      </c>
      <c r="C132">
        <f t="shared" si="60"/>
        <v>2024</v>
      </c>
      <c r="D132" s="6"/>
      <c r="E132" s="7">
        <f t="shared" ca="1" si="61"/>
        <v>404.02065689742301</v>
      </c>
      <c r="F132" s="7">
        <f t="shared" ca="1" si="61"/>
        <v>0.6699999999999996</v>
      </c>
      <c r="G132" s="6">
        <f t="shared" ca="1" si="35"/>
        <v>101.00516422435575</v>
      </c>
      <c r="H132" s="6">
        <f t="shared" ca="1" si="36"/>
        <v>0.1674999999999999</v>
      </c>
      <c r="I132" s="16">
        <f t="shared" si="62"/>
        <v>30</v>
      </c>
      <c r="J132" s="16">
        <f t="shared" si="63"/>
        <v>1</v>
      </c>
      <c r="K132" s="16">
        <f t="shared" si="64"/>
        <v>131</v>
      </c>
      <c r="L132" s="7"/>
      <c r="M132">
        <f t="shared" si="67"/>
        <v>0.25</v>
      </c>
      <c r="N132" s="6">
        <f t="shared" si="65"/>
        <v>-7179191.8731795801</v>
      </c>
      <c r="O132" s="6">
        <f t="shared" ca="1" si="37"/>
        <v>2868163.3440302946</v>
      </c>
      <c r="P132" s="6">
        <f t="shared" ca="1" si="38"/>
        <v>44632.353479586127</v>
      </c>
      <c r="Q132" s="6">
        <f t="shared" ca="1" si="39"/>
        <v>243245.40363953178</v>
      </c>
      <c r="R132" s="6">
        <f t="shared" ca="1" si="40"/>
        <v>2575.7383729586704</v>
      </c>
      <c r="S132" s="6">
        <f t="shared" si="41"/>
        <v>22371518.548837077</v>
      </c>
      <c r="T132" s="6">
        <f t="shared" si="42"/>
        <v>-1713930.83126266</v>
      </c>
      <c r="U132" s="6">
        <f t="shared" si="43"/>
        <v>2835183.040781782</v>
      </c>
      <c r="V132" s="6">
        <f t="shared" ca="1" si="66"/>
        <v>19472195.724698991</v>
      </c>
    </row>
    <row r="133" spans="1:22">
      <c r="A133" s="197">
        <v>45627</v>
      </c>
      <c r="B133">
        <f t="shared" si="59"/>
        <v>12</v>
      </c>
      <c r="C133">
        <f t="shared" si="60"/>
        <v>2024</v>
      </c>
      <c r="D133" s="6"/>
      <c r="E133" s="7">
        <f t="shared" ca="1" si="61"/>
        <v>533.7700000000001</v>
      </c>
      <c r="F133" s="7">
        <f t="shared" ca="1" si="61"/>
        <v>0</v>
      </c>
      <c r="G133" s="6">
        <f t="shared" ca="1" si="35"/>
        <v>133.44250000000002</v>
      </c>
      <c r="H133" s="6">
        <f t="shared" ca="1" si="36"/>
        <v>0</v>
      </c>
      <c r="I133" s="16">
        <f t="shared" si="62"/>
        <v>31</v>
      </c>
      <c r="J133" s="16">
        <f t="shared" si="63"/>
        <v>0</v>
      </c>
      <c r="K133" s="16">
        <f t="shared" si="64"/>
        <v>132</v>
      </c>
      <c r="L133" s="7"/>
      <c r="M133">
        <f t="shared" si="67"/>
        <v>0.25</v>
      </c>
      <c r="N133" s="6">
        <f t="shared" si="65"/>
        <v>-7179191.8731795801</v>
      </c>
      <c r="O133" s="6">
        <f t="shared" ca="1" si="37"/>
        <v>3789260.5786533868</v>
      </c>
      <c r="P133" s="6">
        <f t="shared" ca="1" si="38"/>
        <v>0</v>
      </c>
      <c r="Q133" s="6">
        <f t="shared" ca="1" si="39"/>
        <v>321362.52660377533</v>
      </c>
      <c r="R133" s="6">
        <f t="shared" ca="1" si="40"/>
        <v>0</v>
      </c>
      <c r="S133" s="6">
        <f t="shared" si="41"/>
        <v>23117235.833798315</v>
      </c>
      <c r="T133" s="6">
        <f t="shared" si="42"/>
        <v>0</v>
      </c>
      <c r="U133" s="6">
        <f t="shared" si="43"/>
        <v>2856825.6594137037</v>
      </c>
      <c r="V133" s="6">
        <f t="shared" ca="1" si="66"/>
        <v>22905492.725289598</v>
      </c>
    </row>
    <row r="134" spans="1:22">
      <c r="A134" s="197">
        <v>45658</v>
      </c>
      <c r="B134">
        <f t="shared" ref="B134:B145" si="68">MONTH(A134)</f>
        <v>1</v>
      </c>
      <c r="C134">
        <f t="shared" ref="C134:C145" si="69">YEAR(A134)</f>
        <v>2025</v>
      </c>
      <c r="D134" s="6"/>
      <c r="E134" s="7">
        <f t="shared" ref="E134:F145" ca="1" si="70">E122</f>
        <v>671</v>
      </c>
      <c r="F134" s="7">
        <f t="shared" ca="1" si="70"/>
        <v>0</v>
      </c>
      <c r="G134" s="6">
        <f t="shared" ca="1" si="35"/>
        <v>167.75</v>
      </c>
      <c r="H134" s="6">
        <f t="shared" ca="1" si="36"/>
        <v>0</v>
      </c>
      <c r="I134" s="16">
        <f t="shared" si="62"/>
        <v>31</v>
      </c>
      <c r="J134" s="16">
        <f t="shared" si="63"/>
        <v>0</v>
      </c>
      <c r="K134" s="16">
        <f t="shared" si="64"/>
        <v>133</v>
      </c>
      <c r="L134" s="7"/>
      <c r="M134">
        <f t="shared" si="67"/>
        <v>0.25</v>
      </c>
      <c r="N134" s="6">
        <f t="shared" si="65"/>
        <v>-7179191.8731795801</v>
      </c>
      <c r="O134" s="6">
        <f t="shared" ca="1" si="37"/>
        <v>4763463.3798760185</v>
      </c>
      <c r="P134" s="6">
        <f t="shared" ca="1" si="38"/>
        <v>0</v>
      </c>
      <c r="Q134" s="6">
        <f t="shared" ca="1" si="39"/>
        <v>403983.46731950698</v>
      </c>
      <c r="R134" s="6">
        <f t="shared" ca="1" si="40"/>
        <v>0</v>
      </c>
      <c r="S134" s="6">
        <f t="shared" si="41"/>
        <v>23117235.833798315</v>
      </c>
      <c r="T134" s="6">
        <f t="shared" si="42"/>
        <v>0</v>
      </c>
      <c r="U134" s="6">
        <f t="shared" si="43"/>
        <v>2878468.2780456259</v>
      </c>
      <c r="V134" s="6">
        <f t="shared" ca="1" si="66"/>
        <v>23983959.085859884</v>
      </c>
    </row>
    <row r="135" spans="1:22">
      <c r="A135" s="197">
        <v>45689</v>
      </c>
      <c r="B135">
        <f t="shared" si="68"/>
        <v>2</v>
      </c>
      <c r="C135">
        <f t="shared" si="69"/>
        <v>2025</v>
      </c>
      <c r="D135" s="6"/>
      <c r="E135" s="7">
        <f t="shared" ca="1" si="70"/>
        <v>595.51355229914111</v>
      </c>
      <c r="F135" s="7">
        <f t="shared" ca="1" si="70"/>
        <v>0</v>
      </c>
      <c r="G135" s="6">
        <f t="shared" ca="1" si="35"/>
        <v>148.87838807478528</v>
      </c>
      <c r="H135" s="6">
        <f t="shared" ca="1" si="36"/>
        <v>0</v>
      </c>
      <c r="I135" s="16">
        <f t="shared" si="62"/>
        <v>28</v>
      </c>
      <c r="J135" s="16">
        <f t="shared" si="63"/>
        <v>0</v>
      </c>
      <c r="K135" s="16">
        <f t="shared" si="64"/>
        <v>134</v>
      </c>
      <c r="L135" s="7"/>
      <c r="M135">
        <f t="shared" si="67"/>
        <v>0.25</v>
      </c>
      <c r="N135" s="6">
        <f t="shared" si="65"/>
        <v>-7179191.8731795801</v>
      </c>
      <c r="O135" s="6">
        <f t="shared" ca="1" si="37"/>
        <v>4227581.2199654849</v>
      </c>
      <c r="P135" s="6">
        <f t="shared" ca="1" si="38"/>
        <v>0</v>
      </c>
      <c r="Q135" s="6">
        <f t="shared" ca="1" si="39"/>
        <v>358535.96079517668</v>
      </c>
      <c r="R135" s="6">
        <f t="shared" ca="1" si="40"/>
        <v>0</v>
      </c>
      <c r="S135" s="6">
        <f t="shared" si="41"/>
        <v>20880083.978914607</v>
      </c>
      <c r="T135" s="6">
        <f t="shared" si="42"/>
        <v>0</v>
      </c>
      <c r="U135" s="6">
        <f t="shared" si="43"/>
        <v>2900110.8966775481</v>
      </c>
      <c r="V135" s="6">
        <f t="shared" ca="1" si="66"/>
        <v>21187120.183173239</v>
      </c>
    </row>
    <row r="136" spans="1:22">
      <c r="A136" s="197">
        <v>45717</v>
      </c>
      <c r="B136">
        <f t="shared" si="68"/>
        <v>3</v>
      </c>
      <c r="C136">
        <f t="shared" si="69"/>
        <v>2025</v>
      </c>
      <c r="D136" s="6"/>
      <c r="E136" s="7">
        <f t="shared" ca="1" si="70"/>
        <v>496.46355229914104</v>
      </c>
      <c r="F136" s="7">
        <f t="shared" ca="1" si="70"/>
        <v>0</v>
      </c>
      <c r="G136" s="6">
        <f t="shared" ca="1" si="35"/>
        <v>124.11588807478526</v>
      </c>
      <c r="H136" s="6">
        <f t="shared" ca="1" si="36"/>
        <v>0</v>
      </c>
      <c r="I136" s="16">
        <f t="shared" si="62"/>
        <v>31</v>
      </c>
      <c r="J136" s="16">
        <f t="shared" si="63"/>
        <v>1</v>
      </c>
      <c r="K136" s="16">
        <f t="shared" si="64"/>
        <v>135</v>
      </c>
      <c r="L136" s="7"/>
      <c r="M136">
        <f t="shared" si="67"/>
        <v>0.25</v>
      </c>
      <c r="N136" s="6">
        <f t="shared" si="65"/>
        <v>-7179191.8731795801</v>
      </c>
      <c r="O136" s="6">
        <f t="shared" ca="1" si="37"/>
        <v>3524420.194962922</v>
      </c>
      <c r="P136" s="6">
        <f t="shared" ca="1" si="38"/>
        <v>0</v>
      </c>
      <c r="Q136" s="6">
        <f t="shared" ca="1" si="39"/>
        <v>298901.73957610485</v>
      </c>
      <c r="R136" s="6">
        <f t="shared" ca="1" si="40"/>
        <v>0</v>
      </c>
      <c r="S136" s="6">
        <f t="shared" si="41"/>
        <v>23117235.833798315</v>
      </c>
      <c r="T136" s="6">
        <f t="shared" si="42"/>
        <v>-1713930.83126266</v>
      </c>
      <c r="U136" s="6">
        <f t="shared" si="43"/>
        <v>2921753.5153094698</v>
      </c>
      <c r="V136" s="6">
        <f t="shared" ca="1" si="66"/>
        <v>20969188.579204574</v>
      </c>
    </row>
    <row r="137" spans="1:22">
      <c r="A137" s="197">
        <v>45748</v>
      </c>
      <c r="B137">
        <f t="shared" si="68"/>
        <v>4</v>
      </c>
      <c r="C137">
        <f t="shared" si="69"/>
        <v>2025</v>
      </c>
      <c r="D137" s="6"/>
      <c r="E137" s="7">
        <f t="shared" ca="1" si="70"/>
        <v>296.23000000000008</v>
      </c>
      <c r="F137" s="7">
        <f t="shared" ca="1" si="70"/>
        <v>3.0799999999999996</v>
      </c>
      <c r="G137" s="6">
        <f t="shared" ca="1" si="35"/>
        <v>74.057500000000019</v>
      </c>
      <c r="H137" s="6">
        <f t="shared" ca="1" si="36"/>
        <v>0.76999999999999991</v>
      </c>
      <c r="I137" s="16">
        <f t="shared" si="62"/>
        <v>30</v>
      </c>
      <c r="J137" s="16">
        <f t="shared" si="63"/>
        <v>1</v>
      </c>
      <c r="K137" s="16">
        <f t="shared" si="64"/>
        <v>136</v>
      </c>
      <c r="L137" s="7"/>
      <c r="M137">
        <f t="shared" si="67"/>
        <v>0.25</v>
      </c>
      <c r="N137" s="6">
        <f t="shared" si="65"/>
        <v>-7179191.8731795801</v>
      </c>
      <c r="O137" s="6">
        <f t="shared" ca="1" si="37"/>
        <v>2102951.9478698559</v>
      </c>
      <c r="P137" s="6">
        <f t="shared" ca="1" si="38"/>
        <v>205175.59510018706</v>
      </c>
      <c r="Q137" s="6">
        <f t="shared" ca="1" si="39"/>
        <v>178348.76680187418</v>
      </c>
      <c r="R137" s="6">
        <f t="shared" ca="1" si="40"/>
        <v>11840.707744347326</v>
      </c>
      <c r="S137" s="6">
        <f t="shared" si="41"/>
        <v>22371518.548837077</v>
      </c>
      <c r="T137" s="6">
        <f t="shared" si="42"/>
        <v>-1713930.83126266</v>
      </c>
      <c r="U137" s="6">
        <f t="shared" si="43"/>
        <v>2943396.1339413919</v>
      </c>
      <c r="V137" s="6">
        <f t="shared" ca="1" si="66"/>
        <v>18920108.995852493</v>
      </c>
    </row>
    <row r="138" spans="1:22">
      <c r="A138" s="197">
        <v>45778</v>
      </c>
      <c r="B138">
        <f t="shared" si="68"/>
        <v>5</v>
      </c>
      <c r="C138">
        <f t="shared" si="69"/>
        <v>2025</v>
      </c>
      <c r="D138" s="6"/>
      <c r="E138" s="7">
        <f t="shared" ca="1" si="70"/>
        <v>116.90355229914098</v>
      </c>
      <c r="F138" s="7">
        <f t="shared" ca="1" si="70"/>
        <v>53.286447700859014</v>
      </c>
      <c r="G138" s="6">
        <f t="shared" ca="1" si="35"/>
        <v>29.225888074785246</v>
      </c>
      <c r="H138" s="6">
        <f t="shared" ca="1" si="36"/>
        <v>13.321611925214754</v>
      </c>
      <c r="I138" s="16">
        <f t="shared" si="62"/>
        <v>31</v>
      </c>
      <c r="J138" s="16">
        <f t="shared" si="63"/>
        <v>1</v>
      </c>
      <c r="K138" s="16">
        <f t="shared" si="64"/>
        <v>137</v>
      </c>
      <c r="L138" s="7"/>
      <c r="M138">
        <f t="shared" si="67"/>
        <v>0.25</v>
      </c>
      <c r="N138" s="6">
        <f t="shared" si="65"/>
        <v>-7179191.8731795801</v>
      </c>
      <c r="O138" s="6">
        <f t="shared" ca="1" si="37"/>
        <v>829904.30753260653</v>
      </c>
      <c r="P138" s="6">
        <f t="shared" ca="1" si="38"/>
        <v>3549700.8499346571</v>
      </c>
      <c r="Q138" s="6">
        <f t="shared" ca="1" si="39"/>
        <v>70383.16303990208</v>
      </c>
      <c r="R138" s="6">
        <f t="shared" ca="1" si="40"/>
        <v>204853.65388322086</v>
      </c>
      <c r="S138" s="6">
        <f t="shared" si="41"/>
        <v>23117235.833798315</v>
      </c>
      <c r="T138" s="6">
        <f t="shared" si="42"/>
        <v>-1713930.83126266</v>
      </c>
      <c r="U138" s="6">
        <f t="shared" si="43"/>
        <v>2965038.7525733141</v>
      </c>
      <c r="V138" s="6">
        <f t="shared" ca="1" si="66"/>
        <v>21843993.856319778</v>
      </c>
    </row>
    <row r="139" spans="1:22">
      <c r="A139" s="197">
        <v>45809</v>
      </c>
      <c r="B139">
        <f t="shared" si="68"/>
        <v>6</v>
      </c>
      <c r="C139">
        <f t="shared" si="69"/>
        <v>2025</v>
      </c>
      <c r="D139" s="6"/>
      <c r="E139" s="7">
        <f t="shared" ca="1" si="70"/>
        <v>11.023552299140979</v>
      </c>
      <c r="F139" s="7">
        <f t="shared" ca="1" si="70"/>
        <v>145.07</v>
      </c>
      <c r="G139" s="6">
        <f t="shared" ca="1" si="35"/>
        <v>2.7558880747852448</v>
      </c>
      <c r="H139" s="6">
        <f t="shared" ca="1" si="36"/>
        <v>36.267499999999998</v>
      </c>
      <c r="I139" s="16">
        <f t="shared" si="62"/>
        <v>30</v>
      </c>
      <c r="J139" s="16">
        <f t="shared" si="63"/>
        <v>0</v>
      </c>
      <c r="K139" s="16">
        <f t="shared" si="64"/>
        <v>138</v>
      </c>
      <c r="L139" s="7"/>
      <c r="M139">
        <f t="shared" si="67"/>
        <v>0.25</v>
      </c>
      <c r="N139" s="6">
        <f t="shared" si="65"/>
        <v>-7179191.8731795801</v>
      </c>
      <c r="O139" s="6">
        <f t="shared" ca="1" si="37"/>
        <v>78256.76258287055</v>
      </c>
      <c r="P139" s="6">
        <f t="shared" ca="1" si="38"/>
        <v>9663903.7601247206</v>
      </c>
      <c r="Q139" s="6">
        <f t="shared" ca="1" si="39"/>
        <v>6636.8597317211561</v>
      </c>
      <c r="R139" s="6">
        <f t="shared" ca="1" si="40"/>
        <v>557705.02353002166</v>
      </c>
      <c r="S139" s="6">
        <f t="shared" si="41"/>
        <v>22371518.548837077</v>
      </c>
      <c r="T139" s="6">
        <f t="shared" si="42"/>
        <v>0</v>
      </c>
      <c r="U139" s="6">
        <f t="shared" si="43"/>
        <v>2986681.3712052358</v>
      </c>
      <c r="V139" s="6">
        <f t="shared" ca="1" si="66"/>
        <v>28485510.452832069</v>
      </c>
    </row>
    <row r="140" spans="1:22">
      <c r="A140" s="197">
        <v>45839</v>
      </c>
      <c r="B140">
        <f t="shared" si="68"/>
        <v>7</v>
      </c>
      <c r="C140">
        <f t="shared" si="69"/>
        <v>2025</v>
      </c>
      <c r="D140" s="6"/>
      <c r="E140" s="7">
        <f t="shared" ca="1" si="70"/>
        <v>0.75</v>
      </c>
      <c r="F140" s="7">
        <f t="shared" ca="1" si="70"/>
        <v>211.23289540171805</v>
      </c>
      <c r="G140" s="6">
        <f t="shared" ref="G140:G145" ca="1" si="71">E140*M140</f>
        <v>0.1875</v>
      </c>
      <c r="H140" s="6">
        <f t="shared" ref="H140:H145" ca="1" si="72">F140*M140</f>
        <v>52.808223850429513</v>
      </c>
      <c r="I140" s="16">
        <f t="shared" si="62"/>
        <v>31</v>
      </c>
      <c r="J140" s="16">
        <f t="shared" si="63"/>
        <v>0</v>
      </c>
      <c r="K140" s="16">
        <f t="shared" si="64"/>
        <v>139</v>
      </c>
      <c r="L140" s="7"/>
      <c r="M140">
        <f t="shared" si="67"/>
        <v>0.25</v>
      </c>
      <c r="N140" s="6">
        <f t="shared" si="65"/>
        <v>-7179191.8731795801</v>
      </c>
      <c r="O140" s="6">
        <f t="shared" ca="1" si="37"/>
        <v>5324.2884275812421</v>
      </c>
      <c r="P140" s="6">
        <f t="shared" ca="1" si="38"/>
        <v>14071375.006098401</v>
      </c>
      <c r="Q140" s="6">
        <f t="shared" ca="1" si="39"/>
        <v>451.54634946293623</v>
      </c>
      <c r="R140" s="6">
        <f t="shared" ca="1" si="40"/>
        <v>812060.70793637412</v>
      </c>
      <c r="S140" s="6">
        <f t="shared" si="41"/>
        <v>23117235.833798315</v>
      </c>
      <c r="T140" s="6">
        <f t="shared" si="42"/>
        <v>0</v>
      </c>
      <c r="U140" s="6">
        <f t="shared" si="43"/>
        <v>3008323.989837158</v>
      </c>
      <c r="V140" s="6">
        <f t="shared" ca="1" si="66"/>
        <v>33835579.499267712</v>
      </c>
    </row>
    <row r="141" spans="1:22">
      <c r="A141" s="197">
        <v>45870</v>
      </c>
      <c r="B141">
        <f t="shared" si="68"/>
        <v>8</v>
      </c>
      <c r="C141">
        <f t="shared" si="69"/>
        <v>2025</v>
      </c>
      <c r="D141" s="6"/>
      <c r="E141" s="7">
        <f t="shared" ca="1" si="70"/>
        <v>2.7971045982819609</v>
      </c>
      <c r="F141" s="7">
        <f t="shared" ca="1" si="70"/>
        <v>183.87605861546231</v>
      </c>
      <c r="G141" s="6">
        <f t="shared" ca="1" si="71"/>
        <v>0.69927614957049022</v>
      </c>
      <c r="H141" s="6">
        <f t="shared" ca="1" si="72"/>
        <v>45.969014653865578</v>
      </c>
      <c r="I141" s="16">
        <f t="shared" si="62"/>
        <v>31</v>
      </c>
      <c r="J141" s="16">
        <f t="shared" si="63"/>
        <v>0</v>
      </c>
      <c r="K141" s="16">
        <f t="shared" si="64"/>
        <v>140</v>
      </c>
      <c r="L141" s="7"/>
      <c r="M141">
        <f t="shared" si="67"/>
        <v>0.25</v>
      </c>
      <c r="N141" s="6">
        <f t="shared" si="65"/>
        <v>-7179191.8731795801</v>
      </c>
      <c r="O141" s="6">
        <f t="shared" ca="1" si="37"/>
        <v>19856.788857822565</v>
      </c>
      <c r="P141" s="6">
        <f t="shared" ca="1" si="38"/>
        <v>12248986.932176741</v>
      </c>
      <c r="Q141" s="6">
        <f t="shared" ca="1" si="39"/>
        <v>1684.0298272269497</v>
      </c>
      <c r="R141" s="6">
        <f t="shared" ca="1" si="40"/>
        <v>706890.4776779766</v>
      </c>
      <c r="S141" s="6">
        <f t="shared" si="41"/>
        <v>23117235.833798315</v>
      </c>
      <c r="T141" s="6">
        <f t="shared" si="42"/>
        <v>0</v>
      </c>
      <c r="U141" s="6">
        <f t="shared" si="43"/>
        <v>3029966.6084690802</v>
      </c>
      <c r="V141" s="6">
        <f t="shared" ca="1" si="66"/>
        <v>31945428.797627583</v>
      </c>
    </row>
    <row r="142" spans="1:22">
      <c r="A142" s="197">
        <v>45901</v>
      </c>
      <c r="B142">
        <f t="shared" si="68"/>
        <v>9</v>
      </c>
      <c r="C142">
        <f t="shared" si="69"/>
        <v>2025</v>
      </c>
      <c r="D142" s="6"/>
      <c r="E142" s="7">
        <f t="shared" ca="1" si="70"/>
        <v>39.200656897422931</v>
      </c>
      <c r="F142" s="7">
        <f t="shared" ca="1" si="70"/>
        <v>90.709343102577066</v>
      </c>
      <c r="G142" s="6">
        <f t="shared" ca="1" si="71"/>
        <v>9.8001642243557328</v>
      </c>
      <c r="H142" s="6">
        <f t="shared" ca="1" si="72"/>
        <v>22.677335775644266</v>
      </c>
      <c r="I142" s="16">
        <f t="shared" si="62"/>
        <v>30</v>
      </c>
      <c r="J142" s="16">
        <f t="shared" si="63"/>
        <v>0</v>
      </c>
      <c r="K142" s="16">
        <f t="shared" si="64"/>
        <v>141</v>
      </c>
      <c r="L142" s="7"/>
      <c r="M142">
        <f t="shared" si="67"/>
        <v>0.25</v>
      </c>
      <c r="N142" s="6">
        <f t="shared" si="65"/>
        <v>-7179191.8731795801</v>
      </c>
      <c r="O142" s="6">
        <f ca="1">E142*$Z$9</f>
        <v>278287.47183004231</v>
      </c>
      <c r="P142" s="6">
        <f ca="1">F142*$Z$10</f>
        <v>6042643.9779929547</v>
      </c>
      <c r="Q142" s="6">
        <f ca="1">G142*$Z$11</f>
        <v>23601.218024773862</v>
      </c>
      <c r="R142" s="6">
        <f ca="1">H142*$Z$12</f>
        <v>348721.69524654001</v>
      </c>
      <c r="S142" s="6">
        <f>I142*$Z$13</f>
        <v>22371518.548837077</v>
      </c>
      <c r="T142" s="6">
        <f>J142*$Z$14</f>
        <v>0</v>
      </c>
      <c r="U142" s="6">
        <f>K142*$Z$15</f>
        <v>3051609.2271010019</v>
      </c>
      <c r="V142" s="6">
        <f t="shared" ca="1" si="66"/>
        <v>24937190.265852809</v>
      </c>
    </row>
    <row r="143" spans="1:22">
      <c r="A143" s="197">
        <v>45931</v>
      </c>
      <c r="B143">
        <f t="shared" si="68"/>
        <v>10</v>
      </c>
      <c r="C143">
        <f t="shared" si="69"/>
        <v>2025</v>
      </c>
      <c r="D143" s="6"/>
      <c r="E143" s="7">
        <f t="shared" ca="1" si="70"/>
        <v>194.90420919656393</v>
      </c>
      <c r="F143" s="7">
        <f t="shared" ca="1" si="70"/>
        <v>20.479999999999997</v>
      </c>
      <c r="G143" s="6">
        <f t="shared" ca="1" si="71"/>
        <v>48.726052299140981</v>
      </c>
      <c r="H143" s="6">
        <f t="shared" ca="1" si="72"/>
        <v>5.1199999999999992</v>
      </c>
      <c r="I143" s="16">
        <f t="shared" si="62"/>
        <v>31</v>
      </c>
      <c r="J143" s="16">
        <f t="shared" si="63"/>
        <v>1</v>
      </c>
      <c r="K143" s="16">
        <f t="shared" si="64"/>
        <v>142</v>
      </c>
      <c r="L143" s="7"/>
      <c r="M143">
        <f t="shared" si="67"/>
        <v>0.25</v>
      </c>
      <c r="N143" s="6">
        <f t="shared" si="65"/>
        <v>-7179191.8731795801</v>
      </c>
      <c r="O143" s="6">
        <f ca="1">E143*$Z$9</f>
        <v>1383634.9673495186</v>
      </c>
      <c r="P143" s="6">
        <f ca="1">F143*$Z$10</f>
        <v>1364284.4765103348</v>
      </c>
      <c r="Q143" s="6">
        <f ca="1">G143*$Z$11</f>
        <v>117344.37887689185</v>
      </c>
      <c r="R143" s="6">
        <f ca="1">H143*$Z$12</f>
        <v>78733.017728647159</v>
      </c>
      <c r="S143" s="6">
        <f>I143*$Z$13</f>
        <v>23117235.833798315</v>
      </c>
      <c r="T143" s="6">
        <f>J143*$Z$14</f>
        <v>-1713930.83126266</v>
      </c>
      <c r="U143" s="6">
        <f>K143*$Z$15</f>
        <v>3073251.8457329241</v>
      </c>
      <c r="V143" s="6">
        <f t="shared" ca="1" si="66"/>
        <v>20241361.815554392</v>
      </c>
    </row>
    <row r="144" spans="1:22">
      <c r="A144" s="197">
        <v>45962</v>
      </c>
      <c r="B144">
        <f t="shared" si="68"/>
        <v>11</v>
      </c>
      <c r="C144">
        <f t="shared" si="69"/>
        <v>2025</v>
      </c>
      <c r="D144" s="6"/>
      <c r="E144" s="7">
        <f t="shared" ca="1" si="70"/>
        <v>404.02065689742301</v>
      </c>
      <c r="F144" s="7">
        <f t="shared" ca="1" si="70"/>
        <v>0.6699999999999996</v>
      </c>
      <c r="G144" s="6">
        <f t="shared" ca="1" si="71"/>
        <v>101.00516422435575</v>
      </c>
      <c r="H144" s="6">
        <f t="shared" ca="1" si="72"/>
        <v>0.1674999999999999</v>
      </c>
      <c r="I144" s="16">
        <f t="shared" si="62"/>
        <v>30</v>
      </c>
      <c r="J144" s="16">
        <f t="shared" si="63"/>
        <v>1</v>
      </c>
      <c r="K144" s="16">
        <f t="shared" si="64"/>
        <v>143</v>
      </c>
      <c r="L144" s="7"/>
      <c r="M144">
        <f t="shared" si="67"/>
        <v>0.25</v>
      </c>
      <c r="N144" s="6">
        <f t="shared" si="65"/>
        <v>-7179191.8731795801</v>
      </c>
      <c r="O144" s="6">
        <f ca="1">E144*$Z$9</f>
        <v>2868163.3440302946</v>
      </c>
      <c r="P144" s="6">
        <f ca="1">F144*$Z$10</f>
        <v>44632.353479586127</v>
      </c>
      <c r="Q144" s="6">
        <f ca="1">G144*$Z$11</f>
        <v>243245.40363953178</v>
      </c>
      <c r="R144" s="6">
        <f ca="1">H144*$Z$12</f>
        <v>2575.7383729586704</v>
      </c>
      <c r="S144" s="6">
        <f>I144*$Z$13</f>
        <v>22371518.548837077</v>
      </c>
      <c r="T144" s="6">
        <f>J144*$Z$14</f>
        <v>-1713930.83126266</v>
      </c>
      <c r="U144" s="6">
        <f>K144*$Z$15</f>
        <v>3094894.4643648458</v>
      </c>
      <c r="V144" s="6">
        <f t="shared" ca="1" si="66"/>
        <v>19731907.148282055</v>
      </c>
    </row>
    <row r="145" spans="1:26">
      <c r="A145" s="197">
        <v>45992</v>
      </c>
      <c r="B145">
        <f t="shared" si="68"/>
        <v>12</v>
      </c>
      <c r="C145">
        <f t="shared" si="69"/>
        <v>2025</v>
      </c>
      <c r="D145" s="6"/>
      <c r="E145" s="7">
        <f t="shared" ca="1" si="70"/>
        <v>533.7700000000001</v>
      </c>
      <c r="F145" s="7">
        <f t="shared" ca="1" si="70"/>
        <v>0</v>
      </c>
      <c r="G145" s="6">
        <f t="shared" ca="1" si="71"/>
        <v>133.44250000000002</v>
      </c>
      <c r="H145" s="6">
        <f t="shared" ca="1" si="72"/>
        <v>0</v>
      </c>
      <c r="I145" s="16">
        <f t="shared" si="62"/>
        <v>31</v>
      </c>
      <c r="J145" s="16">
        <f t="shared" si="63"/>
        <v>0</v>
      </c>
      <c r="K145" s="16">
        <f t="shared" si="64"/>
        <v>144</v>
      </c>
      <c r="L145" s="7"/>
      <c r="M145">
        <f t="shared" si="67"/>
        <v>0.25</v>
      </c>
      <c r="N145" s="6">
        <f t="shared" si="65"/>
        <v>-7179191.8731795801</v>
      </c>
      <c r="O145" s="6">
        <f ca="1">E145*$Z$9</f>
        <v>3789260.5786533868</v>
      </c>
      <c r="P145" s="6">
        <f ca="1">F145*$Z$10</f>
        <v>0</v>
      </c>
      <c r="Q145" s="6">
        <f ca="1">G145*$Z$11</f>
        <v>321362.52660377533</v>
      </c>
      <c r="R145" s="6">
        <f ca="1">H145*$Z$12</f>
        <v>0</v>
      </c>
      <c r="S145" s="6">
        <f>I145*$Z$13</f>
        <v>23117235.833798315</v>
      </c>
      <c r="T145" s="6">
        <f>J145*$Z$14</f>
        <v>0</v>
      </c>
      <c r="U145" s="6">
        <f>K145*$Z$15</f>
        <v>3116537.0829967679</v>
      </c>
      <c r="V145" s="6">
        <f t="shared" ca="1" si="66"/>
        <v>23165204.148872662</v>
      </c>
    </row>
    <row r="149" spans="1:26">
      <c r="Y149" s="6"/>
      <c r="Z149" s="14"/>
    </row>
    <row r="150" spans="1:26">
      <c r="Y150" s="6"/>
      <c r="Z150" s="14"/>
    </row>
    <row r="151" spans="1:26">
      <c r="Y151" s="6"/>
      <c r="Z151" s="14"/>
    </row>
    <row r="152" spans="1:26">
      <c r="Y152" s="6"/>
      <c r="Z152" s="14"/>
    </row>
    <row r="153" spans="1:26">
      <c r="Y153" s="6"/>
      <c r="Z153" s="14"/>
    </row>
    <row r="154" spans="1:26">
      <c r="Y154" s="6"/>
      <c r="Z154" s="14"/>
    </row>
    <row r="155" spans="1:26">
      <c r="Y155" s="6"/>
      <c r="Z155" s="14"/>
    </row>
    <row r="156" spans="1:26">
      <c r="Y156" s="6"/>
      <c r="Z156" s="14"/>
    </row>
    <row r="157" spans="1:26">
      <c r="Y157" s="6"/>
      <c r="Z157" s="14"/>
    </row>
    <row r="158" spans="1:26">
      <c r="V158" s="6"/>
      <c r="Y158" s="6"/>
      <c r="Z158" s="14"/>
    </row>
    <row r="159" spans="1:26">
      <c r="Y159" s="6"/>
      <c r="Z159" s="14"/>
    </row>
    <row r="160" spans="1:26">
      <c r="V160" s="6"/>
      <c r="Y160" s="6"/>
      <c r="Z160" s="14"/>
    </row>
    <row r="161" spans="22:26">
      <c r="V161" s="6"/>
      <c r="Y161" s="6"/>
      <c r="Z161" s="14"/>
    </row>
    <row r="162" spans="22:26">
      <c r="V162" s="6"/>
      <c r="Y162" s="6"/>
      <c r="Z162" s="14"/>
    </row>
    <row r="163" spans="22:26">
      <c r="V163" s="6"/>
      <c r="Y163" s="6"/>
      <c r="Z163" s="14"/>
    </row>
    <row r="164" spans="22:26">
      <c r="V164" s="6"/>
      <c r="Y164" s="6"/>
      <c r="Z164" s="14"/>
    </row>
    <row r="165" spans="22:26">
      <c r="V165" s="6"/>
      <c r="Y165" s="6"/>
      <c r="Z165" s="14"/>
    </row>
    <row r="166" spans="22:26">
      <c r="V166" s="6"/>
      <c r="Y166" s="6"/>
      <c r="Z166" s="14"/>
    </row>
    <row r="167" spans="22:26">
      <c r="V167" s="6"/>
      <c r="Y167" s="6"/>
      <c r="Z167" s="14"/>
    </row>
    <row r="168" spans="22:26">
      <c r="V168" s="6"/>
      <c r="Y168" s="6"/>
      <c r="Z168" s="14"/>
    </row>
    <row r="169" spans="22:26">
      <c r="V169" s="6"/>
      <c r="Y169" s="6"/>
      <c r="Z169" s="1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4BAE-1684-4AED-9E07-4E4D47B5EB02}">
  <sheetPr codeName="Sheet21"/>
  <dimension ref="A1:W145"/>
  <sheetViews>
    <sheetView topLeftCell="A124" workbookViewId="0">
      <selection activeCell="M155" sqref="M155"/>
    </sheetView>
  </sheetViews>
  <sheetFormatPr defaultRowHeight="14.45"/>
  <cols>
    <col min="1" max="1" width="12.28515625" customWidth="1"/>
    <col min="4" max="4" width="16.85546875" customWidth="1"/>
    <col min="7" max="7" width="11.5703125" bestFit="1" customWidth="1"/>
    <col min="11" max="13" width="13.28515625" bestFit="1" customWidth="1"/>
    <col min="14" max="14" width="12.140625" customWidth="1"/>
    <col min="15" max="15" width="12.140625" bestFit="1" customWidth="1"/>
    <col min="16" max="16" width="12.140625" customWidth="1"/>
    <col min="17" max="17" width="14.42578125" bestFit="1" customWidth="1"/>
    <col min="20" max="20" width="11.28515625" bestFit="1" customWidth="1"/>
    <col min="21" max="21" width="18.7109375" bestFit="1" customWidth="1"/>
  </cols>
  <sheetData>
    <row r="1" spans="1:23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t="str">
        <f>'Monthly Data (14-23) Used'!AC1</f>
        <v>HDD18</v>
      </c>
      <c r="F1" t="str">
        <f>'Monthly Data (14-23) Used'!AH1</f>
        <v>CDD14</v>
      </c>
      <c r="G1" t="str">
        <f>'Monthly Data (14-23) Used'!BC1</f>
        <v>Total_OEA</v>
      </c>
      <c r="H1" t="str">
        <f>'Monthly Data (14-23) Used'!CB1</f>
        <v>Month Days</v>
      </c>
      <c r="I1" t="str">
        <f>'Monthly Data (14-23) Used'!CA1</f>
        <v>Shoulder</v>
      </c>
      <c r="K1" t="s">
        <v>221</v>
      </c>
      <c r="L1" t="str">
        <f>E1</f>
        <v>HDD18</v>
      </c>
      <c r="M1" t="str">
        <f>F1</f>
        <v>CDD14</v>
      </c>
      <c r="N1" t="str">
        <f>G1</f>
        <v>Total_OEA</v>
      </c>
      <c r="O1" t="str">
        <f>H1</f>
        <v>Month Days</v>
      </c>
      <c r="P1" t="str">
        <f>I1</f>
        <v>Shoulder</v>
      </c>
      <c r="Q1" t="s">
        <v>242</v>
      </c>
    </row>
    <row r="2" spans="1:23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(14-23) Used'!I2</f>
        <v>6183064.0795246102</v>
      </c>
      <c r="E2" s="226">
        <f ca="1">'Weather Data'!AN38</f>
        <v>671</v>
      </c>
      <c r="F2" s="226">
        <f ca="1">'Weather Data'!BQ38</f>
        <v>0</v>
      </c>
      <c r="G2" s="6">
        <f>'Monthly Data (14-23) Used'!BC2</f>
        <v>699057</v>
      </c>
      <c r="H2">
        <f>'Monthly Data (14-23) Used'!CB2</f>
        <v>31</v>
      </c>
      <c r="I2">
        <f>'Monthly Data (14-23) Used'!CA2</f>
        <v>0</v>
      </c>
      <c r="K2" s="6">
        <f t="shared" ref="K2:K21" si="2">$T$9</f>
        <v>-3155056.29692131</v>
      </c>
      <c r="L2" s="6">
        <f ca="1">E2*$T$10</f>
        <v>1147749.5087898432</v>
      </c>
      <c r="M2" s="6">
        <f ca="1">F2*$T$11</f>
        <v>0</v>
      </c>
      <c r="N2" s="6">
        <f>G2*$T$12</f>
        <v>4174455.8164347978</v>
      </c>
      <c r="O2" s="6">
        <f>H2*$T$13</f>
        <v>3861595.9081566473</v>
      </c>
      <c r="P2" s="6">
        <f>I2*$T$14</f>
        <v>0</v>
      </c>
      <c r="Q2" s="6">
        <f ca="1">SUM(K2:P2)</f>
        <v>6028744.9364599781</v>
      </c>
    </row>
    <row r="3" spans="1:23">
      <c r="A3" s="197">
        <v>41671</v>
      </c>
      <c r="B3">
        <f t="shared" si="0"/>
        <v>2</v>
      </c>
      <c r="C3">
        <f t="shared" si="1"/>
        <v>2014</v>
      </c>
      <c r="D3" s="6">
        <f>'Monthly Data (14-23) Used'!I3</f>
        <v>5606514.0795246102</v>
      </c>
      <c r="E3" s="226">
        <f ca="1">'Weather Data'!AN39</f>
        <v>595.51355229914111</v>
      </c>
      <c r="F3" s="226">
        <f ca="1">'Weather Data'!BQ39</f>
        <v>0</v>
      </c>
      <c r="G3" s="6">
        <f>'Monthly Data (14-23) Used'!BC3</f>
        <v>699057</v>
      </c>
      <c r="H3">
        <f>'Monthly Data (14-23) Used'!CB3</f>
        <v>28</v>
      </c>
      <c r="I3">
        <f>'Monthly Data (14-23) Used'!CA3</f>
        <v>0</v>
      </c>
      <c r="K3" s="6">
        <f t="shared" si="2"/>
        <v>-3155056.29692131</v>
      </c>
      <c r="L3" s="6">
        <f t="shared" ref="L3:L33" ca="1" si="3">E3*$T$10</f>
        <v>1018629.4890149535</v>
      </c>
      <c r="M3" s="6">
        <f t="shared" ref="M3:M33" ca="1" si="4">F3*$T$11</f>
        <v>0</v>
      </c>
      <c r="N3" s="6">
        <f t="shared" ref="N3:N21" si="5">G3*$T$12</f>
        <v>4174455.8164347978</v>
      </c>
      <c r="O3" s="6">
        <f t="shared" ref="O3:O21" si="6">H3*$T$13</f>
        <v>3487893.0783350361</v>
      </c>
      <c r="P3" s="6">
        <f t="shared" ref="P3:P33" si="7">I3*$T$14</f>
        <v>0</v>
      </c>
      <c r="Q3" s="6">
        <f t="shared" ref="Q3:Q33" ca="1" si="8">SUM(K3:P3)</f>
        <v>5525922.0868634768</v>
      </c>
    </row>
    <row r="4" spans="1:23">
      <c r="A4" s="197">
        <v>41699</v>
      </c>
      <c r="B4">
        <f t="shared" si="0"/>
        <v>3</v>
      </c>
      <c r="C4">
        <f t="shared" si="1"/>
        <v>2014</v>
      </c>
      <c r="D4" s="6">
        <f>'Monthly Data (14-23) Used'!I4</f>
        <v>5787989.0795246102</v>
      </c>
      <c r="E4" s="226">
        <f ca="1">'Weather Data'!AN40</f>
        <v>496.46355229914104</v>
      </c>
      <c r="F4" s="226">
        <f ca="1">'Weather Data'!BQ40</f>
        <v>0.16999999999999993</v>
      </c>
      <c r="G4" s="6">
        <f>'Monthly Data (14-23) Used'!BC4</f>
        <v>699057</v>
      </c>
      <c r="H4">
        <f>'Monthly Data (14-23) Used'!CB4</f>
        <v>31</v>
      </c>
      <c r="I4">
        <f>'Monthly Data (14-23) Used'!CA4</f>
        <v>1</v>
      </c>
      <c r="K4" s="6">
        <f t="shared" si="2"/>
        <v>-3155056.29692131</v>
      </c>
      <c r="L4" s="6">
        <f t="shared" ca="1" si="3"/>
        <v>849203.87225543917</v>
      </c>
      <c r="M4" s="6">
        <f t="shared" ca="1" si="4"/>
        <v>1259.2880591515157</v>
      </c>
      <c r="N4" s="6">
        <f t="shared" si="5"/>
        <v>4174455.8164347978</v>
      </c>
      <c r="O4" s="6">
        <f t="shared" si="6"/>
        <v>3861595.9081566473</v>
      </c>
      <c r="P4" s="6">
        <f t="shared" si="7"/>
        <v>-115215.035448868</v>
      </c>
      <c r="Q4" s="6">
        <f t="shared" ca="1" si="8"/>
        <v>5616243.552535858</v>
      </c>
      <c r="S4" t="s">
        <v>249</v>
      </c>
    </row>
    <row r="5" spans="1:23">
      <c r="A5" s="197">
        <v>41730</v>
      </c>
      <c r="B5">
        <f t="shared" si="0"/>
        <v>4</v>
      </c>
      <c r="C5">
        <f t="shared" si="1"/>
        <v>2014</v>
      </c>
      <c r="D5" s="6">
        <f>'Monthly Data (14-23) Used'!I5</f>
        <v>5070172.0795246102</v>
      </c>
      <c r="E5" s="226">
        <f ca="1">'Weather Data'!AN41</f>
        <v>296.23000000000008</v>
      </c>
      <c r="F5" s="226">
        <f ca="1">'Weather Data'!BQ41</f>
        <v>8.7799999999999994</v>
      </c>
      <c r="G5" s="6">
        <f>'Monthly Data (14-23) Used'!BC5</f>
        <v>705966</v>
      </c>
      <c r="H5">
        <f>'Monthly Data (14-23) Used'!CB5</f>
        <v>30</v>
      </c>
      <c r="I5">
        <f>'Monthly Data (14-23) Used'!CA5</f>
        <v>1</v>
      </c>
      <c r="K5" s="6">
        <f t="shared" si="2"/>
        <v>-3155056.29692131</v>
      </c>
      <c r="L5" s="6">
        <f t="shared" ca="1" si="3"/>
        <v>506703.18478213908</v>
      </c>
      <c r="M5" s="6">
        <f t="shared" ca="1" si="4"/>
        <v>65038.524466766539</v>
      </c>
      <c r="N5" s="6">
        <f t="shared" si="5"/>
        <v>4215713.2750336649</v>
      </c>
      <c r="O5" s="6">
        <f t="shared" si="6"/>
        <v>3737028.2982161101</v>
      </c>
      <c r="P5" s="6">
        <f t="shared" si="7"/>
        <v>-115215.035448868</v>
      </c>
      <c r="Q5" s="6">
        <f t="shared" ca="1" si="8"/>
        <v>5254211.9501285031</v>
      </c>
      <c r="S5" t="s">
        <v>250</v>
      </c>
    </row>
    <row r="6" spans="1:23">
      <c r="A6" s="197">
        <v>41760</v>
      </c>
      <c r="B6">
        <f t="shared" si="0"/>
        <v>5</v>
      </c>
      <c r="C6">
        <f t="shared" si="1"/>
        <v>2014</v>
      </c>
      <c r="D6" s="6">
        <f>'Monthly Data (14-23) Used'!I6</f>
        <v>5364456.0795246102</v>
      </c>
      <c r="E6" s="226">
        <f ca="1">'Weather Data'!AN42</f>
        <v>116.90355229914098</v>
      </c>
      <c r="F6" s="226">
        <f ca="1">'Weather Data'!BQ42</f>
        <v>84.676447700859015</v>
      </c>
      <c r="G6" s="6">
        <f>'Monthly Data (14-23) Used'!BC6</f>
        <v>705966</v>
      </c>
      <c r="H6">
        <f>'Monthly Data (14-23) Used'!CB6</f>
        <v>31</v>
      </c>
      <c r="I6">
        <f>'Monthly Data (14-23) Used'!CA6</f>
        <v>1</v>
      </c>
      <c r="K6" s="6">
        <f t="shared" si="2"/>
        <v>-3155056.29692131</v>
      </c>
      <c r="L6" s="6">
        <f t="shared" ca="1" si="3"/>
        <v>199964.22463059134</v>
      </c>
      <c r="M6" s="6">
        <f t="shared" ca="1" si="4"/>
        <v>627247.29106505658</v>
      </c>
      <c r="N6" s="6">
        <f t="shared" si="5"/>
        <v>4215713.2750336649</v>
      </c>
      <c r="O6" s="6">
        <f t="shared" si="6"/>
        <v>3861595.9081566473</v>
      </c>
      <c r="P6" s="6">
        <f t="shared" si="7"/>
        <v>-115215.035448868</v>
      </c>
      <c r="Q6" s="6">
        <f t="shared" ca="1" si="8"/>
        <v>5634249.3665157827</v>
      </c>
      <c r="S6" t="s">
        <v>251</v>
      </c>
    </row>
    <row r="7" spans="1:23">
      <c r="A7" s="197">
        <v>41791</v>
      </c>
      <c r="B7">
        <f t="shared" si="0"/>
        <v>6</v>
      </c>
      <c r="C7">
        <f t="shared" si="1"/>
        <v>2014</v>
      </c>
      <c r="D7" s="6">
        <f>'Monthly Data (14-23) Used'!I7</f>
        <v>5896764.0795246102</v>
      </c>
      <c r="E7" s="226">
        <f ca="1">'Weather Data'!AN43</f>
        <v>11.023552299140979</v>
      </c>
      <c r="F7" s="226">
        <f ca="1">'Weather Data'!BQ43</f>
        <v>202.63644770085901</v>
      </c>
      <c r="G7" s="6">
        <f>'Monthly Data (14-23) Used'!BC7</f>
        <v>705966</v>
      </c>
      <c r="H7">
        <f>'Monthly Data (14-23) Used'!CB7</f>
        <v>30</v>
      </c>
      <c r="I7">
        <f>'Monthly Data (14-23) Used'!CA7</f>
        <v>0</v>
      </c>
      <c r="K7" s="6">
        <f t="shared" si="2"/>
        <v>-3155056.29692131</v>
      </c>
      <c r="L7" s="6">
        <f t="shared" ca="1" si="3"/>
        <v>18855.852066256637</v>
      </c>
      <c r="M7" s="6">
        <f t="shared" ca="1" si="4"/>
        <v>1501045.0525798379</v>
      </c>
      <c r="N7" s="6">
        <f t="shared" si="5"/>
        <v>4215713.2750336649</v>
      </c>
      <c r="O7" s="6">
        <f t="shared" si="6"/>
        <v>3737028.2982161101</v>
      </c>
      <c r="P7" s="6">
        <f t="shared" si="7"/>
        <v>0</v>
      </c>
      <c r="Q7" s="6">
        <f t="shared" ca="1" si="8"/>
        <v>6317586.1809745599</v>
      </c>
    </row>
    <row r="8" spans="1:23">
      <c r="A8" s="197">
        <v>41821</v>
      </c>
      <c r="B8">
        <f t="shared" si="0"/>
        <v>7</v>
      </c>
      <c r="C8">
        <f t="shared" si="1"/>
        <v>2014</v>
      </c>
      <c r="D8" s="6">
        <f>'Monthly Data (14-23) Used'!I8</f>
        <v>6190188.0795246102</v>
      </c>
      <c r="E8" s="226">
        <f ca="1">'Weather Data'!AN44</f>
        <v>0.75</v>
      </c>
      <c r="F8" s="226">
        <f ca="1">'Weather Data'!BQ44</f>
        <v>273.21289540171807</v>
      </c>
      <c r="G8" s="6">
        <f>'Monthly Data (14-23) Used'!BC8</f>
        <v>713152</v>
      </c>
      <c r="H8">
        <f>'Monthly Data (14-23) Used'!CB8</f>
        <v>31</v>
      </c>
      <c r="I8">
        <f>'Monthly Data (14-23) Used'!CA8</f>
        <v>0</v>
      </c>
      <c r="K8" s="6">
        <f t="shared" si="2"/>
        <v>-3155056.29692131</v>
      </c>
      <c r="L8" s="6">
        <f t="shared" ca="1" si="3"/>
        <v>1282.87948076361</v>
      </c>
      <c r="M8" s="6">
        <f t="shared" ca="1" si="4"/>
        <v>2023845.5105035044</v>
      </c>
      <c r="N8" s="6">
        <f t="shared" si="5"/>
        <v>4258624.8537703063</v>
      </c>
      <c r="O8" s="6">
        <f t="shared" si="6"/>
        <v>3861595.9081566473</v>
      </c>
      <c r="P8" s="6">
        <f t="shared" si="7"/>
        <v>0</v>
      </c>
      <c r="Q8" s="6">
        <f t="shared" ca="1" si="8"/>
        <v>6990292.8549899124</v>
      </c>
      <c r="T8" t="s">
        <v>217</v>
      </c>
      <c r="U8" t="s">
        <v>218</v>
      </c>
      <c r="V8" t="s">
        <v>219</v>
      </c>
      <c r="W8" t="s">
        <v>220</v>
      </c>
    </row>
    <row r="9" spans="1:23">
      <c r="A9" s="197">
        <v>41852</v>
      </c>
      <c r="B9">
        <f t="shared" si="0"/>
        <v>8</v>
      </c>
      <c r="C9">
        <f t="shared" si="1"/>
        <v>2014</v>
      </c>
      <c r="D9" s="6">
        <f>'Monthly Data (14-23) Used'!I9</f>
        <v>6212359.0795246102</v>
      </c>
      <c r="E9" s="226">
        <f ca="1">'Weather Data'!AN45</f>
        <v>2.7971045982819609</v>
      </c>
      <c r="F9" s="226">
        <f ca="1">'Weather Data'!BQ45</f>
        <v>245.37605861546234</v>
      </c>
      <c r="G9" s="6">
        <f>'Monthly Data (14-23) Used'!BC9</f>
        <v>713152</v>
      </c>
      <c r="H9">
        <f>'Monthly Data (14-23) Used'!CB9</f>
        <v>31</v>
      </c>
      <c r="I9">
        <f>'Monthly Data (14-23) Used'!CA9</f>
        <v>0</v>
      </c>
      <c r="K9" s="6">
        <f t="shared" si="2"/>
        <v>-3155056.29692131</v>
      </c>
      <c r="L9" s="6">
        <f t="shared" ca="1" si="3"/>
        <v>4784.4641262472906</v>
      </c>
      <c r="M9" s="6">
        <f t="shared" ca="1" si="4"/>
        <v>1817642.0036242013</v>
      </c>
      <c r="N9" s="6">
        <f t="shared" si="5"/>
        <v>4258624.8537703063</v>
      </c>
      <c r="O9" s="6">
        <f t="shared" si="6"/>
        <v>3861595.9081566473</v>
      </c>
      <c r="P9" s="6">
        <f t="shared" si="7"/>
        <v>0</v>
      </c>
      <c r="Q9" s="6">
        <f t="shared" ca="1" si="8"/>
        <v>6787590.9327560924</v>
      </c>
      <c r="S9" t="s">
        <v>221</v>
      </c>
      <c r="T9">
        <v>-3155056.29692131</v>
      </c>
      <c r="U9">
        <v>795990.62951777701</v>
      </c>
      <c r="V9">
        <v>-3.9636852243256699</v>
      </c>
      <c r="W9">
        <v>1.29112412352355E-4</v>
      </c>
    </row>
    <row r="10" spans="1:23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Used'!I10</f>
        <v>5457268.0795246102</v>
      </c>
      <c r="E10" s="226">
        <f ca="1">'Weather Data'!AN46</f>
        <v>39.200656897422931</v>
      </c>
      <c r="F10" s="226">
        <f ca="1">'Weather Data'!BQ46</f>
        <v>139.01579080343606</v>
      </c>
      <c r="G10" s="6">
        <f>'Monthly Data (14-23) Used'!BC10</f>
        <v>713152</v>
      </c>
      <c r="H10">
        <f>'Monthly Data (14-23) Used'!CB10</f>
        <v>30</v>
      </c>
      <c r="I10">
        <f>'Monthly Data (14-23) Used'!CA10</f>
        <v>0</v>
      </c>
      <c r="K10" s="6">
        <f t="shared" si="2"/>
        <v>-3155056.29692131</v>
      </c>
      <c r="L10" s="6">
        <f t="shared" ca="1" si="3"/>
        <v>67052.957821544478</v>
      </c>
      <c r="M10" s="6">
        <f t="shared" ca="1" si="4"/>
        <v>1029770.149366307</v>
      </c>
      <c r="N10" s="6">
        <f t="shared" si="5"/>
        <v>4258624.8537703063</v>
      </c>
      <c r="O10" s="6">
        <f t="shared" si="6"/>
        <v>3737028.2982161101</v>
      </c>
      <c r="P10" s="6">
        <f t="shared" si="7"/>
        <v>0</v>
      </c>
      <c r="Q10" s="6">
        <f t="shared" ca="1" si="8"/>
        <v>5937419.9622529577</v>
      </c>
      <c r="S10" t="s">
        <v>28</v>
      </c>
      <c r="T10">
        <v>1710.5059743514801</v>
      </c>
      <c r="U10">
        <v>140.87095036202601</v>
      </c>
      <c r="V10">
        <v>12.142361288509999</v>
      </c>
      <c r="W10" s="18">
        <v>2.8036710512419902E-22</v>
      </c>
    </row>
    <row r="11" spans="1:23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Used'!I11</f>
        <v>5117528.0795246102</v>
      </c>
      <c r="E11" s="226">
        <f ca="1">'Weather Data'!AN47</f>
        <v>194.90420919656393</v>
      </c>
      <c r="F11" s="226">
        <f ca="1">'Weather Data'!BQ47</f>
        <v>38.166447700859024</v>
      </c>
      <c r="G11" s="6">
        <f>'Monthly Data (14-23) Used'!BC11</f>
        <v>716976</v>
      </c>
      <c r="H11">
        <f>'Monthly Data (14-23) Used'!CB11</f>
        <v>31</v>
      </c>
      <c r="I11">
        <f>'Monthly Data (14-23) Used'!CA11</f>
        <v>1</v>
      </c>
      <c r="K11" s="6">
        <f t="shared" si="2"/>
        <v>-3155056.29692131</v>
      </c>
      <c r="L11" s="6">
        <f t="shared" ca="1" si="3"/>
        <v>333384.81425697327</v>
      </c>
      <c r="M11" s="6">
        <f t="shared" ca="1" si="4"/>
        <v>282720.89323483885</v>
      </c>
      <c r="N11" s="6">
        <f t="shared" si="5"/>
        <v>4281460.0718455799</v>
      </c>
      <c r="O11" s="6">
        <f t="shared" si="6"/>
        <v>3861595.9081566473</v>
      </c>
      <c r="P11" s="6">
        <f t="shared" si="7"/>
        <v>-115215.035448868</v>
      </c>
      <c r="Q11" s="6">
        <f t="shared" ca="1" si="8"/>
        <v>5488890.3551238608</v>
      </c>
      <c r="S11" t="s">
        <v>33</v>
      </c>
      <c r="T11">
        <v>7407.5768185383304</v>
      </c>
      <c r="U11">
        <v>361.080857585751</v>
      </c>
      <c r="V11">
        <v>20.515008378086499</v>
      </c>
      <c r="W11" s="18">
        <v>4.54160585117297E-40</v>
      </c>
    </row>
    <row r="12" spans="1:23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Used'!I12</f>
        <v>5344942.0795246102</v>
      </c>
      <c r="E12" s="226">
        <f ca="1">'Weather Data'!AN48</f>
        <v>404.02065689742301</v>
      </c>
      <c r="F12" s="226">
        <f ca="1">'Weather Data'!BQ48</f>
        <v>2.419999999999999</v>
      </c>
      <c r="G12" s="6">
        <f>'Monthly Data (14-23) Used'!BC12</f>
        <v>716976</v>
      </c>
      <c r="H12">
        <f>'Monthly Data (14-23) Used'!CB12</f>
        <v>30</v>
      </c>
      <c r="I12">
        <f>'Monthly Data (14-23) Used'!CA12</f>
        <v>1</v>
      </c>
      <c r="K12" s="6">
        <f t="shared" si="2"/>
        <v>-3155056.29692131</v>
      </c>
      <c r="L12" s="6">
        <f t="shared" ca="1" si="3"/>
        <v>691079.74738445156</v>
      </c>
      <c r="M12" s="6">
        <f t="shared" ca="1" si="4"/>
        <v>17926.335900862752</v>
      </c>
      <c r="N12" s="6">
        <f t="shared" si="5"/>
        <v>4281460.0718455799</v>
      </c>
      <c r="O12" s="6">
        <f t="shared" si="6"/>
        <v>3737028.2982161101</v>
      </c>
      <c r="P12" s="6">
        <f t="shared" si="7"/>
        <v>-115215.035448868</v>
      </c>
      <c r="Q12" s="6">
        <f t="shared" ca="1" si="8"/>
        <v>5457223.1209768262</v>
      </c>
      <c r="S12" t="s">
        <v>54</v>
      </c>
      <c r="T12">
        <v>5.9715528439523498</v>
      </c>
      <c r="U12">
        <v>0.89666609532294606</v>
      </c>
      <c r="V12">
        <v>6.6597286047730098</v>
      </c>
      <c r="W12" s="18">
        <v>1.01106218112295E-9</v>
      </c>
    </row>
    <row r="13" spans="1:23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Used'!I13</f>
        <v>5630353.0795246102</v>
      </c>
      <c r="E13" s="226">
        <f ca="1">'Weather Data'!AN49</f>
        <v>533.7700000000001</v>
      </c>
      <c r="F13" s="226">
        <f ca="1">'Weather Data'!BQ49</f>
        <v>0</v>
      </c>
      <c r="G13" s="6">
        <f>'Monthly Data (14-23) Used'!BC13</f>
        <v>716976</v>
      </c>
      <c r="H13">
        <f>'Monthly Data (14-23) Used'!CB13</f>
        <v>31</v>
      </c>
      <c r="I13">
        <f>'Monthly Data (14-23) Used'!CA13</f>
        <v>0</v>
      </c>
      <c r="K13" s="6">
        <f t="shared" si="2"/>
        <v>-3155056.29692131</v>
      </c>
      <c r="L13" s="6">
        <f t="shared" ca="1" si="3"/>
        <v>913016.77392958966</v>
      </c>
      <c r="M13" s="6">
        <f t="shared" ca="1" si="4"/>
        <v>0</v>
      </c>
      <c r="N13" s="6">
        <f t="shared" si="5"/>
        <v>4281460.0718455799</v>
      </c>
      <c r="O13" s="6">
        <f t="shared" si="6"/>
        <v>3861595.9081566473</v>
      </c>
      <c r="P13" s="6">
        <f t="shared" si="7"/>
        <v>0</v>
      </c>
      <c r="Q13" s="6">
        <f t="shared" ca="1" si="8"/>
        <v>5901016.4570105067</v>
      </c>
      <c r="S13" t="s">
        <v>240</v>
      </c>
      <c r="T13">
        <v>124567.609940537</v>
      </c>
      <c r="U13">
        <v>14353.328351845599</v>
      </c>
      <c r="V13">
        <v>8.6786567468526901</v>
      </c>
      <c r="W13" s="18">
        <v>3.24100884878617E-14</v>
      </c>
    </row>
    <row r="14" spans="1:23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Used'!I14</f>
        <v>6341995.2771220542</v>
      </c>
      <c r="E14" s="7">
        <f t="shared" ref="E14:F21" ca="1" si="9">E2</f>
        <v>671</v>
      </c>
      <c r="F14" s="7">
        <f t="shared" ca="1" si="9"/>
        <v>0</v>
      </c>
      <c r="G14" s="6">
        <f>'Monthly Data (14-23) Used'!BC14</f>
        <v>718587</v>
      </c>
      <c r="H14">
        <f>'Monthly Data (14-23) Used'!CB14</f>
        <v>31</v>
      </c>
      <c r="I14">
        <f>'Monthly Data (14-23) Used'!CA14</f>
        <v>0</v>
      </c>
      <c r="K14" s="6">
        <f t="shared" si="2"/>
        <v>-3155056.29692131</v>
      </c>
      <c r="L14" s="6">
        <f t="shared" ca="1" si="3"/>
        <v>1147749.5087898432</v>
      </c>
      <c r="M14" s="6">
        <f t="shared" ca="1" si="4"/>
        <v>0</v>
      </c>
      <c r="N14" s="6">
        <f t="shared" si="5"/>
        <v>4291080.2434771871</v>
      </c>
      <c r="O14" s="6">
        <f t="shared" si="6"/>
        <v>3861595.9081566473</v>
      </c>
      <c r="P14" s="6">
        <f t="shared" si="7"/>
        <v>0</v>
      </c>
      <c r="Q14" s="6">
        <f t="shared" ca="1" si="8"/>
        <v>6145369.3635023674</v>
      </c>
      <c r="S14" t="s">
        <v>78</v>
      </c>
      <c r="T14">
        <v>-115215.035448868</v>
      </c>
      <c r="U14">
        <v>40249.224186277701</v>
      </c>
      <c r="V14">
        <v>-2.86254052787802</v>
      </c>
      <c r="W14">
        <v>5.0022898522437496E-3</v>
      </c>
    </row>
    <row r="15" spans="1:23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Used'!I15</f>
        <v>5968288.2771220542</v>
      </c>
      <c r="E15" s="7">
        <f t="shared" ca="1" si="9"/>
        <v>595.51355229914111</v>
      </c>
      <c r="F15" s="7">
        <f t="shared" ca="1" si="9"/>
        <v>0</v>
      </c>
      <c r="G15" s="6">
        <f>'Monthly Data (14-23) Used'!BC15</f>
        <v>718587</v>
      </c>
      <c r="H15">
        <f>'Monthly Data (14-23) Used'!CB15</f>
        <v>28</v>
      </c>
      <c r="I15">
        <f>'Monthly Data (14-23) Used'!CA15</f>
        <v>0</v>
      </c>
      <c r="K15" s="6">
        <f t="shared" si="2"/>
        <v>-3155056.29692131</v>
      </c>
      <c r="L15" s="6">
        <f t="shared" ca="1" si="3"/>
        <v>1018629.4890149535</v>
      </c>
      <c r="M15" s="6">
        <f t="shared" ca="1" si="4"/>
        <v>0</v>
      </c>
      <c r="N15" s="6">
        <f t="shared" si="5"/>
        <v>4291080.2434771871</v>
      </c>
      <c r="O15" s="6">
        <f t="shared" si="6"/>
        <v>3487893.0783350361</v>
      </c>
      <c r="P15" s="6">
        <f t="shared" si="7"/>
        <v>0</v>
      </c>
      <c r="Q15" s="6">
        <f t="shared" ca="1" si="8"/>
        <v>5642546.5139058661</v>
      </c>
    </row>
    <row r="16" spans="1:23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Used'!I16</f>
        <v>6080630.2771220542</v>
      </c>
      <c r="E16" s="7">
        <f t="shared" ca="1" si="9"/>
        <v>496.46355229914104</v>
      </c>
      <c r="F16" s="7">
        <f t="shared" ca="1" si="9"/>
        <v>0.16999999999999993</v>
      </c>
      <c r="G16" s="6">
        <f>'Monthly Data (14-23) Used'!BC16</f>
        <v>718587</v>
      </c>
      <c r="H16">
        <f>'Monthly Data (14-23) Used'!CB16</f>
        <v>31</v>
      </c>
      <c r="I16">
        <f>'Monthly Data (14-23) Used'!CA16</f>
        <v>1</v>
      </c>
      <c r="K16" s="6">
        <f t="shared" si="2"/>
        <v>-3155056.29692131</v>
      </c>
      <c r="L16" s="6">
        <f t="shared" ca="1" si="3"/>
        <v>849203.87225543917</v>
      </c>
      <c r="M16" s="6">
        <f t="shared" ca="1" si="4"/>
        <v>1259.2880591515157</v>
      </c>
      <c r="N16" s="6">
        <f t="shared" si="5"/>
        <v>4291080.2434771871</v>
      </c>
      <c r="O16" s="6">
        <f t="shared" si="6"/>
        <v>3861595.9081566473</v>
      </c>
      <c r="P16" s="6">
        <f t="shared" si="7"/>
        <v>-115215.035448868</v>
      </c>
      <c r="Q16" s="6">
        <f t="shared" ca="1" si="8"/>
        <v>5732867.9795782473</v>
      </c>
      <c r="S16" t="s">
        <v>223</v>
      </c>
    </row>
    <row r="17" spans="1:22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Used'!I17</f>
        <v>5459994.2771220542</v>
      </c>
      <c r="E17" s="7">
        <f t="shared" ca="1" si="9"/>
        <v>296.23000000000008</v>
      </c>
      <c r="F17" s="7">
        <f t="shared" ca="1" si="9"/>
        <v>8.7799999999999994</v>
      </c>
      <c r="G17" s="6">
        <f>'Monthly Data (14-23) Used'!BC17</f>
        <v>723726</v>
      </c>
      <c r="H17">
        <f>'Monthly Data (14-23) Used'!CB17</f>
        <v>30</v>
      </c>
      <c r="I17">
        <f>'Monthly Data (14-23) Used'!CA17</f>
        <v>1</v>
      </c>
      <c r="K17" s="6">
        <f t="shared" si="2"/>
        <v>-3155056.29692131</v>
      </c>
      <c r="L17" s="6">
        <f t="shared" ca="1" si="3"/>
        <v>506703.18478213908</v>
      </c>
      <c r="M17" s="6">
        <f t="shared" ca="1" si="4"/>
        <v>65038.524466766539</v>
      </c>
      <c r="N17" s="6">
        <f t="shared" si="5"/>
        <v>4321768.0535422582</v>
      </c>
      <c r="O17" s="6">
        <f t="shared" si="6"/>
        <v>3737028.2982161101</v>
      </c>
      <c r="P17" s="6">
        <f t="shared" si="7"/>
        <v>-115215.035448868</v>
      </c>
      <c r="Q17" s="6">
        <f t="shared" ca="1" si="8"/>
        <v>5360266.7286370955</v>
      </c>
      <c r="S17" t="s">
        <v>226</v>
      </c>
      <c r="T17">
        <v>3138407392490.8799</v>
      </c>
      <c r="U17" t="s">
        <v>227</v>
      </c>
      <c r="V17">
        <v>165921.33499889201</v>
      </c>
    </row>
    <row r="18" spans="1:22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Used'!I18</f>
        <v>5727225.2771220542</v>
      </c>
      <c r="E18" s="7">
        <f t="shared" ca="1" si="9"/>
        <v>116.90355229914098</v>
      </c>
      <c r="F18" s="7">
        <f t="shared" ca="1" si="9"/>
        <v>84.676447700859015</v>
      </c>
      <c r="G18" s="6">
        <f>'Monthly Data (14-23) Used'!BC18</f>
        <v>723726</v>
      </c>
      <c r="H18">
        <f>'Monthly Data (14-23) Used'!CB18</f>
        <v>31</v>
      </c>
      <c r="I18">
        <f>'Monthly Data (14-23) Used'!CA18</f>
        <v>1</v>
      </c>
      <c r="K18" s="6">
        <f t="shared" si="2"/>
        <v>-3155056.29692131</v>
      </c>
      <c r="L18" s="6">
        <f t="shared" ca="1" si="3"/>
        <v>199964.22463059134</v>
      </c>
      <c r="M18" s="6">
        <f t="shared" ca="1" si="4"/>
        <v>627247.29106505658</v>
      </c>
      <c r="N18" s="6">
        <f t="shared" si="5"/>
        <v>4321768.0535422582</v>
      </c>
      <c r="O18" s="6">
        <f t="shared" si="6"/>
        <v>3861595.9081566473</v>
      </c>
      <c r="P18" s="6">
        <f t="shared" si="7"/>
        <v>-115215.035448868</v>
      </c>
      <c r="Q18" s="6">
        <f t="shared" ca="1" si="8"/>
        <v>5740304.145024376</v>
      </c>
      <c r="S18" t="s">
        <v>228</v>
      </c>
      <c r="T18">
        <v>0.93966126630222202</v>
      </c>
      <c r="U18" t="s">
        <v>229</v>
      </c>
      <c r="V18">
        <v>0.93701483061372304</v>
      </c>
    </row>
    <row r="19" spans="1:22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Used'!I19</f>
        <v>6014804.2771220542</v>
      </c>
      <c r="E19" s="7">
        <f t="shared" ca="1" si="9"/>
        <v>11.023552299140979</v>
      </c>
      <c r="F19" s="7">
        <f t="shared" ca="1" si="9"/>
        <v>202.63644770085901</v>
      </c>
      <c r="G19" s="6">
        <f>'Monthly Data (14-23) Used'!BC19</f>
        <v>723726</v>
      </c>
      <c r="H19">
        <f>'Monthly Data (14-23) Used'!CB19</f>
        <v>30</v>
      </c>
      <c r="I19">
        <f>'Monthly Data (14-23) Used'!CA19</f>
        <v>0</v>
      </c>
      <c r="K19" s="6">
        <f t="shared" si="2"/>
        <v>-3155056.29692131</v>
      </c>
      <c r="L19" s="6">
        <f t="shared" ca="1" si="3"/>
        <v>18855.852066256637</v>
      </c>
      <c r="M19" s="6">
        <f t="shared" ca="1" si="4"/>
        <v>1501045.0525798379</v>
      </c>
      <c r="N19" s="6">
        <f t="shared" si="5"/>
        <v>4321768.0535422582</v>
      </c>
      <c r="O19" s="6">
        <f t="shared" si="6"/>
        <v>3737028.2982161101</v>
      </c>
      <c r="P19" s="6">
        <f t="shared" si="7"/>
        <v>0</v>
      </c>
      <c r="Q19" s="6">
        <f t="shared" ca="1" si="8"/>
        <v>6423640.9594831523</v>
      </c>
      <c r="S19" t="s">
        <v>252</v>
      </c>
      <c r="T19">
        <v>239.99322972153399</v>
      </c>
      <c r="U19" t="s">
        <v>231</v>
      </c>
      <c r="V19" s="18">
        <v>8.9231864602597901E-59</v>
      </c>
    </row>
    <row r="20" spans="1:22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Used'!I20</f>
        <v>6767750.2771220542</v>
      </c>
      <c r="E20" s="7">
        <f t="shared" ca="1" si="9"/>
        <v>0.75</v>
      </c>
      <c r="F20" s="7">
        <f t="shared" ca="1" si="9"/>
        <v>273.21289540171807</v>
      </c>
      <c r="G20" s="6">
        <f>'Monthly Data (14-23) Used'!BC20</f>
        <v>730341</v>
      </c>
      <c r="H20">
        <f>'Monthly Data (14-23) Used'!CB20</f>
        <v>31</v>
      </c>
      <c r="I20">
        <f>'Monthly Data (14-23) Used'!CA20</f>
        <v>0</v>
      </c>
      <c r="K20" s="6">
        <f t="shared" si="2"/>
        <v>-3155056.29692131</v>
      </c>
      <c r="L20" s="6">
        <f t="shared" ca="1" si="3"/>
        <v>1282.87948076361</v>
      </c>
      <c r="M20" s="6">
        <f t="shared" ca="1" si="4"/>
        <v>2023845.5105035044</v>
      </c>
      <c r="N20" s="6">
        <f t="shared" si="5"/>
        <v>4361269.875605003</v>
      </c>
      <c r="O20" s="6">
        <f t="shared" si="6"/>
        <v>3861595.9081566473</v>
      </c>
      <c r="P20" s="6">
        <f t="shared" si="7"/>
        <v>0</v>
      </c>
      <c r="Q20" s="6">
        <f t="shared" ca="1" si="8"/>
        <v>7092937.8768246081</v>
      </c>
      <c r="S20" t="s">
        <v>232</v>
      </c>
      <c r="T20">
        <v>-7.1018788360495494E-2</v>
      </c>
      <c r="U20" t="s">
        <v>233</v>
      </c>
      <c r="V20">
        <v>2.1326890262842202</v>
      </c>
    </row>
    <row r="21" spans="1:22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Used'!I21</f>
        <v>6819987.2771220542</v>
      </c>
      <c r="E21" s="7">
        <f t="shared" ca="1" si="9"/>
        <v>2.7971045982819609</v>
      </c>
      <c r="F21" s="7">
        <f t="shared" ca="1" si="9"/>
        <v>245.37605861546234</v>
      </c>
      <c r="G21" s="6">
        <f>'Monthly Data (14-23) Used'!BC21</f>
        <v>730341</v>
      </c>
      <c r="H21">
        <f>'Monthly Data (14-23) Used'!CB21</f>
        <v>31</v>
      </c>
      <c r="I21">
        <f>'Monthly Data (14-23) Used'!CA21</f>
        <v>0</v>
      </c>
      <c r="K21" s="6">
        <f t="shared" si="2"/>
        <v>-3155056.29692131</v>
      </c>
      <c r="L21" s="6">
        <f t="shared" ca="1" si="3"/>
        <v>4784.4641262472906</v>
      </c>
      <c r="M21" s="6">
        <f t="shared" ca="1" si="4"/>
        <v>1817642.0036242013</v>
      </c>
      <c r="N21" s="6">
        <f t="shared" si="5"/>
        <v>4361269.875605003</v>
      </c>
      <c r="O21" s="6">
        <f t="shared" si="6"/>
        <v>3861595.9081566473</v>
      </c>
      <c r="P21" s="6">
        <f t="shared" si="7"/>
        <v>0</v>
      </c>
      <c r="Q21" s="6">
        <f t="shared" ca="1" si="8"/>
        <v>6890235.954590789</v>
      </c>
    </row>
    <row r="22" spans="1:22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Used'!I22</f>
        <v>6180848.2771220542</v>
      </c>
      <c r="E22" s="7">
        <f t="shared" ref="E22:F41" ca="1" si="10">E10</f>
        <v>39.200656897422931</v>
      </c>
      <c r="F22" s="7">
        <f t="shared" ca="1" si="10"/>
        <v>139.01579080343606</v>
      </c>
      <c r="G22" s="6">
        <f>'Monthly Data (14-23) Used'!BC22</f>
        <v>730341</v>
      </c>
      <c r="H22">
        <f>'Monthly Data (14-23) Used'!CB22</f>
        <v>30</v>
      </c>
      <c r="I22">
        <f>'Monthly Data (14-23) Used'!CA22</f>
        <v>0</v>
      </c>
      <c r="K22" s="6">
        <f t="shared" ref="K22:K53" si="11">$T$9</f>
        <v>-3155056.29692131</v>
      </c>
      <c r="L22" s="6">
        <f t="shared" ca="1" si="3"/>
        <v>67052.957821544478</v>
      </c>
      <c r="M22" s="6">
        <f t="shared" ca="1" si="4"/>
        <v>1029770.149366307</v>
      </c>
      <c r="N22" s="6">
        <f t="shared" ref="N22:N53" si="12">G22*$T$12</f>
        <v>4361269.875605003</v>
      </c>
      <c r="O22" s="6">
        <f t="shared" ref="O22:O85" si="13">H22*$T$13</f>
        <v>3737028.2982161101</v>
      </c>
      <c r="P22" s="6">
        <f t="shared" si="7"/>
        <v>0</v>
      </c>
      <c r="Q22" s="6">
        <f t="shared" ca="1" si="8"/>
        <v>6040064.9840876544</v>
      </c>
      <c r="S22" t="s">
        <v>247</v>
      </c>
    </row>
    <row r="23" spans="1:22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Used'!I23</f>
        <v>5577053.2771220542</v>
      </c>
      <c r="E23" s="7">
        <f t="shared" ca="1" si="10"/>
        <v>194.90420919656393</v>
      </c>
      <c r="F23" s="7">
        <f t="shared" ca="1" si="10"/>
        <v>38.166447700859024</v>
      </c>
      <c r="G23" s="6">
        <f>'Monthly Data (14-23) Used'!BC23</f>
        <v>737784</v>
      </c>
      <c r="H23">
        <f>'Monthly Data (14-23) Used'!CB23</f>
        <v>31</v>
      </c>
      <c r="I23">
        <f>'Monthly Data (14-23) Used'!CA23</f>
        <v>1</v>
      </c>
      <c r="K23" s="6">
        <f t="shared" si="11"/>
        <v>-3155056.29692131</v>
      </c>
      <c r="L23" s="6">
        <f t="shared" ca="1" si="3"/>
        <v>333384.81425697327</v>
      </c>
      <c r="M23" s="6">
        <f t="shared" ca="1" si="4"/>
        <v>282720.89323483885</v>
      </c>
      <c r="N23" s="6">
        <f t="shared" si="12"/>
        <v>4405716.1434225403</v>
      </c>
      <c r="O23" s="6">
        <f t="shared" si="13"/>
        <v>3861595.9081566473</v>
      </c>
      <c r="P23" s="6">
        <f t="shared" si="7"/>
        <v>-115215.035448868</v>
      </c>
      <c r="Q23" s="6">
        <f t="shared" ca="1" si="8"/>
        <v>5613146.4267008211</v>
      </c>
      <c r="S23" t="s">
        <v>224</v>
      </c>
      <c r="T23">
        <v>6353996.4045529701</v>
      </c>
      <c r="U23" t="s">
        <v>225</v>
      </c>
      <c r="V23">
        <v>650493.57014649198</v>
      </c>
    </row>
    <row r="24" spans="1:22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Used'!I24</f>
        <v>5401075.2771220542</v>
      </c>
      <c r="E24" s="7">
        <f t="shared" ca="1" si="10"/>
        <v>404.02065689742301</v>
      </c>
      <c r="F24" s="7">
        <f t="shared" ca="1" si="10"/>
        <v>2.419999999999999</v>
      </c>
      <c r="G24" s="6">
        <f>'Monthly Data (14-23) Used'!BC24</f>
        <v>737784</v>
      </c>
      <c r="H24">
        <f>'Monthly Data (14-23) Used'!CB24</f>
        <v>30</v>
      </c>
      <c r="I24">
        <f>'Monthly Data (14-23) Used'!CA24</f>
        <v>1</v>
      </c>
      <c r="K24" s="6">
        <f t="shared" si="11"/>
        <v>-3155056.29692131</v>
      </c>
      <c r="L24" s="6">
        <f t="shared" ca="1" si="3"/>
        <v>691079.74738445156</v>
      </c>
      <c r="M24" s="6">
        <f t="shared" ca="1" si="4"/>
        <v>17926.335900862752</v>
      </c>
      <c r="N24" s="6">
        <f t="shared" si="12"/>
        <v>4405716.1434225403</v>
      </c>
      <c r="O24" s="6">
        <f t="shared" si="13"/>
        <v>3737028.2982161101</v>
      </c>
      <c r="P24" s="6">
        <f t="shared" si="7"/>
        <v>-115215.035448868</v>
      </c>
      <c r="Q24" s="6">
        <f t="shared" ca="1" si="8"/>
        <v>5581479.1925537866</v>
      </c>
    </row>
    <row r="25" spans="1:22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Used'!I25</f>
        <v>5640305.2771220542</v>
      </c>
      <c r="E25" s="7">
        <f t="shared" ca="1" si="10"/>
        <v>533.7700000000001</v>
      </c>
      <c r="F25" s="7">
        <f t="shared" ca="1" si="10"/>
        <v>0</v>
      </c>
      <c r="G25" s="6">
        <f>'Monthly Data (14-23) Used'!BC25</f>
        <v>737784</v>
      </c>
      <c r="H25">
        <f>'Monthly Data (14-23) Used'!CB25</f>
        <v>31</v>
      </c>
      <c r="I25">
        <f>'Monthly Data (14-23) Used'!CA25</f>
        <v>0</v>
      </c>
      <c r="K25" s="6">
        <f t="shared" si="11"/>
        <v>-3155056.29692131</v>
      </c>
      <c r="L25" s="6">
        <f t="shared" ca="1" si="3"/>
        <v>913016.77392958966</v>
      </c>
      <c r="M25" s="6">
        <f t="shared" ca="1" si="4"/>
        <v>0</v>
      </c>
      <c r="N25" s="6">
        <f t="shared" si="12"/>
        <v>4405716.1434225403</v>
      </c>
      <c r="O25" s="6">
        <f t="shared" si="13"/>
        <v>3861595.9081566473</v>
      </c>
      <c r="P25" s="6">
        <f t="shared" si="7"/>
        <v>0</v>
      </c>
      <c r="Q25" s="6">
        <f t="shared" ca="1" si="8"/>
        <v>6025272.528587467</v>
      </c>
    </row>
    <row r="26" spans="1:22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Used'!I26</f>
        <v>6408605.2854596768</v>
      </c>
      <c r="E26" s="7">
        <f t="shared" ca="1" si="10"/>
        <v>671</v>
      </c>
      <c r="F26" s="7">
        <f t="shared" ca="1" si="10"/>
        <v>0</v>
      </c>
      <c r="G26" s="6">
        <f>'Monthly Data (14-23) Used'!BC26</f>
        <v>743287</v>
      </c>
      <c r="H26">
        <f>'Monthly Data (14-23) Used'!CB26</f>
        <v>31</v>
      </c>
      <c r="I26">
        <f>'Monthly Data (14-23) Used'!CA26</f>
        <v>0</v>
      </c>
      <c r="K26" s="6">
        <f t="shared" si="11"/>
        <v>-3155056.29692131</v>
      </c>
      <c r="L26" s="6">
        <f t="shared" ca="1" si="3"/>
        <v>1147749.5087898432</v>
      </c>
      <c r="M26" s="6">
        <f t="shared" ca="1" si="4"/>
        <v>0</v>
      </c>
      <c r="N26" s="6">
        <f t="shared" si="12"/>
        <v>4438577.5987228099</v>
      </c>
      <c r="O26" s="6">
        <f t="shared" si="13"/>
        <v>3861595.9081566473</v>
      </c>
      <c r="P26" s="6">
        <f t="shared" si="7"/>
        <v>0</v>
      </c>
      <c r="Q26" s="6">
        <f t="shared" ca="1" si="8"/>
        <v>6292866.7187479902</v>
      </c>
    </row>
    <row r="27" spans="1:22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Used'!I27</f>
        <v>6083562.2854596768</v>
      </c>
      <c r="E27" s="7">
        <f t="shared" ca="1" si="10"/>
        <v>595.51355229914111</v>
      </c>
      <c r="F27" s="7">
        <f t="shared" ca="1" si="10"/>
        <v>0</v>
      </c>
      <c r="G27" s="6">
        <f>'Monthly Data (14-23) Used'!BC27</f>
        <v>743287</v>
      </c>
      <c r="H27">
        <f>'Monthly Data (14-23) Used'!CB27</f>
        <v>29</v>
      </c>
      <c r="I27">
        <f>'Monthly Data (14-23) Used'!CA27</f>
        <v>0</v>
      </c>
      <c r="K27" s="6">
        <f t="shared" si="11"/>
        <v>-3155056.29692131</v>
      </c>
      <c r="L27" s="6">
        <f t="shared" ca="1" si="3"/>
        <v>1018629.4890149535</v>
      </c>
      <c r="M27" s="6">
        <f t="shared" ca="1" si="4"/>
        <v>0</v>
      </c>
      <c r="N27" s="6">
        <f t="shared" si="12"/>
        <v>4438577.5987228099</v>
      </c>
      <c r="O27" s="6">
        <f t="shared" si="13"/>
        <v>3612460.6882755733</v>
      </c>
      <c r="P27" s="6">
        <f t="shared" si="7"/>
        <v>0</v>
      </c>
      <c r="Q27" s="6">
        <f t="shared" ca="1" si="8"/>
        <v>5914611.4790920261</v>
      </c>
    </row>
    <row r="28" spans="1:22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Used'!I28</f>
        <v>6103345.2854596768</v>
      </c>
      <c r="E28" s="7">
        <f t="shared" ca="1" si="10"/>
        <v>496.46355229914104</v>
      </c>
      <c r="F28" s="7">
        <f t="shared" ca="1" si="10"/>
        <v>0.16999999999999993</v>
      </c>
      <c r="G28" s="6">
        <f>'Monthly Data (14-23) Used'!BC28</f>
        <v>743287</v>
      </c>
      <c r="H28">
        <f>'Monthly Data (14-23) Used'!CB28</f>
        <v>31</v>
      </c>
      <c r="I28">
        <f>'Monthly Data (14-23) Used'!CA28</f>
        <v>1</v>
      </c>
      <c r="K28" s="6">
        <f t="shared" si="11"/>
        <v>-3155056.29692131</v>
      </c>
      <c r="L28" s="6">
        <f t="shared" ca="1" si="3"/>
        <v>849203.87225543917</v>
      </c>
      <c r="M28" s="6">
        <f t="shared" ca="1" si="4"/>
        <v>1259.2880591515157</v>
      </c>
      <c r="N28" s="6">
        <f t="shared" si="12"/>
        <v>4438577.5987228099</v>
      </c>
      <c r="O28" s="6">
        <f t="shared" si="13"/>
        <v>3861595.9081566473</v>
      </c>
      <c r="P28" s="6">
        <f t="shared" si="7"/>
        <v>-115215.035448868</v>
      </c>
      <c r="Q28" s="6">
        <f t="shared" ca="1" si="8"/>
        <v>5880365.3348238701</v>
      </c>
    </row>
    <row r="29" spans="1:22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Used'!I29</f>
        <v>5803136.2854596768</v>
      </c>
      <c r="E29" s="7">
        <f t="shared" ca="1" si="10"/>
        <v>296.23000000000008</v>
      </c>
      <c r="F29" s="7">
        <f t="shared" ca="1" si="10"/>
        <v>8.7799999999999994</v>
      </c>
      <c r="G29" s="6">
        <f>'Monthly Data (14-23) Used'!BC29</f>
        <v>740632</v>
      </c>
      <c r="H29">
        <f>'Monthly Data (14-23) Used'!CB29</f>
        <v>30</v>
      </c>
      <c r="I29">
        <f>'Monthly Data (14-23) Used'!CA29</f>
        <v>1</v>
      </c>
      <c r="K29" s="6">
        <f t="shared" si="11"/>
        <v>-3155056.29692131</v>
      </c>
      <c r="L29" s="6">
        <f t="shared" ca="1" si="3"/>
        <v>506703.18478213908</v>
      </c>
      <c r="M29" s="6">
        <f t="shared" ca="1" si="4"/>
        <v>65038.524466766539</v>
      </c>
      <c r="N29" s="6">
        <f t="shared" si="12"/>
        <v>4422723.1259221165</v>
      </c>
      <c r="O29" s="6">
        <f t="shared" si="13"/>
        <v>3737028.2982161101</v>
      </c>
      <c r="P29" s="6">
        <f t="shared" si="7"/>
        <v>-115215.035448868</v>
      </c>
      <c r="Q29" s="6">
        <f t="shared" ca="1" si="8"/>
        <v>5461221.8010169547</v>
      </c>
    </row>
    <row r="30" spans="1:22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Used'!I30</f>
        <v>6228245.2854596768</v>
      </c>
      <c r="E30" s="7">
        <f t="shared" ca="1" si="10"/>
        <v>116.90355229914098</v>
      </c>
      <c r="F30" s="7">
        <f t="shared" ca="1" si="10"/>
        <v>84.676447700859015</v>
      </c>
      <c r="G30" s="6">
        <f>'Monthly Data (14-23) Used'!BC30</f>
        <v>740632</v>
      </c>
      <c r="H30">
        <f>'Monthly Data (14-23) Used'!CB30</f>
        <v>31</v>
      </c>
      <c r="I30">
        <f>'Monthly Data (14-23) Used'!CA30</f>
        <v>1</v>
      </c>
      <c r="K30" s="6">
        <f t="shared" si="11"/>
        <v>-3155056.29692131</v>
      </c>
      <c r="L30" s="6">
        <f t="shared" ca="1" si="3"/>
        <v>199964.22463059134</v>
      </c>
      <c r="M30" s="6">
        <f t="shared" ca="1" si="4"/>
        <v>627247.29106505658</v>
      </c>
      <c r="N30" s="6">
        <f t="shared" si="12"/>
        <v>4422723.1259221165</v>
      </c>
      <c r="O30" s="6">
        <f t="shared" si="13"/>
        <v>3861595.9081566473</v>
      </c>
      <c r="P30" s="6">
        <f t="shared" si="7"/>
        <v>-115215.035448868</v>
      </c>
      <c r="Q30" s="6">
        <f t="shared" ca="1" si="8"/>
        <v>5841259.2174042342</v>
      </c>
    </row>
    <row r="31" spans="1:22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Used'!I31</f>
        <v>6777772.2854596768</v>
      </c>
      <c r="E31" s="7">
        <f t="shared" ca="1" si="10"/>
        <v>11.023552299140979</v>
      </c>
      <c r="F31" s="7">
        <f t="shared" ca="1" si="10"/>
        <v>202.63644770085901</v>
      </c>
      <c r="G31" s="6">
        <f>'Monthly Data (14-23) Used'!BC31</f>
        <v>740632</v>
      </c>
      <c r="H31">
        <f>'Monthly Data (14-23) Used'!CB31</f>
        <v>30</v>
      </c>
      <c r="I31">
        <f>'Monthly Data (14-23) Used'!CA31</f>
        <v>0</v>
      </c>
      <c r="K31" s="6">
        <f t="shared" si="11"/>
        <v>-3155056.29692131</v>
      </c>
      <c r="L31" s="6">
        <f t="shared" ca="1" si="3"/>
        <v>18855.852066256637</v>
      </c>
      <c r="M31" s="6">
        <f t="shared" ca="1" si="4"/>
        <v>1501045.0525798379</v>
      </c>
      <c r="N31" s="6">
        <f t="shared" si="12"/>
        <v>4422723.1259221165</v>
      </c>
      <c r="O31" s="6">
        <f t="shared" si="13"/>
        <v>3737028.2982161101</v>
      </c>
      <c r="P31" s="6">
        <f t="shared" si="7"/>
        <v>0</v>
      </c>
      <c r="Q31" s="6">
        <f t="shared" ca="1" si="8"/>
        <v>6524596.0318630114</v>
      </c>
    </row>
    <row r="32" spans="1:22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Used'!I32</f>
        <v>7694152.2854596768</v>
      </c>
      <c r="E32" s="7">
        <f t="shared" ca="1" si="10"/>
        <v>0.75</v>
      </c>
      <c r="F32" s="7">
        <f t="shared" ca="1" si="10"/>
        <v>273.21289540171807</v>
      </c>
      <c r="G32" s="6">
        <f>'Monthly Data (14-23) Used'!BC32</f>
        <v>746606</v>
      </c>
      <c r="H32">
        <f>'Monthly Data (14-23) Used'!CB32</f>
        <v>31</v>
      </c>
      <c r="I32">
        <f>'Monthly Data (14-23) Used'!CA32</f>
        <v>0</v>
      </c>
      <c r="K32" s="6">
        <f t="shared" si="11"/>
        <v>-3155056.29692131</v>
      </c>
      <c r="L32" s="6">
        <f t="shared" ca="1" si="3"/>
        <v>1282.87948076361</v>
      </c>
      <c r="M32" s="6">
        <f t="shared" ca="1" si="4"/>
        <v>2023845.5105035044</v>
      </c>
      <c r="N32" s="6">
        <f t="shared" si="12"/>
        <v>4458397.1826118883</v>
      </c>
      <c r="O32" s="6">
        <f t="shared" si="13"/>
        <v>3861595.9081566473</v>
      </c>
      <c r="P32" s="6">
        <f t="shared" si="7"/>
        <v>0</v>
      </c>
      <c r="Q32" s="6">
        <f t="shared" ca="1" si="8"/>
        <v>7190065.1838314943</v>
      </c>
    </row>
    <row r="33" spans="1:17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Used'!I33</f>
        <v>7705048.2854596768</v>
      </c>
      <c r="E33" s="7">
        <f t="shared" ca="1" si="10"/>
        <v>2.7971045982819609</v>
      </c>
      <c r="F33" s="7">
        <f t="shared" ca="1" si="10"/>
        <v>245.37605861546234</v>
      </c>
      <c r="G33" s="6">
        <f>'Monthly Data (14-23) Used'!BC33</f>
        <v>746606</v>
      </c>
      <c r="H33">
        <f>'Monthly Data (14-23) Used'!CB33</f>
        <v>31</v>
      </c>
      <c r="I33">
        <f>'Monthly Data (14-23) Used'!CA33</f>
        <v>0</v>
      </c>
      <c r="K33" s="6">
        <f t="shared" si="11"/>
        <v>-3155056.29692131</v>
      </c>
      <c r="L33" s="6">
        <f t="shared" ca="1" si="3"/>
        <v>4784.4641262472906</v>
      </c>
      <c r="M33" s="6">
        <f t="shared" ca="1" si="4"/>
        <v>1817642.0036242013</v>
      </c>
      <c r="N33" s="6">
        <f t="shared" si="12"/>
        <v>4458397.1826118883</v>
      </c>
      <c r="O33" s="6">
        <f t="shared" si="13"/>
        <v>3861595.9081566473</v>
      </c>
      <c r="P33" s="6">
        <f t="shared" si="7"/>
        <v>0</v>
      </c>
      <c r="Q33" s="6">
        <f t="shared" ca="1" si="8"/>
        <v>6987363.2615976743</v>
      </c>
    </row>
    <row r="34" spans="1:17">
      <c r="A34" s="197">
        <v>42614</v>
      </c>
      <c r="B34">
        <f t="shared" si="0"/>
        <v>9</v>
      </c>
      <c r="C34">
        <f t="shared" si="1"/>
        <v>2016</v>
      </c>
      <c r="D34" s="6">
        <f>'Monthly Data (14-23) Used'!I34</f>
        <v>6690629.2854596768</v>
      </c>
      <c r="E34" s="7">
        <f t="shared" ca="1" si="10"/>
        <v>39.200656897422931</v>
      </c>
      <c r="F34" s="7">
        <f t="shared" ca="1" si="10"/>
        <v>139.01579080343606</v>
      </c>
      <c r="G34" s="6">
        <f>'Monthly Data (14-23) Used'!BC34</f>
        <v>746606</v>
      </c>
      <c r="H34">
        <f>'Monthly Data (14-23) Used'!CB34</f>
        <v>30</v>
      </c>
      <c r="I34">
        <f>'Monthly Data (14-23) Used'!CA34</f>
        <v>0</v>
      </c>
      <c r="K34" s="6">
        <f t="shared" si="11"/>
        <v>-3155056.29692131</v>
      </c>
      <c r="L34" s="6">
        <f t="shared" ref="L34:L54" ca="1" si="14">E34*$T$10</f>
        <v>67052.957821544478</v>
      </c>
      <c r="M34" s="6">
        <f t="shared" ref="M34:M54" ca="1" si="15">F34*$T$11</f>
        <v>1029770.149366307</v>
      </c>
      <c r="N34" s="6">
        <f t="shared" si="12"/>
        <v>4458397.1826118883</v>
      </c>
      <c r="O34" s="6">
        <f t="shared" si="13"/>
        <v>3737028.2982161101</v>
      </c>
      <c r="P34" s="6">
        <f t="shared" ref="P34:P54" si="16">I34*$T$14</f>
        <v>0</v>
      </c>
      <c r="Q34" s="6">
        <f t="shared" ref="Q34:Q54" ca="1" si="17">SUM(K34:P34)</f>
        <v>6137192.2910945397</v>
      </c>
    </row>
    <row r="35" spans="1:17">
      <c r="A35" s="197">
        <v>42644</v>
      </c>
      <c r="B35">
        <f t="shared" si="0"/>
        <v>10</v>
      </c>
      <c r="C35">
        <f t="shared" si="1"/>
        <v>2016</v>
      </c>
      <c r="D35" s="6">
        <f>'Monthly Data (14-23) Used'!I35</f>
        <v>6031579.2854596768</v>
      </c>
      <c r="E35" s="7">
        <f t="shared" ca="1" si="10"/>
        <v>194.90420919656393</v>
      </c>
      <c r="F35" s="7">
        <f t="shared" ca="1" si="10"/>
        <v>38.166447700859024</v>
      </c>
      <c r="G35" s="6">
        <f>'Monthly Data (14-23) Used'!BC35</f>
        <v>745380</v>
      </c>
      <c r="H35">
        <f>'Monthly Data (14-23) Used'!CB35</f>
        <v>31</v>
      </c>
      <c r="I35">
        <f>'Monthly Data (14-23) Used'!CA35</f>
        <v>1</v>
      </c>
      <c r="K35" s="6">
        <f t="shared" si="11"/>
        <v>-3155056.29692131</v>
      </c>
      <c r="L35" s="6">
        <f t="shared" ca="1" si="14"/>
        <v>333384.81425697327</v>
      </c>
      <c r="M35" s="6">
        <f t="shared" ca="1" si="15"/>
        <v>282720.89323483885</v>
      </c>
      <c r="N35" s="6">
        <f t="shared" si="12"/>
        <v>4451076.0588252023</v>
      </c>
      <c r="O35" s="6">
        <f t="shared" si="13"/>
        <v>3861595.9081566473</v>
      </c>
      <c r="P35" s="6">
        <f t="shared" si="16"/>
        <v>-115215.035448868</v>
      </c>
      <c r="Q35" s="6">
        <f t="shared" ca="1" si="17"/>
        <v>5658506.3421034832</v>
      </c>
    </row>
    <row r="36" spans="1:17">
      <c r="A36" s="197">
        <v>42675</v>
      </c>
      <c r="B36">
        <f t="shared" si="0"/>
        <v>11</v>
      </c>
      <c r="C36">
        <f t="shared" si="1"/>
        <v>2016</v>
      </c>
      <c r="D36" s="6">
        <f>'Monthly Data (14-23) Used'!I36</f>
        <v>5805354.2854596768</v>
      </c>
      <c r="E36" s="7">
        <f t="shared" ca="1" si="10"/>
        <v>404.02065689742301</v>
      </c>
      <c r="F36" s="7">
        <f t="shared" ca="1" si="10"/>
        <v>2.419999999999999</v>
      </c>
      <c r="G36" s="6">
        <f>'Monthly Data (14-23) Used'!BC36</f>
        <v>745380</v>
      </c>
      <c r="H36">
        <f>'Monthly Data (14-23) Used'!CB36</f>
        <v>30</v>
      </c>
      <c r="I36">
        <f>'Monthly Data (14-23) Used'!CA36</f>
        <v>1</v>
      </c>
      <c r="K36" s="6">
        <f t="shared" si="11"/>
        <v>-3155056.29692131</v>
      </c>
      <c r="L36" s="6">
        <f t="shared" ca="1" si="14"/>
        <v>691079.74738445156</v>
      </c>
      <c r="M36" s="6">
        <f t="shared" ca="1" si="15"/>
        <v>17926.335900862752</v>
      </c>
      <c r="N36" s="6">
        <f t="shared" si="12"/>
        <v>4451076.0588252023</v>
      </c>
      <c r="O36" s="6">
        <f t="shared" si="13"/>
        <v>3737028.2982161101</v>
      </c>
      <c r="P36" s="6">
        <f t="shared" si="16"/>
        <v>-115215.035448868</v>
      </c>
      <c r="Q36" s="6">
        <f t="shared" ca="1" si="17"/>
        <v>5626839.1079564486</v>
      </c>
    </row>
    <row r="37" spans="1:17">
      <c r="A37" s="197">
        <v>42705</v>
      </c>
      <c r="B37">
        <f t="shared" si="0"/>
        <v>12</v>
      </c>
      <c r="C37">
        <f t="shared" si="1"/>
        <v>2016</v>
      </c>
      <c r="D37" s="6">
        <f>'Monthly Data (14-23) Used'!I37</f>
        <v>6367639.2854596768</v>
      </c>
      <c r="E37" s="7">
        <f t="shared" ca="1" si="10"/>
        <v>533.7700000000001</v>
      </c>
      <c r="F37" s="7">
        <f t="shared" ca="1" si="10"/>
        <v>0</v>
      </c>
      <c r="G37" s="6">
        <f>'Monthly Data (14-23) Used'!BC37</f>
        <v>745380</v>
      </c>
      <c r="H37">
        <f>'Monthly Data (14-23) Used'!CB37</f>
        <v>31</v>
      </c>
      <c r="I37">
        <f>'Monthly Data (14-23) Used'!CA37</f>
        <v>0</v>
      </c>
      <c r="K37" s="6">
        <f t="shared" si="11"/>
        <v>-3155056.29692131</v>
      </c>
      <c r="L37" s="6">
        <f t="shared" ca="1" si="14"/>
        <v>913016.77392958966</v>
      </c>
      <c r="M37" s="6">
        <f t="shared" ca="1" si="15"/>
        <v>0</v>
      </c>
      <c r="N37" s="6">
        <f t="shared" si="12"/>
        <v>4451076.0588252023</v>
      </c>
      <c r="O37" s="6">
        <f t="shared" si="13"/>
        <v>3861595.9081566473</v>
      </c>
      <c r="P37" s="6">
        <f t="shared" si="16"/>
        <v>0</v>
      </c>
      <c r="Q37" s="6">
        <f t="shared" ca="1" si="17"/>
        <v>6070632.443990129</v>
      </c>
    </row>
    <row r="38" spans="1:17">
      <c r="A38" s="197">
        <v>42736</v>
      </c>
      <c r="B38">
        <f t="shared" si="0"/>
        <v>1</v>
      </c>
      <c r="C38">
        <f t="shared" si="1"/>
        <v>2017</v>
      </c>
      <c r="D38" s="6">
        <f>'Monthly Data (14-23) Used'!I38</f>
        <v>6836192.372558577</v>
      </c>
      <c r="E38" s="7">
        <f t="shared" ca="1" si="10"/>
        <v>671</v>
      </c>
      <c r="F38" s="7">
        <f t="shared" ca="1" si="10"/>
        <v>0</v>
      </c>
      <c r="G38" s="6">
        <f>'Monthly Data (14-23) Used'!BC38</f>
        <v>756702</v>
      </c>
      <c r="H38">
        <f>'Monthly Data (14-23) Used'!CB38</f>
        <v>31</v>
      </c>
      <c r="I38">
        <f>'Monthly Data (14-23) Used'!CA38</f>
        <v>0</v>
      </c>
      <c r="K38" s="6">
        <f t="shared" si="11"/>
        <v>-3155056.29692131</v>
      </c>
      <c r="L38" s="6">
        <f t="shared" ca="1" si="14"/>
        <v>1147749.5087898432</v>
      </c>
      <c r="M38" s="6">
        <f t="shared" ca="1" si="15"/>
        <v>0</v>
      </c>
      <c r="N38" s="6">
        <f t="shared" si="12"/>
        <v>4518685.9801244307</v>
      </c>
      <c r="O38" s="6">
        <f t="shared" si="13"/>
        <v>3861595.9081566473</v>
      </c>
      <c r="P38" s="6">
        <f t="shared" si="16"/>
        <v>0</v>
      </c>
      <c r="Q38" s="6">
        <f t="shared" ca="1" si="17"/>
        <v>6372975.100149611</v>
      </c>
    </row>
    <row r="39" spans="1:17">
      <c r="A39" s="197">
        <v>42767</v>
      </c>
      <c r="B39">
        <f t="shared" si="0"/>
        <v>2</v>
      </c>
      <c r="C39">
        <f t="shared" si="1"/>
        <v>2017</v>
      </c>
      <c r="D39" s="6">
        <f>'Monthly Data (14-23) Used'!I39</f>
        <v>5952762.372558577</v>
      </c>
      <c r="E39" s="7">
        <f t="shared" ca="1" si="10"/>
        <v>595.51355229914111</v>
      </c>
      <c r="F39" s="7">
        <f t="shared" ca="1" si="10"/>
        <v>0</v>
      </c>
      <c r="G39" s="6">
        <f>'Monthly Data (14-23) Used'!BC39</f>
        <v>756702</v>
      </c>
      <c r="H39">
        <f>'Monthly Data (14-23) Used'!CB39</f>
        <v>28</v>
      </c>
      <c r="I39">
        <f>'Monthly Data (14-23) Used'!CA39</f>
        <v>0</v>
      </c>
      <c r="K39" s="6">
        <f t="shared" si="11"/>
        <v>-3155056.29692131</v>
      </c>
      <c r="L39" s="6">
        <f t="shared" ca="1" si="14"/>
        <v>1018629.4890149535</v>
      </c>
      <c r="M39" s="6">
        <f t="shared" ca="1" si="15"/>
        <v>0</v>
      </c>
      <c r="N39" s="6">
        <f t="shared" si="12"/>
        <v>4518685.9801244307</v>
      </c>
      <c r="O39" s="6">
        <f t="shared" si="13"/>
        <v>3487893.0783350361</v>
      </c>
      <c r="P39" s="6">
        <f t="shared" si="16"/>
        <v>0</v>
      </c>
      <c r="Q39" s="6">
        <f t="shared" ca="1" si="17"/>
        <v>5870152.2505531106</v>
      </c>
    </row>
    <row r="40" spans="1:17">
      <c r="A40" s="197">
        <v>42795</v>
      </c>
      <c r="B40">
        <f t="shared" si="0"/>
        <v>3</v>
      </c>
      <c r="C40">
        <f t="shared" si="1"/>
        <v>2017</v>
      </c>
      <c r="D40" s="6">
        <f>'Monthly Data (14-23) Used'!I40</f>
        <v>6081790.372558577</v>
      </c>
      <c r="E40" s="7">
        <f t="shared" ca="1" si="10"/>
        <v>496.46355229914104</v>
      </c>
      <c r="F40" s="7">
        <f t="shared" ca="1" si="10"/>
        <v>0.16999999999999993</v>
      </c>
      <c r="G40" s="6">
        <f>'Monthly Data (14-23) Used'!BC40</f>
        <v>756702</v>
      </c>
      <c r="H40">
        <f>'Monthly Data (14-23) Used'!CB40</f>
        <v>31</v>
      </c>
      <c r="I40">
        <f>'Monthly Data (14-23) Used'!CA40</f>
        <v>1</v>
      </c>
      <c r="K40" s="6">
        <f t="shared" si="11"/>
        <v>-3155056.29692131</v>
      </c>
      <c r="L40" s="6">
        <f t="shared" ca="1" si="14"/>
        <v>849203.87225543917</v>
      </c>
      <c r="M40" s="6">
        <f t="shared" ca="1" si="15"/>
        <v>1259.2880591515157</v>
      </c>
      <c r="N40" s="6">
        <f t="shared" si="12"/>
        <v>4518685.9801244307</v>
      </c>
      <c r="O40" s="6">
        <f t="shared" si="13"/>
        <v>3861595.9081566473</v>
      </c>
      <c r="P40" s="6">
        <f t="shared" si="16"/>
        <v>-115215.035448868</v>
      </c>
      <c r="Q40" s="6">
        <f t="shared" ca="1" si="17"/>
        <v>5960473.7162254909</v>
      </c>
    </row>
    <row r="41" spans="1:17">
      <c r="A41" s="197">
        <v>42826</v>
      </c>
      <c r="B41">
        <f t="shared" si="0"/>
        <v>4</v>
      </c>
      <c r="C41">
        <f t="shared" si="1"/>
        <v>2017</v>
      </c>
      <c r="D41" s="6">
        <f>'Monthly Data (14-23) Used'!I41</f>
        <v>5859659.372558577</v>
      </c>
      <c r="E41" s="7">
        <f t="shared" ca="1" si="10"/>
        <v>296.23000000000008</v>
      </c>
      <c r="F41" s="7">
        <f t="shared" ca="1" si="10"/>
        <v>8.7799999999999994</v>
      </c>
      <c r="G41" s="6">
        <f>'Monthly Data (14-23) Used'!BC41</f>
        <v>764644</v>
      </c>
      <c r="H41">
        <f>'Monthly Data (14-23) Used'!CB41</f>
        <v>30</v>
      </c>
      <c r="I41">
        <f>'Monthly Data (14-23) Used'!CA41</f>
        <v>1</v>
      </c>
      <c r="K41" s="6">
        <f t="shared" si="11"/>
        <v>-3155056.29692131</v>
      </c>
      <c r="L41" s="6">
        <f t="shared" ca="1" si="14"/>
        <v>506703.18478213908</v>
      </c>
      <c r="M41" s="6">
        <f t="shared" ca="1" si="15"/>
        <v>65038.524466766539</v>
      </c>
      <c r="N41" s="6">
        <f t="shared" si="12"/>
        <v>4566112.0528111001</v>
      </c>
      <c r="O41" s="6">
        <f t="shared" si="13"/>
        <v>3737028.2982161101</v>
      </c>
      <c r="P41" s="6">
        <f t="shared" si="16"/>
        <v>-115215.035448868</v>
      </c>
      <c r="Q41" s="6">
        <f t="shared" ca="1" si="17"/>
        <v>5604610.7279059384</v>
      </c>
    </row>
    <row r="42" spans="1:17">
      <c r="A42" s="197">
        <v>42856</v>
      </c>
      <c r="B42">
        <f t="shared" ref="B42:B105" si="18">MONTH(A42)</f>
        <v>5</v>
      </c>
      <c r="C42">
        <f t="shared" ref="C42:C105" si="19">YEAR(A42)</f>
        <v>2017</v>
      </c>
      <c r="D42" s="6">
        <f>'Monthly Data (14-23) Used'!I42</f>
        <v>6077082.372558577</v>
      </c>
      <c r="E42" s="7">
        <f t="shared" ref="E42:F61" ca="1" si="20">E30</f>
        <v>116.90355229914098</v>
      </c>
      <c r="F42" s="7">
        <f t="shared" ca="1" si="20"/>
        <v>84.676447700859015</v>
      </c>
      <c r="G42" s="6">
        <f>'Monthly Data (14-23) Used'!BC42</f>
        <v>764644</v>
      </c>
      <c r="H42">
        <f>'Monthly Data (14-23) Used'!CB42</f>
        <v>31</v>
      </c>
      <c r="I42">
        <f>'Monthly Data (14-23) Used'!CA42</f>
        <v>1</v>
      </c>
      <c r="K42" s="6">
        <f t="shared" si="11"/>
        <v>-3155056.29692131</v>
      </c>
      <c r="L42" s="6">
        <f t="shared" ca="1" si="14"/>
        <v>199964.22463059134</v>
      </c>
      <c r="M42" s="6">
        <f t="shared" ca="1" si="15"/>
        <v>627247.29106505658</v>
      </c>
      <c r="N42" s="6">
        <f t="shared" si="12"/>
        <v>4566112.0528111001</v>
      </c>
      <c r="O42" s="6">
        <f t="shared" si="13"/>
        <v>3861595.9081566473</v>
      </c>
      <c r="P42" s="6">
        <f t="shared" si="16"/>
        <v>-115215.035448868</v>
      </c>
      <c r="Q42" s="6">
        <f t="shared" ca="1" si="17"/>
        <v>5984648.1442932179</v>
      </c>
    </row>
    <row r="43" spans="1:17">
      <c r="A43" s="197">
        <v>42887</v>
      </c>
      <c r="B43">
        <f t="shared" si="18"/>
        <v>6</v>
      </c>
      <c r="C43">
        <f t="shared" si="19"/>
        <v>2017</v>
      </c>
      <c r="D43" s="6">
        <f>'Monthly Data (14-23) Used'!I43</f>
        <v>6771723.372558577</v>
      </c>
      <c r="E43" s="7">
        <f t="shared" ca="1" si="20"/>
        <v>11.023552299140979</v>
      </c>
      <c r="F43" s="7">
        <f t="shared" ca="1" si="20"/>
        <v>202.63644770085901</v>
      </c>
      <c r="G43" s="6">
        <f>'Monthly Data (14-23) Used'!BC43</f>
        <v>764644</v>
      </c>
      <c r="H43">
        <f>'Monthly Data (14-23) Used'!CB43</f>
        <v>30</v>
      </c>
      <c r="I43">
        <f>'Monthly Data (14-23) Used'!CA43</f>
        <v>0</v>
      </c>
      <c r="K43" s="6">
        <f t="shared" si="11"/>
        <v>-3155056.29692131</v>
      </c>
      <c r="L43" s="6">
        <f t="shared" ca="1" si="14"/>
        <v>18855.852066256637</v>
      </c>
      <c r="M43" s="6">
        <f t="shared" ca="1" si="15"/>
        <v>1501045.0525798379</v>
      </c>
      <c r="N43" s="6">
        <f t="shared" si="12"/>
        <v>4566112.0528111001</v>
      </c>
      <c r="O43" s="6">
        <f t="shared" si="13"/>
        <v>3737028.2982161101</v>
      </c>
      <c r="P43" s="6">
        <f t="shared" si="16"/>
        <v>0</v>
      </c>
      <c r="Q43" s="6">
        <f t="shared" ca="1" si="17"/>
        <v>6667984.9587519951</v>
      </c>
    </row>
    <row r="44" spans="1:17">
      <c r="A44" s="197">
        <v>42917</v>
      </c>
      <c r="B44">
        <f t="shared" si="18"/>
        <v>7</v>
      </c>
      <c r="C44">
        <f t="shared" si="19"/>
        <v>2017</v>
      </c>
      <c r="D44" s="6">
        <f>'Monthly Data (14-23) Used'!I44</f>
        <v>7412106.372558577</v>
      </c>
      <c r="E44" s="7">
        <f t="shared" ca="1" si="20"/>
        <v>0.75</v>
      </c>
      <c r="F44" s="7">
        <f t="shared" ca="1" si="20"/>
        <v>273.21289540171807</v>
      </c>
      <c r="G44" s="6">
        <f>'Monthly Data (14-23) Used'!BC44</f>
        <v>765060</v>
      </c>
      <c r="H44">
        <f>'Monthly Data (14-23) Used'!CB44</f>
        <v>31</v>
      </c>
      <c r="I44">
        <f>'Monthly Data (14-23) Used'!CA44</f>
        <v>0</v>
      </c>
      <c r="K44" s="6">
        <f t="shared" si="11"/>
        <v>-3155056.29692131</v>
      </c>
      <c r="L44" s="6">
        <f t="shared" ca="1" si="14"/>
        <v>1282.87948076361</v>
      </c>
      <c r="M44" s="6">
        <f t="shared" ca="1" si="15"/>
        <v>2023845.5105035044</v>
      </c>
      <c r="N44" s="6">
        <f t="shared" si="12"/>
        <v>4568596.2187941847</v>
      </c>
      <c r="O44" s="6">
        <f t="shared" si="13"/>
        <v>3861595.9081566473</v>
      </c>
      <c r="P44" s="6">
        <f t="shared" si="16"/>
        <v>0</v>
      </c>
      <c r="Q44" s="6">
        <f t="shared" ca="1" si="17"/>
        <v>7300264.2200137898</v>
      </c>
    </row>
    <row r="45" spans="1:17">
      <c r="A45" s="197">
        <v>42948</v>
      </c>
      <c r="B45">
        <f t="shared" si="18"/>
        <v>8</v>
      </c>
      <c r="C45">
        <f t="shared" si="19"/>
        <v>2017</v>
      </c>
      <c r="D45" s="6">
        <f>'Monthly Data (14-23) Used'!I45</f>
        <v>7040296.372558577</v>
      </c>
      <c r="E45" s="7">
        <f t="shared" ca="1" si="20"/>
        <v>2.7971045982819609</v>
      </c>
      <c r="F45" s="7">
        <f t="shared" ca="1" si="20"/>
        <v>245.37605861546234</v>
      </c>
      <c r="G45" s="6">
        <f>'Monthly Data (14-23) Used'!BC45</f>
        <v>765060</v>
      </c>
      <c r="H45">
        <f>'Monthly Data (14-23) Used'!CB45</f>
        <v>31</v>
      </c>
      <c r="I45">
        <f>'Monthly Data (14-23) Used'!CA45</f>
        <v>0</v>
      </c>
      <c r="K45" s="6">
        <f t="shared" si="11"/>
        <v>-3155056.29692131</v>
      </c>
      <c r="L45" s="6">
        <f t="shared" ca="1" si="14"/>
        <v>4784.4641262472906</v>
      </c>
      <c r="M45" s="6">
        <f t="shared" ca="1" si="15"/>
        <v>1817642.0036242013</v>
      </c>
      <c r="N45" s="6">
        <f t="shared" si="12"/>
        <v>4568596.2187941847</v>
      </c>
      <c r="O45" s="6">
        <f t="shared" si="13"/>
        <v>3861595.9081566473</v>
      </c>
      <c r="P45" s="6">
        <f t="shared" si="16"/>
        <v>0</v>
      </c>
      <c r="Q45" s="6">
        <f t="shared" ca="1" si="17"/>
        <v>7097562.2977799708</v>
      </c>
    </row>
    <row r="46" spans="1:17">
      <c r="A46" s="197">
        <v>42979</v>
      </c>
      <c r="B46">
        <f t="shared" si="18"/>
        <v>9</v>
      </c>
      <c r="C46">
        <f t="shared" si="19"/>
        <v>2017</v>
      </c>
      <c r="D46" s="6">
        <f>'Monthly Data (14-23) Used'!I46</f>
        <v>6606889.372558577</v>
      </c>
      <c r="E46" s="7">
        <f t="shared" ca="1" si="20"/>
        <v>39.200656897422931</v>
      </c>
      <c r="F46" s="7">
        <f t="shared" ca="1" si="20"/>
        <v>139.01579080343606</v>
      </c>
      <c r="G46" s="6">
        <f>'Monthly Data (14-23) Used'!BC46</f>
        <v>765060</v>
      </c>
      <c r="H46">
        <f>'Monthly Data (14-23) Used'!CB46</f>
        <v>30</v>
      </c>
      <c r="I46">
        <f>'Monthly Data (14-23) Used'!CA46</f>
        <v>0</v>
      </c>
      <c r="K46" s="6">
        <f t="shared" si="11"/>
        <v>-3155056.29692131</v>
      </c>
      <c r="L46" s="6">
        <f t="shared" ca="1" si="14"/>
        <v>67052.957821544478</v>
      </c>
      <c r="M46" s="6">
        <f t="shared" ca="1" si="15"/>
        <v>1029770.149366307</v>
      </c>
      <c r="N46" s="6">
        <f t="shared" si="12"/>
        <v>4568596.2187941847</v>
      </c>
      <c r="O46" s="6">
        <f t="shared" si="13"/>
        <v>3737028.2982161101</v>
      </c>
      <c r="P46" s="6">
        <f t="shared" si="16"/>
        <v>0</v>
      </c>
      <c r="Q46" s="6">
        <f t="shared" ca="1" si="17"/>
        <v>6247391.3272768361</v>
      </c>
    </row>
    <row r="47" spans="1:17">
      <c r="A47" s="197">
        <v>43009</v>
      </c>
      <c r="B47">
        <f t="shared" si="18"/>
        <v>10</v>
      </c>
      <c r="C47">
        <f t="shared" si="19"/>
        <v>2017</v>
      </c>
      <c r="D47" s="6">
        <f>'Monthly Data (14-23) Used'!I47</f>
        <v>6052502.372558577</v>
      </c>
      <c r="E47" s="7">
        <f t="shared" ca="1" si="20"/>
        <v>194.90420919656393</v>
      </c>
      <c r="F47" s="7">
        <f t="shared" ca="1" si="20"/>
        <v>38.166447700859024</v>
      </c>
      <c r="G47" s="6">
        <f>'Monthly Data (14-23) Used'!BC47</f>
        <v>771453</v>
      </c>
      <c r="H47">
        <f>'Monthly Data (14-23) Used'!CB47</f>
        <v>31</v>
      </c>
      <c r="I47">
        <f>'Monthly Data (14-23) Used'!CA47</f>
        <v>1</v>
      </c>
      <c r="K47" s="6">
        <f t="shared" si="11"/>
        <v>-3155056.29692131</v>
      </c>
      <c r="L47" s="6">
        <f t="shared" ca="1" si="14"/>
        <v>333384.81425697327</v>
      </c>
      <c r="M47" s="6">
        <f t="shared" ca="1" si="15"/>
        <v>282720.89323483885</v>
      </c>
      <c r="N47" s="6">
        <f t="shared" si="12"/>
        <v>4606772.3561255718</v>
      </c>
      <c r="O47" s="6">
        <f t="shared" si="13"/>
        <v>3861595.9081566473</v>
      </c>
      <c r="P47" s="6">
        <f t="shared" si="16"/>
        <v>-115215.035448868</v>
      </c>
      <c r="Q47" s="6">
        <f t="shared" ca="1" si="17"/>
        <v>5814202.6394038536</v>
      </c>
    </row>
    <row r="48" spans="1:17">
      <c r="A48" s="197">
        <v>43040</v>
      </c>
      <c r="B48">
        <f t="shared" si="18"/>
        <v>11</v>
      </c>
      <c r="C48">
        <f t="shared" si="19"/>
        <v>2017</v>
      </c>
      <c r="D48" s="6">
        <f>'Monthly Data (14-23) Used'!I48</f>
        <v>5976394.372558577</v>
      </c>
      <c r="E48" s="7">
        <f t="shared" ca="1" si="20"/>
        <v>404.02065689742301</v>
      </c>
      <c r="F48" s="7">
        <f t="shared" ca="1" si="20"/>
        <v>2.419999999999999</v>
      </c>
      <c r="G48" s="6">
        <f>'Monthly Data (14-23) Used'!BC48</f>
        <v>771453</v>
      </c>
      <c r="H48">
        <f>'Monthly Data (14-23) Used'!CB48</f>
        <v>30</v>
      </c>
      <c r="I48">
        <f>'Monthly Data (14-23) Used'!CA48</f>
        <v>1</v>
      </c>
      <c r="K48" s="6">
        <f t="shared" si="11"/>
        <v>-3155056.29692131</v>
      </c>
      <c r="L48" s="6">
        <f t="shared" ca="1" si="14"/>
        <v>691079.74738445156</v>
      </c>
      <c r="M48" s="6">
        <f t="shared" ca="1" si="15"/>
        <v>17926.335900862752</v>
      </c>
      <c r="N48" s="6">
        <f t="shared" si="12"/>
        <v>4606772.3561255718</v>
      </c>
      <c r="O48" s="6">
        <f t="shared" si="13"/>
        <v>3737028.2982161101</v>
      </c>
      <c r="P48" s="6">
        <f t="shared" si="16"/>
        <v>-115215.035448868</v>
      </c>
      <c r="Q48" s="6">
        <f t="shared" ca="1" si="17"/>
        <v>5782535.405256818</v>
      </c>
    </row>
    <row r="49" spans="1:17">
      <c r="A49" s="197">
        <v>43070</v>
      </c>
      <c r="B49">
        <f t="shared" si="18"/>
        <v>12</v>
      </c>
      <c r="C49">
        <f t="shared" si="19"/>
        <v>2017</v>
      </c>
      <c r="D49" s="6">
        <f>'Monthly Data (14-23) Used'!I49</f>
        <v>6548924.372558577</v>
      </c>
      <c r="E49" s="7">
        <f t="shared" ca="1" si="20"/>
        <v>533.7700000000001</v>
      </c>
      <c r="F49" s="7">
        <f t="shared" ca="1" si="20"/>
        <v>0</v>
      </c>
      <c r="G49" s="6">
        <f>'Monthly Data (14-23) Used'!BC49</f>
        <v>771453</v>
      </c>
      <c r="H49">
        <f>'Monthly Data (14-23) Used'!CB49</f>
        <v>31</v>
      </c>
      <c r="I49">
        <f>'Monthly Data (14-23) Used'!CA49</f>
        <v>0</v>
      </c>
      <c r="K49" s="6">
        <f t="shared" si="11"/>
        <v>-3155056.29692131</v>
      </c>
      <c r="L49" s="6">
        <f t="shared" ca="1" si="14"/>
        <v>913016.77392958966</v>
      </c>
      <c r="M49" s="6">
        <f t="shared" ca="1" si="15"/>
        <v>0</v>
      </c>
      <c r="N49" s="6">
        <f t="shared" si="12"/>
        <v>4606772.3561255718</v>
      </c>
      <c r="O49" s="6">
        <f t="shared" si="13"/>
        <v>3861595.9081566473</v>
      </c>
      <c r="P49" s="6">
        <f t="shared" si="16"/>
        <v>0</v>
      </c>
      <c r="Q49" s="6">
        <f t="shared" ca="1" si="17"/>
        <v>6226328.7412904985</v>
      </c>
    </row>
    <row r="50" spans="1:17">
      <c r="A50" s="197">
        <v>43101</v>
      </c>
      <c r="B50">
        <f t="shared" si="18"/>
        <v>1</v>
      </c>
      <c r="C50">
        <f t="shared" si="19"/>
        <v>2018</v>
      </c>
      <c r="D50" s="6">
        <f>'Monthly Data (14-23) Used'!I50</f>
        <v>6961673.0655590976</v>
      </c>
      <c r="E50" s="7">
        <f t="shared" ca="1" si="20"/>
        <v>671</v>
      </c>
      <c r="F50" s="7">
        <f t="shared" ca="1" si="20"/>
        <v>0</v>
      </c>
      <c r="G50" s="6">
        <f>'Monthly Data (14-23) Used'!BC50</f>
        <v>779459</v>
      </c>
      <c r="H50">
        <f>'Monthly Data (14-23) Used'!CB50</f>
        <v>31</v>
      </c>
      <c r="I50">
        <f>'Monthly Data (14-23) Used'!CA50</f>
        <v>0</v>
      </c>
      <c r="K50" s="6">
        <f t="shared" si="11"/>
        <v>-3155056.29692131</v>
      </c>
      <c r="L50" s="6">
        <f t="shared" ca="1" si="14"/>
        <v>1147749.5087898432</v>
      </c>
      <c r="M50" s="6">
        <f t="shared" ca="1" si="15"/>
        <v>0</v>
      </c>
      <c r="N50" s="6">
        <f t="shared" si="12"/>
        <v>4654580.6081942543</v>
      </c>
      <c r="O50" s="6">
        <f t="shared" si="13"/>
        <v>3861595.9081566473</v>
      </c>
      <c r="P50" s="6">
        <f t="shared" si="16"/>
        <v>0</v>
      </c>
      <c r="Q50" s="6">
        <f t="shared" ca="1" si="17"/>
        <v>6508869.7282194346</v>
      </c>
    </row>
    <row r="51" spans="1:17">
      <c r="A51" s="197">
        <v>43132</v>
      </c>
      <c r="B51">
        <f t="shared" si="18"/>
        <v>2</v>
      </c>
      <c r="C51">
        <f t="shared" si="19"/>
        <v>2018</v>
      </c>
      <c r="D51" s="6">
        <f>'Monthly Data (14-23) Used'!I51</f>
        <v>6369392.0655590976</v>
      </c>
      <c r="E51" s="7">
        <f t="shared" ca="1" si="20"/>
        <v>595.51355229914111</v>
      </c>
      <c r="F51" s="7">
        <f t="shared" ca="1" si="20"/>
        <v>0</v>
      </c>
      <c r="G51" s="6">
        <f>'Monthly Data (14-23) Used'!BC51</f>
        <v>779459</v>
      </c>
      <c r="H51">
        <f>'Monthly Data (14-23) Used'!CB51</f>
        <v>28</v>
      </c>
      <c r="I51">
        <f>'Monthly Data (14-23) Used'!CA51</f>
        <v>0</v>
      </c>
      <c r="K51" s="6">
        <f t="shared" si="11"/>
        <v>-3155056.29692131</v>
      </c>
      <c r="L51" s="6">
        <f t="shared" ca="1" si="14"/>
        <v>1018629.4890149535</v>
      </c>
      <c r="M51" s="6">
        <f t="shared" ca="1" si="15"/>
        <v>0</v>
      </c>
      <c r="N51" s="6">
        <f t="shared" si="12"/>
        <v>4654580.6081942543</v>
      </c>
      <c r="O51" s="6">
        <f t="shared" si="13"/>
        <v>3487893.0783350361</v>
      </c>
      <c r="P51" s="6">
        <f t="shared" si="16"/>
        <v>0</v>
      </c>
      <c r="Q51" s="6">
        <f t="shared" ca="1" si="17"/>
        <v>6006046.8786229342</v>
      </c>
    </row>
    <row r="52" spans="1:17">
      <c r="A52" s="197">
        <v>43160</v>
      </c>
      <c r="B52">
        <f t="shared" si="18"/>
        <v>3</v>
      </c>
      <c r="C52">
        <f t="shared" si="19"/>
        <v>2018</v>
      </c>
      <c r="D52" s="6">
        <f>'Monthly Data (14-23) Used'!I52</f>
        <v>6287610.0655590976</v>
      </c>
      <c r="E52" s="7">
        <f t="shared" ca="1" si="20"/>
        <v>496.46355229914104</v>
      </c>
      <c r="F52" s="7">
        <f t="shared" ca="1" si="20"/>
        <v>0.16999999999999993</v>
      </c>
      <c r="G52" s="6">
        <f>'Monthly Data (14-23) Used'!BC52</f>
        <v>779459</v>
      </c>
      <c r="H52">
        <f>'Monthly Data (14-23) Used'!CB52</f>
        <v>31</v>
      </c>
      <c r="I52">
        <f>'Monthly Data (14-23) Used'!CA52</f>
        <v>1</v>
      </c>
      <c r="K52" s="6">
        <f t="shared" si="11"/>
        <v>-3155056.29692131</v>
      </c>
      <c r="L52" s="6">
        <f t="shared" ca="1" si="14"/>
        <v>849203.87225543917</v>
      </c>
      <c r="M52" s="6">
        <f t="shared" ca="1" si="15"/>
        <v>1259.2880591515157</v>
      </c>
      <c r="N52" s="6">
        <f t="shared" si="12"/>
        <v>4654580.6081942543</v>
      </c>
      <c r="O52" s="6">
        <f t="shared" si="13"/>
        <v>3861595.9081566473</v>
      </c>
      <c r="P52" s="6">
        <f t="shared" si="16"/>
        <v>-115215.035448868</v>
      </c>
      <c r="Q52" s="6">
        <f t="shared" ca="1" si="17"/>
        <v>6096368.3442953145</v>
      </c>
    </row>
    <row r="53" spans="1:17">
      <c r="A53" s="197">
        <v>43191</v>
      </c>
      <c r="B53">
        <f t="shared" si="18"/>
        <v>4</v>
      </c>
      <c r="C53">
        <f t="shared" si="19"/>
        <v>2018</v>
      </c>
      <c r="D53" s="6">
        <f>'Monthly Data (14-23) Used'!I53</f>
        <v>5925059.0655590976</v>
      </c>
      <c r="E53" s="7">
        <f t="shared" ca="1" si="20"/>
        <v>296.23000000000008</v>
      </c>
      <c r="F53" s="7">
        <f t="shared" ca="1" si="20"/>
        <v>8.7799999999999994</v>
      </c>
      <c r="G53" s="6">
        <f>'Monthly Data (14-23) Used'!BC53</f>
        <v>784896</v>
      </c>
      <c r="H53">
        <f>'Monthly Data (14-23) Used'!CB53</f>
        <v>30</v>
      </c>
      <c r="I53">
        <f>'Monthly Data (14-23) Used'!CA53</f>
        <v>1</v>
      </c>
      <c r="K53" s="6">
        <f t="shared" si="11"/>
        <v>-3155056.29692131</v>
      </c>
      <c r="L53" s="6">
        <f t="shared" ca="1" si="14"/>
        <v>506703.18478213908</v>
      </c>
      <c r="M53" s="6">
        <f t="shared" ca="1" si="15"/>
        <v>65038.524466766539</v>
      </c>
      <c r="N53" s="6">
        <f t="shared" si="12"/>
        <v>4687047.9410068234</v>
      </c>
      <c r="O53" s="6">
        <f t="shared" si="13"/>
        <v>3737028.2982161101</v>
      </c>
      <c r="P53" s="6">
        <f t="shared" si="16"/>
        <v>-115215.035448868</v>
      </c>
      <c r="Q53" s="6">
        <f t="shared" ca="1" si="17"/>
        <v>5725546.6161016617</v>
      </c>
    </row>
    <row r="54" spans="1:17">
      <c r="A54" s="197">
        <v>43221</v>
      </c>
      <c r="B54">
        <f t="shared" si="18"/>
        <v>5</v>
      </c>
      <c r="C54">
        <f t="shared" si="19"/>
        <v>2018</v>
      </c>
      <c r="D54" s="6">
        <f>'Monthly Data (14-23) Used'!I54</f>
        <v>6527889.0655590976</v>
      </c>
      <c r="E54" s="7">
        <f t="shared" ca="1" si="20"/>
        <v>116.90355229914098</v>
      </c>
      <c r="F54" s="7">
        <f t="shared" ca="1" si="20"/>
        <v>84.676447700859015</v>
      </c>
      <c r="G54" s="6">
        <f>'Monthly Data (14-23) Used'!BC54</f>
        <v>784896</v>
      </c>
      <c r="H54">
        <f>'Monthly Data (14-23) Used'!CB54</f>
        <v>31</v>
      </c>
      <c r="I54">
        <f>'Monthly Data (14-23) Used'!CA54</f>
        <v>1</v>
      </c>
      <c r="K54" s="6">
        <f t="shared" ref="K54:K85" si="21">$T$9</f>
        <v>-3155056.29692131</v>
      </c>
      <c r="L54" s="6">
        <f t="shared" ca="1" si="14"/>
        <v>199964.22463059134</v>
      </c>
      <c r="M54" s="6">
        <f t="shared" ca="1" si="15"/>
        <v>627247.29106505658</v>
      </c>
      <c r="N54" s="6">
        <f t="shared" ref="N54:N85" si="22">G54*$T$12</f>
        <v>4687047.9410068234</v>
      </c>
      <c r="O54" s="6">
        <f t="shared" si="13"/>
        <v>3861595.9081566473</v>
      </c>
      <c r="P54" s="6">
        <f t="shared" si="16"/>
        <v>-115215.035448868</v>
      </c>
      <c r="Q54" s="6">
        <f t="shared" ca="1" si="17"/>
        <v>6105584.0324889412</v>
      </c>
    </row>
    <row r="55" spans="1:17">
      <c r="A55" s="197">
        <v>43252</v>
      </c>
      <c r="B55">
        <f t="shared" si="18"/>
        <v>6</v>
      </c>
      <c r="C55">
        <f t="shared" si="19"/>
        <v>2018</v>
      </c>
      <c r="D55" s="6">
        <f>'Monthly Data (14-23) Used'!I55</f>
        <v>6961182.0655590976</v>
      </c>
      <c r="E55" s="7">
        <f t="shared" ca="1" si="20"/>
        <v>11.023552299140979</v>
      </c>
      <c r="F55" s="7">
        <f t="shared" ca="1" si="20"/>
        <v>202.63644770085901</v>
      </c>
      <c r="G55" s="6">
        <f>'Monthly Data (14-23) Used'!BC55</f>
        <v>784896</v>
      </c>
      <c r="H55">
        <f>'Monthly Data (14-23) Used'!CB55</f>
        <v>30</v>
      </c>
      <c r="I55">
        <f>'Monthly Data (14-23) Used'!CA55</f>
        <v>0</v>
      </c>
      <c r="K55" s="6">
        <f t="shared" si="21"/>
        <v>-3155056.29692131</v>
      </c>
      <c r="L55" s="6">
        <f t="shared" ref="L55:L111" ca="1" si="23">E55*$T$10</f>
        <v>18855.852066256637</v>
      </c>
      <c r="M55" s="6">
        <f t="shared" ref="M55:M111" ca="1" si="24">F55*$T$11</f>
        <v>1501045.0525798379</v>
      </c>
      <c r="N55" s="6">
        <f t="shared" si="22"/>
        <v>4687047.9410068234</v>
      </c>
      <c r="O55" s="6">
        <f t="shared" si="13"/>
        <v>3737028.2982161101</v>
      </c>
      <c r="P55" s="6">
        <f t="shared" ref="P55:P111" si="25">I55*$T$14</f>
        <v>0</v>
      </c>
      <c r="Q55" s="6">
        <f t="shared" ref="Q55:Q111" ca="1" si="26">SUM(K55:P55)</f>
        <v>6788920.8469477184</v>
      </c>
    </row>
    <row r="56" spans="1:17">
      <c r="A56" s="197">
        <v>43282</v>
      </c>
      <c r="B56">
        <f t="shared" si="18"/>
        <v>7</v>
      </c>
      <c r="C56">
        <f t="shared" si="19"/>
        <v>2018</v>
      </c>
      <c r="D56" s="6">
        <f>'Monthly Data (14-23) Used'!I56</f>
        <v>7850728.0655590976</v>
      </c>
      <c r="E56" s="7">
        <f t="shared" ca="1" si="20"/>
        <v>0.75</v>
      </c>
      <c r="F56" s="7">
        <f t="shared" ca="1" si="20"/>
        <v>273.21289540171807</v>
      </c>
      <c r="G56" s="6">
        <f>'Monthly Data (14-23) Used'!BC56</f>
        <v>794140</v>
      </c>
      <c r="H56">
        <f>'Monthly Data (14-23) Used'!CB56</f>
        <v>31</v>
      </c>
      <c r="I56">
        <f>'Monthly Data (14-23) Used'!CA56</f>
        <v>0</v>
      </c>
      <c r="K56" s="6">
        <f t="shared" si="21"/>
        <v>-3155056.29692131</v>
      </c>
      <c r="L56" s="6">
        <f t="shared" ca="1" si="23"/>
        <v>1282.87948076361</v>
      </c>
      <c r="M56" s="6">
        <f t="shared" ca="1" si="24"/>
        <v>2023845.5105035044</v>
      </c>
      <c r="N56" s="6">
        <f t="shared" si="22"/>
        <v>4742248.9754963191</v>
      </c>
      <c r="O56" s="6">
        <f t="shared" si="13"/>
        <v>3861595.9081566473</v>
      </c>
      <c r="P56" s="6">
        <f t="shared" si="25"/>
        <v>0</v>
      </c>
      <c r="Q56" s="6">
        <f t="shared" ca="1" si="26"/>
        <v>7473916.9767159242</v>
      </c>
    </row>
    <row r="57" spans="1:17">
      <c r="A57" s="197">
        <v>43313</v>
      </c>
      <c r="B57">
        <f t="shared" si="18"/>
        <v>8</v>
      </c>
      <c r="C57">
        <f t="shared" si="19"/>
        <v>2018</v>
      </c>
      <c r="D57" s="6">
        <f>'Monthly Data (14-23) Used'!I57</f>
        <v>7800585.0655590976</v>
      </c>
      <c r="E57" s="7">
        <f t="shared" ca="1" si="20"/>
        <v>2.7971045982819609</v>
      </c>
      <c r="F57" s="7">
        <f t="shared" ca="1" si="20"/>
        <v>245.37605861546234</v>
      </c>
      <c r="G57" s="6">
        <f>'Monthly Data (14-23) Used'!BC57</f>
        <v>794140</v>
      </c>
      <c r="H57">
        <f>'Monthly Data (14-23) Used'!CB57</f>
        <v>31</v>
      </c>
      <c r="I57">
        <f>'Monthly Data (14-23) Used'!CA57</f>
        <v>0</v>
      </c>
      <c r="K57" s="6">
        <f t="shared" si="21"/>
        <v>-3155056.29692131</v>
      </c>
      <c r="L57" s="6">
        <f t="shared" ca="1" si="23"/>
        <v>4784.4641262472906</v>
      </c>
      <c r="M57" s="6">
        <f t="shared" ca="1" si="24"/>
        <v>1817642.0036242013</v>
      </c>
      <c r="N57" s="6">
        <f t="shared" si="22"/>
        <v>4742248.9754963191</v>
      </c>
      <c r="O57" s="6">
        <f t="shared" si="13"/>
        <v>3861595.9081566473</v>
      </c>
      <c r="P57" s="6">
        <f t="shared" si="25"/>
        <v>0</v>
      </c>
      <c r="Q57" s="6">
        <f t="shared" ca="1" si="26"/>
        <v>7271215.0544821052</v>
      </c>
    </row>
    <row r="58" spans="1:17">
      <c r="A58" s="197">
        <v>43344</v>
      </c>
      <c r="B58">
        <f t="shared" si="18"/>
        <v>9</v>
      </c>
      <c r="C58">
        <f t="shared" si="19"/>
        <v>2018</v>
      </c>
      <c r="D58" s="6">
        <f>'Monthly Data (14-23) Used'!I58</f>
        <v>6842448.0655590976</v>
      </c>
      <c r="E58" s="7">
        <f t="shared" ca="1" si="20"/>
        <v>39.200656897422931</v>
      </c>
      <c r="F58" s="7">
        <f t="shared" ca="1" si="20"/>
        <v>139.01579080343606</v>
      </c>
      <c r="G58" s="6">
        <f>'Monthly Data (14-23) Used'!BC58</f>
        <v>794140</v>
      </c>
      <c r="H58">
        <f>'Monthly Data (14-23) Used'!CB58</f>
        <v>30</v>
      </c>
      <c r="I58">
        <f>'Monthly Data (14-23) Used'!CA58</f>
        <v>0</v>
      </c>
      <c r="K58" s="6">
        <f t="shared" si="21"/>
        <v>-3155056.29692131</v>
      </c>
      <c r="L58" s="6">
        <f t="shared" ca="1" si="23"/>
        <v>67052.957821544478</v>
      </c>
      <c r="M58" s="6">
        <f t="shared" ca="1" si="24"/>
        <v>1029770.149366307</v>
      </c>
      <c r="N58" s="6">
        <f t="shared" si="22"/>
        <v>4742248.9754963191</v>
      </c>
      <c r="O58" s="6">
        <f t="shared" si="13"/>
        <v>3737028.2982161101</v>
      </c>
      <c r="P58" s="6">
        <f t="shared" si="25"/>
        <v>0</v>
      </c>
      <c r="Q58" s="6">
        <f t="shared" ca="1" si="26"/>
        <v>6421044.0839789705</v>
      </c>
    </row>
    <row r="59" spans="1:17">
      <c r="A59" s="197">
        <v>43374</v>
      </c>
      <c r="B59">
        <f t="shared" si="18"/>
        <v>10</v>
      </c>
      <c r="C59">
        <f t="shared" si="19"/>
        <v>2018</v>
      </c>
      <c r="D59" s="6">
        <f>'Monthly Data (14-23) Used'!I59</f>
        <v>5904622.0655590976</v>
      </c>
      <c r="E59" s="7">
        <f t="shared" ca="1" si="20"/>
        <v>194.90420919656393</v>
      </c>
      <c r="F59" s="7">
        <f t="shared" ca="1" si="20"/>
        <v>38.166447700859024</v>
      </c>
      <c r="G59" s="6">
        <f>'Monthly Data (14-23) Used'!BC59</f>
        <v>799632</v>
      </c>
      <c r="H59">
        <f>'Monthly Data (14-23) Used'!CB59</f>
        <v>31</v>
      </c>
      <c r="I59">
        <f>'Monthly Data (14-23) Used'!CA59</f>
        <v>1</v>
      </c>
      <c r="K59" s="6">
        <f t="shared" si="21"/>
        <v>-3155056.29692131</v>
      </c>
      <c r="L59" s="6">
        <f t="shared" ca="1" si="23"/>
        <v>333384.81425697327</v>
      </c>
      <c r="M59" s="6">
        <f t="shared" ca="1" si="24"/>
        <v>282720.89323483885</v>
      </c>
      <c r="N59" s="6">
        <f t="shared" si="22"/>
        <v>4775044.7437153049</v>
      </c>
      <c r="O59" s="6">
        <f t="shared" si="13"/>
        <v>3861595.9081566473</v>
      </c>
      <c r="P59" s="6">
        <f t="shared" si="25"/>
        <v>-115215.035448868</v>
      </c>
      <c r="Q59" s="6">
        <f t="shared" ca="1" si="26"/>
        <v>5982475.0269935858</v>
      </c>
    </row>
    <row r="60" spans="1:17">
      <c r="A60" s="197">
        <v>43405</v>
      </c>
      <c r="B60">
        <f t="shared" si="18"/>
        <v>11</v>
      </c>
      <c r="C60">
        <f t="shared" si="19"/>
        <v>2018</v>
      </c>
      <c r="D60" s="6">
        <f>'Monthly Data (14-23) Used'!I60</f>
        <v>6010558.0655590976</v>
      </c>
      <c r="E60" s="7">
        <f t="shared" ca="1" si="20"/>
        <v>404.02065689742301</v>
      </c>
      <c r="F60" s="7">
        <f t="shared" ca="1" si="20"/>
        <v>2.419999999999999</v>
      </c>
      <c r="G60" s="6">
        <f>'Monthly Data (14-23) Used'!BC60</f>
        <v>799632</v>
      </c>
      <c r="H60">
        <f>'Monthly Data (14-23) Used'!CB60</f>
        <v>30</v>
      </c>
      <c r="I60">
        <f>'Monthly Data (14-23) Used'!CA60</f>
        <v>1</v>
      </c>
      <c r="K60" s="6">
        <f t="shared" si="21"/>
        <v>-3155056.29692131</v>
      </c>
      <c r="L60" s="6">
        <f t="shared" ca="1" si="23"/>
        <v>691079.74738445156</v>
      </c>
      <c r="M60" s="6">
        <f t="shared" ca="1" si="24"/>
        <v>17926.335900862752</v>
      </c>
      <c r="N60" s="6">
        <f t="shared" si="22"/>
        <v>4775044.7437153049</v>
      </c>
      <c r="O60" s="6">
        <f t="shared" si="13"/>
        <v>3737028.2982161101</v>
      </c>
      <c r="P60" s="6">
        <f t="shared" si="25"/>
        <v>-115215.035448868</v>
      </c>
      <c r="Q60" s="6">
        <f t="shared" ca="1" si="26"/>
        <v>5950807.7928465512</v>
      </c>
    </row>
    <row r="61" spans="1:17">
      <c r="A61" s="197">
        <v>43435</v>
      </c>
      <c r="B61">
        <f t="shared" si="18"/>
        <v>12</v>
      </c>
      <c r="C61">
        <f t="shared" si="19"/>
        <v>2018</v>
      </c>
      <c r="D61" s="6">
        <f>'Monthly Data (14-23) Used'!I61</f>
        <v>6187164.0655590976</v>
      </c>
      <c r="E61" s="7">
        <f t="shared" ca="1" si="20"/>
        <v>533.7700000000001</v>
      </c>
      <c r="F61" s="7">
        <f t="shared" ca="1" si="20"/>
        <v>0</v>
      </c>
      <c r="G61" s="6">
        <f>'Monthly Data (14-23) Used'!BC61</f>
        <v>799632</v>
      </c>
      <c r="H61">
        <f>'Monthly Data (14-23) Used'!CB61</f>
        <v>31</v>
      </c>
      <c r="I61">
        <f>'Monthly Data (14-23) Used'!CA61</f>
        <v>0</v>
      </c>
      <c r="K61" s="6">
        <f t="shared" si="21"/>
        <v>-3155056.29692131</v>
      </c>
      <c r="L61" s="6">
        <f t="shared" ca="1" si="23"/>
        <v>913016.77392958966</v>
      </c>
      <c r="M61" s="6">
        <f t="shared" ca="1" si="24"/>
        <v>0</v>
      </c>
      <c r="N61" s="6">
        <f t="shared" si="22"/>
        <v>4775044.7437153049</v>
      </c>
      <c r="O61" s="6">
        <f t="shared" si="13"/>
        <v>3861595.9081566473</v>
      </c>
      <c r="P61" s="6">
        <f t="shared" si="25"/>
        <v>0</v>
      </c>
      <c r="Q61" s="6">
        <f t="shared" ca="1" si="26"/>
        <v>6394601.1288802316</v>
      </c>
    </row>
    <row r="62" spans="1:17">
      <c r="A62" s="197">
        <v>43466</v>
      </c>
      <c r="B62">
        <f t="shared" si="18"/>
        <v>1</v>
      </c>
      <c r="C62">
        <f t="shared" si="19"/>
        <v>2019</v>
      </c>
      <c r="D62" s="6">
        <f>'Monthly Data (14-23) Used'!I62</f>
        <v>6704950.0149666099</v>
      </c>
      <c r="E62" s="7">
        <f t="shared" ref="E62:F81" ca="1" si="27">E50</f>
        <v>671</v>
      </c>
      <c r="F62" s="7">
        <f t="shared" ca="1" si="27"/>
        <v>0</v>
      </c>
      <c r="G62" s="6">
        <f>'Monthly Data (14-23) Used'!BC62</f>
        <v>800724</v>
      </c>
      <c r="H62">
        <f>'Monthly Data (14-23) Used'!CB62</f>
        <v>31</v>
      </c>
      <c r="I62">
        <f>'Monthly Data (14-23) Used'!CA62</f>
        <v>0</v>
      </c>
      <c r="K62" s="6">
        <f t="shared" si="21"/>
        <v>-3155056.29692131</v>
      </c>
      <c r="L62" s="6">
        <f t="shared" ca="1" si="23"/>
        <v>1147749.5087898432</v>
      </c>
      <c r="M62" s="6">
        <f t="shared" ca="1" si="24"/>
        <v>0</v>
      </c>
      <c r="N62" s="6">
        <f t="shared" si="22"/>
        <v>4781565.6794209015</v>
      </c>
      <c r="O62" s="6">
        <f t="shared" si="13"/>
        <v>3861595.9081566473</v>
      </c>
      <c r="P62" s="6">
        <f t="shared" si="25"/>
        <v>0</v>
      </c>
      <c r="Q62" s="6">
        <f t="shared" ca="1" si="26"/>
        <v>6635854.7994460817</v>
      </c>
    </row>
    <row r="63" spans="1:17">
      <c r="A63" s="197">
        <v>43497</v>
      </c>
      <c r="B63">
        <f t="shared" si="18"/>
        <v>2</v>
      </c>
      <c r="C63">
        <f t="shared" si="19"/>
        <v>2019</v>
      </c>
      <c r="D63" s="6">
        <f>'Monthly Data (14-23) Used'!I63</f>
        <v>6155541.0149666099</v>
      </c>
      <c r="E63" s="7">
        <f t="shared" ca="1" si="27"/>
        <v>595.51355229914111</v>
      </c>
      <c r="F63" s="7">
        <f t="shared" ca="1" si="27"/>
        <v>0</v>
      </c>
      <c r="G63" s="6">
        <f>'Monthly Data (14-23) Used'!BC63</f>
        <v>800724</v>
      </c>
      <c r="H63">
        <f>'Monthly Data (14-23) Used'!CB63</f>
        <v>28</v>
      </c>
      <c r="I63">
        <f>'Monthly Data (14-23) Used'!CA63</f>
        <v>0</v>
      </c>
      <c r="K63" s="6">
        <f t="shared" si="21"/>
        <v>-3155056.29692131</v>
      </c>
      <c r="L63" s="6">
        <f t="shared" ca="1" si="23"/>
        <v>1018629.4890149535</v>
      </c>
      <c r="M63" s="6">
        <f t="shared" ca="1" si="24"/>
        <v>0</v>
      </c>
      <c r="N63" s="6">
        <f t="shared" si="22"/>
        <v>4781565.6794209015</v>
      </c>
      <c r="O63" s="6">
        <f t="shared" si="13"/>
        <v>3487893.0783350361</v>
      </c>
      <c r="P63" s="6">
        <f t="shared" si="25"/>
        <v>0</v>
      </c>
      <c r="Q63" s="6">
        <f t="shared" ca="1" si="26"/>
        <v>6133031.9498495813</v>
      </c>
    </row>
    <row r="64" spans="1:17">
      <c r="A64" s="197">
        <v>43525</v>
      </c>
      <c r="B64">
        <f t="shared" si="18"/>
        <v>3</v>
      </c>
      <c r="C64">
        <f t="shared" si="19"/>
        <v>2019</v>
      </c>
      <c r="D64" s="6">
        <f>'Monthly Data (14-23) Used'!I64</f>
        <v>6397986.0149666099</v>
      </c>
      <c r="E64" s="7">
        <f t="shared" ca="1" si="27"/>
        <v>496.46355229914104</v>
      </c>
      <c r="F64" s="7">
        <f t="shared" ca="1" si="27"/>
        <v>0.16999999999999993</v>
      </c>
      <c r="G64" s="6">
        <f>'Monthly Data (14-23) Used'!BC64</f>
        <v>800724</v>
      </c>
      <c r="H64">
        <f>'Monthly Data (14-23) Used'!CB64</f>
        <v>31</v>
      </c>
      <c r="I64">
        <f>'Monthly Data (14-23) Used'!CA64</f>
        <v>1</v>
      </c>
      <c r="K64" s="6">
        <f t="shared" si="21"/>
        <v>-3155056.29692131</v>
      </c>
      <c r="L64" s="6">
        <f t="shared" ca="1" si="23"/>
        <v>849203.87225543917</v>
      </c>
      <c r="M64" s="6">
        <f t="shared" ca="1" si="24"/>
        <v>1259.2880591515157</v>
      </c>
      <c r="N64" s="6">
        <f t="shared" si="22"/>
        <v>4781565.6794209015</v>
      </c>
      <c r="O64" s="6">
        <f t="shared" si="13"/>
        <v>3861595.9081566473</v>
      </c>
      <c r="P64" s="6">
        <f t="shared" si="25"/>
        <v>-115215.035448868</v>
      </c>
      <c r="Q64" s="6">
        <f t="shared" ca="1" si="26"/>
        <v>6223353.4155219616</v>
      </c>
    </row>
    <row r="65" spans="1:17">
      <c r="A65" s="197">
        <v>43556</v>
      </c>
      <c r="B65">
        <f t="shared" si="18"/>
        <v>4</v>
      </c>
      <c r="C65">
        <f t="shared" si="19"/>
        <v>2019</v>
      </c>
      <c r="D65" s="6">
        <f>'Monthly Data (14-23) Used'!I65</f>
        <v>5860082.0149666099</v>
      </c>
      <c r="E65" s="7">
        <f t="shared" ca="1" si="27"/>
        <v>296.23000000000008</v>
      </c>
      <c r="F65" s="7">
        <f t="shared" ca="1" si="27"/>
        <v>8.7799999999999994</v>
      </c>
      <c r="G65" s="6">
        <f>'Monthly Data (14-23) Used'!BC65</f>
        <v>806630</v>
      </c>
      <c r="H65">
        <f>'Monthly Data (14-23) Used'!CB65</f>
        <v>30</v>
      </c>
      <c r="I65">
        <f>'Monthly Data (14-23) Used'!CA65</f>
        <v>1</v>
      </c>
      <c r="K65" s="6">
        <f t="shared" si="21"/>
        <v>-3155056.29692131</v>
      </c>
      <c r="L65" s="6">
        <f t="shared" ca="1" si="23"/>
        <v>506703.18478213908</v>
      </c>
      <c r="M65" s="6">
        <f t="shared" ca="1" si="24"/>
        <v>65038.524466766539</v>
      </c>
      <c r="N65" s="6">
        <f t="shared" si="22"/>
        <v>4816833.6705172835</v>
      </c>
      <c r="O65" s="6">
        <f t="shared" si="13"/>
        <v>3737028.2982161101</v>
      </c>
      <c r="P65" s="6">
        <f t="shared" si="25"/>
        <v>-115215.035448868</v>
      </c>
      <c r="Q65" s="6">
        <f t="shared" ca="1" si="26"/>
        <v>5855332.3456121217</v>
      </c>
    </row>
    <row r="66" spans="1:17">
      <c r="A66" s="197">
        <v>43586</v>
      </c>
      <c r="B66">
        <f t="shared" si="18"/>
        <v>5</v>
      </c>
      <c r="C66">
        <f t="shared" si="19"/>
        <v>2019</v>
      </c>
      <c r="D66" s="6">
        <f>'Monthly Data (14-23) Used'!I66</f>
        <v>6045338.0149666099</v>
      </c>
      <c r="E66" s="7">
        <f t="shared" ca="1" si="27"/>
        <v>116.90355229914098</v>
      </c>
      <c r="F66" s="7">
        <f t="shared" ca="1" si="27"/>
        <v>84.676447700859015</v>
      </c>
      <c r="G66" s="6">
        <f>'Monthly Data (14-23) Used'!BC66</f>
        <v>806630</v>
      </c>
      <c r="H66">
        <f>'Monthly Data (14-23) Used'!CB66</f>
        <v>31</v>
      </c>
      <c r="I66">
        <f>'Monthly Data (14-23) Used'!CA66</f>
        <v>1</v>
      </c>
      <c r="K66" s="6">
        <f t="shared" si="21"/>
        <v>-3155056.29692131</v>
      </c>
      <c r="L66" s="6">
        <f t="shared" ca="1" si="23"/>
        <v>199964.22463059134</v>
      </c>
      <c r="M66" s="6">
        <f t="shared" ca="1" si="24"/>
        <v>627247.29106505658</v>
      </c>
      <c r="N66" s="6">
        <f t="shared" si="22"/>
        <v>4816833.6705172835</v>
      </c>
      <c r="O66" s="6">
        <f t="shared" si="13"/>
        <v>3861595.9081566473</v>
      </c>
      <c r="P66" s="6">
        <f t="shared" si="25"/>
        <v>-115215.035448868</v>
      </c>
      <c r="Q66" s="6">
        <f t="shared" ca="1" si="26"/>
        <v>6235369.7619994013</v>
      </c>
    </row>
    <row r="67" spans="1:17">
      <c r="A67" s="197">
        <v>43617</v>
      </c>
      <c r="B67">
        <f t="shared" si="18"/>
        <v>6</v>
      </c>
      <c r="C67">
        <f t="shared" si="19"/>
        <v>2019</v>
      </c>
      <c r="D67" s="6">
        <f>'Monthly Data (14-23) Used'!I67</f>
        <v>6608458.0149666099</v>
      </c>
      <c r="E67" s="7">
        <f t="shared" ca="1" si="27"/>
        <v>11.023552299140979</v>
      </c>
      <c r="F67" s="7">
        <f t="shared" ca="1" si="27"/>
        <v>202.63644770085901</v>
      </c>
      <c r="G67" s="6">
        <f>'Monthly Data (14-23) Used'!BC67</f>
        <v>806630</v>
      </c>
      <c r="H67">
        <f>'Monthly Data (14-23) Used'!CB67</f>
        <v>30</v>
      </c>
      <c r="I67">
        <f>'Monthly Data (14-23) Used'!CA67</f>
        <v>0</v>
      </c>
      <c r="K67" s="6">
        <f t="shared" si="21"/>
        <v>-3155056.29692131</v>
      </c>
      <c r="L67" s="6">
        <f t="shared" ca="1" si="23"/>
        <v>18855.852066256637</v>
      </c>
      <c r="M67" s="6">
        <f t="shared" ca="1" si="24"/>
        <v>1501045.0525798379</v>
      </c>
      <c r="N67" s="6">
        <f t="shared" si="22"/>
        <v>4816833.6705172835</v>
      </c>
      <c r="O67" s="6">
        <f t="shared" si="13"/>
        <v>3737028.2982161101</v>
      </c>
      <c r="P67" s="6">
        <f t="shared" si="25"/>
        <v>0</v>
      </c>
      <c r="Q67" s="6">
        <f t="shared" ca="1" si="26"/>
        <v>6918706.5764581785</v>
      </c>
    </row>
    <row r="68" spans="1:17">
      <c r="A68" s="197">
        <v>43647</v>
      </c>
      <c r="B68">
        <f t="shared" si="18"/>
        <v>7</v>
      </c>
      <c r="C68">
        <f t="shared" si="19"/>
        <v>2019</v>
      </c>
      <c r="D68" s="6">
        <f>'Monthly Data (14-23) Used'!I68</f>
        <v>7890313.0149666099</v>
      </c>
      <c r="E68" s="7">
        <f t="shared" ca="1" si="27"/>
        <v>0.75</v>
      </c>
      <c r="F68" s="7">
        <f t="shared" ca="1" si="27"/>
        <v>273.21289540171807</v>
      </c>
      <c r="G68" s="6">
        <f>'Monthly Data (14-23) Used'!BC68</f>
        <v>810347</v>
      </c>
      <c r="H68">
        <f>'Monthly Data (14-23) Used'!CB68</f>
        <v>31</v>
      </c>
      <c r="I68">
        <f>'Monthly Data (14-23) Used'!CA68</f>
        <v>0</v>
      </c>
      <c r="K68" s="6">
        <f t="shared" si="21"/>
        <v>-3155056.29692131</v>
      </c>
      <c r="L68" s="6">
        <f t="shared" ca="1" si="23"/>
        <v>1282.87948076361</v>
      </c>
      <c r="M68" s="6">
        <f t="shared" ca="1" si="24"/>
        <v>2023845.5105035044</v>
      </c>
      <c r="N68" s="6">
        <f t="shared" si="22"/>
        <v>4839029.9324382544</v>
      </c>
      <c r="O68" s="6">
        <f t="shared" si="13"/>
        <v>3861595.9081566473</v>
      </c>
      <c r="P68" s="6">
        <f t="shared" si="25"/>
        <v>0</v>
      </c>
      <c r="Q68" s="6">
        <f t="shared" ca="1" si="26"/>
        <v>7570697.9336578604</v>
      </c>
    </row>
    <row r="69" spans="1:17">
      <c r="A69" s="197">
        <v>43678</v>
      </c>
      <c r="B69">
        <f t="shared" si="18"/>
        <v>8</v>
      </c>
      <c r="C69">
        <f t="shared" si="19"/>
        <v>2019</v>
      </c>
      <c r="D69" s="6">
        <f>'Monthly Data (14-23) Used'!I69</f>
        <v>7517234.0149666099</v>
      </c>
      <c r="E69" s="7">
        <f t="shared" ca="1" si="27"/>
        <v>2.7971045982819609</v>
      </c>
      <c r="F69" s="7">
        <f t="shared" ca="1" si="27"/>
        <v>245.37605861546234</v>
      </c>
      <c r="G69" s="6">
        <f>'Monthly Data (14-23) Used'!BC69</f>
        <v>810347</v>
      </c>
      <c r="H69">
        <f>'Monthly Data (14-23) Used'!CB69</f>
        <v>31</v>
      </c>
      <c r="I69">
        <f>'Monthly Data (14-23) Used'!CA69</f>
        <v>0</v>
      </c>
      <c r="K69" s="6">
        <f t="shared" si="21"/>
        <v>-3155056.29692131</v>
      </c>
      <c r="L69" s="6">
        <f t="shared" ca="1" si="23"/>
        <v>4784.4641262472906</v>
      </c>
      <c r="M69" s="6">
        <f t="shared" ca="1" si="24"/>
        <v>1817642.0036242013</v>
      </c>
      <c r="N69" s="6">
        <f t="shared" si="22"/>
        <v>4839029.9324382544</v>
      </c>
      <c r="O69" s="6">
        <f t="shared" si="13"/>
        <v>3861595.9081566473</v>
      </c>
      <c r="P69" s="6">
        <f t="shared" si="25"/>
        <v>0</v>
      </c>
      <c r="Q69" s="6">
        <f t="shared" ca="1" si="26"/>
        <v>7367996.0114240404</v>
      </c>
    </row>
    <row r="70" spans="1:17">
      <c r="A70" s="197">
        <v>43709</v>
      </c>
      <c r="B70">
        <f t="shared" si="18"/>
        <v>9</v>
      </c>
      <c r="C70">
        <f t="shared" si="19"/>
        <v>2019</v>
      </c>
      <c r="D70" s="6">
        <f>'Monthly Data (14-23) Used'!I70</f>
        <v>6658916.0149666099</v>
      </c>
      <c r="E70" s="7">
        <f t="shared" ca="1" si="27"/>
        <v>39.200656897422931</v>
      </c>
      <c r="F70" s="7">
        <f t="shared" ca="1" si="27"/>
        <v>139.01579080343606</v>
      </c>
      <c r="G70" s="6">
        <f>'Monthly Data (14-23) Used'!BC70</f>
        <v>810347</v>
      </c>
      <c r="H70">
        <f>'Monthly Data (14-23) Used'!CB70</f>
        <v>30</v>
      </c>
      <c r="I70">
        <f>'Monthly Data (14-23) Used'!CA70</f>
        <v>0</v>
      </c>
      <c r="K70" s="6">
        <f t="shared" si="21"/>
        <v>-3155056.29692131</v>
      </c>
      <c r="L70" s="6">
        <f t="shared" ca="1" si="23"/>
        <v>67052.957821544478</v>
      </c>
      <c r="M70" s="6">
        <f t="shared" ca="1" si="24"/>
        <v>1029770.149366307</v>
      </c>
      <c r="N70" s="6">
        <f t="shared" si="22"/>
        <v>4839029.9324382544</v>
      </c>
      <c r="O70" s="6">
        <f t="shared" si="13"/>
        <v>3737028.2982161101</v>
      </c>
      <c r="P70" s="6">
        <f t="shared" si="25"/>
        <v>0</v>
      </c>
      <c r="Q70" s="6">
        <f t="shared" ca="1" si="26"/>
        <v>6517825.0409209058</v>
      </c>
    </row>
    <row r="71" spans="1:17">
      <c r="A71" s="197">
        <v>43739</v>
      </c>
      <c r="B71">
        <f t="shared" si="18"/>
        <v>10</v>
      </c>
      <c r="C71">
        <f t="shared" si="19"/>
        <v>2019</v>
      </c>
      <c r="D71" s="6">
        <f>'Monthly Data (14-23) Used'!I71</f>
        <v>6052514.0149666099</v>
      </c>
      <c r="E71" s="7">
        <f t="shared" ca="1" si="27"/>
        <v>194.90420919656393</v>
      </c>
      <c r="F71" s="7">
        <f t="shared" ca="1" si="27"/>
        <v>38.166447700859024</v>
      </c>
      <c r="G71" s="6">
        <f>'Monthly Data (14-23) Used'!BC71</f>
        <v>811397</v>
      </c>
      <c r="H71">
        <f>'Monthly Data (14-23) Used'!CB71</f>
        <v>31</v>
      </c>
      <c r="I71">
        <f>'Monthly Data (14-23) Used'!CA71</f>
        <v>1</v>
      </c>
      <c r="K71" s="6">
        <f t="shared" si="21"/>
        <v>-3155056.29692131</v>
      </c>
      <c r="L71" s="6">
        <f t="shared" ca="1" si="23"/>
        <v>333384.81425697327</v>
      </c>
      <c r="M71" s="6">
        <f t="shared" ca="1" si="24"/>
        <v>282720.89323483885</v>
      </c>
      <c r="N71" s="6">
        <f t="shared" si="22"/>
        <v>4845300.0629244046</v>
      </c>
      <c r="O71" s="6">
        <f t="shared" si="13"/>
        <v>3861595.9081566473</v>
      </c>
      <c r="P71" s="6">
        <f t="shared" si="25"/>
        <v>-115215.035448868</v>
      </c>
      <c r="Q71" s="6">
        <f t="shared" ca="1" si="26"/>
        <v>6052730.3462026864</v>
      </c>
    </row>
    <row r="72" spans="1:17">
      <c r="A72" s="197">
        <v>43770</v>
      </c>
      <c r="B72">
        <f t="shared" si="18"/>
        <v>11</v>
      </c>
      <c r="C72">
        <f t="shared" si="19"/>
        <v>2019</v>
      </c>
      <c r="D72" s="6">
        <f>'Monthly Data (14-23) Used'!I72</f>
        <v>6307866.0149666099</v>
      </c>
      <c r="E72" s="7">
        <f t="shared" ca="1" si="27"/>
        <v>404.02065689742301</v>
      </c>
      <c r="F72" s="7">
        <f t="shared" ca="1" si="27"/>
        <v>2.419999999999999</v>
      </c>
      <c r="G72" s="6">
        <f>'Monthly Data (14-23) Used'!BC72</f>
        <v>811397</v>
      </c>
      <c r="H72">
        <f>'Monthly Data (14-23) Used'!CB72</f>
        <v>30</v>
      </c>
      <c r="I72">
        <f>'Monthly Data (14-23) Used'!CA72</f>
        <v>1</v>
      </c>
      <c r="K72" s="6">
        <f t="shared" si="21"/>
        <v>-3155056.29692131</v>
      </c>
      <c r="L72" s="6">
        <f t="shared" ca="1" si="23"/>
        <v>691079.74738445156</v>
      </c>
      <c r="M72" s="6">
        <f t="shared" ca="1" si="24"/>
        <v>17926.335900862752</v>
      </c>
      <c r="N72" s="6">
        <f t="shared" si="22"/>
        <v>4845300.0629244046</v>
      </c>
      <c r="O72" s="6">
        <f t="shared" si="13"/>
        <v>3737028.2982161101</v>
      </c>
      <c r="P72" s="6">
        <f t="shared" si="25"/>
        <v>-115215.035448868</v>
      </c>
      <c r="Q72" s="6">
        <f t="shared" ca="1" si="26"/>
        <v>6021063.1120556509</v>
      </c>
    </row>
    <row r="73" spans="1:17">
      <c r="A73" s="197">
        <v>43800</v>
      </c>
      <c r="B73">
        <f t="shared" si="18"/>
        <v>12</v>
      </c>
      <c r="C73">
        <f t="shared" si="19"/>
        <v>2019</v>
      </c>
      <c r="D73" s="6">
        <f>'Monthly Data (14-23) Used'!I73</f>
        <v>6513521.0149666099</v>
      </c>
      <c r="E73" s="7">
        <f t="shared" ca="1" si="27"/>
        <v>533.7700000000001</v>
      </c>
      <c r="F73" s="7">
        <f t="shared" ca="1" si="27"/>
        <v>0</v>
      </c>
      <c r="G73" s="6">
        <f>'Monthly Data (14-23) Used'!BC73</f>
        <v>811397</v>
      </c>
      <c r="H73">
        <f>'Monthly Data (14-23) Used'!CB73</f>
        <v>31</v>
      </c>
      <c r="I73">
        <f>'Monthly Data (14-23) Used'!CA73</f>
        <v>0</v>
      </c>
      <c r="K73" s="6">
        <f t="shared" si="21"/>
        <v>-3155056.29692131</v>
      </c>
      <c r="L73" s="6">
        <f t="shared" ca="1" si="23"/>
        <v>913016.77392958966</v>
      </c>
      <c r="M73" s="6">
        <f t="shared" ca="1" si="24"/>
        <v>0</v>
      </c>
      <c r="N73" s="6">
        <f t="shared" si="22"/>
        <v>4845300.0629244046</v>
      </c>
      <c r="O73" s="6">
        <f t="shared" si="13"/>
        <v>3861595.9081566473</v>
      </c>
      <c r="P73" s="6">
        <f t="shared" si="25"/>
        <v>0</v>
      </c>
      <c r="Q73" s="6">
        <f t="shared" ca="1" si="26"/>
        <v>6464856.4480893314</v>
      </c>
    </row>
    <row r="74" spans="1:17">
      <c r="A74" s="197">
        <v>43831</v>
      </c>
      <c r="B74">
        <f t="shared" si="18"/>
        <v>1</v>
      </c>
      <c r="C74">
        <f t="shared" si="19"/>
        <v>2020</v>
      </c>
      <c r="D74" s="6">
        <f>'Monthly Data (14-23) Used'!I74</f>
        <v>6672503.2109814025</v>
      </c>
      <c r="E74" s="7">
        <f t="shared" ca="1" si="27"/>
        <v>671</v>
      </c>
      <c r="F74" s="7">
        <f t="shared" ca="1" si="27"/>
        <v>0</v>
      </c>
      <c r="G74" s="6">
        <f>'Monthly Data (14-23) Used'!BC74</f>
        <v>800126</v>
      </c>
      <c r="H74">
        <f>'Monthly Data (14-23) Used'!CB74</f>
        <v>31</v>
      </c>
      <c r="I74">
        <f>'Monthly Data (14-23) Used'!CA74</f>
        <v>0</v>
      </c>
      <c r="K74" s="6">
        <f t="shared" si="21"/>
        <v>-3155056.29692131</v>
      </c>
      <c r="L74" s="6">
        <f t="shared" ca="1" si="23"/>
        <v>1147749.5087898432</v>
      </c>
      <c r="M74" s="6">
        <f t="shared" ca="1" si="24"/>
        <v>0</v>
      </c>
      <c r="N74" s="6">
        <f t="shared" si="22"/>
        <v>4777994.6908202181</v>
      </c>
      <c r="O74" s="6">
        <f t="shared" si="13"/>
        <v>3861595.9081566473</v>
      </c>
      <c r="P74" s="6">
        <f t="shared" si="25"/>
        <v>0</v>
      </c>
      <c r="Q74" s="6">
        <f t="shared" ca="1" si="26"/>
        <v>6632283.8108453983</v>
      </c>
    </row>
    <row r="75" spans="1:17">
      <c r="A75" s="197">
        <v>43862</v>
      </c>
      <c r="B75">
        <f t="shared" si="18"/>
        <v>2</v>
      </c>
      <c r="C75">
        <f t="shared" si="19"/>
        <v>2020</v>
      </c>
      <c r="D75" s="6">
        <f>'Monthly Data (14-23) Used'!I75</f>
        <v>6362184.2109814025</v>
      </c>
      <c r="E75" s="7">
        <f t="shared" ca="1" si="27"/>
        <v>595.51355229914111</v>
      </c>
      <c r="F75" s="7">
        <f t="shared" ca="1" si="27"/>
        <v>0</v>
      </c>
      <c r="G75" s="6">
        <f>'Monthly Data (14-23) Used'!BC75</f>
        <v>800126</v>
      </c>
      <c r="H75">
        <f>'Monthly Data (14-23) Used'!CB75</f>
        <v>29</v>
      </c>
      <c r="I75">
        <f>'Monthly Data (14-23) Used'!CA75</f>
        <v>0</v>
      </c>
      <c r="K75" s="6">
        <f t="shared" si="21"/>
        <v>-3155056.29692131</v>
      </c>
      <c r="L75" s="6">
        <f t="shared" ca="1" si="23"/>
        <v>1018629.4890149535</v>
      </c>
      <c r="M75" s="6">
        <f t="shared" ca="1" si="24"/>
        <v>0</v>
      </c>
      <c r="N75" s="6">
        <f t="shared" si="22"/>
        <v>4777994.6908202181</v>
      </c>
      <c r="O75" s="6">
        <f t="shared" si="13"/>
        <v>3612460.6882755733</v>
      </c>
      <c r="P75" s="6">
        <f t="shared" si="25"/>
        <v>0</v>
      </c>
      <c r="Q75" s="6">
        <f t="shared" ca="1" si="26"/>
        <v>6254028.5711894352</v>
      </c>
    </row>
    <row r="76" spans="1:17">
      <c r="A76" s="197">
        <v>43891</v>
      </c>
      <c r="B76">
        <f t="shared" si="18"/>
        <v>3</v>
      </c>
      <c r="C76">
        <f t="shared" si="19"/>
        <v>2020</v>
      </c>
      <c r="D76" s="6">
        <f>'Monthly Data (14-23) Used'!I76</f>
        <v>6097155.2109814025</v>
      </c>
      <c r="E76" s="7">
        <f t="shared" ca="1" si="27"/>
        <v>496.46355229914104</v>
      </c>
      <c r="F76" s="7">
        <f t="shared" ca="1" si="27"/>
        <v>0.16999999999999993</v>
      </c>
      <c r="G76" s="6">
        <f>'Monthly Data (14-23) Used'!BC76</f>
        <v>800126</v>
      </c>
      <c r="H76">
        <f>'Monthly Data (14-23) Used'!CB76</f>
        <v>31</v>
      </c>
      <c r="I76">
        <f>'Monthly Data (14-23) Used'!CA76</f>
        <v>1</v>
      </c>
      <c r="K76" s="6">
        <f t="shared" si="21"/>
        <v>-3155056.29692131</v>
      </c>
      <c r="L76" s="6">
        <f t="shared" ca="1" si="23"/>
        <v>849203.87225543917</v>
      </c>
      <c r="M76" s="6">
        <f t="shared" ca="1" si="24"/>
        <v>1259.2880591515157</v>
      </c>
      <c r="N76" s="6">
        <f t="shared" si="22"/>
        <v>4777994.6908202181</v>
      </c>
      <c r="O76" s="6">
        <f t="shared" si="13"/>
        <v>3861595.9081566473</v>
      </c>
      <c r="P76" s="6">
        <f t="shared" si="25"/>
        <v>-115215.035448868</v>
      </c>
      <c r="Q76" s="6">
        <f t="shared" ca="1" si="26"/>
        <v>6219782.4269212782</v>
      </c>
    </row>
    <row r="77" spans="1:17">
      <c r="A77" s="197">
        <v>43922</v>
      </c>
      <c r="B77">
        <f t="shared" si="18"/>
        <v>4</v>
      </c>
      <c r="C77">
        <f t="shared" si="19"/>
        <v>2020</v>
      </c>
      <c r="D77" s="6">
        <f>'Monthly Data (14-23) Used'!I77</f>
        <v>5171692.2109814025</v>
      </c>
      <c r="E77" s="7">
        <f t="shared" ca="1" si="27"/>
        <v>296.23000000000008</v>
      </c>
      <c r="F77" s="7">
        <f t="shared" ca="1" si="27"/>
        <v>8.7799999999999994</v>
      </c>
      <c r="G77" s="6">
        <f>'Monthly Data (14-23) Used'!BC77</f>
        <v>706539</v>
      </c>
      <c r="H77">
        <f>'Monthly Data (14-23) Used'!CB77</f>
        <v>30</v>
      </c>
      <c r="I77">
        <f>'Monthly Data (14-23) Used'!CA77</f>
        <v>1</v>
      </c>
      <c r="K77" s="6">
        <f t="shared" si="21"/>
        <v>-3155056.29692131</v>
      </c>
      <c r="L77" s="6">
        <f t="shared" ca="1" si="23"/>
        <v>506703.18478213908</v>
      </c>
      <c r="M77" s="6">
        <f t="shared" ca="1" si="24"/>
        <v>65038.524466766539</v>
      </c>
      <c r="N77" s="6">
        <f t="shared" si="22"/>
        <v>4219134.974813249</v>
      </c>
      <c r="O77" s="6">
        <f t="shared" si="13"/>
        <v>3737028.2982161101</v>
      </c>
      <c r="P77" s="6">
        <f t="shared" si="25"/>
        <v>-115215.035448868</v>
      </c>
      <c r="Q77" s="6">
        <f t="shared" ca="1" si="26"/>
        <v>5257633.6499080863</v>
      </c>
    </row>
    <row r="78" spans="1:17">
      <c r="A78" s="197">
        <v>43952</v>
      </c>
      <c r="B78">
        <f t="shared" si="18"/>
        <v>5</v>
      </c>
      <c r="C78">
        <f t="shared" si="19"/>
        <v>2020</v>
      </c>
      <c r="D78" s="6">
        <f>'Monthly Data (14-23) Used'!I78</f>
        <v>5319220.2109814025</v>
      </c>
      <c r="E78" s="7">
        <f t="shared" ca="1" si="27"/>
        <v>116.90355229914098</v>
      </c>
      <c r="F78" s="7">
        <f t="shared" ca="1" si="27"/>
        <v>84.676447700859015</v>
      </c>
      <c r="G78" s="6">
        <f>'Monthly Data (14-23) Used'!BC78</f>
        <v>706539</v>
      </c>
      <c r="H78">
        <f>'Monthly Data (14-23) Used'!CB78</f>
        <v>31</v>
      </c>
      <c r="I78">
        <f>'Monthly Data (14-23) Used'!CA78</f>
        <v>1</v>
      </c>
      <c r="K78" s="6">
        <f t="shared" si="21"/>
        <v>-3155056.29692131</v>
      </c>
      <c r="L78" s="6">
        <f t="shared" ca="1" si="23"/>
        <v>199964.22463059134</v>
      </c>
      <c r="M78" s="6">
        <f t="shared" ca="1" si="24"/>
        <v>627247.29106505658</v>
      </c>
      <c r="N78" s="6">
        <f t="shared" si="22"/>
        <v>4219134.974813249</v>
      </c>
      <c r="O78" s="6">
        <f t="shared" si="13"/>
        <v>3861595.9081566473</v>
      </c>
      <c r="P78" s="6">
        <f t="shared" si="25"/>
        <v>-115215.035448868</v>
      </c>
      <c r="Q78" s="6">
        <f t="shared" ca="1" si="26"/>
        <v>5637671.0662953667</v>
      </c>
    </row>
    <row r="79" spans="1:17">
      <c r="A79" s="197">
        <v>43983</v>
      </c>
      <c r="B79">
        <f t="shared" si="18"/>
        <v>6</v>
      </c>
      <c r="C79">
        <f t="shared" si="19"/>
        <v>2020</v>
      </c>
      <c r="D79" s="6">
        <f>'Monthly Data (14-23) Used'!I79</f>
        <v>6239078.2109814025</v>
      </c>
      <c r="E79" s="7">
        <f t="shared" ca="1" si="27"/>
        <v>11.023552299140979</v>
      </c>
      <c r="F79" s="7">
        <f t="shared" ca="1" si="27"/>
        <v>202.63644770085901</v>
      </c>
      <c r="G79" s="6">
        <f>'Monthly Data (14-23) Used'!BC79</f>
        <v>706539</v>
      </c>
      <c r="H79">
        <f>'Monthly Data (14-23) Used'!CB79</f>
        <v>30</v>
      </c>
      <c r="I79">
        <f>'Monthly Data (14-23) Used'!CA79</f>
        <v>0</v>
      </c>
      <c r="K79" s="6">
        <f t="shared" si="21"/>
        <v>-3155056.29692131</v>
      </c>
      <c r="L79" s="6">
        <f t="shared" ca="1" si="23"/>
        <v>18855.852066256637</v>
      </c>
      <c r="M79" s="6">
        <f t="shared" ca="1" si="24"/>
        <v>1501045.0525798379</v>
      </c>
      <c r="N79" s="6">
        <f t="shared" si="22"/>
        <v>4219134.974813249</v>
      </c>
      <c r="O79" s="6">
        <f t="shared" si="13"/>
        <v>3737028.2982161101</v>
      </c>
      <c r="P79" s="6">
        <f t="shared" si="25"/>
        <v>0</v>
      </c>
      <c r="Q79" s="6">
        <f t="shared" ca="1" si="26"/>
        <v>6321007.880754143</v>
      </c>
    </row>
    <row r="80" spans="1:17">
      <c r="A80" s="197">
        <v>44013</v>
      </c>
      <c r="B80">
        <f t="shared" si="18"/>
        <v>7</v>
      </c>
      <c r="C80">
        <f t="shared" si="19"/>
        <v>2020</v>
      </c>
      <c r="D80" s="6">
        <f>'Monthly Data (14-23) Used'!I80</f>
        <v>7576613.2109814025</v>
      </c>
      <c r="E80" s="7">
        <f t="shared" ca="1" si="27"/>
        <v>0.75</v>
      </c>
      <c r="F80" s="7">
        <f t="shared" ca="1" si="27"/>
        <v>273.21289540171807</v>
      </c>
      <c r="G80" s="6">
        <f>'Monthly Data (14-23) Used'!BC80</f>
        <v>777225</v>
      </c>
      <c r="H80">
        <f>'Monthly Data (14-23) Used'!CB80</f>
        <v>31</v>
      </c>
      <c r="I80">
        <f>'Monthly Data (14-23) Used'!CA80</f>
        <v>0</v>
      </c>
      <c r="K80" s="6">
        <f t="shared" si="21"/>
        <v>-3155056.29692131</v>
      </c>
      <c r="L80" s="6">
        <f t="shared" ca="1" si="23"/>
        <v>1282.87948076361</v>
      </c>
      <c r="M80" s="6">
        <f t="shared" ca="1" si="24"/>
        <v>2023845.5105035044</v>
      </c>
      <c r="N80" s="6">
        <f t="shared" si="22"/>
        <v>4641240.1591408653</v>
      </c>
      <c r="O80" s="6">
        <f t="shared" si="13"/>
        <v>3861595.9081566473</v>
      </c>
      <c r="P80" s="6">
        <f t="shared" si="25"/>
        <v>0</v>
      </c>
      <c r="Q80" s="6">
        <f t="shared" ca="1" si="26"/>
        <v>7372908.1603604704</v>
      </c>
    </row>
    <row r="81" spans="1:17">
      <c r="A81" s="197">
        <v>44044</v>
      </c>
      <c r="B81">
        <f t="shared" si="18"/>
        <v>8</v>
      </c>
      <c r="C81">
        <f t="shared" si="19"/>
        <v>2020</v>
      </c>
      <c r="D81" s="6">
        <f>'Monthly Data (14-23) Used'!I81</f>
        <v>7200130.2109814025</v>
      </c>
      <c r="E81" s="7">
        <f t="shared" ca="1" si="27"/>
        <v>2.7971045982819609</v>
      </c>
      <c r="F81" s="7">
        <f t="shared" ca="1" si="27"/>
        <v>245.37605861546234</v>
      </c>
      <c r="G81" s="6">
        <f>'Monthly Data (14-23) Used'!BC81</f>
        <v>777225</v>
      </c>
      <c r="H81">
        <f>'Monthly Data (14-23) Used'!CB81</f>
        <v>31</v>
      </c>
      <c r="I81">
        <f>'Monthly Data (14-23) Used'!CA81</f>
        <v>0</v>
      </c>
      <c r="K81" s="6">
        <f t="shared" si="21"/>
        <v>-3155056.29692131</v>
      </c>
      <c r="L81" s="6">
        <f t="shared" ca="1" si="23"/>
        <v>4784.4641262472906</v>
      </c>
      <c r="M81" s="6">
        <f t="shared" ca="1" si="24"/>
        <v>1817642.0036242013</v>
      </c>
      <c r="N81" s="6">
        <f t="shared" si="22"/>
        <v>4641240.1591408653</v>
      </c>
      <c r="O81" s="6">
        <f t="shared" si="13"/>
        <v>3861595.9081566473</v>
      </c>
      <c r="P81" s="6">
        <f t="shared" si="25"/>
        <v>0</v>
      </c>
      <c r="Q81" s="6">
        <f t="shared" ca="1" si="26"/>
        <v>7170206.2381266514</v>
      </c>
    </row>
    <row r="82" spans="1:17">
      <c r="A82" s="197">
        <v>44075</v>
      </c>
      <c r="B82">
        <f t="shared" si="18"/>
        <v>9</v>
      </c>
      <c r="C82">
        <f t="shared" si="19"/>
        <v>2020</v>
      </c>
      <c r="D82" s="6">
        <f>'Monthly Data (14-23) Used'!I82</f>
        <v>6081058.2109814025</v>
      </c>
      <c r="E82" s="7">
        <f t="shared" ref="E82:F101" ca="1" si="28">E70</f>
        <v>39.200656897422931</v>
      </c>
      <c r="F82" s="7">
        <f t="shared" ca="1" si="28"/>
        <v>139.01579080343606</v>
      </c>
      <c r="G82" s="6">
        <f>'Monthly Data (14-23) Used'!BC82</f>
        <v>777225</v>
      </c>
      <c r="H82">
        <f>'Monthly Data (14-23) Used'!CB82</f>
        <v>30</v>
      </c>
      <c r="I82">
        <f>'Monthly Data (14-23) Used'!CA82</f>
        <v>0</v>
      </c>
      <c r="K82" s="6">
        <f t="shared" si="21"/>
        <v>-3155056.29692131</v>
      </c>
      <c r="L82" s="6">
        <f t="shared" ca="1" si="23"/>
        <v>67052.957821544478</v>
      </c>
      <c r="M82" s="6">
        <f t="shared" ca="1" si="24"/>
        <v>1029770.149366307</v>
      </c>
      <c r="N82" s="6">
        <f t="shared" si="22"/>
        <v>4641240.1591408653</v>
      </c>
      <c r="O82" s="6">
        <f t="shared" si="13"/>
        <v>3737028.2982161101</v>
      </c>
      <c r="P82" s="6">
        <f t="shared" si="25"/>
        <v>0</v>
      </c>
      <c r="Q82" s="6">
        <f t="shared" ca="1" si="26"/>
        <v>6320035.2676235167</v>
      </c>
    </row>
    <row r="83" spans="1:17">
      <c r="A83" s="197">
        <v>44105</v>
      </c>
      <c r="B83">
        <f t="shared" si="18"/>
        <v>10</v>
      </c>
      <c r="C83">
        <f t="shared" si="19"/>
        <v>2020</v>
      </c>
      <c r="D83" s="6">
        <f>'Monthly Data (14-23) Used'!I83</f>
        <v>5728973.2109814025</v>
      </c>
      <c r="E83" s="7">
        <f t="shared" ca="1" si="28"/>
        <v>194.90420919656393</v>
      </c>
      <c r="F83" s="7">
        <f t="shared" ca="1" si="28"/>
        <v>38.166447700859024</v>
      </c>
      <c r="G83" s="6">
        <f>'Monthly Data (14-23) Used'!BC83</f>
        <v>795879</v>
      </c>
      <c r="H83">
        <f>'Monthly Data (14-23) Used'!CB83</f>
        <v>31</v>
      </c>
      <c r="I83">
        <f>'Monthly Data (14-23) Used'!CA83</f>
        <v>1</v>
      </c>
      <c r="K83" s="6">
        <f t="shared" si="21"/>
        <v>-3155056.29692131</v>
      </c>
      <c r="L83" s="6">
        <f t="shared" ca="1" si="23"/>
        <v>333384.81425697327</v>
      </c>
      <c r="M83" s="6">
        <f t="shared" ca="1" si="24"/>
        <v>282720.89323483885</v>
      </c>
      <c r="N83" s="6">
        <f t="shared" si="22"/>
        <v>4752633.5058919517</v>
      </c>
      <c r="O83" s="6">
        <f t="shared" si="13"/>
        <v>3861595.9081566473</v>
      </c>
      <c r="P83" s="6">
        <f t="shared" si="25"/>
        <v>-115215.035448868</v>
      </c>
      <c r="Q83" s="6">
        <f t="shared" ca="1" si="26"/>
        <v>5960063.7891702335</v>
      </c>
    </row>
    <row r="84" spans="1:17">
      <c r="A84" s="197">
        <v>44136</v>
      </c>
      <c r="B84">
        <f t="shared" si="18"/>
        <v>11</v>
      </c>
      <c r="C84">
        <f t="shared" si="19"/>
        <v>2020</v>
      </c>
      <c r="D84" s="6">
        <f>'Monthly Data (14-23) Used'!I84</f>
        <v>5802395.2109814025</v>
      </c>
      <c r="E84" s="7">
        <f t="shared" ca="1" si="28"/>
        <v>404.02065689742301</v>
      </c>
      <c r="F84" s="7">
        <f t="shared" ca="1" si="28"/>
        <v>2.419999999999999</v>
      </c>
      <c r="G84" s="6">
        <f>'Monthly Data (14-23) Used'!BC84</f>
        <v>795879</v>
      </c>
      <c r="H84">
        <f>'Monthly Data (14-23) Used'!CB84</f>
        <v>30</v>
      </c>
      <c r="I84">
        <f>'Monthly Data (14-23) Used'!CA84</f>
        <v>1</v>
      </c>
      <c r="K84" s="6">
        <f t="shared" si="21"/>
        <v>-3155056.29692131</v>
      </c>
      <c r="L84" s="6">
        <f t="shared" ca="1" si="23"/>
        <v>691079.74738445156</v>
      </c>
      <c r="M84" s="6">
        <f t="shared" ca="1" si="24"/>
        <v>17926.335900862752</v>
      </c>
      <c r="N84" s="6">
        <f t="shared" si="22"/>
        <v>4752633.5058919517</v>
      </c>
      <c r="O84" s="6">
        <f t="shared" si="13"/>
        <v>3737028.2982161101</v>
      </c>
      <c r="P84" s="6">
        <f t="shared" si="25"/>
        <v>-115215.035448868</v>
      </c>
      <c r="Q84" s="6">
        <f t="shared" ca="1" si="26"/>
        <v>5928396.555023198</v>
      </c>
    </row>
    <row r="85" spans="1:17">
      <c r="A85" s="197">
        <v>44166</v>
      </c>
      <c r="B85">
        <f t="shared" si="18"/>
        <v>12</v>
      </c>
      <c r="C85">
        <f t="shared" si="19"/>
        <v>2020</v>
      </c>
      <c r="D85" s="6">
        <f>'Monthly Data (14-23) Used'!I85</f>
        <v>6153468.2109814025</v>
      </c>
      <c r="E85" s="7">
        <f t="shared" ca="1" si="28"/>
        <v>533.7700000000001</v>
      </c>
      <c r="F85" s="7">
        <f t="shared" ca="1" si="28"/>
        <v>0</v>
      </c>
      <c r="G85" s="6">
        <f>'Monthly Data (14-23) Used'!BC85</f>
        <v>795879</v>
      </c>
      <c r="H85">
        <f>'Monthly Data (14-23) Used'!CB85</f>
        <v>31</v>
      </c>
      <c r="I85">
        <f>'Monthly Data (14-23) Used'!CA85</f>
        <v>0</v>
      </c>
      <c r="K85" s="6">
        <f t="shared" si="21"/>
        <v>-3155056.29692131</v>
      </c>
      <c r="L85" s="6">
        <f t="shared" ca="1" si="23"/>
        <v>913016.77392958966</v>
      </c>
      <c r="M85" s="6">
        <f t="shared" ca="1" si="24"/>
        <v>0</v>
      </c>
      <c r="N85" s="6">
        <f t="shared" si="22"/>
        <v>4752633.5058919517</v>
      </c>
      <c r="O85" s="6">
        <f t="shared" si="13"/>
        <v>3861595.9081566473</v>
      </c>
      <c r="P85" s="6">
        <f t="shared" si="25"/>
        <v>0</v>
      </c>
      <c r="Q85" s="6">
        <f t="shared" ca="1" si="26"/>
        <v>6372189.8910568785</v>
      </c>
    </row>
    <row r="86" spans="1:17">
      <c r="A86" s="197">
        <v>44197</v>
      </c>
      <c r="B86">
        <f t="shared" si="18"/>
        <v>1</v>
      </c>
      <c r="C86">
        <f t="shared" si="19"/>
        <v>2021</v>
      </c>
      <c r="D86" s="6">
        <f>'Monthly Data (14-23) Used'!I86</f>
        <v>6115554.9338399861</v>
      </c>
      <c r="E86" s="7">
        <f t="shared" ca="1" si="28"/>
        <v>671</v>
      </c>
      <c r="F86" s="7">
        <f t="shared" ca="1" si="28"/>
        <v>0</v>
      </c>
      <c r="G86" s="6">
        <f>'Monthly Data (14-23) Used'!BC86</f>
        <v>805455</v>
      </c>
      <c r="H86">
        <f>'Monthly Data (14-23) Used'!CB86</f>
        <v>31</v>
      </c>
      <c r="I86">
        <f>'Monthly Data (14-23) Used'!CA86</f>
        <v>0</v>
      </c>
      <c r="K86" s="6">
        <f t="shared" ref="K86:K121" si="29">$T$9</f>
        <v>-3155056.29692131</v>
      </c>
      <c r="L86" s="6">
        <f t="shared" ca="1" si="23"/>
        <v>1147749.5087898432</v>
      </c>
      <c r="M86" s="6">
        <f t="shared" ca="1" si="24"/>
        <v>0</v>
      </c>
      <c r="N86" s="6">
        <f t="shared" ref="N86:N111" si="30">G86*$T$12</f>
        <v>4809817.0959256403</v>
      </c>
      <c r="O86" s="6">
        <f t="shared" ref="O86:O145" si="31">H86*$T$13</f>
        <v>3861595.9081566473</v>
      </c>
      <c r="P86" s="6">
        <f t="shared" si="25"/>
        <v>0</v>
      </c>
      <c r="Q86" s="6">
        <f t="shared" ca="1" si="26"/>
        <v>6664106.2159508206</v>
      </c>
    </row>
    <row r="87" spans="1:17">
      <c r="A87" s="197">
        <v>44228</v>
      </c>
      <c r="B87">
        <f t="shared" si="18"/>
        <v>2</v>
      </c>
      <c r="C87">
        <f t="shared" si="19"/>
        <v>2021</v>
      </c>
      <c r="D87" s="6">
        <f>'Monthly Data (14-23) Used'!I87</f>
        <v>5910651.9338399861</v>
      </c>
      <c r="E87" s="7">
        <f t="shared" ca="1" si="28"/>
        <v>595.51355229914111</v>
      </c>
      <c r="F87" s="7">
        <f t="shared" ca="1" si="28"/>
        <v>0</v>
      </c>
      <c r="G87" s="6">
        <f>'Monthly Data (14-23) Used'!BC87</f>
        <v>805455</v>
      </c>
      <c r="H87">
        <f>'Monthly Data (14-23) Used'!CB87</f>
        <v>28</v>
      </c>
      <c r="I87">
        <f>'Monthly Data (14-23) Used'!CA87</f>
        <v>0</v>
      </c>
      <c r="K87" s="6">
        <f t="shared" si="29"/>
        <v>-3155056.29692131</v>
      </c>
      <c r="L87" s="6">
        <f t="shared" ca="1" si="23"/>
        <v>1018629.4890149535</v>
      </c>
      <c r="M87" s="6">
        <f t="shared" ca="1" si="24"/>
        <v>0</v>
      </c>
      <c r="N87" s="6">
        <f t="shared" si="30"/>
        <v>4809817.0959256403</v>
      </c>
      <c r="O87" s="6">
        <f t="shared" si="31"/>
        <v>3487893.0783350361</v>
      </c>
      <c r="P87" s="6">
        <f t="shared" si="25"/>
        <v>0</v>
      </c>
      <c r="Q87" s="6">
        <f t="shared" ca="1" si="26"/>
        <v>6161283.3663543202</v>
      </c>
    </row>
    <row r="88" spans="1:17">
      <c r="A88" s="197">
        <v>44256</v>
      </c>
      <c r="B88">
        <f t="shared" si="18"/>
        <v>3</v>
      </c>
      <c r="C88">
        <f t="shared" si="19"/>
        <v>2021</v>
      </c>
      <c r="D88" s="6">
        <f>'Monthly Data (14-23) Used'!I88</f>
        <v>6044444.9338399861</v>
      </c>
      <c r="E88" s="7">
        <f t="shared" ca="1" si="28"/>
        <v>496.46355229914104</v>
      </c>
      <c r="F88" s="7">
        <f t="shared" ca="1" si="28"/>
        <v>0.16999999999999993</v>
      </c>
      <c r="G88" s="6">
        <f>'Monthly Data (14-23) Used'!BC88</f>
        <v>805455</v>
      </c>
      <c r="H88">
        <f>'Monthly Data (14-23) Used'!CB88</f>
        <v>31</v>
      </c>
      <c r="I88">
        <f>'Monthly Data (14-23) Used'!CA88</f>
        <v>1</v>
      </c>
      <c r="K88" s="6">
        <f t="shared" si="29"/>
        <v>-3155056.29692131</v>
      </c>
      <c r="L88" s="6">
        <f t="shared" ca="1" si="23"/>
        <v>849203.87225543917</v>
      </c>
      <c r="M88" s="6">
        <f t="shared" ca="1" si="24"/>
        <v>1259.2880591515157</v>
      </c>
      <c r="N88" s="6">
        <f t="shared" si="30"/>
        <v>4809817.0959256403</v>
      </c>
      <c r="O88" s="6">
        <f t="shared" si="31"/>
        <v>3861595.9081566473</v>
      </c>
      <c r="P88" s="6">
        <f t="shared" si="25"/>
        <v>-115215.035448868</v>
      </c>
      <c r="Q88" s="6">
        <f t="shared" ca="1" si="26"/>
        <v>6251604.8320267005</v>
      </c>
    </row>
    <row r="89" spans="1:17">
      <c r="A89" s="197">
        <v>44287</v>
      </c>
      <c r="B89">
        <f t="shared" si="18"/>
        <v>4</v>
      </c>
      <c r="C89">
        <f t="shared" si="19"/>
        <v>2021</v>
      </c>
      <c r="D89" s="6">
        <f>'Monthly Data (14-23) Used'!I89</f>
        <v>5428045.9338399861</v>
      </c>
      <c r="E89" s="7">
        <f t="shared" ca="1" si="28"/>
        <v>296.23000000000008</v>
      </c>
      <c r="F89" s="7">
        <f t="shared" ca="1" si="28"/>
        <v>8.7799999999999994</v>
      </c>
      <c r="G89" s="6">
        <f>'Monthly Data (14-23) Used'!BC89</f>
        <v>795824</v>
      </c>
      <c r="H89">
        <f>'Monthly Data (14-23) Used'!CB89</f>
        <v>30</v>
      </c>
      <c r="I89">
        <f>'Monthly Data (14-23) Used'!CA89</f>
        <v>1</v>
      </c>
      <c r="K89" s="6">
        <f t="shared" si="29"/>
        <v>-3155056.29692131</v>
      </c>
      <c r="L89" s="6">
        <f t="shared" ca="1" si="23"/>
        <v>506703.18478213908</v>
      </c>
      <c r="M89" s="6">
        <f t="shared" ca="1" si="24"/>
        <v>65038.524466766539</v>
      </c>
      <c r="N89" s="6">
        <f t="shared" si="30"/>
        <v>4752305.0704855351</v>
      </c>
      <c r="O89" s="6">
        <f t="shared" si="31"/>
        <v>3737028.2982161101</v>
      </c>
      <c r="P89" s="6">
        <f t="shared" si="25"/>
        <v>-115215.035448868</v>
      </c>
      <c r="Q89" s="6">
        <f t="shared" ca="1" si="26"/>
        <v>5790803.7455803733</v>
      </c>
    </row>
    <row r="90" spans="1:17">
      <c r="A90" s="197">
        <v>44317</v>
      </c>
      <c r="B90">
        <f t="shared" si="18"/>
        <v>5</v>
      </c>
      <c r="C90">
        <f t="shared" si="19"/>
        <v>2021</v>
      </c>
      <c r="D90" s="6">
        <f>'Monthly Data (14-23) Used'!I90</f>
        <v>5680903.9338399861</v>
      </c>
      <c r="E90" s="7">
        <f t="shared" ca="1" si="28"/>
        <v>116.90355229914098</v>
      </c>
      <c r="F90" s="7">
        <f t="shared" ca="1" si="28"/>
        <v>84.676447700859015</v>
      </c>
      <c r="G90" s="6">
        <f>'Monthly Data (14-23) Used'!BC90</f>
        <v>795824</v>
      </c>
      <c r="H90">
        <f>'Monthly Data (14-23) Used'!CB90</f>
        <v>31</v>
      </c>
      <c r="I90">
        <f>'Monthly Data (14-23) Used'!CA90</f>
        <v>1</v>
      </c>
      <c r="K90" s="6">
        <f t="shared" si="29"/>
        <v>-3155056.29692131</v>
      </c>
      <c r="L90" s="6">
        <f t="shared" ca="1" si="23"/>
        <v>199964.22463059134</v>
      </c>
      <c r="M90" s="6">
        <f t="shared" ca="1" si="24"/>
        <v>627247.29106505658</v>
      </c>
      <c r="N90" s="6">
        <f t="shared" si="30"/>
        <v>4752305.0704855351</v>
      </c>
      <c r="O90" s="6">
        <f t="shared" si="31"/>
        <v>3861595.9081566473</v>
      </c>
      <c r="P90" s="6">
        <f t="shared" si="25"/>
        <v>-115215.035448868</v>
      </c>
      <c r="Q90" s="6">
        <f t="shared" ca="1" si="26"/>
        <v>6170841.1619676528</v>
      </c>
    </row>
    <row r="91" spans="1:17">
      <c r="A91" s="197">
        <v>44348</v>
      </c>
      <c r="B91">
        <f t="shared" si="18"/>
        <v>6</v>
      </c>
      <c r="C91">
        <f t="shared" si="19"/>
        <v>2021</v>
      </c>
      <c r="D91" s="6">
        <f>'Monthly Data (14-23) Used'!I91</f>
        <v>6714011.9338399861</v>
      </c>
      <c r="E91" s="7">
        <f t="shared" ca="1" si="28"/>
        <v>11.023552299140979</v>
      </c>
      <c r="F91" s="7">
        <f t="shared" ca="1" si="28"/>
        <v>202.63644770085901</v>
      </c>
      <c r="G91" s="6">
        <f>'Monthly Data (14-23) Used'!BC91</f>
        <v>795824</v>
      </c>
      <c r="H91">
        <f>'Monthly Data (14-23) Used'!CB91</f>
        <v>30</v>
      </c>
      <c r="I91">
        <f>'Monthly Data (14-23) Used'!CA91</f>
        <v>0</v>
      </c>
      <c r="K91" s="6">
        <f t="shared" si="29"/>
        <v>-3155056.29692131</v>
      </c>
      <c r="L91" s="6">
        <f t="shared" ca="1" si="23"/>
        <v>18855.852066256637</v>
      </c>
      <c r="M91" s="6">
        <f t="shared" ca="1" si="24"/>
        <v>1501045.0525798379</v>
      </c>
      <c r="N91" s="6">
        <f t="shared" si="30"/>
        <v>4752305.0704855351</v>
      </c>
      <c r="O91" s="6">
        <f t="shared" si="31"/>
        <v>3737028.2982161101</v>
      </c>
      <c r="P91" s="6">
        <f t="shared" si="25"/>
        <v>0</v>
      </c>
      <c r="Q91" s="6">
        <f t="shared" ca="1" si="26"/>
        <v>6854177.97642643</v>
      </c>
    </row>
    <row r="92" spans="1:17">
      <c r="A92" s="197">
        <v>44378</v>
      </c>
      <c r="B92">
        <f t="shared" si="18"/>
        <v>7</v>
      </c>
      <c r="C92">
        <f t="shared" si="19"/>
        <v>2021</v>
      </c>
      <c r="D92" s="6">
        <f>'Monthly Data (14-23) Used'!I92</f>
        <v>7218985.9338399861</v>
      </c>
      <c r="E92" s="7">
        <f t="shared" ca="1" si="28"/>
        <v>0.75</v>
      </c>
      <c r="F92" s="7">
        <f t="shared" ca="1" si="28"/>
        <v>273.21289540171807</v>
      </c>
      <c r="G92" s="6">
        <f>'Monthly Data (14-23) Used'!BC92</f>
        <v>810982</v>
      </c>
      <c r="H92">
        <f>'Monthly Data (14-23) Used'!CB92</f>
        <v>31</v>
      </c>
      <c r="I92">
        <f>'Monthly Data (14-23) Used'!CA92</f>
        <v>0</v>
      </c>
      <c r="K92" s="6">
        <f t="shared" si="29"/>
        <v>-3155056.29692131</v>
      </c>
      <c r="L92" s="6">
        <f t="shared" ca="1" si="23"/>
        <v>1282.87948076361</v>
      </c>
      <c r="M92" s="6">
        <f t="shared" ca="1" si="24"/>
        <v>2023845.5105035044</v>
      </c>
      <c r="N92" s="6">
        <f t="shared" si="30"/>
        <v>4842821.8684941642</v>
      </c>
      <c r="O92" s="6">
        <f t="shared" si="31"/>
        <v>3861595.9081566473</v>
      </c>
      <c r="P92" s="6">
        <f t="shared" si="25"/>
        <v>0</v>
      </c>
      <c r="Q92" s="6">
        <f t="shared" ca="1" si="26"/>
        <v>7574489.8697137702</v>
      </c>
    </row>
    <row r="93" spans="1:17">
      <c r="A93" s="197">
        <v>44409</v>
      </c>
      <c r="B93">
        <f t="shared" si="18"/>
        <v>8</v>
      </c>
      <c r="C93">
        <f t="shared" si="19"/>
        <v>2021</v>
      </c>
      <c r="D93" s="6">
        <f>'Monthly Data (14-23) Used'!I93</f>
        <v>7769864.9338399861</v>
      </c>
      <c r="E93" s="7">
        <f t="shared" ca="1" si="28"/>
        <v>2.7971045982819609</v>
      </c>
      <c r="F93" s="7">
        <f t="shared" ca="1" si="28"/>
        <v>245.37605861546234</v>
      </c>
      <c r="G93" s="6">
        <f>'Monthly Data (14-23) Used'!BC93</f>
        <v>810982</v>
      </c>
      <c r="H93">
        <f>'Monthly Data (14-23) Used'!CB93</f>
        <v>31</v>
      </c>
      <c r="I93">
        <f>'Monthly Data (14-23) Used'!CA93</f>
        <v>0</v>
      </c>
      <c r="K93" s="6">
        <f t="shared" si="29"/>
        <v>-3155056.29692131</v>
      </c>
      <c r="L93" s="6">
        <f t="shared" ca="1" si="23"/>
        <v>4784.4641262472906</v>
      </c>
      <c r="M93" s="6">
        <f t="shared" ca="1" si="24"/>
        <v>1817642.0036242013</v>
      </c>
      <c r="N93" s="6">
        <f t="shared" si="30"/>
        <v>4842821.8684941642</v>
      </c>
      <c r="O93" s="6">
        <f t="shared" si="31"/>
        <v>3861595.9081566473</v>
      </c>
      <c r="P93" s="6">
        <f t="shared" si="25"/>
        <v>0</v>
      </c>
      <c r="Q93" s="6">
        <f t="shared" ca="1" si="26"/>
        <v>7371787.9474799503</v>
      </c>
    </row>
    <row r="94" spans="1:17">
      <c r="A94" s="197">
        <v>44440</v>
      </c>
      <c r="B94">
        <f t="shared" si="18"/>
        <v>9</v>
      </c>
      <c r="C94">
        <f t="shared" si="19"/>
        <v>2021</v>
      </c>
      <c r="D94" s="6">
        <f>'Monthly Data (14-23) Used'!I94</f>
        <v>6525829.9338399861</v>
      </c>
      <c r="E94" s="7">
        <f t="shared" ca="1" si="28"/>
        <v>39.200656897422931</v>
      </c>
      <c r="F94" s="7">
        <f t="shared" ca="1" si="28"/>
        <v>139.01579080343606</v>
      </c>
      <c r="G94" s="6">
        <f>'Monthly Data (14-23) Used'!BC94</f>
        <v>810982</v>
      </c>
      <c r="H94">
        <f>'Monthly Data (14-23) Used'!CB94</f>
        <v>30</v>
      </c>
      <c r="I94">
        <f>'Monthly Data (14-23) Used'!CA94</f>
        <v>0</v>
      </c>
      <c r="K94" s="6">
        <f t="shared" si="29"/>
        <v>-3155056.29692131</v>
      </c>
      <c r="L94" s="6">
        <f t="shared" ca="1" si="23"/>
        <v>67052.957821544478</v>
      </c>
      <c r="M94" s="6">
        <f t="shared" ca="1" si="24"/>
        <v>1029770.149366307</v>
      </c>
      <c r="N94" s="6">
        <f t="shared" si="30"/>
        <v>4842821.8684941642</v>
      </c>
      <c r="O94" s="6">
        <f t="shared" si="31"/>
        <v>3737028.2982161101</v>
      </c>
      <c r="P94" s="6">
        <f t="shared" si="25"/>
        <v>0</v>
      </c>
      <c r="Q94" s="6">
        <f t="shared" ca="1" si="26"/>
        <v>6521616.9769768156</v>
      </c>
    </row>
    <row r="95" spans="1:17">
      <c r="A95" s="197">
        <v>44470</v>
      </c>
      <c r="B95">
        <f t="shared" si="18"/>
        <v>10</v>
      </c>
      <c r="C95">
        <f t="shared" si="19"/>
        <v>2021</v>
      </c>
      <c r="D95" s="6">
        <f>'Monthly Data (14-23) Used'!I95</f>
        <v>5883672.9338399861</v>
      </c>
      <c r="E95" s="7">
        <f t="shared" ca="1" si="28"/>
        <v>194.90420919656393</v>
      </c>
      <c r="F95" s="7">
        <f t="shared" ca="1" si="28"/>
        <v>38.166447700859024</v>
      </c>
      <c r="G95" s="6">
        <f>'Monthly Data (14-23) Used'!BC95</f>
        <v>826374</v>
      </c>
      <c r="H95">
        <f>'Monthly Data (14-23) Used'!CB95</f>
        <v>31</v>
      </c>
      <c r="I95">
        <f>'Monthly Data (14-23) Used'!CA95</f>
        <v>1</v>
      </c>
      <c r="K95" s="6">
        <f t="shared" si="29"/>
        <v>-3155056.29692131</v>
      </c>
      <c r="L95" s="6">
        <f t="shared" ca="1" si="23"/>
        <v>333384.81425697327</v>
      </c>
      <c r="M95" s="6">
        <f t="shared" ca="1" si="24"/>
        <v>282720.89323483885</v>
      </c>
      <c r="N95" s="6">
        <f t="shared" si="30"/>
        <v>4934736.0098682791</v>
      </c>
      <c r="O95" s="6">
        <f t="shared" si="31"/>
        <v>3861595.9081566473</v>
      </c>
      <c r="P95" s="6">
        <f t="shared" si="25"/>
        <v>-115215.035448868</v>
      </c>
      <c r="Q95" s="6">
        <f t="shared" ca="1" si="26"/>
        <v>6142166.29314656</v>
      </c>
    </row>
    <row r="96" spans="1:17">
      <c r="A96" s="197">
        <v>44501</v>
      </c>
      <c r="B96">
        <f t="shared" si="18"/>
        <v>11</v>
      </c>
      <c r="C96">
        <f t="shared" si="19"/>
        <v>2021</v>
      </c>
      <c r="D96" s="6">
        <f>'Monthly Data (14-23) Used'!I96</f>
        <v>5929416.9338399861</v>
      </c>
      <c r="E96" s="7">
        <f t="shared" ca="1" si="28"/>
        <v>404.02065689742301</v>
      </c>
      <c r="F96" s="7">
        <f t="shared" ca="1" si="28"/>
        <v>2.419999999999999</v>
      </c>
      <c r="G96" s="6">
        <f>'Monthly Data (14-23) Used'!BC96</f>
        <v>826374</v>
      </c>
      <c r="H96">
        <f>'Monthly Data (14-23) Used'!CB96</f>
        <v>30</v>
      </c>
      <c r="I96">
        <f>'Monthly Data (14-23) Used'!CA96</f>
        <v>1</v>
      </c>
      <c r="K96" s="6">
        <f t="shared" si="29"/>
        <v>-3155056.29692131</v>
      </c>
      <c r="L96" s="6">
        <f t="shared" ca="1" si="23"/>
        <v>691079.74738445156</v>
      </c>
      <c r="M96" s="6">
        <f t="shared" ca="1" si="24"/>
        <v>17926.335900862752</v>
      </c>
      <c r="N96" s="6">
        <f t="shared" si="30"/>
        <v>4934736.0098682791</v>
      </c>
      <c r="O96" s="6">
        <f t="shared" si="31"/>
        <v>3737028.2982161101</v>
      </c>
      <c r="P96" s="6">
        <f t="shared" si="25"/>
        <v>-115215.035448868</v>
      </c>
      <c r="Q96" s="6">
        <f t="shared" ca="1" si="26"/>
        <v>6110499.0589995254</v>
      </c>
    </row>
    <row r="97" spans="1:17">
      <c r="A97" s="197">
        <v>44531</v>
      </c>
      <c r="B97">
        <f t="shared" si="18"/>
        <v>12</v>
      </c>
      <c r="C97">
        <f t="shared" si="19"/>
        <v>2021</v>
      </c>
      <c r="D97" s="6">
        <f>'Monthly Data (14-23) Used'!I97</f>
        <v>6454484.9338399861</v>
      </c>
      <c r="E97" s="7">
        <f t="shared" ca="1" si="28"/>
        <v>533.7700000000001</v>
      </c>
      <c r="F97" s="7">
        <f t="shared" ca="1" si="28"/>
        <v>0</v>
      </c>
      <c r="G97" s="6">
        <f>'Monthly Data (14-23) Used'!BC97</f>
        <v>826374</v>
      </c>
      <c r="H97">
        <f>'Monthly Data (14-23) Used'!CB97</f>
        <v>31</v>
      </c>
      <c r="I97">
        <f>'Monthly Data (14-23) Used'!CA97</f>
        <v>0</v>
      </c>
      <c r="K97" s="6">
        <f t="shared" si="29"/>
        <v>-3155056.29692131</v>
      </c>
      <c r="L97" s="6">
        <f t="shared" ca="1" si="23"/>
        <v>913016.77392958966</v>
      </c>
      <c r="M97" s="6">
        <f t="shared" ca="1" si="24"/>
        <v>0</v>
      </c>
      <c r="N97" s="6">
        <f t="shared" si="30"/>
        <v>4934736.0098682791</v>
      </c>
      <c r="O97" s="6">
        <f t="shared" si="31"/>
        <v>3861595.9081566473</v>
      </c>
      <c r="P97" s="6">
        <f t="shared" si="25"/>
        <v>0</v>
      </c>
      <c r="Q97" s="6">
        <f t="shared" ca="1" si="26"/>
        <v>6554292.3950332059</v>
      </c>
    </row>
    <row r="98" spans="1:17">
      <c r="A98" s="197">
        <v>44562</v>
      </c>
      <c r="B98">
        <f t="shared" si="18"/>
        <v>1</v>
      </c>
      <c r="C98">
        <f t="shared" si="19"/>
        <v>2022</v>
      </c>
      <c r="D98" s="6">
        <f>'Monthly Data (14-23) Used'!I98</f>
        <v>6893379.3523487775</v>
      </c>
      <c r="E98" s="7">
        <f t="shared" ca="1" si="28"/>
        <v>671</v>
      </c>
      <c r="F98" s="7">
        <f t="shared" ca="1" si="28"/>
        <v>0</v>
      </c>
      <c r="G98" s="6">
        <f>'Monthly Data (14-23) Used'!BC98</f>
        <v>833713</v>
      </c>
      <c r="H98">
        <f>'Monthly Data (14-23) Used'!CB98</f>
        <v>31</v>
      </c>
      <c r="I98">
        <f>'Monthly Data (14-23) Used'!CA98</f>
        <v>0</v>
      </c>
      <c r="K98" s="6">
        <f t="shared" si="29"/>
        <v>-3155056.29692131</v>
      </c>
      <c r="L98" s="6">
        <f t="shared" ca="1" si="23"/>
        <v>1147749.5087898432</v>
      </c>
      <c r="M98" s="6">
        <f t="shared" ca="1" si="24"/>
        <v>0</v>
      </c>
      <c r="N98" s="6">
        <f t="shared" si="30"/>
        <v>4978561.2361900453</v>
      </c>
      <c r="O98" s="6">
        <f t="shared" si="31"/>
        <v>3861595.9081566473</v>
      </c>
      <c r="P98" s="6">
        <f t="shared" si="25"/>
        <v>0</v>
      </c>
      <c r="Q98" s="6">
        <f t="shared" ca="1" si="26"/>
        <v>6832850.3562152255</v>
      </c>
    </row>
    <row r="99" spans="1:17">
      <c r="A99" s="197">
        <v>44593</v>
      </c>
      <c r="B99">
        <f t="shared" si="18"/>
        <v>2</v>
      </c>
      <c r="C99">
        <f t="shared" si="19"/>
        <v>2022</v>
      </c>
      <c r="D99" s="6">
        <f>'Monthly Data (14-23) Used'!I99</f>
        <v>6371811.3523487775</v>
      </c>
      <c r="E99" s="7">
        <f t="shared" ca="1" si="28"/>
        <v>595.51355229914111</v>
      </c>
      <c r="F99" s="7">
        <f t="shared" ca="1" si="28"/>
        <v>0</v>
      </c>
      <c r="G99" s="6">
        <f>'Monthly Data (14-23) Used'!BC99</f>
        <v>833713</v>
      </c>
      <c r="H99">
        <f>'Monthly Data (14-23) Used'!CB99</f>
        <v>28</v>
      </c>
      <c r="I99">
        <f>'Monthly Data (14-23) Used'!CA99</f>
        <v>0</v>
      </c>
      <c r="K99" s="6">
        <f t="shared" si="29"/>
        <v>-3155056.29692131</v>
      </c>
      <c r="L99" s="6">
        <f t="shared" ca="1" si="23"/>
        <v>1018629.4890149535</v>
      </c>
      <c r="M99" s="6">
        <f t="shared" ca="1" si="24"/>
        <v>0</v>
      </c>
      <c r="N99" s="6">
        <f t="shared" si="30"/>
        <v>4978561.2361900453</v>
      </c>
      <c r="O99" s="6">
        <f t="shared" si="31"/>
        <v>3487893.0783350361</v>
      </c>
      <c r="P99" s="6">
        <f t="shared" si="25"/>
        <v>0</v>
      </c>
      <c r="Q99" s="6">
        <f t="shared" ca="1" si="26"/>
        <v>6330027.5066187251</v>
      </c>
    </row>
    <row r="100" spans="1:17">
      <c r="A100" s="197">
        <v>44621</v>
      </c>
      <c r="B100">
        <f t="shared" si="18"/>
        <v>3</v>
      </c>
      <c r="C100">
        <f t="shared" si="19"/>
        <v>2022</v>
      </c>
      <c r="D100" s="6">
        <f>'Monthly Data (14-23) Used'!I100</f>
        <v>6579535.3523487775</v>
      </c>
      <c r="E100" s="7">
        <f t="shared" ca="1" si="28"/>
        <v>496.46355229914104</v>
      </c>
      <c r="F100" s="7">
        <f t="shared" ca="1" si="28"/>
        <v>0.16999999999999993</v>
      </c>
      <c r="G100" s="6">
        <f>'Monthly Data (14-23) Used'!BC100</f>
        <v>833713</v>
      </c>
      <c r="H100">
        <f>'Monthly Data (14-23) Used'!CB100</f>
        <v>31</v>
      </c>
      <c r="I100">
        <f>'Monthly Data (14-23) Used'!CA100</f>
        <v>1</v>
      </c>
      <c r="K100" s="6">
        <f t="shared" si="29"/>
        <v>-3155056.29692131</v>
      </c>
      <c r="L100" s="6">
        <f t="shared" ca="1" si="23"/>
        <v>849203.87225543917</v>
      </c>
      <c r="M100" s="6">
        <f t="shared" ca="1" si="24"/>
        <v>1259.2880591515157</v>
      </c>
      <c r="N100" s="6">
        <f t="shared" si="30"/>
        <v>4978561.2361900453</v>
      </c>
      <c r="O100" s="6">
        <f t="shared" si="31"/>
        <v>3861595.9081566473</v>
      </c>
      <c r="P100" s="6">
        <f t="shared" si="25"/>
        <v>-115215.035448868</v>
      </c>
      <c r="Q100" s="6">
        <f t="shared" ca="1" si="26"/>
        <v>6420348.9722911054</v>
      </c>
    </row>
    <row r="101" spans="1:17">
      <c r="A101" s="197">
        <v>44652</v>
      </c>
      <c r="B101">
        <f t="shared" si="18"/>
        <v>4</v>
      </c>
      <c r="C101">
        <f t="shared" si="19"/>
        <v>2022</v>
      </c>
      <c r="D101" s="6">
        <f>'Monthly Data (14-23) Used'!I101</f>
        <v>6070000.3523487775</v>
      </c>
      <c r="E101" s="7">
        <f t="shared" ca="1" si="28"/>
        <v>296.23000000000008</v>
      </c>
      <c r="F101" s="7">
        <f t="shared" ca="1" si="28"/>
        <v>8.7799999999999994</v>
      </c>
      <c r="G101" s="6">
        <f>'Monthly Data (14-23) Used'!BC101</f>
        <v>840190</v>
      </c>
      <c r="H101">
        <f>'Monthly Data (14-23) Used'!CB101</f>
        <v>30</v>
      </c>
      <c r="I101">
        <f>'Monthly Data (14-23) Used'!CA101</f>
        <v>1</v>
      </c>
      <c r="K101" s="6">
        <f t="shared" si="29"/>
        <v>-3155056.29692131</v>
      </c>
      <c r="L101" s="6">
        <f t="shared" ca="1" si="23"/>
        <v>506703.18478213908</v>
      </c>
      <c r="M101" s="6">
        <f t="shared" ca="1" si="24"/>
        <v>65038.524466766539</v>
      </c>
      <c r="N101" s="6">
        <f t="shared" si="30"/>
        <v>5017238.9839603249</v>
      </c>
      <c r="O101" s="6">
        <f t="shared" si="31"/>
        <v>3737028.2982161101</v>
      </c>
      <c r="P101" s="6">
        <f t="shared" si="25"/>
        <v>-115215.035448868</v>
      </c>
      <c r="Q101" s="6">
        <f t="shared" ca="1" si="26"/>
        <v>6055737.6590551622</v>
      </c>
    </row>
    <row r="102" spans="1:17">
      <c r="A102" s="197">
        <v>44682</v>
      </c>
      <c r="B102">
        <f t="shared" si="18"/>
        <v>5</v>
      </c>
      <c r="C102">
        <f t="shared" si="19"/>
        <v>2022</v>
      </c>
      <c r="D102" s="6">
        <f>'Monthly Data (14-23) Used'!I102</f>
        <v>6515619.3523487775</v>
      </c>
      <c r="E102" s="7">
        <f t="shared" ref="E102:F111" ca="1" si="32">E90</f>
        <v>116.90355229914098</v>
      </c>
      <c r="F102" s="7">
        <f t="shared" ca="1" si="32"/>
        <v>84.676447700859015</v>
      </c>
      <c r="G102" s="6">
        <f>'Monthly Data (14-23) Used'!BC102</f>
        <v>840190</v>
      </c>
      <c r="H102">
        <f>'Monthly Data (14-23) Used'!CB102</f>
        <v>31</v>
      </c>
      <c r="I102">
        <f>'Monthly Data (14-23) Used'!CA102</f>
        <v>1</v>
      </c>
      <c r="K102" s="6">
        <f t="shared" si="29"/>
        <v>-3155056.29692131</v>
      </c>
      <c r="L102" s="6">
        <f t="shared" ca="1" si="23"/>
        <v>199964.22463059134</v>
      </c>
      <c r="M102" s="6">
        <f t="shared" ca="1" si="24"/>
        <v>627247.29106505658</v>
      </c>
      <c r="N102" s="6">
        <f t="shared" si="30"/>
        <v>5017238.9839603249</v>
      </c>
      <c r="O102" s="6">
        <f t="shared" si="31"/>
        <v>3861595.9081566473</v>
      </c>
      <c r="P102" s="6">
        <f t="shared" si="25"/>
        <v>-115215.035448868</v>
      </c>
      <c r="Q102" s="6">
        <f t="shared" ca="1" si="26"/>
        <v>6435775.0754424427</v>
      </c>
    </row>
    <row r="103" spans="1:17">
      <c r="A103" s="197">
        <v>44713</v>
      </c>
      <c r="B103">
        <f t="shared" si="18"/>
        <v>6</v>
      </c>
      <c r="C103">
        <f t="shared" si="19"/>
        <v>2022</v>
      </c>
      <c r="D103" s="6">
        <f>'Monthly Data (14-23) Used'!I103</f>
        <v>7534710.3523487775</v>
      </c>
      <c r="E103" s="7">
        <f t="shared" ca="1" si="32"/>
        <v>11.023552299140979</v>
      </c>
      <c r="F103" s="7">
        <f t="shared" ca="1" si="32"/>
        <v>202.63644770085901</v>
      </c>
      <c r="G103" s="6">
        <f>'Monthly Data (14-23) Used'!BC103</f>
        <v>840190</v>
      </c>
      <c r="H103">
        <f>'Monthly Data (14-23) Used'!CB103</f>
        <v>30</v>
      </c>
      <c r="I103">
        <f>'Monthly Data (14-23) Used'!CA103</f>
        <v>0</v>
      </c>
      <c r="K103" s="6">
        <f t="shared" si="29"/>
        <v>-3155056.29692131</v>
      </c>
      <c r="L103" s="6">
        <f t="shared" ca="1" si="23"/>
        <v>18855.852066256637</v>
      </c>
      <c r="M103" s="6">
        <f t="shared" ca="1" si="24"/>
        <v>1501045.0525798379</v>
      </c>
      <c r="N103" s="6">
        <f t="shared" si="30"/>
        <v>5017238.9839603249</v>
      </c>
      <c r="O103" s="6">
        <f t="shared" si="31"/>
        <v>3737028.2982161101</v>
      </c>
      <c r="P103" s="6">
        <f t="shared" si="25"/>
        <v>0</v>
      </c>
      <c r="Q103" s="6">
        <f t="shared" ca="1" si="26"/>
        <v>7119111.8899012189</v>
      </c>
    </row>
    <row r="104" spans="1:17">
      <c r="A104" s="197">
        <v>44743</v>
      </c>
      <c r="B104">
        <f t="shared" si="18"/>
        <v>7</v>
      </c>
      <c r="C104">
        <f t="shared" si="19"/>
        <v>2022</v>
      </c>
      <c r="D104" s="6">
        <f>'Monthly Data (14-23) Used'!I104</f>
        <v>7972148.3523487775</v>
      </c>
      <c r="E104" s="7">
        <f t="shared" ca="1" si="32"/>
        <v>0.75</v>
      </c>
      <c r="F104" s="7">
        <f t="shared" ca="1" si="32"/>
        <v>273.21289540171807</v>
      </c>
      <c r="G104" s="6">
        <f>'Monthly Data (14-23) Used'!BC104</f>
        <v>842100</v>
      </c>
      <c r="H104">
        <f>'Monthly Data (14-23) Used'!CB104</f>
        <v>31</v>
      </c>
      <c r="I104">
        <f>'Monthly Data (14-23) Used'!CA104</f>
        <v>0</v>
      </c>
      <c r="K104" s="6">
        <f t="shared" si="29"/>
        <v>-3155056.29692131</v>
      </c>
      <c r="L104" s="6">
        <f t="shared" ca="1" si="23"/>
        <v>1282.87948076361</v>
      </c>
      <c r="M104" s="6">
        <f t="shared" ca="1" si="24"/>
        <v>2023845.5105035044</v>
      </c>
      <c r="N104" s="6">
        <f t="shared" si="30"/>
        <v>5028644.6498922734</v>
      </c>
      <c r="O104" s="6">
        <f t="shared" si="31"/>
        <v>3861595.9081566473</v>
      </c>
      <c r="P104" s="6">
        <f t="shared" si="25"/>
        <v>0</v>
      </c>
      <c r="Q104" s="6">
        <f t="shared" ca="1" si="26"/>
        <v>7760312.6511118785</v>
      </c>
    </row>
    <row r="105" spans="1:17">
      <c r="A105" s="197">
        <v>44774</v>
      </c>
      <c r="B105">
        <f t="shared" si="18"/>
        <v>8</v>
      </c>
      <c r="C105">
        <f t="shared" si="19"/>
        <v>2022</v>
      </c>
      <c r="D105" s="6">
        <f>'Monthly Data (14-23) Used'!I105</f>
        <v>7910079.3523487775</v>
      </c>
      <c r="E105" s="7">
        <f t="shared" ca="1" si="32"/>
        <v>2.7971045982819609</v>
      </c>
      <c r="F105" s="7">
        <f t="shared" ca="1" si="32"/>
        <v>245.37605861546234</v>
      </c>
      <c r="G105" s="6">
        <f>'Monthly Data (14-23) Used'!BC105</f>
        <v>842100</v>
      </c>
      <c r="H105">
        <f>'Monthly Data (14-23) Used'!CB105</f>
        <v>31</v>
      </c>
      <c r="I105">
        <f>'Monthly Data (14-23) Used'!CA105</f>
        <v>0</v>
      </c>
      <c r="K105" s="6">
        <f t="shared" si="29"/>
        <v>-3155056.29692131</v>
      </c>
      <c r="L105" s="6">
        <f t="shared" ca="1" si="23"/>
        <v>4784.4641262472906</v>
      </c>
      <c r="M105" s="6">
        <f t="shared" ca="1" si="24"/>
        <v>1817642.0036242013</v>
      </c>
      <c r="N105" s="6">
        <f t="shared" si="30"/>
        <v>5028644.6498922734</v>
      </c>
      <c r="O105" s="6">
        <f t="shared" si="31"/>
        <v>3861595.9081566473</v>
      </c>
      <c r="P105" s="6">
        <f t="shared" si="25"/>
        <v>0</v>
      </c>
      <c r="Q105" s="6">
        <f t="shared" ca="1" si="26"/>
        <v>7557610.7288780594</v>
      </c>
    </row>
    <row r="106" spans="1:17">
      <c r="A106" s="197">
        <v>44805</v>
      </c>
      <c r="B106">
        <f>MONTH(A106)</f>
        <v>9</v>
      </c>
      <c r="C106">
        <f>YEAR(A106)</f>
        <v>2022</v>
      </c>
      <c r="D106" s="6">
        <f>'Monthly Data (14-23) Used'!I106</f>
        <v>6898117.3523487775</v>
      </c>
      <c r="E106" s="7">
        <f t="shared" ca="1" si="32"/>
        <v>39.200656897422931</v>
      </c>
      <c r="F106" s="7">
        <f t="shared" ca="1" si="32"/>
        <v>139.01579080343606</v>
      </c>
      <c r="G106" s="6">
        <f>'Monthly Data (14-23) Used'!BC106</f>
        <v>842100</v>
      </c>
      <c r="H106">
        <f>'Monthly Data (14-23) Used'!CB106</f>
        <v>30</v>
      </c>
      <c r="I106">
        <f>'Monthly Data (14-23) Used'!CA106</f>
        <v>0</v>
      </c>
      <c r="K106" s="6">
        <f t="shared" si="29"/>
        <v>-3155056.29692131</v>
      </c>
      <c r="L106" s="6">
        <f t="shared" ca="1" si="23"/>
        <v>67052.957821544478</v>
      </c>
      <c r="M106" s="6">
        <f t="shared" ca="1" si="24"/>
        <v>1029770.149366307</v>
      </c>
      <c r="N106" s="6">
        <f t="shared" si="30"/>
        <v>5028644.6498922734</v>
      </c>
      <c r="O106" s="6">
        <f t="shared" si="31"/>
        <v>3737028.2982161101</v>
      </c>
      <c r="P106" s="6">
        <f t="shared" si="25"/>
        <v>0</v>
      </c>
      <c r="Q106" s="6">
        <f t="shared" ca="1" si="26"/>
        <v>6707439.7583749248</v>
      </c>
    </row>
    <row r="107" spans="1:17">
      <c r="A107" s="197">
        <v>44835</v>
      </c>
      <c r="B107">
        <f>MONTH(A107)</f>
        <v>10</v>
      </c>
      <c r="C107">
        <f>YEAR(A107)</f>
        <v>2022</v>
      </c>
      <c r="D107" s="6">
        <f>'Monthly Data (14-23) Used'!I107</f>
        <v>6096244.3523487775</v>
      </c>
      <c r="E107" s="7">
        <f t="shared" ca="1" si="32"/>
        <v>194.90420919656393</v>
      </c>
      <c r="F107" s="7">
        <f t="shared" ca="1" si="32"/>
        <v>38.166447700859024</v>
      </c>
      <c r="G107" s="6">
        <f>'Monthly Data (14-23) Used'!BC107</f>
        <v>841987</v>
      </c>
      <c r="H107">
        <f>'Monthly Data (14-23) Used'!CB107</f>
        <v>31</v>
      </c>
      <c r="I107">
        <f>'Monthly Data (14-23) Used'!CA107</f>
        <v>1</v>
      </c>
      <c r="K107" s="6">
        <f t="shared" si="29"/>
        <v>-3155056.29692131</v>
      </c>
      <c r="L107" s="6">
        <f t="shared" ca="1" si="23"/>
        <v>333384.81425697327</v>
      </c>
      <c r="M107" s="6">
        <f t="shared" ca="1" si="24"/>
        <v>282720.89323483885</v>
      </c>
      <c r="N107" s="6">
        <f t="shared" si="30"/>
        <v>5027969.8644209076</v>
      </c>
      <c r="O107" s="6">
        <f t="shared" si="31"/>
        <v>3861595.9081566473</v>
      </c>
      <c r="P107" s="6">
        <f t="shared" si="25"/>
        <v>-115215.035448868</v>
      </c>
      <c r="Q107" s="6">
        <f t="shared" ca="1" si="26"/>
        <v>6235400.1476991884</v>
      </c>
    </row>
    <row r="108" spans="1:17">
      <c r="A108" s="197">
        <v>44866</v>
      </c>
      <c r="B108">
        <f>MONTH(A108)</f>
        <v>11</v>
      </c>
      <c r="C108">
        <f>YEAR(A108)</f>
        <v>2022</v>
      </c>
      <c r="D108" s="6">
        <f>'Monthly Data (14-23) Used'!I108</f>
        <v>6165537.3523487775</v>
      </c>
      <c r="E108" s="7">
        <f t="shared" ca="1" si="32"/>
        <v>404.02065689742301</v>
      </c>
      <c r="F108" s="7">
        <f t="shared" ca="1" si="32"/>
        <v>2.419999999999999</v>
      </c>
      <c r="G108" s="6">
        <f>'Monthly Data (14-23) Used'!BC108</f>
        <v>841987</v>
      </c>
      <c r="H108">
        <f>'Monthly Data (14-23) Used'!CB108</f>
        <v>30</v>
      </c>
      <c r="I108">
        <f>'Monthly Data (14-23) Used'!CA108</f>
        <v>1</v>
      </c>
      <c r="K108" s="6">
        <f t="shared" si="29"/>
        <v>-3155056.29692131</v>
      </c>
      <c r="L108" s="6">
        <f t="shared" ca="1" si="23"/>
        <v>691079.74738445156</v>
      </c>
      <c r="M108" s="6">
        <f t="shared" ca="1" si="24"/>
        <v>17926.335900862752</v>
      </c>
      <c r="N108" s="6">
        <f t="shared" si="30"/>
        <v>5027969.8644209076</v>
      </c>
      <c r="O108" s="6">
        <f t="shared" si="31"/>
        <v>3737028.2982161101</v>
      </c>
      <c r="P108" s="6">
        <f t="shared" si="25"/>
        <v>-115215.035448868</v>
      </c>
      <c r="Q108" s="6">
        <f t="shared" ca="1" si="26"/>
        <v>6203732.9135521539</v>
      </c>
    </row>
    <row r="109" spans="1:17">
      <c r="A109" s="197">
        <v>44896</v>
      </c>
      <c r="B109">
        <f>MONTH(A109)</f>
        <v>12</v>
      </c>
      <c r="C109">
        <f>YEAR(A109)</f>
        <v>2022</v>
      </c>
      <c r="D109" s="6">
        <f>'Monthly Data (14-23) Used'!I109</f>
        <v>6634550.3523487775</v>
      </c>
      <c r="E109" s="7">
        <f t="shared" ca="1" si="32"/>
        <v>533.7700000000001</v>
      </c>
      <c r="F109" s="7">
        <f t="shared" ca="1" si="32"/>
        <v>0</v>
      </c>
      <c r="G109" s="6">
        <f>'Monthly Data (14-23) Used'!BC109</f>
        <v>841987</v>
      </c>
      <c r="H109">
        <f>'Monthly Data (14-23) Used'!CB109</f>
        <v>31</v>
      </c>
      <c r="I109">
        <f>'Monthly Data (14-23) Used'!CA109</f>
        <v>0</v>
      </c>
      <c r="K109" s="6">
        <f t="shared" si="29"/>
        <v>-3155056.29692131</v>
      </c>
      <c r="L109" s="6">
        <f t="shared" ca="1" si="23"/>
        <v>913016.77392958966</v>
      </c>
      <c r="M109" s="6">
        <f t="shared" ca="1" si="24"/>
        <v>0</v>
      </c>
      <c r="N109" s="6">
        <f t="shared" si="30"/>
        <v>5027969.8644209076</v>
      </c>
      <c r="O109" s="6">
        <f t="shared" si="31"/>
        <v>3861595.9081566473</v>
      </c>
      <c r="P109" s="6">
        <f t="shared" si="25"/>
        <v>0</v>
      </c>
      <c r="Q109" s="6">
        <f t="shared" ca="1" si="26"/>
        <v>6647526.2495858343</v>
      </c>
    </row>
    <row r="110" spans="1:17">
      <c r="A110" s="197">
        <v>44927</v>
      </c>
      <c r="B110">
        <f t="shared" ref="B110:B133" si="33">MONTH(A110)</f>
        <v>1</v>
      </c>
      <c r="C110">
        <f t="shared" ref="C110:C133" si="34">YEAR(A110)</f>
        <v>2023</v>
      </c>
      <c r="D110" s="6">
        <f>'Monthly Data (14-23) Used'!I110</f>
        <v>6632556.9823921332</v>
      </c>
      <c r="E110" s="7">
        <f t="shared" ca="1" si="32"/>
        <v>671</v>
      </c>
      <c r="F110" s="7">
        <f t="shared" ca="1" si="32"/>
        <v>0</v>
      </c>
      <c r="G110" s="6">
        <f>'Monthly Data (14-23) Used'!BC110</f>
        <v>848873</v>
      </c>
      <c r="H110">
        <f>'Monthly Data (14-23) Used'!CB110</f>
        <v>31</v>
      </c>
      <c r="I110">
        <f>'Monthly Data (14-23) Used'!CA110</f>
        <v>0</v>
      </c>
      <c r="K110" s="6">
        <f t="shared" si="29"/>
        <v>-3155056.29692131</v>
      </c>
      <c r="L110" s="6">
        <f t="shared" ca="1" si="23"/>
        <v>1147749.5087898432</v>
      </c>
      <c r="M110" s="6">
        <f t="shared" ca="1" si="24"/>
        <v>0</v>
      </c>
      <c r="N110" s="6">
        <f t="shared" si="30"/>
        <v>5069089.9773043627</v>
      </c>
      <c r="O110" s="6">
        <f t="shared" si="31"/>
        <v>3861595.9081566473</v>
      </c>
      <c r="P110" s="6">
        <f t="shared" si="25"/>
        <v>0</v>
      </c>
      <c r="Q110" s="6">
        <f t="shared" ca="1" si="26"/>
        <v>6923379.097329543</v>
      </c>
    </row>
    <row r="111" spans="1:17">
      <c r="A111" s="197">
        <v>44958</v>
      </c>
      <c r="B111">
        <f t="shared" si="33"/>
        <v>2</v>
      </c>
      <c r="C111">
        <f t="shared" si="34"/>
        <v>2023</v>
      </c>
      <c r="D111" s="6">
        <f>'Monthly Data (14-23) Used'!I111</f>
        <v>6092001.2530621132</v>
      </c>
      <c r="E111" s="7">
        <f t="shared" ca="1" si="32"/>
        <v>595.51355229914111</v>
      </c>
      <c r="F111" s="7">
        <f t="shared" ca="1" si="32"/>
        <v>0</v>
      </c>
      <c r="G111" s="6">
        <f>'Monthly Data (14-23) Used'!BC111</f>
        <v>848873</v>
      </c>
      <c r="H111">
        <f>'Monthly Data (14-23) Used'!CB111</f>
        <v>28</v>
      </c>
      <c r="I111">
        <f>'Monthly Data (14-23) Used'!CA111</f>
        <v>0</v>
      </c>
      <c r="K111" s="6">
        <f t="shared" si="29"/>
        <v>-3155056.29692131</v>
      </c>
      <c r="L111" s="6">
        <f t="shared" ca="1" si="23"/>
        <v>1018629.4890149535</v>
      </c>
      <c r="M111" s="6">
        <f t="shared" ca="1" si="24"/>
        <v>0</v>
      </c>
      <c r="N111" s="6">
        <f t="shared" si="30"/>
        <v>5069089.9773043627</v>
      </c>
      <c r="O111" s="6">
        <f t="shared" si="31"/>
        <v>3487893.0783350361</v>
      </c>
      <c r="P111" s="6">
        <f t="shared" si="25"/>
        <v>0</v>
      </c>
      <c r="Q111" s="6">
        <f t="shared" ca="1" si="26"/>
        <v>6420556.2477330416</v>
      </c>
    </row>
    <row r="112" spans="1:17">
      <c r="A112" s="197">
        <v>44986</v>
      </c>
      <c r="B112">
        <f t="shared" ref="B112:B121" si="35">MONTH(A112)</f>
        <v>3</v>
      </c>
      <c r="C112">
        <f t="shared" ref="C112:C121" si="36">YEAR(A112)</f>
        <v>2023</v>
      </c>
      <c r="D112" s="6">
        <f>'Monthly Data (14-23) Used'!I112</f>
        <v>6511113.9685091265</v>
      </c>
      <c r="E112" s="7">
        <f t="shared" ref="E112:F121" ca="1" si="37">E100</f>
        <v>496.46355229914104</v>
      </c>
      <c r="F112" s="7">
        <f t="shared" ca="1" si="37"/>
        <v>0.16999999999999993</v>
      </c>
      <c r="G112" s="6">
        <f>'Monthly Data (14-23) Used'!BC112</f>
        <v>848873</v>
      </c>
      <c r="H112">
        <f>'Monthly Data (14-23) Used'!CB112</f>
        <v>31</v>
      </c>
      <c r="I112">
        <f>'Monthly Data (14-23) Used'!CA112</f>
        <v>1</v>
      </c>
      <c r="K112" s="6">
        <f t="shared" si="29"/>
        <v>-3155056.29692131</v>
      </c>
      <c r="L112" s="6">
        <f t="shared" ref="L112:L121" ca="1" si="38">E112*$T$10</f>
        <v>849203.87225543917</v>
      </c>
      <c r="M112" s="6">
        <f t="shared" ref="M112:M121" ca="1" si="39">F112*$T$11</f>
        <v>1259.2880591515157</v>
      </c>
      <c r="N112" s="6">
        <f t="shared" ref="N112:N121" si="40">G112*$T$12</f>
        <v>5069089.9773043627</v>
      </c>
      <c r="O112" s="6">
        <f t="shared" ref="O112:O121" si="41">H112*$T$13</f>
        <v>3861595.9081566473</v>
      </c>
      <c r="P112" s="6">
        <f t="shared" ref="P112:P121" si="42">I112*$T$14</f>
        <v>-115215.035448868</v>
      </c>
      <c r="Q112" s="6">
        <f t="shared" ref="Q112:Q121" ca="1" si="43">SUM(K112:P112)</f>
        <v>6510877.7134054229</v>
      </c>
    </row>
    <row r="113" spans="1:17">
      <c r="A113" s="197">
        <v>45017</v>
      </c>
      <c r="B113">
        <f t="shared" si="35"/>
        <v>4</v>
      </c>
      <c r="C113">
        <f t="shared" si="36"/>
        <v>2023</v>
      </c>
      <c r="D113" s="6">
        <f>'Monthly Data (14-23) Used'!I113</f>
        <v>5983004.3456301186</v>
      </c>
      <c r="E113" s="7">
        <f t="shared" ca="1" si="37"/>
        <v>296.23000000000008</v>
      </c>
      <c r="F113" s="7">
        <f t="shared" ca="1" si="37"/>
        <v>8.7799999999999994</v>
      </c>
      <c r="G113" s="6">
        <f>'Monthly Data (14-23) Used'!BC113</f>
        <v>852586</v>
      </c>
      <c r="H113">
        <f>'Monthly Data (14-23) Used'!CB113</f>
        <v>30</v>
      </c>
      <c r="I113">
        <f>'Monthly Data (14-23) Used'!CA113</f>
        <v>1</v>
      </c>
      <c r="K113" s="6">
        <f t="shared" si="29"/>
        <v>-3155056.29692131</v>
      </c>
      <c r="L113" s="6">
        <f t="shared" ca="1" si="38"/>
        <v>506703.18478213908</v>
      </c>
      <c r="M113" s="6">
        <f t="shared" ca="1" si="39"/>
        <v>65038.524466766539</v>
      </c>
      <c r="N113" s="6">
        <f t="shared" si="40"/>
        <v>5091262.3530139579</v>
      </c>
      <c r="O113" s="6">
        <f t="shared" si="41"/>
        <v>3737028.2982161101</v>
      </c>
      <c r="P113" s="6">
        <f t="shared" si="42"/>
        <v>-115215.035448868</v>
      </c>
      <c r="Q113" s="6">
        <f t="shared" ca="1" si="43"/>
        <v>6129761.0281087961</v>
      </c>
    </row>
    <row r="114" spans="1:17">
      <c r="A114" s="197">
        <v>45047</v>
      </c>
      <c r="B114">
        <f t="shared" si="35"/>
        <v>5</v>
      </c>
      <c r="C114">
        <f t="shared" si="36"/>
        <v>2023</v>
      </c>
      <c r="D114" s="6">
        <f>'Monthly Data (14-23) Used'!I114</f>
        <v>6178583.7201271262</v>
      </c>
      <c r="E114" s="7">
        <f t="shared" ca="1" si="37"/>
        <v>116.90355229914098</v>
      </c>
      <c r="F114" s="7">
        <f t="shared" ca="1" si="37"/>
        <v>84.676447700859015</v>
      </c>
      <c r="G114" s="6">
        <f>'Monthly Data (14-23) Used'!BC114</f>
        <v>852586</v>
      </c>
      <c r="H114">
        <f>'Monthly Data (14-23) Used'!CB114</f>
        <v>31</v>
      </c>
      <c r="I114">
        <f>'Monthly Data (14-23) Used'!CA114</f>
        <v>1</v>
      </c>
      <c r="K114" s="6">
        <f t="shared" si="29"/>
        <v>-3155056.29692131</v>
      </c>
      <c r="L114" s="6">
        <f t="shared" ca="1" si="38"/>
        <v>199964.22463059134</v>
      </c>
      <c r="M114" s="6">
        <f t="shared" ca="1" si="39"/>
        <v>627247.29106505658</v>
      </c>
      <c r="N114" s="6">
        <f t="shared" si="40"/>
        <v>5091262.3530139579</v>
      </c>
      <c r="O114" s="6">
        <f t="shared" si="41"/>
        <v>3861595.9081566473</v>
      </c>
      <c r="P114" s="6">
        <f t="shared" si="42"/>
        <v>-115215.035448868</v>
      </c>
      <c r="Q114" s="6">
        <f t="shared" ca="1" si="43"/>
        <v>6509798.4444960756</v>
      </c>
    </row>
    <row r="115" spans="1:17">
      <c r="A115" s="197">
        <v>45078</v>
      </c>
      <c r="B115">
        <f t="shared" si="35"/>
        <v>6</v>
      </c>
      <c r="C115">
        <f t="shared" si="36"/>
        <v>2023</v>
      </c>
      <c r="D115" s="6">
        <f>'Monthly Data (14-23) Used'!I115</f>
        <v>6628058.2686011204</v>
      </c>
      <c r="E115" s="7">
        <f t="shared" ca="1" si="37"/>
        <v>11.023552299140979</v>
      </c>
      <c r="F115" s="7">
        <f t="shared" ca="1" si="37"/>
        <v>202.63644770085901</v>
      </c>
      <c r="G115" s="6">
        <f>'Monthly Data (14-23) Used'!BC115</f>
        <v>852586</v>
      </c>
      <c r="H115">
        <f>'Monthly Data (14-23) Used'!CB115</f>
        <v>30</v>
      </c>
      <c r="I115">
        <f>'Monthly Data (14-23) Used'!CA115</f>
        <v>0</v>
      </c>
      <c r="K115" s="6">
        <f t="shared" si="29"/>
        <v>-3155056.29692131</v>
      </c>
      <c r="L115" s="6">
        <f t="shared" ca="1" si="38"/>
        <v>18855.852066256637</v>
      </c>
      <c r="M115" s="6">
        <f t="shared" ca="1" si="39"/>
        <v>1501045.0525798379</v>
      </c>
      <c r="N115" s="6">
        <f t="shared" si="40"/>
        <v>5091262.3530139579</v>
      </c>
      <c r="O115" s="6">
        <f t="shared" si="41"/>
        <v>3737028.2982161101</v>
      </c>
      <c r="P115" s="6">
        <f t="shared" si="42"/>
        <v>0</v>
      </c>
      <c r="Q115" s="6">
        <f t="shared" ca="1" si="43"/>
        <v>7193135.2589548528</v>
      </c>
    </row>
    <row r="116" spans="1:17">
      <c r="A116" s="197">
        <v>45108</v>
      </c>
      <c r="B116">
        <f t="shared" si="35"/>
        <v>7</v>
      </c>
      <c r="C116">
        <f t="shared" si="36"/>
        <v>2023</v>
      </c>
      <c r="D116" s="6">
        <f>'Monthly Data (14-23) Used'!I116</f>
        <v>7467103.0032031108</v>
      </c>
      <c r="E116" s="7">
        <f t="shared" ca="1" si="37"/>
        <v>0.75</v>
      </c>
      <c r="F116" s="7">
        <f t="shared" ca="1" si="37"/>
        <v>273.21289540171807</v>
      </c>
      <c r="G116" s="6">
        <f>'Monthly Data (14-23) Used'!BC116</f>
        <v>852629</v>
      </c>
      <c r="H116">
        <f>'Monthly Data (14-23) Used'!CB116</f>
        <v>31</v>
      </c>
      <c r="I116">
        <f>'Monthly Data (14-23) Used'!CA116</f>
        <v>0</v>
      </c>
      <c r="K116" s="6">
        <f t="shared" si="29"/>
        <v>-3155056.29692131</v>
      </c>
      <c r="L116" s="6">
        <f t="shared" ca="1" si="38"/>
        <v>1282.87948076361</v>
      </c>
      <c r="M116" s="6">
        <f t="shared" ca="1" si="39"/>
        <v>2023845.5105035044</v>
      </c>
      <c r="N116" s="6">
        <f t="shared" si="40"/>
        <v>5091519.1297862483</v>
      </c>
      <c r="O116" s="6">
        <f t="shared" si="41"/>
        <v>3861595.9081566473</v>
      </c>
      <c r="P116" s="6">
        <f t="shared" si="42"/>
        <v>0</v>
      </c>
      <c r="Q116" s="6">
        <f t="shared" ca="1" si="43"/>
        <v>7823187.1310058534</v>
      </c>
    </row>
    <row r="117" spans="1:17">
      <c r="A117" s="197">
        <v>45139</v>
      </c>
      <c r="B117">
        <f t="shared" si="35"/>
        <v>8</v>
      </c>
      <c r="C117">
        <f t="shared" si="36"/>
        <v>2023</v>
      </c>
      <c r="D117" s="6">
        <f>'Monthly Data (14-23) Used'!I117</f>
        <v>7241241.0790991215</v>
      </c>
      <c r="E117" s="7">
        <f t="shared" ca="1" si="37"/>
        <v>2.7971045982819609</v>
      </c>
      <c r="F117" s="7">
        <f t="shared" ca="1" si="37"/>
        <v>245.37605861546234</v>
      </c>
      <c r="G117" s="6">
        <f>'Monthly Data (14-23) Used'!BC117</f>
        <v>852629</v>
      </c>
      <c r="H117">
        <f>'Monthly Data (14-23) Used'!CB117</f>
        <v>31</v>
      </c>
      <c r="I117">
        <f>'Monthly Data (14-23) Used'!CA117</f>
        <v>0</v>
      </c>
      <c r="K117" s="6">
        <f t="shared" si="29"/>
        <v>-3155056.29692131</v>
      </c>
      <c r="L117" s="6">
        <f t="shared" ca="1" si="38"/>
        <v>4784.4641262472906</v>
      </c>
      <c r="M117" s="6">
        <f t="shared" ca="1" si="39"/>
        <v>1817642.0036242013</v>
      </c>
      <c r="N117" s="6">
        <f t="shared" si="40"/>
        <v>5091519.1297862483</v>
      </c>
      <c r="O117" s="6">
        <f t="shared" si="41"/>
        <v>3861595.9081566473</v>
      </c>
      <c r="P117" s="6">
        <f t="shared" si="42"/>
        <v>0</v>
      </c>
      <c r="Q117" s="6">
        <f t="shared" ca="1" si="43"/>
        <v>7620485.2087720344</v>
      </c>
    </row>
    <row r="118" spans="1:17">
      <c r="A118" s="197">
        <v>45170</v>
      </c>
      <c r="B118">
        <f t="shared" si="35"/>
        <v>9</v>
      </c>
      <c r="C118">
        <f t="shared" si="36"/>
        <v>2023</v>
      </c>
      <c r="D118" s="6">
        <f>'Monthly Data (14-23) Used'!I118</f>
        <v>6559154.6408421202</v>
      </c>
      <c r="E118" s="7">
        <f t="shared" ca="1" si="37"/>
        <v>39.200656897422931</v>
      </c>
      <c r="F118" s="7">
        <f t="shared" ca="1" si="37"/>
        <v>139.01579080343606</v>
      </c>
      <c r="G118" s="6">
        <f>'Monthly Data (14-23) Used'!BC118</f>
        <v>852629</v>
      </c>
      <c r="H118">
        <f>'Monthly Data (14-23) Used'!CB118</f>
        <v>30</v>
      </c>
      <c r="I118">
        <f>'Monthly Data (14-23) Used'!CA118</f>
        <v>0</v>
      </c>
      <c r="K118" s="6">
        <f t="shared" si="29"/>
        <v>-3155056.29692131</v>
      </c>
      <c r="L118" s="6">
        <f t="shared" ca="1" si="38"/>
        <v>67052.957821544478</v>
      </c>
      <c r="M118" s="6">
        <f t="shared" ca="1" si="39"/>
        <v>1029770.149366307</v>
      </c>
      <c r="N118" s="6">
        <f t="shared" si="40"/>
        <v>5091519.1297862483</v>
      </c>
      <c r="O118" s="6">
        <f t="shared" si="41"/>
        <v>3737028.2982161101</v>
      </c>
      <c r="P118" s="6">
        <f t="shared" si="42"/>
        <v>0</v>
      </c>
      <c r="Q118" s="6">
        <f t="shared" ca="1" si="43"/>
        <v>6770314.2382688997</v>
      </c>
    </row>
    <row r="119" spans="1:17">
      <c r="A119" s="197">
        <v>45200</v>
      </c>
      <c r="B119">
        <f t="shared" si="35"/>
        <v>10</v>
      </c>
      <c r="C119">
        <f t="shared" si="36"/>
        <v>2023</v>
      </c>
      <c r="D119" s="6">
        <f>'Monthly Data (14-23) Used'!I119</f>
        <v>6056406.6039701235</v>
      </c>
      <c r="E119" s="7">
        <f t="shared" ca="1" si="37"/>
        <v>194.90420919656393</v>
      </c>
      <c r="F119" s="7">
        <f t="shared" ca="1" si="37"/>
        <v>38.166447700859024</v>
      </c>
      <c r="G119" s="6">
        <f>'Monthly Data (14-23) Used'!BC119</f>
        <v>852090.84400000004</v>
      </c>
      <c r="H119">
        <f>'Monthly Data (14-23) Used'!CB119</f>
        <v>31</v>
      </c>
      <c r="I119">
        <f>'Monthly Data (14-23) Used'!CA119</f>
        <v>1</v>
      </c>
      <c r="K119" s="6">
        <f t="shared" si="29"/>
        <v>-3155056.29692131</v>
      </c>
      <c r="L119" s="6">
        <f t="shared" ca="1" si="38"/>
        <v>333384.81425697327</v>
      </c>
      <c r="M119" s="6">
        <f t="shared" ca="1" si="39"/>
        <v>282720.89323483885</v>
      </c>
      <c r="N119" s="6">
        <f t="shared" si="40"/>
        <v>5088305.5027939584</v>
      </c>
      <c r="O119" s="6">
        <f t="shared" si="41"/>
        <v>3861595.9081566473</v>
      </c>
      <c r="P119" s="6">
        <f t="shared" si="42"/>
        <v>-115215.035448868</v>
      </c>
      <c r="Q119" s="6">
        <f t="shared" ca="1" si="43"/>
        <v>6295735.7860722393</v>
      </c>
    </row>
    <row r="120" spans="1:17">
      <c r="A120" s="197">
        <v>45231</v>
      </c>
      <c r="B120">
        <f t="shared" si="35"/>
        <v>11</v>
      </c>
      <c r="C120">
        <f t="shared" si="36"/>
        <v>2023</v>
      </c>
      <c r="D120" s="6">
        <f>'Monthly Data (14-23) Used'!I120</f>
        <v>6059588.0768571198</v>
      </c>
      <c r="E120" s="7">
        <f t="shared" ca="1" si="37"/>
        <v>404.02065689742301</v>
      </c>
      <c r="F120" s="7">
        <f t="shared" ca="1" si="37"/>
        <v>2.419999999999999</v>
      </c>
      <c r="G120" s="6">
        <f>'Monthly Data (14-23) Used'!BC120</f>
        <v>852090.84400000004</v>
      </c>
      <c r="H120">
        <f>'Monthly Data (14-23) Used'!CB120</f>
        <v>30</v>
      </c>
      <c r="I120">
        <f>'Monthly Data (14-23) Used'!CA120</f>
        <v>1</v>
      </c>
      <c r="K120" s="6">
        <f t="shared" si="29"/>
        <v>-3155056.29692131</v>
      </c>
      <c r="L120" s="6">
        <f t="shared" ca="1" si="38"/>
        <v>691079.74738445156</v>
      </c>
      <c r="M120" s="6">
        <f t="shared" ca="1" si="39"/>
        <v>17926.335900862752</v>
      </c>
      <c r="N120" s="6">
        <f t="shared" si="40"/>
        <v>5088305.5027939584</v>
      </c>
      <c r="O120" s="6">
        <f t="shared" si="41"/>
        <v>3737028.2982161101</v>
      </c>
      <c r="P120" s="6">
        <f t="shared" si="42"/>
        <v>-115215.035448868</v>
      </c>
      <c r="Q120" s="6">
        <f t="shared" ca="1" si="43"/>
        <v>6264068.5519252047</v>
      </c>
    </row>
    <row r="121" spans="1:17">
      <c r="A121" s="197">
        <v>45261</v>
      </c>
      <c r="B121">
        <f t="shared" si="35"/>
        <v>12</v>
      </c>
      <c r="C121">
        <f t="shared" si="36"/>
        <v>2023</v>
      </c>
      <c r="D121" s="6">
        <f>'Monthly Data (14-23) Used'!I121</f>
        <v>6250104.4957341198</v>
      </c>
      <c r="E121" s="7">
        <f t="shared" ca="1" si="37"/>
        <v>533.7700000000001</v>
      </c>
      <c r="F121" s="7">
        <f t="shared" ca="1" si="37"/>
        <v>0</v>
      </c>
      <c r="G121" s="6">
        <f>'Monthly Data (14-23) Used'!BC121</f>
        <v>852090.84400000004</v>
      </c>
      <c r="H121">
        <f>'Monthly Data (14-23) Used'!CB121</f>
        <v>31</v>
      </c>
      <c r="I121">
        <f>'Monthly Data (14-23) Used'!CA121</f>
        <v>0</v>
      </c>
      <c r="K121" s="6">
        <f t="shared" si="29"/>
        <v>-3155056.29692131</v>
      </c>
      <c r="L121" s="6">
        <f t="shared" ca="1" si="38"/>
        <v>913016.77392958966</v>
      </c>
      <c r="M121" s="6">
        <f t="shared" ca="1" si="39"/>
        <v>0</v>
      </c>
      <c r="N121" s="6">
        <f t="shared" si="40"/>
        <v>5088305.5027939584</v>
      </c>
      <c r="O121" s="6">
        <f t="shared" si="41"/>
        <v>3861595.9081566473</v>
      </c>
      <c r="P121" s="6">
        <f t="shared" si="42"/>
        <v>0</v>
      </c>
      <c r="Q121" s="6">
        <f t="shared" ca="1" si="43"/>
        <v>6707861.8879588852</v>
      </c>
    </row>
    <row r="122" spans="1:17">
      <c r="A122" s="197">
        <v>45292</v>
      </c>
      <c r="B122">
        <f t="shared" si="33"/>
        <v>1</v>
      </c>
      <c r="C122">
        <f t="shared" si="34"/>
        <v>2024</v>
      </c>
      <c r="D122" s="6"/>
      <c r="E122" s="7">
        <f t="shared" ref="E122:F133" ca="1" si="44">E110</f>
        <v>671</v>
      </c>
      <c r="F122" s="7">
        <f t="shared" ca="1" si="44"/>
        <v>0</v>
      </c>
      <c r="G122" s="4">
        <f>'Economic Data'!Q148</f>
        <v>853966.23800000001</v>
      </c>
      <c r="H122">
        <f t="shared" ref="H122:I145" si="45">H74</f>
        <v>31</v>
      </c>
      <c r="I122">
        <f t="shared" si="45"/>
        <v>0</v>
      </c>
      <c r="K122" s="6">
        <f t="shared" ref="K122:K145" si="46">$T$9</f>
        <v>-3155056.29692131</v>
      </c>
      <c r="L122" s="6">
        <f t="shared" ref="L122:L133" ca="1" si="47">E122*$T$10</f>
        <v>1147749.5087898432</v>
      </c>
      <c r="M122" s="6">
        <f t="shared" ref="M122:M133" ca="1" si="48">F122*$T$11</f>
        <v>0</v>
      </c>
      <c r="N122" s="6">
        <f t="shared" ref="N122:N133" si="49">G122*$T$12</f>
        <v>5099504.5171681894</v>
      </c>
      <c r="O122" s="6">
        <f t="shared" si="31"/>
        <v>3861595.9081566473</v>
      </c>
      <c r="P122" s="6">
        <f t="shared" ref="P122:P145" si="50">I122*$T$14</f>
        <v>0</v>
      </c>
      <c r="Q122" s="6">
        <f t="shared" ref="Q122:Q145" ca="1" si="51">SUM(K122:P122)</f>
        <v>6953793.6371933697</v>
      </c>
    </row>
    <row r="123" spans="1:17">
      <c r="A123" s="197">
        <v>45323</v>
      </c>
      <c r="B123">
        <f t="shared" si="33"/>
        <v>2</v>
      </c>
      <c r="C123">
        <f t="shared" si="34"/>
        <v>2024</v>
      </c>
      <c r="D123" s="6"/>
      <c r="E123" s="7">
        <f t="shared" ca="1" si="44"/>
        <v>595.51355229914111</v>
      </c>
      <c r="F123" s="7">
        <f t="shared" ca="1" si="44"/>
        <v>0</v>
      </c>
      <c r="G123" s="4">
        <f>'Economic Data'!Q149</f>
        <v>853966.23800000001</v>
      </c>
      <c r="H123">
        <f t="shared" si="45"/>
        <v>29</v>
      </c>
      <c r="I123">
        <f t="shared" si="45"/>
        <v>0</v>
      </c>
      <c r="K123" s="6">
        <f t="shared" si="46"/>
        <v>-3155056.29692131</v>
      </c>
      <c r="L123" s="6">
        <f t="shared" ca="1" si="47"/>
        <v>1018629.4890149535</v>
      </c>
      <c r="M123" s="6">
        <f t="shared" ca="1" si="48"/>
        <v>0</v>
      </c>
      <c r="N123" s="6">
        <f t="shared" si="49"/>
        <v>5099504.5171681894</v>
      </c>
      <c r="O123" s="6">
        <f t="shared" si="31"/>
        <v>3612460.6882755733</v>
      </c>
      <c r="P123" s="6">
        <f t="shared" si="50"/>
        <v>0</v>
      </c>
      <c r="Q123" s="6">
        <f t="shared" ca="1" si="51"/>
        <v>6575538.3975374065</v>
      </c>
    </row>
    <row r="124" spans="1:17">
      <c r="A124" s="197">
        <v>45352</v>
      </c>
      <c r="B124">
        <f t="shared" si="33"/>
        <v>3</v>
      </c>
      <c r="C124">
        <f t="shared" si="34"/>
        <v>2024</v>
      </c>
      <c r="D124" s="6"/>
      <c r="E124" s="7">
        <f t="shared" ca="1" si="44"/>
        <v>496.46355229914104</v>
      </c>
      <c r="F124" s="7">
        <f t="shared" ca="1" si="44"/>
        <v>0.16999999999999993</v>
      </c>
      <c r="G124" s="4">
        <f>'Economic Data'!Q150</f>
        <v>853966.23800000001</v>
      </c>
      <c r="H124">
        <f t="shared" si="45"/>
        <v>31</v>
      </c>
      <c r="I124">
        <f t="shared" si="45"/>
        <v>1</v>
      </c>
      <c r="K124" s="6">
        <f t="shared" si="46"/>
        <v>-3155056.29692131</v>
      </c>
      <c r="L124" s="6">
        <f t="shared" ca="1" si="47"/>
        <v>849203.87225543917</v>
      </c>
      <c r="M124" s="6">
        <f t="shared" ca="1" si="48"/>
        <v>1259.2880591515157</v>
      </c>
      <c r="N124" s="6">
        <f t="shared" si="49"/>
        <v>5099504.5171681894</v>
      </c>
      <c r="O124" s="6">
        <f t="shared" si="31"/>
        <v>3861595.9081566473</v>
      </c>
      <c r="P124" s="6">
        <f t="shared" si="50"/>
        <v>-115215.035448868</v>
      </c>
      <c r="Q124" s="6">
        <f t="shared" ca="1" si="51"/>
        <v>6541292.2532692496</v>
      </c>
    </row>
    <row r="125" spans="1:17">
      <c r="A125" s="197">
        <v>45383</v>
      </c>
      <c r="B125">
        <f t="shared" si="33"/>
        <v>4</v>
      </c>
      <c r="C125">
        <f t="shared" si="34"/>
        <v>2024</v>
      </c>
      <c r="D125" s="6"/>
      <c r="E125" s="7">
        <f t="shared" ca="1" si="44"/>
        <v>296.23000000000008</v>
      </c>
      <c r="F125" s="7">
        <f t="shared" ca="1" si="44"/>
        <v>8.7799999999999994</v>
      </c>
      <c r="G125" s="4">
        <f>'Economic Data'!Q151</f>
        <v>857701.51600000006</v>
      </c>
      <c r="H125">
        <f t="shared" si="45"/>
        <v>30</v>
      </c>
      <c r="I125">
        <f t="shared" si="45"/>
        <v>1</v>
      </c>
      <c r="K125" s="6">
        <f t="shared" si="46"/>
        <v>-3155056.29692131</v>
      </c>
      <c r="L125" s="6">
        <f t="shared" ca="1" si="47"/>
        <v>506703.18478213908</v>
      </c>
      <c r="M125" s="6">
        <f t="shared" ca="1" si="48"/>
        <v>65038.524466766539</v>
      </c>
      <c r="N125" s="6">
        <f t="shared" si="49"/>
        <v>5121809.9271320421</v>
      </c>
      <c r="O125" s="6">
        <f t="shared" si="31"/>
        <v>3737028.2982161101</v>
      </c>
      <c r="P125" s="6">
        <f t="shared" si="50"/>
        <v>-115215.035448868</v>
      </c>
      <c r="Q125" s="6">
        <f t="shared" ca="1" si="51"/>
        <v>6160308.6022268794</v>
      </c>
    </row>
    <row r="126" spans="1:17">
      <c r="A126" s="197">
        <v>45413</v>
      </c>
      <c r="B126">
        <f t="shared" si="33"/>
        <v>5</v>
      </c>
      <c r="C126">
        <f t="shared" si="34"/>
        <v>2024</v>
      </c>
      <c r="D126" s="6"/>
      <c r="E126" s="7">
        <f t="shared" ca="1" si="44"/>
        <v>116.90355229914098</v>
      </c>
      <c r="F126" s="7">
        <f t="shared" ca="1" si="44"/>
        <v>84.676447700859015</v>
      </c>
      <c r="G126" s="4">
        <f>'Economic Data'!Q152</f>
        <v>857701.51600000006</v>
      </c>
      <c r="H126">
        <f t="shared" si="45"/>
        <v>31</v>
      </c>
      <c r="I126">
        <f t="shared" si="45"/>
        <v>1</v>
      </c>
      <c r="K126" s="6">
        <f t="shared" si="46"/>
        <v>-3155056.29692131</v>
      </c>
      <c r="L126" s="6">
        <f t="shared" ca="1" si="47"/>
        <v>199964.22463059134</v>
      </c>
      <c r="M126" s="6">
        <f t="shared" ca="1" si="48"/>
        <v>627247.29106505658</v>
      </c>
      <c r="N126" s="6">
        <f t="shared" si="49"/>
        <v>5121809.9271320421</v>
      </c>
      <c r="O126" s="6">
        <f t="shared" si="31"/>
        <v>3861595.9081566473</v>
      </c>
      <c r="P126" s="6">
        <f t="shared" si="50"/>
        <v>-115215.035448868</v>
      </c>
      <c r="Q126" s="6">
        <f t="shared" ca="1" si="51"/>
        <v>6540346.0186141599</v>
      </c>
    </row>
    <row r="127" spans="1:17">
      <c r="A127" s="197">
        <v>45444</v>
      </c>
      <c r="B127">
        <f t="shared" si="33"/>
        <v>6</v>
      </c>
      <c r="C127">
        <f t="shared" si="34"/>
        <v>2024</v>
      </c>
      <c r="D127" s="6"/>
      <c r="E127" s="7">
        <f t="shared" ca="1" si="44"/>
        <v>11.023552299140979</v>
      </c>
      <c r="F127" s="7">
        <f t="shared" ca="1" si="44"/>
        <v>202.63644770085901</v>
      </c>
      <c r="G127" s="4">
        <f>'Economic Data'!Q153</f>
        <v>857701.51600000006</v>
      </c>
      <c r="H127">
        <f t="shared" si="45"/>
        <v>30</v>
      </c>
      <c r="I127">
        <f t="shared" si="45"/>
        <v>0</v>
      </c>
      <c r="K127" s="6">
        <f t="shared" si="46"/>
        <v>-3155056.29692131</v>
      </c>
      <c r="L127" s="6">
        <f t="shared" ca="1" si="47"/>
        <v>18855.852066256637</v>
      </c>
      <c r="M127" s="6">
        <f t="shared" ca="1" si="48"/>
        <v>1501045.0525798379</v>
      </c>
      <c r="N127" s="6">
        <f t="shared" si="49"/>
        <v>5121809.9271320421</v>
      </c>
      <c r="O127" s="6">
        <f t="shared" si="31"/>
        <v>3737028.2982161101</v>
      </c>
      <c r="P127" s="6">
        <f t="shared" si="50"/>
        <v>0</v>
      </c>
      <c r="Q127" s="6">
        <f t="shared" ca="1" si="51"/>
        <v>7223682.8330729362</v>
      </c>
    </row>
    <row r="128" spans="1:17">
      <c r="A128" s="197">
        <v>45474</v>
      </c>
      <c r="B128">
        <f t="shared" si="33"/>
        <v>7</v>
      </c>
      <c r="C128">
        <f t="shared" si="34"/>
        <v>2024</v>
      </c>
      <c r="D128" s="6"/>
      <c r="E128" s="7">
        <f t="shared" ca="1" si="44"/>
        <v>0.75</v>
      </c>
      <c r="F128" s="7">
        <f t="shared" ca="1" si="44"/>
        <v>273.21289540171807</v>
      </c>
      <c r="G128" s="4">
        <f>'Economic Data'!Q154</f>
        <v>857744.77399999998</v>
      </c>
      <c r="H128">
        <f t="shared" si="45"/>
        <v>31</v>
      </c>
      <c r="I128">
        <f t="shared" si="45"/>
        <v>0</v>
      </c>
      <c r="K128" s="6">
        <f t="shared" si="46"/>
        <v>-3155056.29692131</v>
      </c>
      <c r="L128" s="6">
        <f t="shared" ca="1" si="47"/>
        <v>1282.87948076361</v>
      </c>
      <c r="M128" s="6">
        <f t="shared" ca="1" si="48"/>
        <v>2023845.5105035044</v>
      </c>
      <c r="N128" s="6">
        <f t="shared" si="49"/>
        <v>5122068.2445649654</v>
      </c>
      <c r="O128" s="6">
        <f t="shared" si="31"/>
        <v>3861595.9081566473</v>
      </c>
      <c r="P128" s="6">
        <f t="shared" si="50"/>
        <v>0</v>
      </c>
      <c r="Q128" s="6">
        <f t="shared" ca="1" si="51"/>
        <v>7853736.2457845714</v>
      </c>
    </row>
    <row r="129" spans="1:17">
      <c r="A129" s="197">
        <v>45505</v>
      </c>
      <c r="B129">
        <f t="shared" si="33"/>
        <v>8</v>
      </c>
      <c r="C129">
        <f t="shared" si="34"/>
        <v>2024</v>
      </c>
      <c r="D129" s="6"/>
      <c r="E129" s="7">
        <f t="shared" ca="1" si="44"/>
        <v>2.7971045982819609</v>
      </c>
      <c r="F129" s="7">
        <f t="shared" ca="1" si="44"/>
        <v>245.37605861546234</v>
      </c>
      <c r="G129" s="4">
        <f>'Economic Data'!Q155</f>
        <v>857744.77399999998</v>
      </c>
      <c r="H129">
        <f t="shared" si="45"/>
        <v>31</v>
      </c>
      <c r="I129">
        <f t="shared" si="45"/>
        <v>0</v>
      </c>
      <c r="K129" s="6">
        <f t="shared" si="46"/>
        <v>-3155056.29692131</v>
      </c>
      <c r="L129" s="6">
        <f t="shared" ca="1" si="47"/>
        <v>4784.4641262472906</v>
      </c>
      <c r="M129" s="6">
        <f t="shared" ca="1" si="48"/>
        <v>1817642.0036242013</v>
      </c>
      <c r="N129" s="6">
        <f t="shared" si="49"/>
        <v>5122068.2445649654</v>
      </c>
      <c r="O129" s="6">
        <f t="shared" si="31"/>
        <v>3861595.9081566473</v>
      </c>
      <c r="P129" s="6">
        <f t="shared" si="50"/>
        <v>0</v>
      </c>
      <c r="Q129" s="6">
        <f t="shared" ca="1" si="51"/>
        <v>7651034.3235507514</v>
      </c>
    </row>
    <row r="130" spans="1:17">
      <c r="A130" s="197">
        <v>45536</v>
      </c>
      <c r="B130">
        <f t="shared" si="33"/>
        <v>9</v>
      </c>
      <c r="C130">
        <f t="shared" si="34"/>
        <v>2024</v>
      </c>
      <c r="D130" s="6"/>
      <c r="E130" s="7">
        <f t="shared" ca="1" si="44"/>
        <v>39.200656897422931</v>
      </c>
      <c r="F130" s="7">
        <f t="shared" ca="1" si="44"/>
        <v>139.01579080343606</v>
      </c>
      <c r="G130" s="4">
        <f>'Economic Data'!Q156</f>
        <v>857744.77399999998</v>
      </c>
      <c r="H130">
        <f t="shared" si="45"/>
        <v>30</v>
      </c>
      <c r="I130">
        <f t="shared" si="45"/>
        <v>0</v>
      </c>
      <c r="K130" s="6">
        <f t="shared" si="46"/>
        <v>-3155056.29692131</v>
      </c>
      <c r="L130" s="6">
        <f t="shared" ca="1" si="47"/>
        <v>67052.957821544478</v>
      </c>
      <c r="M130" s="6">
        <f t="shared" ca="1" si="48"/>
        <v>1029770.149366307</v>
      </c>
      <c r="N130" s="6">
        <f t="shared" si="49"/>
        <v>5122068.2445649654</v>
      </c>
      <c r="O130" s="6">
        <f t="shared" si="31"/>
        <v>3737028.2982161101</v>
      </c>
      <c r="P130" s="6">
        <f t="shared" si="50"/>
        <v>0</v>
      </c>
      <c r="Q130" s="6">
        <f t="shared" ca="1" si="51"/>
        <v>6800863.3530476168</v>
      </c>
    </row>
    <row r="131" spans="1:17">
      <c r="A131" s="197">
        <v>45566</v>
      </c>
      <c r="B131">
        <f t="shared" si="33"/>
        <v>10</v>
      </c>
      <c r="C131">
        <f t="shared" si="34"/>
        <v>2024</v>
      </c>
      <c r="D131" s="6"/>
      <c r="E131" s="7">
        <f t="shared" ca="1" si="44"/>
        <v>194.90420919656393</v>
      </c>
      <c r="F131" s="7">
        <f t="shared" ca="1" si="44"/>
        <v>38.166447700859024</v>
      </c>
      <c r="G131" s="4">
        <f>'Economic Data'!Q157</f>
        <v>857203.38906399999</v>
      </c>
      <c r="H131">
        <f t="shared" si="45"/>
        <v>31</v>
      </c>
      <c r="I131">
        <f t="shared" si="45"/>
        <v>1</v>
      </c>
      <c r="K131" s="6">
        <f t="shared" si="46"/>
        <v>-3155056.29692131</v>
      </c>
      <c r="L131" s="6">
        <f t="shared" ca="1" si="47"/>
        <v>333384.81425697327</v>
      </c>
      <c r="M131" s="6">
        <f t="shared" ca="1" si="48"/>
        <v>282720.89323483885</v>
      </c>
      <c r="N131" s="6">
        <f t="shared" si="49"/>
        <v>5118835.3358107219</v>
      </c>
      <c r="O131" s="6">
        <f t="shared" si="31"/>
        <v>3861595.9081566473</v>
      </c>
      <c r="P131" s="6">
        <f t="shared" si="50"/>
        <v>-115215.035448868</v>
      </c>
      <c r="Q131" s="6">
        <f t="shared" ca="1" si="51"/>
        <v>6326265.6190890037</v>
      </c>
    </row>
    <row r="132" spans="1:17">
      <c r="A132" s="197">
        <v>45597</v>
      </c>
      <c r="B132">
        <f t="shared" si="33"/>
        <v>11</v>
      </c>
      <c r="C132">
        <f t="shared" si="34"/>
        <v>2024</v>
      </c>
      <c r="D132" s="6"/>
      <c r="E132" s="7">
        <f t="shared" ca="1" si="44"/>
        <v>404.02065689742301</v>
      </c>
      <c r="F132" s="7">
        <f t="shared" ca="1" si="44"/>
        <v>2.419999999999999</v>
      </c>
      <c r="G132" s="4">
        <f>'Economic Data'!Q158</f>
        <v>857203.38906399999</v>
      </c>
      <c r="H132">
        <f t="shared" si="45"/>
        <v>30</v>
      </c>
      <c r="I132">
        <f t="shared" si="45"/>
        <v>1</v>
      </c>
      <c r="K132" s="6">
        <f t="shared" si="46"/>
        <v>-3155056.29692131</v>
      </c>
      <c r="L132" s="6">
        <f t="shared" ca="1" si="47"/>
        <v>691079.74738445156</v>
      </c>
      <c r="M132" s="6">
        <f t="shared" ca="1" si="48"/>
        <v>17926.335900862752</v>
      </c>
      <c r="N132" s="6">
        <f t="shared" si="49"/>
        <v>5118835.3358107219</v>
      </c>
      <c r="O132" s="6">
        <f t="shared" si="31"/>
        <v>3737028.2982161101</v>
      </c>
      <c r="P132" s="6">
        <f t="shared" si="50"/>
        <v>-115215.035448868</v>
      </c>
      <c r="Q132" s="6">
        <f t="shared" ca="1" si="51"/>
        <v>6294598.3849419681</v>
      </c>
    </row>
    <row r="133" spans="1:17">
      <c r="A133" s="197">
        <v>45627</v>
      </c>
      <c r="B133">
        <f t="shared" si="33"/>
        <v>12</v>
      </c>
      <c r="C133">
        <f t="shared" si="34"/>
        <v>2024</v>
      </c>
      <c r="D133" s="6"/>
      <c r="E133" s="7">
        <f t="shared" ca="1" si="44"/>
        <v>533.7700000000001</v>
      </c>
      <c r="F133" s="7">
        <f t="shared" ca="1" si="44"/>
        <v>0</v>
      </c>
      <c r="G133" s="4">
        <f>'Economic Data'!Q159</f>
        <v>857203.38906399999</v>
      </c>
      <c r="H133">
        <f t="shared" si="45"/>
        <v>31</v>
      </c>
      <c r="I133">
        <f t="shared" si="45"/>
        <v>0</v>
      </c>
      <c r="K133" s="6">
        <f t="shared" si="46"/>
        <v>-3155056.29692131</v>
      </c>
      <c r="L133" s="6">
        <f t="shared" ca="1" si="47"/>
        <v>913016.77392958966</v>
      </c>
      <c r="M133" s="6">
        <f t="shared" ca="1" si="48"/>
        <v>0</v>
      </c>
      <c r="N133" s="6">
        <f t="shared" si="49"/>
        <v>5118835.3358107219</v>
      </c>
      <c r="O133" s="6">
        <f t="shared" si="31"/>
        <v>3861595.9081566473</v>
      </c>
      <c r="P133" s="6">
        <f t="shared" si="50"/>
        <v>0</v>
      </c>
      <c r="Q133" s="6">
        <f t="shared" ca="1" si="51"/>
        <v>6738391.7209756486</v>
      </c>
    </row>
    <row r="134" spans="1:17">
      <c r="A134" s="197">
        <v>45658</v>
      </c>
      <c r="B134">
        <f t="shared" ref="B134:B145" si="52">MONTH(A134)</f>
        <v>1</v>
      </c>
      <c r="C134">
        <f t="shared" ref="C134:C145" si="53">YEAR(A134)</f>
        <v>2025</v>
      </c>
      <c r="D134" s="6"/>
      <c r="E134" s="7">
        <f t="shared" ref="E134:F145" ca="1" si="54">E122</f>
        <v>671</v>
      </c>
      <c r="F134" s="7">
        <f t="shared" ca="1" si="54"/>
        <v>0</v>
      </c>
      <c r="G134" s="4">
        <f>'Economic Data'!Q160</f>
        <v>871472.54587899998</v>
      </c>
      <c r="H134">
        <f t="shared" si="45"/>
        <v>31</v>
      </c>
      <c r="I134">
        <f t="shared" si="45"/>
        <v>0</v>
      </c>
      <c r="K134" s="6">
        <f t="shared" si="46"/>
        <v>-3155056.29692131</v>
      </c>
      <c r="L134" s="6">
        <f t="shared" ref="L134:L145" ca="1" si="55">E134*$T$10</f>
        <v>1147749.5087898432</v>
      </c>
      <c r="M134" s="6">
        <f t="shared" ref="M134:M145" ca="1" si="56">F134*$T$11</f>
        <v>0</v>
      </c>
      <c r="N134" s="6">
        <f t="shared" ref="N134:N145" si="57">G134*$T$12</f>
        <v>5204044.3597701369</v>
      </c>
      <c r="O134" s="6">
        <f t="shared" si="31"/>
        <v>3861595.9081566473</v>
      </c>
      <c r="P134" s="6">
        <f t="shared" si="50"/>
        <v>0</v>
      </c>
      <c r="Q134" s="6">
        <f t="shared" ca="1" si="51"/>
        <v>7058333.4797953172</v>
      </c>
    </row>
    <row r="135" spans="1:17">
      <c r="A135" s="197">
        <v>45689</v>
      </c>
      <c r="B135">
        <f t="shared" si="52"/>
        <v>2</v>
      </c>
      <c r="C135">
        <f t="shared" si="53"/>
        <v>2025</v>
      </c>
      <c r="D135" s="6"/>
      <c r="E135" s="7">
        <f t="shared" ca="1" si="54"/>
        <v>595.51355229914111</v>
      </c>
      <c r="F135" s="7">
        <f t="shared" ca="1" si="54"/>
        <v>0</v>
      </c>
      <c r="G135" s="4">
        <f>'Economic Data'!Q161</f>
        <v>871472.54587899998</v>
      </c>
      <c r="H135">
        <f t="shared" si="45"/>
        <v>28</v>
      </c>
      <c r="I135">
        <f t="shared" si="45"/>
        <v>0</v>
      </c>
      <c r="K135" s="6">
        <f t="shared" si="46"/>
        <v>-3155056.29692131</v>
      </c>
      <c r="L135" s="6">
        <f t="shared" ca="1" si="55"/>
        <v>1018629.4890149535</v>
      </c>
      <c r="M135" s="6">
        <f t="shared" ca="1" si="56"/>
        <v>0</v>
      </c>
      <c r="N135" s="6">
        <f t="shared" si="57"/>
        <v>5204044.3597701369</v>
      </c>
      <c r="O135" s="6">
        <f t="shared" si="31"/>
        <v>3487893.0783350361</v>
      </c>
      <c r="P135" s="6">
        <f t="shared" si="50"/>
        <v>0</v>
      </c>
      <c r="Q135" s="6">
        <f t="shared" ca="1" si="51"/>
        <v>6555510.6301988158</v>
      </c>
    </row>
    <row r="136" spans="1:17">
      <c r="A136" s="197">
        <v>45717</v>
      </c>
      <c r="B136">
        <f t="shared" si="52"/>
        <v>3</v>
      </c>
      <c r="C136">
        <f t="shared" si="53"/>
        <v>2025</v>
      </c>
      <c r="D136" s="6"/>
      <c r="E136" s="7">
        <f t="shared" ca="1" si="54"/>
        <v>496.46355229914104</v>
      </c>
      <c r="F136" s="7">
        <f t="shared" ca="1" si="54"/>
        <v>0.16999999999999993</v>
      </c>
      <c r="G136" s="4">
        <f>'Economic Data'!Q162</f>
        <v>871472.54587899998</v>
      </c>
      <c r="H136">
        <f t="shared" si="45"/>
        <v>31</v>
      </c>
      <c r="I136">
        <f t="shared" si="45"/>
        <v>1</v>
      </c>
      <c r="K136" s="6">
        <f t="shared" si="46"/>
        <v>-3155056.29692131</v>
      </c>
      <c r="L136" s="6">
        <f t="shared" ca="1" si="55"/>
        <v>849203.87225543917</v>
      </c>
      <c r="M136" s="6">
        <f t="shared" ca="1" si="56"/>
        <v>1259.2880591515157</v>
      </c>
      <c r="N136" s="6">
        <f t="shared" si="57"/>
        <v>5204044.3597701369</v>
      </c>
      <c r="O136" s="6">
        <f t="shared" si="31"/>
        <v>3861595.9081566473</v>
      </c>
      <c r="P136" s="6">
        <f t="shared" si="50"/>
        <v>-115215.035448868</v>
      </c>
      <c r="Q136" s="6">
        <f t="shared" ca="1" si="51"/>
        <v>6645832.0958711971</v>
      </c>
    </row>
    <row r="137" spans="1:17">
      <c r="A137" s="197">
        <v>45748</v>
      </c>
      <c r="B137">
        <f t="shared" si="52"/>
        <v>4</v>
      </c>
      <c r="C137">
        <f t="shared" si="53"/>
        <v>2025</v>
      </c>
      <c r="D137" s="6"/>
      <c r="E137" s="7">
        <f t="shared" ca="1" si="54"/>
        <v>296.23000000000008</v>
      </c>
      <c r="F137" s="7">
        <f t="shared" ca="1" si="54"/>
        <v>8.7799999999999994</v>
      </c>
      <c r="G137" s="4">
        <f>'Economic Data'!Q163</f>
        <v>875284.39707800001</v>
      </c>
      <c r="H137">
        <f t="shared" si="45"/>
        <v>30</v>
      </c>
      <c r="I137">
        <f t="shared" si="45"/>
        <v>1</v>
      </c>
      <c r="K137" s="6">
        <f t="shared" si="46"/>
        <v>-3155056.29692131</v>
      </c>
      <c r="L137" s="6">
        <f t="shared" ca="1" si="55"/>
        <v>506703.18478213908</v>
      </c>
      <c r="M137" s="6">
        <f t="shared" ca="1" si="56"/>
        <v>65038.524466766539</v>
      </c>
      <c r="N137" s="6">
        <f t="shared" si="57"/>
        <v>5226807.0306382487</v>
      </c>
      <c r="O137" s="6">
        <f t="shared" si="31"/>
        <v>3737028.2982161101</v>
      </c>
      <c r="P137" s="6">
        <f t="shared" si="50"/>
        <v>-115215.035448868</v>
      </c>
      <c r="Q137" s="6">
        <f t="shared" ca="1" si="51"/>
        <v>6265305.7057330869</v>
      </c>
    </row>
    <row r="138" spans="1:17">
      <c r="A138" s="197">
        <v>45778</v>
      </c>
      <c r="B138">
        <f t="shared" si="52"/>
        <v>5</v>
      </c>
      <c r="C138">
        <f t="shared" si="53"/>
        <v>2025</v>
      </c>
      <c r="D138" s="6"/>
      <c r="E138" s="7">
        <f t="shared" ca="1" si="54"/>
        <v>116.90355229914098</v>
      </c>
      <c r="F138" s="7">
        <f t="shared" ca="1" si="54"/>
        <v>84.676447700859015</v>
      </c>
      <c r="G138" s="4">
        <f>'Economic Data'!Q164</f>
        <v>875284.39707800001</v>
      </c>
      <c r="H138">
        <f t="shared" si="45"/>
        <v>31</v>
      </c>
      <c r="I138">
        <f t="shared" si="45"/>
        <v>1</v>
      </c>
      <c r="K138" s="6">
        <f t="shared" si="46"/>
        <v>-3155056.29692131</v>
      </c>
      <c r="L138" s="6">
        <f t="shared" ca="1" si="55"/>
        <v>199964.22463059134</v>
      </c>
      <c r="M138" s="6">
        <f t="shared" ca="1" si="56"/>
        <v>627247.29106505658</v>
      </c>
      <c r="N138" s="6">
        <f t="shared" si="57"/>
        <v>5226807.0306382487</v>
      </c>
      <c r="O138" s="6">
        <f t="shared" si="31"/>
        <v>3861595.9081566473</v>
      </c>
      <c r="P138" s="6">
        <f t="shared" si="50"/>
        <v>-115215.035448868</v>
      </c>
      <c r="Q138" s="6">
        <f ca="1">SUM(K138:P138)</f>
        <v>6645343.1221203664</v>
      </c>
    </row>
    <row r="139" spans="1:17">
      <c r="A139" s="197">
        <v>45809</v>
      </c>
      <c r="B139">
        <f t="shared" si="52"/>
        <v>6</v>
      </c>
      <c r="C139">
        <f t="shared" si="53"/>
        <v>2025</v>
      </c>
      <c r="D139" s="6"/>
      <c r="E139" s="7">
        <f t="shared" ca="1" si="54"/>
        <v>11.023552299140979</v>
      </c>
      <c r="F139" s="7">
        <f t="shared" ca="1" si="54"/>
        <v>202.63644770085901</v>
      </c>
      <c r="G139" s="4">
        <f>'Economic Data'!Q165</f>
        <v>875284.39707800001</v>
      </c>
      <c r="H139">
        <f t="shared" si="45"/>
        <v>30</v>
      </c>
      <c r="I139">
        <f t="shared" si="45"/>
        <v>0</v>
      </c>
      <c r="K139" s="6">
        <f t="shared" si="46"/>
        <v>-3155056.29692131</v>
      </c>
      <c r="L139" s="6">
        <f t="shared" ca="1" si="55"/>
        <v>18855.852066256637</v>
      </c>
      <c r="M139" s="6">
        <f t="shared" ca="1" si="56"/>
        <v>1501045.0525798379</v>
      </c>
      <c r="N139" s="6">
        <f t="shared" si="57"/>
        <v>5226807.0306382487</v>
      </c>
      <c r="O139" s="6">
        <f t="shared" si="31"/>
        <v>3737028.2982161101</v>
      </c>
      <c r="P139" s="6">
        <f t="shared" si="50"/>
        <v>0</v>
      </c>
      <c r="Q139" s="6">
        <f t="shared" ca="1" si="51"/>
        <v>7328679.9365791436</v>
      </c>
    </row>
    <row r="140" spans="1:17">
      <c r="A140" s="197">
        <v>45839</v>
      </c>
      <c r="B140">
        <f t="shared" si="52"/>
        <v>7</v>
      </c>
      <c r="C140">
        <f t="shared" si="53"/>
        <v>2025</v>
      </c>
      <c r="D140" s="6"/>
      <c r="E140" s="7">
        <f t="shared" ca="1" si="54"/>
        <v>0.75</v>
      </c>
      <c r="F140" s="7">
        <f t="shared" ca="1" si="54"/>
        <v>273.21289540171807</v>
      </c>
      <c r="G140" s="4">
        <f>'Economic Data'!Q166</f>
        <v>875328.54186699993</v>
      </c>
      <c r="H140">
        <f t="shared" si="45"/>
        <v>31</v>
      </c>
      <c r="I140">
        <f t="shared" si="45"/>
        <v>0</v>
      </c>
      <c r="K140" s="6">
        <f t="shared" si="46"/>
        <v>-3155056.29692131</v>
      </c>
      <c r="L140" s="6">
        <f t="shared" ca="1" si="55"/>
        <v>1282.87948076361</v>
      </c>
      <c r="M140" s="6">
        <f t="shared" ca="1" si="56"/>
        <v>2023845.5105035044</v>
      </c>
      <c r="N140" s="6">
        <f t="shared" si="57"/>
        <v>5227070.6435785471</v>
      </c>
      <c r="O140" s="6">
        <f t="shared" si="31"/>
        <v>3861595.9081566473</v>
      </c>
      <c r="P140" s="6">
        <f t="shared" si="50"/>
        <v>0</v>
      </c>
      <c r="Q140" s="6">
        <f t="shared" ca="1" si="51"/>
        <v>7958738.6447981521</v>
      </c>
    </row>
    <row r="141" spans="1:17">
      <c r="A141" s="197">
        <v>45870</v>
      </c>
      <c r="B141">
        <f t="shared" si="52"/>
        <v>8</v>
      </c>
      <c r="C141">
        <f t="shared" si="53"/>
        <v>2025</v>
      </c>
      <c r="D141" s="6"/>
      <c r="E141" s="7">
        <f t="shared" ca="1" si="54"/>
        <v>2.7971045982819609</v>
      </c>
      <c r="F141" s="7">
        <f t="shared" ca="1" si="54"/>
        <v>245.37605861546234</v>
      </c>
      <c r="G141" s="4">
        <f>'Economic Data'!Q167</f>
        <v>875328.54186699993</v>
      </c>
      <c r="H141">
        <f t="shared" si="45"/>
        <v>31</v>
      </c>
      <c r="I141">
        <f t="shared" si="45"/>
        <v>0</v>
      </c>
      <c r="K141" s="6">
        <f t="shared" si="46"/>
        <v>-3155056.29692131</v>
      </c>
      <c r="L141" s="6">
        <f t="shared" ca="1" si="55"/>
        <v>4784.4641262472906</v>
      </c>
      <c r="M141" s="6">
        <f t="shared" ca="1" si="56"/>
        <v>1817642.0036242013</v>
      </c>
      <c r="N141" s="6">
        <f t="shared" si="57"/>
        <v>5227070.6435785471</v>
      </c>
      <c r="O141" s="6">
        <f t="shared" si="31"/>
        <v>3861595.9081566473</v>
      </c>
      <c r="P141" s="6">
        <f t="shared" si="50"/>
        <v>0</v>
      </c>
      <c r="Q141" s="6">
        <f t="shared" ca="1" si="51"/>
        <v>7756036.7225643331</v>
      </c>
    </row>
    <row r="142" spans="1:17">
      <c r="A142" s="197">
        <v>45901</v>
      </c>
      <c r="B142">
        <f t="shared" si="52"/>
        <v>9</v>
      </c>
      <c r="C142">
        <f t="shared" si="53"/>
        <v>2025</v>
      </c>
      <c r="D142" s="6"/>
      <c r="E142" s="7">
        <f t="shared" ca="1" si="54"/>
        <v>39.200656897422931</v>
      </c>
      <c r="F142" s="7">
        <f t="shared" ca="1" si="54"/>
        <v>139.01579080343606</v>
      </c>
      <c r="G142" s="4">
        <f>'Economic Data'!Q168</f>
        <v>875328.54186699993</v>
      </c>
      <c r="H142">
        <f t="shared" si="45"/>
        <v>30</v>
      </c>
      <c r="I142">
        <f t="shared" si="45"/>
        <v>0</v>
      </c>
      <c r="K142" s="6">
        <f t="shared" si="46"/>
        <v>-3155056.29692131</v>
      </c>
      <c r="L142" s="6">
        <f t="shared" ca="1" si="55"/>
        <v>67052.957821544478</v>
      </c>
      <c r="M142" s="6">
        <f t="shared" ca="1" si="56"/>
        <v>1029770.149366307</v>
      </c>
      <c r="N142" s="6">
        <f t="shared" si="57"/>
        <v>5227070.6435785471</v>
      </c>
      <c r="O142" s="6">
        <f t="shared" si="31"/>
        <v>3737028.2982161101</v>
      </c>
      <c r="P142" s="6">
        <f t="shared" si="50"/>
        <v>0</v>
      </c>
      <c r="Q142" s="6">
        <f t="shared" ca="1" si="51"/>
        <v>6905865.7520611985</v>
      </c>
    </row>
    <row r="143" spans="1:17">
      <c r="A143" s="197">
        <v>45931</v>
      </c>
      <c r="B143">
        <f t="shared" si="52"/>
        <v>10</v>
      </c>
      <c r="C143">
        <f t="shared" si="53"/>
        <v>2025</v>
      </c>
      <c r="D143" s="6"/>
      <c r="E143" s="7">
        <f t="shared" ca="1" si="54"/>
        <v>194.90420919656393</v>
      </c>
      <c r="F143" s="7">
        <f t="shared" ca="1" si="54"/>
        <v>38.166447700859024</v>
      </c>
      <c r="G143" s="4">
        <f>'Economic Data'!Q169</f>
        <v>874776.05853981199</v>
      </c>
      <c r="H143">
        <f t="shared" si="45"/>
        <v>31</v>
      </c>
      <c r="I143">
        <f t="shared" si="45"/>
        <v>1</v>
      </c>
      <c r="K143" s="6">
        <f t="shared" si="46"/>
        <v>-3155056.29692131</v>
      </c>
      <c r="L143" s="6">
        <f t="shared" ca="1" si="55"/>
        <v>333384.81425697327</v>
      </c>
      <c r="M143" s="6">
        <f t="shared" ca="1" si="56"/>
        <v>282720.89323483885</v>
      </c>
      <c r="N143" s="6">
        <f t="shared" si="57"/>
        <v>5223771.460194841</v>
      </c>
      <c r="O143" s="6">
        <f t="shared" si="31"/>
        <v>3861595.9081566473</v>
      </c>
      <c r="P143" s="6">
        <f t="shared" si="50"/>
        <v>-115215.035448868</v>
      </c>
      <c r="Q143" s="6">
        <f t="shared" ca="1" si="51"/>
        <v>6431201.7434731219</v>
      </c>
    </row>
    <row r="144" spans="1:17">
      <c r="A144" s="197">
        <v>45962</v>
      </c>
      <c r="B144">
        <f t="shared" si="52"/>
        <v>11</v>
      </c>
      <c r="C144">
        <f t="shared" si="53"/>
        <v>2025</v>
      </c>
      <c r="D144" s="6"/>
      <c r="E144" s="7">
        <f t="shared" ca="1" si="54"/>
        <v>404.02065689742301</v>
      </c>
      <c r="F144" s="7">
        <f t="shared" ca="1" si="54"/>
        <v>2.419999999999999</v>
      </c>
      <c r="G144" s="4">
        <f>'Economic Data'!Q170</f>
        <v>874776.05853981199</v>
      </c>
      <c r="H144">
        <f t="shared" si="45"/>
        <v>30</v>
      </c>
      <c r="I144">
        <f t="shared" si="45"/>
        <v>1</v>
      </c>
      <c r="K144" s="6">
        <f t="shared" si="46"/>
        <v>-3155056.29692131</v>
      </c>
      <c r="L144" s="6">
        <f t="shared" ca="1" si="55"/>
        <v>691079.74738445156</v>
      </c>
      <c r="M144" s="6">
        <f t="shared" ca="1" si="56"/>
        <v>17926.335900862752</v>
      </c>
      <c r="N144" s="6">
        <f t="shared" si="57"/>
        <v>5223771.460194841</v>
      </c>
      <c r="O144" s="6">
        <f t="shared" si="31"/>
        <v>3737028.2982161101</v>
      </c>
      <c r="P144" s="6">
        <f t="shared" si="50"/>
        <v>-115215.035448868</v>
      </c>
      <c r="Q144" s="6">
        <f t="shared" ca="1" si="51"/>
        <v>6399534.5093260873</v>
      </c>
    </row>
    <row r="145" spans="1:17">
      <c r="A145" s="197">
        <v>45992</v>
      </c>
      <c r="B145">
        <f t="shared" si="52"/>
        <v>12</v>
      </c>
      <c r="C145">
        <f t="shared" si="53"/>
        <v>2025</v>
      </c>
      <c r="D145" s="6"/>
      <c r="E145" s="7">
        <f ca="1">E133</f>
        <v>533.7700000000001</v>
      </c>
      <c r="F145" s="7">
        <f t="shared" ca="1" si="54"/>
        <v>0</v>
      </c>
      <c r="G145" s="4">
        <f>'Economic Data'!Q171</f>
        <v>874776.05853981199</v>
      </c>
      <c r="H145">
        <f t="shared" si="45"/>
        <v>31</v>
      </c>
      <c r="I145">
        <f t="shared" si="45"/>
        <v>0</v>
      </c>
      <c r="K145" s="6">
        <f t="shared" si="46"/>
        <v>-3155056.29692131</v>
      </c>
      <c r="L145" s="6">
        <f t="shared" ca="1" si="55"/>
        <v>913016.77392958966</v>
      </c>
      <c r="M145" s="6">
        <f t="shared" ca="1" si="56"/>
        <v>0</v>
      </c>
      <c r="N145" s="6">
        <f t="shared" si="57"/>
        <v>5223771.460194841</v>
      </c>
      <c r="O145" s="6">
        <f t="shared" si="31"/>
        <v>3861595.9081566473</v>
      </c>
      <c r="P145" s="6">
        <f t="shared" si="50"/>
        <v>0</v>
      </c>
      <c r="Q145" s="6">
        <f t="shared" ca="1" si="51"/>
        <v>6843327.8453597678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9F53-FEF4-410A-9B3E-916CBA160D44}">
  <sheetPr codeName="Sheet22"/>
  <dimension ref="A1:Y157"/>
  <sheetViews>
    <sheetView topLeftCell="S10" workbookViewId="0">
      <selection activeCell="X24" sqref="X24"/>
    </sheetView>
  </sheetViews>
  <sheetFormatPr defaultRowHeight="14.45"/>
  <cols>
    <col min="1" max="1" width="12.28515625" customWidth="1"/>
    <col min="4" max="4" width="19" bestFit="1" customWidth="1"/>
    <col min="5" max="5" width="19" customWidth="1"/>
    <col min="7" max="7" width="11.5703125" style="6" bestFit="1" customWidth="1"/>
    <col min="8" max="8" width="11.85546875" customWidth="1"/>
    <col min="12" max="12" width="15" bestFit="1" customWidth="1"/>
    <col min="13" max="13" width="15" customWidth="1"/>
    <col min="14" max="14" width="13.28515625" bestFit="1" customWidth="1"/>
    <col min="15" max="15" width="14.28515625" bestFit="1" customWidth="1"/>
    <col min="16" max="18" width="14.28515625" customWidth="1"/>
    <col min="19" max="19" width="16" customWidth="1"/>
    <col min="22" max="22" width="13.28515625" customWidth="1"/>
    <col min="23" max="23" width="18.7109375" bestFit="1" customWidth="1"/>
    <col min="24" max="24" width="10.7109375" customWidth="1"/>
  </cols>
  <sheetData>
    <row r="1" spans="1:25">
      <c r="A1" t="s">
        <v>0</v>
      </c>
      <c r="B1" t="s">
        <v>151</v>
      </c>
      <c r="C1" t="s">
        <v>1</v>
      </c>
      <c r="D1" s="6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s="6" t="str">
        <f>'Monthly Data (14-23) Used'!BC1</f>
        <v>Total_OEA</v>
      </c>
      <c r="H1" t="str">
        <f>'Monthly Data (14-23) Used'!CC1</f>
        <v>Peak Days</v>
      </c>
      <c r="I1" t="str">
        <f>'Monthly Data (14-23) Used'!BU1</f>
        <v>Sept</v>
      </c>
      <c r="J1" t="str">
        <f>'Monthly Data (14-23) Used'!BZ1</f>
        <v>Fall</v>
      </c>
      <c r="L1" t="s">
        <v>221</v>
      </c>
      <c r="M1" t="str">
        <f t="shared" ref="M1:R1" si="0">E1</f>
        <v>HDD16</v>
      </c>
      <c r="N1" t="str">
        <f t="shared" si="0"/>
        <v>CDD12</v>
      </c>
      <c r="O1" t="str">
        <f t="shared" si="0"/>
        <v>Total_OEA</v>
      </c>
      <c r="P1" t="str">
        <f t="shared" si="0"/>
        <v>Peak Days</v>
      </c>
      <c r="Q1" t="str">
        <f t="shared" si="0"/>
        <v>Sept</v>
      </c>
      <c r="R1" t="str">
        <f t="shared" si="0"/>
        <v>Fall</v>
      </c>
      <c r="S1" t="s">
        <v>242</v>
      </c>
    </row>
    <row r="2" spans="1:25">
      <c r="A2" s="197">
        <v>41275</v>
      </c>
      <c r="B2">
        <f t="shared" ref="B2:B33" si="1">MONTH(A14)</f>
        <v>1</v>
      </c>
      <c r="C2">
        <f t="shared" ref="C2:C33" si="2">YEAR(A14)</f>
        <v>2014</v>
      </c>
      <c r="D2" s="6">
        <f>'Monthly Data (14-23) Used'!M2</f>
        <v>14677049.996043535</v>
      </c>
      <c r="E2" s="226">
        <f ca="1">'Weather Data'!BB38</f>
        <v>608.99999999999989</v>
      </c>
      <c r="F2" s="226">
        <f ca="1">'Weather Data'!CE38</f>
        <v>0</v>
      </c>
      <c r="G2" s="6">
        <f>'Monthly Data (14-23) Used'!BC2</f>
        <v>699057</v>
      </c>
      <c r="H2">
        <f>'Monthly Data (14-23) Used'!CC2</f>
        <v>22</v>
      </c>
      <c r="I2">
        <f>'Monthly Data (14-23) Used'!BU2</f>
        <v>0</v>
      </c>
      <c r="J2">
        <f>'Monthly Data (14-23) Used'!BZ2</f>
        <v>0</v>
      </c>
      <c r="L2" s="6">
        <f t="shared" ref="L2:L53" si="3">$V$9</f>
        <v>-4689965.23186938</v>
      </c>
      <c r="M2" s="6">
        <f t="shared" ref="M2:M33" ca="1" si="4">E2*$V$10</f>
        <v>2403899.0432255077</v>
      </c>
      <c r="N2" s="6">
        <f t="shared" ref="N2:N33" ca="1" si="5">F2*$V$11</f>
        <v>0</v>
      </c>
      <c r="O2" s="6">
        <f t="shared" ref="O2:O33" si="6">G2*$V$12</f>
        <v>11377125.068907786</v>
      </c>
      <c r="P2" s="6">
        <f t="shared" ref="P2:P33" si="7">H2*$V$13</f>
        <v>5034099.8114613146</v>
      </c>
      <c r="Q2" s="6">
        <f t="shared" ref="Q2:Q33" si="8">I2*$V$14</f>
        <v>0</v>
      </c>
      <c r="R2" s="6">
        <f t="shared" ref="R2:R33" si="9">J2*$V$15</f>
        <v>0</v>
      </c>
      <c r="S2" s="6">
        <f t="shared" ref="S2:S33" ca="1" si="10">SUM(L2:R2)</f>
        <v>14125158.691725228</v>
      </c>
    </row>
    <row r="3" spans="1:25">
      <c r="A3" s="197">
        <v>41306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226">
        <f ca="1">'Weather Data'!BB39</f>
        <v>539.11355229914102</v>
      </c>
      <c r="F3" s="226">
        <f ca="1">'Weather Data'!CE39</f>
        <v>0.1</v>
      </c>
      <c r="G3" s="6">
        <f>'Monthly Data (14-23) Used'!BC3</f>
        <v>699057</v>
      </c>
      <c r="H3">
        <f>'Monthly Data (14-23) Used'!CC3</f>
        <v>19</v>
      </c>
      <c r="I3">
        <f>'Monthly Data (14-23) Used'!BU3</f>
        <v>0</v>
      </c>
      <c r="J3">
        <f>'Monthly Data (14-23) Used'!BZ3</f>
        <v>0</v>
      </c>
      <c r="L3" s="6">
        <f t="shared" si="3"/>
        <v>-4689965.23186938</v>
      </c>
      <c r="M3" s="6">
        <f t="shared" ca="1" si="4"/>
        <v>2128037.0321211987</v>
      </c>
      <c r="N3" s="6">
        <f t="shared" ca="1" si="5"/>
        <v>1525.92085938324</v>
      </c>
      <c r="O3" s="6">
        <f t="shared" si="6"/>
        <v>11377125.068907786</v>
      </c>
      <c r="P3" s="6">
        <f t="shared" si="7"/>
        <v>4347631.6553529529</v>
      </c>
      <c r="Q3" s="6">
        <f t="shared" si="8"/>
        <v>0</v>
      </c>
      <c r="R3" s="6">
        <f t="shared" si="9"/>
        <v>0</v>
      </c>
      <c r="S3" s="6">
        <f t="shared" ca="1" si="10"/>
        <v>13164354.445371941</v>
      </c>
    </row>
    <row r="4" spans="1:25">
      <c r="A4" s="197">
        <v>41334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226">
        <f ca="1">'Weather Data'!BB40</f>
        <v>434.46355229914104</v>
      </c>
      <c r="F4" s="226">
        <f ca="1">'Weather Data'!CE40</f>
        <v>1.2599999999999998</v>
      </c>
      <c r="G4" s="6">
        <f>'Monthly Data (14-23) Used'!BC4</f>
        <v>699057</v>
      </c>
      <c r="H4">
        <f>'Monthly Data (14-23) Used'!CC4</f>
        <v>21</v>
      </c>
      <c r="I4">
        <f>'Monthly Data (14-23) Used'!BU4</f>
        <v>0</v>
      </c>
      <c r="J4">
        <f>'Monthly Data (14-23) Used'!BZ4</f>
        <v>0</v>
      </c>
      <c r="L4" s="6">
        <f t="shared" si="3"/>
        <v>-4689965.23186938</v>
      </c>
      <c r="M4" s="6">
        <f t="shared" ca="1" si="4"/>
        <v>1714953.2310152063</v>
      </c>
      <c r="N4" s="6">
        <f t="shared" ca="1" si="5"/>
        <v>19226.602828228821</v>
      </c>
      <c r="O4" s="6">
        <f t="shared" si="6"/>
        <v>11377125.068907786</v>
      </c>
      <c r="P4" s="6">
        <f t="shared" si="7"/>
        <v>4805277.092758527</v>
      </c>
      <c r="Q4" s="6">
        <f t="shared" si="8"/>
        <v>0</v>
      </c>
      <c r="R4" s="6">
        <f t="shared" si="9"/>
        <v>0</v>
      </c>
      <c r="S4" s="6">
        <f t="shared" ca="1" si="10"/>
        <v>13226616.763640368</v>
      </c>
      <c r="U4" t="s">
        <v>253</v>
      </c>
    </row>
    <row r="5" spans="1:25">
      <c r="A5" s="197">
        <v>41365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226">
        <f ca="1">'Weather Data'!BB41</f>
        <v>238.61000000000004</v>
      </c>
      <c r="F5" s="226">
        <f ca="1">'Weather Data'!CE41</f>
        <v>18.349999999999998</v>
      </c>
      <c r="G5" s="6">
        <f>'Monthly Data (14-23) Used'!BC5</f>
        <v>705966</v>
      </c>
      <c r="H5">
        <f>'Monthly Data (14-23) Used'!CC5</f>
        <v>20</v>
      </c>
      <c r="I5">
        <f>'Monthly Data (14-23) Used'!BU5</f>
        <v>0</v>
      </c>
      <c r="J5">
        <f>'Monthly Data (14-23) Used'!BZ5</f>
        <v>0</v>
      </c>
      <c r="L5" s="6">
        <f t="shared" si="3"/>
        <v>-4689965.23186938</v>
      </c>
      <c r="M5" s="6">
        <f t="shared" ca="1" si="4"/>
        <v>941862.64483421773</v>
      </c>
      <c r="N5" s="6">
        <f t="shared" ca="1" si="5"/>
        <v>280006.47769682453</v>
      </c>
      <c r="O5" s="6">
        <f t="shared" si="6"/>
        <v>11489568.771068102</v>
      </c>
      <c r="P5" s="6">
        <f t="shared" si="7"/>
        <v>4576454.3740557404</v>
      </c>
      <c r="Q5" s="6">
        <f t="shared" si="8"/>
        <v>0</v>
      </c>
      <c r="R5" s="6">
        <f t="shared" si="9"/>
        <v>0</v>
      </c>
      <c r="S5" s="6">
        <f t="shared" ca="1" si="10"/>
        <v>12597927.035785504</v>
      </c>
      <c r="U5" t="s">
        <v>254</v>
      </c>
    </row>
    <row r="6" spans="1:25">
      <c r="A6" s="197">
        <v>41395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226">
        <f ca="1">'Weather Data'!BB42</f>
        <v>77.693552299140975</v>
      </c>
      <c r="F6" s="226">
        <f ca="1">'Weather Data'!CE42</f>
        <v>124.82289540171806</v>
      </c>
      <c r="G6" s="6">
        <f>'Monthly Data (14-23) Used'!BC6</f>
        <v>705966</v>
      </c>
      <c r="H6">
        <f>'Monthly Data (14-23) Used'!CC6</f>
        <v>22</v>
      </c>
      <c r="I6">
        <f>'Monthly Data (14-23) Used'!BU6</f>
        <v>0</v>
      </c>
      <c r="J6">
        <f>'Monthly Data (14-23) Used'!BZ6</f>
        <v>0</v>
      </c>
      <c r="L6" s="6">
        <f t="shared" si="3"/>
        <v>-4689965.23186938</v>
      </c>
      <c r="M6" s="6">
        <f t="shared" ca="1" si="4"/>
        <v>306678.90974826925</v>
      </c>
      <c r="N6" s="6">
        <f t="shared" ca="1" si="5"/>
        <v>1904698.5982209388</v>
      </c>
      <c r="O6" s="6">
        <f t="shared" si="6"/>
        <v>11489568.771068102</v>
      </c>
      <c r="P6" s="6">
        <f t="shared" si="7"/>
        <v>5034099.8114613146</v>
      </c>
      <c r="Q6" s="6">
        <f t="shared" si="8"/>
        <v>0</v>
      </c>
      <c r="R6" s="6">
        <f t="shared" si="9"/>
        <v>0</v>
      </c>
      <c r="S6" s="6">
        <f t="shared" ca="1" si="10"/>
        <v>14045080.858629245</v>
      </c>
      <c r="U6" t="s">
        <v>255</v>
      </c>
    </row>
    <row r="7" spans="1:25">
      <c r="A7" s="197">
        <v>41426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226">
        <f ca="1">'Weather Data'!BB43</f>
        <v>2.8535522991409801</v>
      </c>
      <c r="F7" s="226">
        <f ca="1">'Weather Data'!CE43</f>
        <v>262.25644770085898</v>
      </c>
      <c r="G7" s="6">
        <f>'Monthly Data (14-23) Used'!BC7</f>
        <v>705966</v>
      </c>
      <c r="H7">
        <f>'Monthly Data (14-23) Used'!CC7</f>
        <v>21</v>
      </c>
      <c r="I7">
        <f>'Monthly Data (14-23) Used'!BU7</f>
        <v>0</v>
      </c>
      <c r="J7">
        <f>'Monthly Data (14-23) Used'!BZ7</f>
        <v>0</v>
      </c>
      <c r="L7" s="6">
        <f t="shared" si="3"/>
        <v>-4689965.23186938</v>
      </c>
      <c r="M7" s="6">
        <f t="shared" ca="1" si="4"/>
        <v>11263.79579917726</v>
      </c>
      <c r="N7" s="6">
        <f t="shared" ca="1" si="5"/>
        <v>4001825.8405449046</v>
      </c>
      <c r="O7" s="6">
        <f t="shared" si="6"/>
        <v>11489568.771068102</v>
      </c>
      <c r="P7" s="6">
        <f t="shared" si="7"/>
        <v>4805277.092758527</v>
      </c>
      <c r="Q7" s="6">
        <f t="shared" si="8"/>
        <v>0</v>
      </c>
      <c r="R7" s="6">
        <f t="shared" si="9"/>
        <v>0</v>
      </c>
      <c r="S7" s="6">
        <f t="shared" ca="1" si="10"/>
        <v>15617970.268301331</v>
      </c>
    </row>
    <row r="8" spans="1:25">
      <c r="A8" s="197">
        <v>41456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226">
        <f ca="1">'Weather Data'!BB44</f>
        <v>1.9999999999999928E-2</v>
      </c>
      <c r="F8" s="226">
        <f ca="1">'Weather Data'!CE44</f>
        <v>335.21289540171807</v>
      </c>
      <c r="G8" s="6">
        <f>'Monthly Data (14-23) Used'!BC8</f>
        <v>713152</v>
      </c>
      <c r="H8">
        <f>'Monthly Data (14-23) Used'!CC8</f>
        <v>22</v>
      </c>
      <c r="I8">
        <f>'Monthly Data (14-23) Used'!BU8</f>
        <v>0</v>
      </c>
      <c r="J8">
        <f>'Monthly Data (14-23) Used'!BZ8</f>
        <v>0</v>
      </c>
      <c r="L8" s="6">
        <f t="shared" si="3"/>
        <v>-4689965.23186938</v>
      </c>
      <c r="M8" s="6">
        <f t="shared" ca="1" si="4"/>
        <v>78.945781386715908</v>
      </c>
      <c r="N8" s="6">
        <f t="shared" ca="1" si="5"/>
        <v>5115083.4942773376</v>
      </c>
      <c r="O8" s="6">
        <f t="shared" si="6"/>
        <v>11606520.637289558</v>
      </c>
      <c r="P8" s="6">
        <f t="shared" si="7"/>
        <v>5034099.8114613146</v>
      </c>
      <c r="Q8" s="6">
        <f t="shared" si="8"/>
        <v>0</v>
      </c>
      <c r="R8" s="6">
        <f t="shared" si="9"/>
        <v>0</v>
      </c>
      <c r="S8" s="6">
        <f t="shared" ca="1" si="10"/>
        <v>17065817.656940214</v>
      </c>
      <c r="V8" t="s">
        <v>217</v>
      </c>
      <c r="W8" t="s">
        <v>218</v>
      </c>
      <c r="X8" t="s">
        <v>219</v>
      </c>
      <c r="Y8" t="s">
        <v>220</v>
      </c>
    </row>
    <row r="9" spans="1:25">
      <c r="A9" s="197">
        <v>41487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226">
        <f ca="1">'Weather Data'!BB45</f>
        <v>0.49999999999999983</v>
      </c>
      <c r="F9" s="226">
        <f ca="1">'Weather Data'!CE45</f>
        <v>307.37605861546228</v>
      </c>
      <c r="G9" s="6">
        <f>'Monthly Data (14-23) Used'!BC9</f>
        <v>713152</v>
      </c>
      <c r="H9">
        <f>'Monthly Data (14-23) Used'!CC9</f>
        <v>20</v>
      </c>
      <c r="I9">
        <f>'Monthly Data (14-23) Used'!BU9</f>
        <v>0</v>
      </c>
      <c r="J9">
        <f>'Monthly Data (14-23) Used'!BZ9</f>
        <v>0</v>
      </c>
      <c r="L9" s="6">
        <f t="shared" si="3"/>
        <v>-4689965.23186938</v>
      </c>
      <c r="M9" s="6">
        <f t="shared" ca="1" si="4"/>
        <v>1973.6445346679043</v>
      </c>
      <c r="N9" s="6">
        <f t="shared" ca="1" si="5"/>
        <v>4690315.3951633936</v>
      </c>
      <c r="O9" s="6">
        <f t="shared" si="6"/>
        <v>11606520.637289558</v>
      </c>
      <c r="P9" s="6">
        <f t="shared" si="7"/>
        <v>4576454.3740557404</v>
      </c>
      <c r="Q9" s="6">
        <f t="shared" si="8"/>
        <v>0</v>
      </c>
      <c r="R9" s="6">
        <f t="shared" si="9"/>
        <v>0</v>
      </c>
      <c r="S9" s="6">
        <f t="shared" ca="1" si="10"/>
        <v>16185298.819173981</v>
      </c>
      <c r="U9" t="s">
        <v>221</v>
      </c>
      <c r="V9" s="6">
        <v>-4689965.23186938</v>
      </c>
      <c r="W9" s="6">
        <v>2465916.44720787</v>
      </c>
      <c r="X9" s="105">
        <v>-1.90191571055855</v>
      </c>
      <c r="Y9" s="105">
        <v>5.9728245860705097E-2</v>
      </c>
    </row>
    <row r="10" spans="1:25">
      <c r="A10" s="197">
        <v>41518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226">
        <f ca="1">'Weather Data'!BB46</f>
        <v>17.56355229914098</v>
      </c>
      <c r="F10" s="226">
        <f ca="1">'Weather Data'!CE46</f>
        <v>194.39579080343606</v>
      </c>
      <c r="G10" s="6">
        <f>'Monthly Data (14-23) Used'!BC10</f>
        <v>713152</v>
      </c>
      <c r="H10">
        <f>'Monthly Data (14-23) Used'!CC10</f>
        <v>21</v>
      </c>
      <c r="I10">
        <f>'Monthly Data (14-23) Used'!BU10</f>
        <v>1</v>
      </c>
      <c r="J10">
        <f>'Monthly Data (14-23) Used'!BZ10</f>
        <v>0</v>
      </c>
      <c r="L10" s="6">
        <f t="shared" si="3"/>
        <v>-4689965.23186938</v>
      </c>
      <c r="M10" s="6">
        <f t="shared" ca="1" si="4"/>
        <v>69328.41800910703</v>
      </c>
      <c r="N10" s="6">
        <f t="shared" ca="1" si="5"/>
        <v>2966325.9216326368</v>
      </c>
      <c r="O10" s="6">
        <f t="shared" si="6"/>
        <v>11606520.637289558</v>
      </c>
      <c r="P10" s="6">
        <f t="shared" si="7"/>
        <v>4805277.092758527</v>
      </c>
      <c r="Q10" s="6">
        <f t="shared" si="8"/>
        <v>1564224.56108409</v>
      </c>
      <c r="R10" s="6">
        <f t="shared" si="9"/>
        <v>0</v>
      </c>
      <c r="S10" s="6">
        <f t="shared" ca="1" si="10"/>
        <v>16321711.398904538</v>
      </c>
      <c r="U10" t="s">
        <v>30</v>
      </c>
      <c r="V10" s="6">
        <v>3947.2890693358099</v>
      </c>
      <c r="W10" s="6">
        <v>680.30913363443995</v>
      </c>
      <c r="X10" s="105">
        <v>5.8021991388650997</v>
      </c>
      <c r="Y10" s="105">
        <v>6.0748460030362197E-8</v>
      </c>
    </row>
    <row r="11" spans="1:25">
      <c r="A11" s="197">
        <v>41548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226">
        <f ca="1">'Weather Data'!BB47</f>
        <v>143.81420919656392</v>
      </c>
      <c r="F11" s="226">
        <f ca="1">'Weather Data'!CE47</f>
        <v>62.822895401718029</v>
      </c>
      <c r="G11" s="6">
        <f>'Monthly Data (14-23) Used'!BC11</f>
        <v>716976</v>
      </c>
      <c r="H11">
        <f>'Monthly Data (14-23) Used'!CC11</f>
        <v>22</v>
      </c>
      <c r="I11">
        <f>'Monthly Data (14-23) Used'!BU11</f>
        <v>0</v>
      </c>
      <c r="J11">
        <f>'Monthly Data (14-23) Used'!BZ11</f>
        <v>1</v>
      </c>
      <c r="L11" s="6">
        <f t="shared" si="3"/>
        <v>-4689965.23186938</v>
      </c>
      <c r="M11" s="6">
        <f t="shared" ca="1" si="4"/>
        <v>567676.25597677031</v>
      </c>
      <c r="N11" s="6">
        <f t="shared" ca="1" si="5"/>
        <v>958627.66540332965</v>
      </c>
      <c r="O11" s="6">
        <f t="shared" si="6"/>
        <v>11668756.086277984</v>
      </c>
      <c r="P11" s="6">
        <f t="shared" si="7"/>
        <v>5034099.8114613146</v>
      </c>
      <c r="Q11" s="6">
        <f t="shared" si="8"/>
        <v>0</v>
      </c>
      <c r="R11" s="6">
        <f t="shared" si="9"/>
        <v>1139330.72171186</v>
      </c>
      <c r="S11" s="6">
        <f t="shared" ca="1" si="10"/>
        <v>14678525.308961879</v>
      </c>
      <c r="U11" t="s">
        <v>35</v>
      </c>
      <c r="V11" s="6">
        <v>15259.2085938324</v>
      </c>
      <c r="W11" s="6">
        <v>1218.6844542321101</v>
      </c>
      <c r="X11" s="105">
        <v>12.521049678480701</v>
      </c>
      <c r="Y11" s="105">
        <v>4.3331405569901797E-23</v>
      </c>
    </row>
    <row r="12" spans="1:25">
      <c r="A12" s="197">
        <v>41579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226">
        <f ca="1">'Weather Data'!BB48</f>
        <v>344.55065689742298</v>
      </c>
      <c r="F12" s="226">
        <f ca="1">'Weather Data'!CE48</f>
        <v>6.1599999999999984</v>
      </c>
      <c r="G12" s="6">
        <f>'Monthly Data (14-23) Used'!BC12</f>
        <v>716976</v>
      </c>
      <c r="H12">
        <f>'Monthly Data (14-23) Used'!CC12</f>
        <v>20</v>
      </c>
      <c r="I12">
        <f>'Monthly Data (14-23) Used'!BU12</f>
        <v>0</v>
      </c>
      <c r="J12">
        <f>'Monthly Data (14-23) Used'!BZ12</f>
        <v>1</v>
      </c>
      <c r="L12" s="6">
        <f t="shared" si="3"/>
        <v>-4689965.23186938</v>
      </c>
      <c r="M12" s="6">
        <f t="shared" ca="1" si="4"/>
        <v>1360041.0418036708</v>
      </c>
      <c r="N12" s="6">
        <f t="shared" ca="1" si="5"/>
        <v>93996.724938007552</v>
      </c>
      <c r="O12" s="6">
        <f t="shared" si="6"/>
        <v>11668756.086277984</v>
      </c>
      <c r="P12" s="6">
        <f t="shared" si="7"/>
        <v>4576454.3740557404</v>
      </c>
      <c r="Q12" s="6">
        <f t="shared" si="8"/>
        <v>0</v>
      </c>
      <c r="R12" s="6">
        <f t="shared" si="9"/>
        <v>1139330.72171186</v>
      </c>
      <c r="S12" s="6">
        <f t="shared" ca="1" si="10"/>
        <v>14148613.716917884</v>
      </c>
      <c r="U12" t="s">
        <v>54</v>
      </c>
      <c r="V12" s="64">
        <v>16.2749605095261</v>
      </c>
      <c r="W12" s="64">
        <v>2.83883033416893</v>
      </c>
      <c r="X12" s="105">
        <v>5.7329810498486697</v>
      </c>
      <c r="Y12" s="105">
        <v>8.3413886060426594E-8</v>
      </c>
    </row>
    <row r="13" spans="1:25">
      <c r="A13" s="197">
        <v>41609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226">
        <f ca="1">'Weather Data'!BB49</f>
        <v>471.77</v>
      </c>
      <c r="F13" s="226">
        <f ca="1">'Weather Data'!CE49</f>
        <v>8.0000000000000071E-2</v>
      </c>
      <c r="G13" s="6">
        <f>'Monthly Data (14-23) Used'!BC13</f>
        <v>716976</v>
      </c>
      <c r="H13">
        <f>'Monthly Data (14-23) Used'!CC13</f>
        <v>21</v>
      </c>
      <c r="I13">
        <f>'Monthly Data (14-23) Used'!BU13</f>
        <v>0</v>
      </c>
      <c r="J13">
        <f>'Monthly Data (14-23) Used'!BZ13</f>
        <v>0</v>
      </c>
      <c r="L13" s="6">
        <f t="shared" si="3"/>
        <v>-4689965.23186938</v>
      </c>
      <c r="M13" s="6">
        <f t="shared" ca="1" si="4"/>
        <v>1862212.564240555</v>
      </c>
      <c r="N13" s="6">
        <f t="shared" ca="1" si="5"/>
        <v>1220.7366875065932</v>
      </c>
      <c r="O13" s="6">
        <f t="shared" si="6"/>
        <v>11668756.086277984</v>
      </c>
      <c r="P13" s="6">
        <f t="shared" si="7"/>
        <v>4805277.092758527</v>
      </c>
      <c r="Q13" s="6">
        <f t="shared" si="8"/>
        <v>0</v>
      </c>
      <c r="R13" s="6">
        <f t="shared" si="9"/>
        <v>0</v>
      </c>
      <c r="S13" s="6">
        <f t="shared" ca="1" si="10"/>
        <v>13647501.248095194</v>
      </c>
      <c r="U13" t="s">
        <v>256</v>
      </c>
      <c r="V13" s="6">
        <v>228822.71870278701</v>
      </c>
      <c r="W13" s="6">
        <v>47454.677771270697</v>
      </c>
      <c r="X13" s="105">
        <v>4.8219212404244303</v>
      </c>
      <c r="Y13" s="105">
        <v>4.4708263240126299E-6</v>
      </c>
    </row>
    <row r="14" spans="1:25">
      <c r="A14" s="197">
        <v>41640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7">
        <f t="shared" ref="E14:F21" ca="1" si="11">E2</f>
        <v>608.99999999999989</v>
      </c>
      <c r="F14" s="7">
        <f t="shared" ca="1" si="11"/>
        <v>0</v>
      </c>
      <c r="G14" s="6">
        <f>'Monthly Data (14-23) Used'!BC14</f>
        <v>718587</v>
      </c>
      <c r="H14">
        <f>'Monthly Data (14-23) Used'!CC14</f>
        <v>21</v>
      </c>
      <c r="I14">
        <f>'Monthly Data (14-23) Used'!BU14</f>
        <v>0</v>
      </c>
      <c r="J14">
        <f>'Monthly Data (14-23) Used'!BZ14</f>
        <v>0</v>
      </c>
      <c r="L14" s="6">
        <f t="shared" si="3"/>
        <v>-4689965.23186938</v>
      </c>
      <c r="M14" s="6">
        <f t="shared" ca="1" si="4"/>
        <v>2403899.0432255077</v>
      </c>
      <c r="N14" s="6">
        <f t="shared" ca="1" si="5"/>
        <v>0</v>
      </c>
      <c r="O14" s="6">
        <f t="shared" si="6"/>
        <v>11694975.047658831</v>
      </c>
      <c r="P14" s="6">
        <f t="shared" si="7"/>
        <v>4805277.092758527</v>
      </c>
      <c r="Q14" s="6">
        <f t="shared" si="8"/>
        <v>0</v>
      </c>
      <c r="R14" s="6">
        <f t="shared" si="9"/>
        <v>0</v>
      </c>
      <c r="S14" s="6">
        <f t="shared" ca="1" si="10"/>
        <v>14214185.951773485</v>
      </c>
      <c r="U14" t="s">
        <v>72</v>
      </c>
      <c r="V14" s="6">
        <v>1564224.56108409</v>
      </c>
      <c r="W14" s="6">
        <v>244561.33319117699</v>
      </c>
      <c r="X14" s="105">
        <v>6.3960420098843498</v>
      </c>
      <c r="Y14" s="105">
        <v>3.72170242585152E-9</v>
      </c>
    </row>
    <row r="15" spans="1:25">
      <c r="A15" s="197">
        <v>41671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7">
        <f t="shared" ca="1" si="11"/>
        <v>539.11355229914102</v>
      </c>
      <c r="F15" s="7">
        <f t="shared" ca="1" si="11"/>
        <v>0.1</v>
      </c>
      <c r="G15" s="6">
        <f>'Monthly Data (14-23) Used'!BC15</f>
        <v>718587</v>
      </c>
      <c r="H15">
        <f>'Monthly Data (14-23) Used'!CC15</f>
        <v>19</v>
      </c>
      <c r="I15">
        <f>'Monthly Data (14-23) Used'!BU15</f>
        <v>0</v>
      </c>
      <c r="J15">
        <f>'Monthly Data (14-23) Used'!BZ15</f>
        <v>0</v>
      </c>
      <c r="L15" s="6">
        <f t="shared" si="3"/>
        <v>-4689965.23186938</v>
      </c>
      <c r="M15" s="6">
        <f t="shared" ca="1" si="4"/>
        <v>2128037.0321211987</v>
      </c>
      <c r="N15" s="6">
        <f t="shared" ca="1" si="5"/>
        <v>1525.92085938324</v>
      </c>
      <c r="O15" s="6">
        <f t="shared" si="6"/>
        <v>11694975.047658831</v>
      </c>
      <c r="P15" s="6">
        <f t="shared" si="7"/>
        <v>4347631.6553529529</v>
      </c>
      <c r="Q15" s="6">
        <f t="shared" si="8"/>
        <v>0</v>
      </c>
      <c r="R15" s="6">
        <f t="shared" si="9"/>
        <v>0</v>
      </c>
      <c r="S15" s="6">
        <f t="shared" ca="1" si="10"/>
        <v>13482204.424122985</v>
      </c>
      <c r="U15" t="s">
        <v>77</v>
      </c>
      <c r="V15" s="6">
        <v>1139330.72171186</v>
      </c>
      <c r="W15" s="64">
        <v>247781.440583282</v>
      </c>
      <c r="X15" s="75">
        <v>4.5981277654607604</v>
      </c>
      <c r="Y15" s="192">
        <v>1.1187788117597399E-5</v>
      </c>
    </row>
    <row r="16" spans="1:25">
      <c r="A16" s="197">
        <v>41699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7">
        <f t="shared" ca="1" si="11"/>
        <v>434.46355229914104</v>
      </c>
      <c r="F16" s="7">
        <f t="shared" ca="1" si="11"/>
        <v>1.2599999999999998</v>
      </c>
      <c r="G16" s="6">
        <f>'Monthly Data (14-23) Used'!BC16</f>
        <v>718587</v>
      </c>
      <c r="H16">
        <f>'Monthly Data (14-23) Used'!CC16</f>
        <v>22</v>
      </c>
      <c r="I16">
        <f>'Monthly Data (14-23) Used'!BU16</f>
        <v>0</v>
      </c>
      <c r="J16">
        <f>'Monthly Data (14-23) Used'!BZ16</f>
        <v>0</v>
      </c>
      <c r="L16" s="6">
        <f t="shared" si="3"/>
        <v>-4689965.23186938</v>
      </c>
      <c r="M16" s="6">
        <f t="shared" ca="1" si="4"/>
        <v>1714953.2310152063</v>
      </c>
      <c r="N16" s="6">
        <f t="shared" ca="1" si="5"/>
        <v>19226.602828228821</v>
      </c>
      <c r="O16" s="6">
        <f t="shared" si="6"/>
        <v>11694975.047658831</v>
      </c>
      <c r="P16" s="6">
        <f t="shared" si="7"/>
        <v>5034099.8114613146</v>
      </c>
      <c r="Q16" s="6">
        <f t="shared" si="8"/>
        <v>0</v>
      </c>
      <c r="R16" s="6">
        <f t="shared" si="9"/>
        <v>0</v>
      </c>
      <c r="S16" s="6">
        <f t="shared" ca="1" si="10"/>
        <v>13773289.461094201</v>
      </c>
    </row>
    <row r="17" spans="1:24">
      <c r="A17" s="197">
        <v>41730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7">
        <f t="shared" ca="1" si="11"/>
        <v>238.61000000000004</v>
      </c>
      <c r="F17" s="7">
        <f t="shared" ca="1" si="11"/>
        <v>18.349999999999998</v>
      </c>
      <c r="G17" s="6">
        <f>'Monthly Data (14-23) Used'!BC17</f>
        <v>723726</v>
      </c>
      <c r="H17">
        <f>'Monthly Data (14-23) Used'!CC17</f>
        <v>20</v>
      </c>
      <c r="I17">
        <f>'Monthly Data (14-23) Used'!BU17</f>
        <v>0</v>
      </c>
      <c r="J17">
        <f>'Monthly Data (14-23) Used'!BZ17</f>
        <v>0</v>
      </c>
      <c r="L17" s="6">
        <f t="shared" si="3"/>
        <v>-4689965.23186938</v>
      </c>
      <c r="M17" s="6">
        <f t="shared" ca="1" si="4"/>
        <v>941862.64483421773</v>
      </c>
      <c r="N17" s="6">
        <f t="shared" ca="1" si="5"/>
        <v>280006.47769682453</v>
      </c>
      <c r="O17" s="6">
        <f t="shared" si="6"/>
        <v>11778612.069717286</v>
      </c>
      <c r="P17" s="6">
        <f t="shared" si="7"/>
        <v>4576454.3740557404</v>
      </c>
      <c r="Q17" s="6">
        <f t="shared" si="8"/>
        <v>0</v>
      </c>
      <c r="R17" s="6">
        <f t="shared" si="9"/>
        <v>0</v>
      </c>
      <c r="S17" s="6">
        <f t="shared" ca="1" si="10"/>
        <v>12886970.334434688</v>
      </c>
      <c r="U17" t="s">
        <v>223</v>
      </c>
      <c r="V17" s="193"/>
      <c r="X17" s="193"/>
    </row>
    <row r="18" spans="1:24">
      <c r="A18" s="197">
        <v>41760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7">
        <f t="shared" ca="1" si="11"/>
        <v>77.693552299140975</v>
      </c>
      <c r="F18" s="7">
        <f t="shared" ca="1" si="11"/>
        <v>124.82289540171806</v>
      </c>
      <c r="G18" s="6">
        <f>'Monthly Data (14-23) Used'!BC18</f>
        <v>723726</v>
      </c>
      <c r="H18">
        <f>'Monthly Data (14-23) Used'!CC18</f>
        <v>20</v>
      </c>
      <c r="I18">
        <f>'Monthly Data (14-23) Used'!BU18</f>
        <v>0</v>
      </c>
      <c r="J18">
        <f>'Monthly Data (14-23) Used'!BZ18</f>
        <v>0</v>
      </c>
      <c r="L18" s="6">
        <f t="shared" si="3"/>
        <v>-4689965.23186938</v>
      </c>
      <c r="M18" s="6">
        <f t="shared" ca="1" si="4"/>
        <v>306678.90974826925</v>
      </c>
      <c r="N18" s="6">
        <f t="shared" ca="1" si="5"/>
        <v>1904698.5982209388</v>
      </c>
      <c r="O18" s="6">
        <f t="shared" si="6"/>
        <v>11778612.069717286</v>
      </c>
      <c r="P18" s="6">
        <f t="shared" si="7"/>
        <v>4576454.3740557404</v>
      </c>
      <c r="Q18" s="6">
        <f t="shared" si="8"/>
        <v>0</v>
      </c>
      <c r="R18" s="6">
        <f t="shared" si="9"/>
        <v>0</v>
      </c>
      <c r="S18" s="6">
        <f t="shared" ca="1" si="10"/>
        <v>13876478.719872855</v>
      </c>
      <c r="U18" t="s">
        <v>226</v>
      </c>
      <c r="V18" s="193">
        <v>62519724798321</v>
      </c>
      <c r="W18" t="s">
        <v>227</v>
      </c>
      <c r="X18" s="193">
        <v>743822.49285034195</v>
      </c>
    </row>
    <row r="19" spans="1:24">
      <c r="A19" s="197">
        <v>41791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7">
        <f t="shared" ca="1" si="11"/>
        <v>2.8535522991409801</v>
      </c>
      <c r="F19" s="7">
        <f t="shared" ca="1" si="11"/>
        <v>262.25644770085898</v>
      </c>
      <c r="G19" s="6">
        <f>'Monthly Data (14-23) Used'!BC19</f>
        <v>723726</v>
      </c>
      <c r="H19">
        <f>'Monthly Data (14-23) Used'!CC19</f>
        <v>22</v>
      </c>
      <c r="I19">
        <f>'Monthly Data (14-23) Used'!BU19</f>
        <v>0</v>
      </c>
      <c r="J19">
        <f>'Monthly Data (14-23) Used'!BZ19</f>
        <v>0</v>
      </c>
      <c r="L19" s="6">
        <f t="shared" si="3"/>
        <v>-4689965.23186938</v>
      </c>
      <c r="M19" s="6">
        <f t="shared" ca="1" si="4"/>
        <v>11263.79579917726</v>
      </c>
      <c r="N19" s="6">
        <f t="shared" ca="1" si="5"/>
        <v>4001825.8405449046</v>
      </c>
      <c r="O19" s="6">
        <f t="shared" si="6"/>
        <v>11778612.069717286</v>
      </c>
      <c r="P19" s="6">
        <f t="shared" si="7"/>
        <v>5034099.8114613146</v>
      </c>
      <c r="Q19" s="6">
        <f t="shared" si="8"/>
        <v>0</v>
      </c>
      <c r="R19" s="6">
        <f t="shared" si="9"/>
        <v>0</v>
      </c>
      <c r="S19" s="6">
        <f t="shared" ca="1" si="10"/>
        <v>16135836.285653302</v>
      </c>
      <c r="U19" t="s">
        <v>228</v>
      </c>
      <c r="V19" s="193">
        <v>0.85366726299066598</v>
      </c>
      <c r="W19" t="s">
        <v>229</v>
      </c>
      <c r="X19" s="193">
        <v>0.84589738314946195</v>
      </c>
    </row>
    <row r="20" spans="1:24">
      <c r="A20" s="197">
        <v>41821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7">
        <f t="shared" ca="1" si="11"/>
        <v>1.9999999999999928E-2</v>
      </c>
      <c r="F20" s="7">
        <f t="shared" ca="1" si="11"/>
        <v>335.21289540171807</v>
      </c>
      <c r="G20" s="6">
        <f>'Monthly Data (14-23) Used'!BC20</f>
        <v>730341</v>
      </c>
      <c r="H20">
        <f>'Monthly Data (14-23) Used'!CC20</f>
        <v>22</v>
      </c>
      <c r="I20">
        <f>'Monthly Data (14-23) Used'!BU20</f>
        <v>0</v>
      </c>
      <c r="J20">
        <f>'Monthly Data (14-23) Used'!BZ20</f>
        <v>0</v>
      </c>
      <c r="L20" s="6">
        <f t="shared" si="3"/>
        <v>-4689965.23186938</v>
      </c>
      <c r="M20" s="6">
        <f t="shared" ca="1" si="4"/>
        <v>78.945781386715908</v>
      </c>
      <c r="N20" s="6">
        <f t="shared" ca="1" si="5"/>
        <v>5115083.4942773376</v>
      </c>
      <c r="O20" s="6">
        <f t="shared" si="6"/>
        <v>11886270.933487801</v>
      </c>
      <c r="P20" s="6">
        <f t="shared" si="7"/>
        <v>5034099.8114613146</v>
      </c>
      <c r="Q20" s="6">
        <f t="shared" si="8"/>
        <v>0</v>
      </c>
      <c r="R20" s="6">
        <f t="shared" si="9"/>
        <v>0</v>
      </c>
      <c r="S20" s="6">
        <f t="shared" ca="1" si="10"/>
        <v>17345567.953138459</v>
      </c>
      <c r="U20" t="s">
        <v>257</v>
      </c>
      <c r="V20" s="75">
        <v>52.903039035104698</v>
      </c>
      <c r="W20" t="s">
        <v>231</v>
      </c>
      <c r="X20" s="105">
        <v>1.41502064571364E-30</v>
      </c>
    </row>
    <row r="21" spans="1:24">
      <c r="A21" s="197">
        <v>41852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7">
        <f t="shared" ca="1" si="11"/>
        <v>0.49999999999999983</v>
      </c>
      <c r="F21" s="7">
        <f t="shared" ca="1" si="11"/>
        <v>307.37605861546228</v>
      </c>
      <c r="G21" s="6">
        <f>'Monthly Data (14-23) Used'!BC21</f>
        <v>730341</v>
      </c>
      <c r="H21">
        <f>'Monthly Data (14-23) Used'!CC21</f>
        <v>20</v>
      </c>
      <c r="I21">
        <f>'Monthly Data (14-23) Used'!BU21</f>
        <v>0</v>
      </c>
      <c r="J21">
        <f>'Monthly Data (14-23) Used'!BZ21</f>
        <v>0</v>
      </c>
      <c r="L21" s="6">
        <f t="shared" si="3"/>
        <v>-4689965.23186938</v>
      </c>
      <c r="M21" s="6">
        <f t="shared" ca="1" si="4"/>
        <v>1973.6445346679043</v>
      </c>
      <c r="N21" s="6">
        <f t="shared" ca="1" si="5"/>
        <v>4690315.3951633936</v>
      </c>
      <c r="O21" s="6">
        <f t="shared" si="6"/>
        <v>11886270.933487801</v>
      </c>
      <c r="P21" s="6">
        <f t="shared" si="7"/>
        <v>4576454.3740557404</v>
      </c>
      <c r="Q21" s="6">
        <f t="shared" si="8"/>
        <v>0</v>
      </c>
      <c r="R21" s="6">
        <f t="shared" si="9"/>
        <v>0</v>
      </c>
      <c r="S21" s="6">
        <f t="shared" ca="1" si="10"/>
        <v>16465049.115372222</v>
      </c>
      <c r="U21" t="s">
        <v>232</v>
      </c>
      <c r="V21" s="75">
        <v>-3.4653999143158899E-2</v>
      </c>
      <c r="W21" t="s">
        <v>233</v>
      </c>
      <c r="X21" s="105">
        <v>2.0644896093157898</v>
      </c>
    </row>
    <row r="22" spans="1:24">
      <c r="A22" s="197">
        <v>41883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7">
        <f t="shared" ref="E22:F41" ca="1" si="12">E10</f>
        <v>17.56355229914098</v>
      </c>
      <c r="F22" s="7">
        <f t="shared" ca="1" si="12"/>
        <v>194.39579080343606</v>
      </c>
      <c r="G22" s="6">
        <f>'Monthly Data (14-23) Used'!BC22</f>
        <v>730341</v>
      </c>
      <c r="H22">
        <f>'Monthly Data (14-23) Used'!CC22</f>
        <v>21</v>
      </c>
      <c r="I22">
        <f>'Monthly Data (14-23) Used'!BU22</f>
        <v>1</v>
      </c>
      <c r="J22">
        <f>'Monthly Data (14-23) Used'!BZ22</f>
        <v>0</v>
      </c>
      <c r="L22" s="6">
        <f t="shared" si="3"/>
        <v>-4689965.23186938</v>
      </c>
      <c r="M22" s="6">
        <f t="shared" ca="1" si="4"/>
        <v>69328.41800910703</v>
      </c>
      <c r="N22" s="6">
        <f t="shared" ca="1" si="5"/>
        <v>2966325.9216326368</v>
      </c>
      <c r="O22" s="6">
        <f t="shared" si="6"/>
        <v>11886270.933487801</v>
      </c>
      <c r="P22" s="6">
        <f t="shared" si="7"/>
        <v>4805277.092758527</v>
      </c>
      <c r="Q22" s="6">
        <f t="shared" si="8"/>
        <v>1564224.56108409</v>
      </c>
      <c r="R22" s="6">
        <f t="shared" si="9"/>
        <v>0</v>
      </c>
      <c r="S22" s="6">
        <f t="shared" ca="1" si="10"/>
        <v>16601461.695102781</v>
      </c>
      <c r="V22" s="195"/>
      <c r="X22" s="105"/>
    </row>
    <row r="23" spans="1:24">
      <c r="A23" s="197">
        <v>41913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7">
        <f t="shared" ca="1" si="12"/>
        <v>143.81420919656392</v>
      </c>
      <c r="F23" s="7">
        <f t="shared" ca="1" si="12"/>
        <v>62.822895401718029</v>
      </c>
      <c r="G23" s="6">
        <f>'Monthly Data (14-23) Used'!BC23</f>
        <v>737784</v>
      </c>
      <c r="H23">
        <f>'Monthly Data (14-23) Used'!CC23</f>
        <v>21</v>
      </c>
      <c r="I23">
        <f>'Monthly Data (14-23) Used'!BU23</f>
        <v>0</v>
      </c>
      <c r="J23">
        <f>'Monthly Data (14-23) Used'!BZ23</f>
        <v>1</v>
      </c>
      <c r="L23" s="6">
        <f t="shared" si="3"/>
        <v>-4689965.23186938</v>
      </c>
      <c r="M23" s="6">
        <f t="shared" ca="1" si="4"/>
        <v>567676.25597677031</v>
      </c>
      <c r="N23" s="6">
        <f t="shared" ca="1" si="5"/>
        <v>958627.66540332965</v>
      </c>
      <c r="O23" s="6">
        <f t="shared" si="6"/>
        <v>12007405.464560203</v>
      </c>
      <c r="P23" s="6">
        <f t="shared" si="7"/>
        <v>4805277.092758527</v>
      </c>
      <c r="Q23" s="6">
        <f t="shared" si="8"/>
        <v>0</v>
      </c>
      <c r="R23" s="6">
        <f t="shared" si="9"/>
        <v>1139330.72171186</v>
      </c>
      <c r="S23" s="6">
        <f t="shared" ca="1" si="10"/>
        <v>14788351.968541309</v>
      </c>
      <c r="U23" t="s">
        <v>247</v>
      </c>
    </row>
    <row r="24" spans="1:24">
      <c r="A24" s="197">
        <v>41944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7">
        <f t="shared" ca="1" si="12"/>
        <v>344.55065689742298</v>
      </c>
      <c r="F24" s="7">
        <f t="shared" ca="1" si="12"/>
        <v>6.1599999999999984</v>
      </c>
      <c r="G24" s="6">
        <f>'Monthly Data (14-23) Used'!BC24</f>
        <v>737784</v>
      </c>
      <c r="H24">
        <f>'Monthly Data (14-23) Used'!CC24</f>
        <v>21</v>
      </c>
      <c r="I24">
        <f>'Monthly Data (14-23) Used'!BU24</f>
        <v>0</v>
      </c>
      <c r="J24">
        <f>'Monthly Data (14-23) Used'!BZ24</f>
        <v>1</v>
      </c>
      <c r="L24" s="6">
        <f t="shared" si="3"/>
        <v>-4689965.23186938</v>
      </c>
      <c r="M24" s="6">
        <f t="shared" ca="1" si="4"/>
        <v>1360041.0418036708</v>
      </c>
      <c r="N24" s="6">
        <f t="shared" ca="1" si="5"/>
        <v>93996.724938007552</v>
      </c>
      <c r="O24" s="6">
        <f t="shared" si="6"/>
        <v>12007405.464560203</v>
      </c>
      <c r="P24" s="6">
        <f t="shared" si="7"/>
        <v>4805277.092758527</v>
      </c>
      <c r="Q24" s="6">
        <f t="shared" si="8"/>
        <v>0</v>
      </c>
      <c r="R24" s="6">
        <f t="shared" si="9"/>
        <v>1139330.72171186</v>
      </c>
      <c r="S24" s="6">
        <f t="shared" ca="1" si="10"/>
        <v>14716085.813902888</v>
      </c>
      <c r="U24" t="s">
        <v>224</v>
      </c>
      <c r="V24">
        <v>15734301.292447999</v>
      </c>
      <c r="W24" t="s">
        <v>225</v>
      </c>
      <c r="X24" s="6">
        <v>1861094.1616274901</v>
      </c>
    </row>
    <row r="25" spans="1:24">
      <c r="A25" s="197">
        <v>41974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7">
        <f t="shared" ca="1" si="12"/>
        <v>471.77</v>
      </c>
      <c r="F25" s="7">
        <f t="shared" ca="1" si="12"/>
        <v>8.0000000000000071E-2</v>
      </c>
      <c r="G25" s="6">
        <f>'Monthly Data (14-23) Used'!BC25</f>
        <v>737784</v>
      </c>
      <c r="H25">
        <f>'Monthly Data (14-23) Used'!CC25</f>
        <v>21</v>
      </c>
      <c r="I25">
        <f>'Monthly Data (14-23) Used'!BU25</f>
        <v>0</v>
      </c>
      <c r="J25">
        <f>'Monthly Data (14-23) Used'!BZ25</f>
        <v>0</v>
      </c>
      <c r="L25" s="6">
        <f t="shared" si="3"/>
        <v>-4689965.23186938</v>
      </c>
      <c r="M25" s="6">
        <f t="shared" ca="1" si="4"/>
        <v>1862212.564240555</v>
      </c>
      <c r="N25" s="6">
        <f t="shared" ca="1" si="5"/>
        <v>1220.7366875065932</v>
      </c>
      <c r="O25" s="6">
        <f t="shared" si="6"/>
        <v>12007405.464560203</v>
      </c>
      <c r="P25" s="6">
        <f t="shared" si="7"/>
        <v>4805277.092758527</v>
      </c>
      <c r="Q25" s="6">
        <f t="shared" si="8"/>
        <v>0</v>
      </c>
      <c r="R25" s="6">
        <f t="shared" si="9"/>
        <v>0</v>
      </c>
      <c r="S25" s="6">
        <f t="shared" ca="1" si="10"/>
        <v>13986150.626377413</v>
      </c>
    </row>
    <row r="26" spans="1:24">
      <c r="A26" s="197">
        <v>42005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7">
        <f t="shared" ca="1" si="12"/>
        <v>608.99999999999989</v>
      </c>
      <c r="F26" s="7">
        <f t="shared" ca="1" si="12"/>
        <v>0</v>
      </c>
      <c r="G26" s="6">
        <f>'Monthly Data (14-23) Used'!BC26</f>
        <v>743287</v>
      </c>
      <c r="H26">
        <f>'Monthly Data (14-23) Used'!CC26</f>
        <v>20</v>
      </c>
      <c r="I26">
        <f>'Monthly Data (14-23) Used'!BU26</f>
        <v>0</v>
      </c>
      <c r="J26">
        <f>'Monthly Data (14-23) Used'!BZ26</f>
        <v>0</v>
      </c>
      <c r="L26" s="6">
        <f t="shared" si="3"/>
        <v>-4689965.23186938</v>
      </c>
      <c r="M26" s="6">
        <f t="shared" ca="1" si="4"/>
        <v>2403899.0432255077</v>
      </c>
      <c r="N26" s="6">
        <f t="shared" ca="1" si="5"/>
        <v>0</v>
      </c>
      <c r="O26" s="6">
        <f t="shared" si="6"/>
        <v>12096966.572244126</v>
      </c>
      <c r="P26" s="6">
        <f t="shared" si="7"/>
        <v>4576454.3740557404</v>
      </c>
      <c r="Q26" s="6">
        <f t="shared" si="8"/>
        <v>0</v>
      </c>
      <c r="R26" s="6">
        <f t="shared" si="9"/>
        <v>0</v>
      </c>
      <c r="S26" s="6">
        <f t="shared" ca="1" si="10"/>
        <v>14387354.757655993</v>
      </c>
    </row>
    <row r="27" spans="1:24">
      <c r="A27" s="197">
        <v>42036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7">
        <f t="shared" ca="1" si="12"/>
        <v>539.11355229914102</v>
      </c>
      <c r="F27" s="7">
        <f t="shared" ca="1" si="12"/>
        <v>0.1</v>
      </c>
      <c r="G27" s="6">
        <f>'Monthly Data (14-23) Used'!BC27</f>
        <v>743287</v>
      </c>
      <c r="H27">
        <f>'Monthly Data (14-23) Used'!CC27</f>
        <v>20</v>
      </c>
      <c r="I27">
        <f>'Monthly Data (14-23) Used'!BU27</f>
        <v>0</v>
      </c>
      <c r="J27">
        <f>'Monthly Data (14-23) Used'!BZ27</f>
        <v>0</v>
      </c>
      <c r="L27" s="6">
        <f t="shared" si="3"/>
        <v>-4689965.23186938</v>
      </c>
      <c r="M27" s="6">
        <f t="shared" ca="1" si="4"/>
        <v>2128037.0321211987</v>
      </c>
      <c r="N27" s="6">
        <f t="shared" ca="1" si="5"/>
        <v>1525.92085938324</v>
      </c>
      <c r="O27" s="6">
        <f t="shared" si="6"/>
        <v>12096966.572244126</v>
      </c>
      <c r="P27" s="6">
        <f t="shared" si="7"/>
        <v>4576454.3740557404</v>
      </c>
      <c r="Q27" s="6">
        <f t="shared" si="8"/>
        <v>0</v>
      </c>
      <c r="R27" s="6">
        <f t="shared" si="9"/>
        <v>0</v>
      </c>
      <c r="S27" s="6">
        <f t="shared" ca="1" si="10"/>
        <v>14113018.66741107</v>
      </c>
    </row>
    <row r="28" spans="1:24">
      <c r="A28" s="197">
        <v>42064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7">
        <f t="shared" ca="1" si="12"/>
        <v>434.46355229914104</v>
      </c>
      <c r="F28" s="7">
        <f t="shared" ca="1" si="12"/>
        <v>1.2599999999999998</v>
      </c>
      <c r="G28" s="6">
        <f>'Monthly Data (14-23) Used'!BC28</f>
        <v>743287</v>
      </c>
      <c r="H28">
        <f>'Monthly Data (14-23) Used'!CC28</f>
        <v>21</v>
      </c>
      <c r="I28">
        <f>'Monthly Data (14-23) Used'!BU28</f>
        <v>0</v>
      </c>
      <c r="J28">
        <f>'Monthly Data (14-23) Used'!BZ28</f>
        <v>0</v>
      </c>
      <c r="L28" s="6">
        <f t="shared" si="3"/>
        <v>-4689965.23186938</v>
      </c>
      <c r="M28" s="6">
        <f t="shared" ca="1" si="4"/>
        <v>1714953.2310152063</v>
      </c>
      <c r="N28" s="6">
        <f t="shared" ca="1" si="5"/>
        <v>19226.602828228821</v>
      </c>
      <c r="O28" s="6">
        <f t="shared" si="6"/>
        <v>12096966.572244126</v>
      </c>
      <c r="P28" s="6">
        <f t="shared" si="7"/>
        <v>4805277.092758527</v>
      </c>
      <c r="Q28" s="6">
        <f t="shared" si="8"/>
        <v>0</v>
      </c>
      <c r="R28" s="6">
        <f t="shared" si="9"/>
        <v>0</v>
      </c>
      <c r="S28" s="6">
        <f t="shared" ca="1" si="10"/>
        <v>13946458.266976709</v>
      </c>
    </row>
    <row r="29" spans="1:24">
      <c r="A29" s="197">
        <v>42095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7">
        <f t="shared" ca="1" si="12"/>
        <v>238.61000000000004</v>
      </c>
      <c r="F29" s="7">
        <f t="shared" ca="1" si="12"/>
        <v>18.349999999999998</v>
      </c>
      <c r="G29" s="6">
        <f>'Monthly Data (14-23) Used'!BC29</f>
        <v>740632</v>
      </c>
      <c r="H29">
        <f>'Monthly Data (14-23) Used'!CC29</f>
        <v>21</v>
      </c>
      <c r="I29">
        <f>'Monthly Data (14-23) Used'!BU29</f>
        <v>0</v>
      </c>
      <c r="J29">
        <f>'Monthly Data (14-23) Used'!BZ29</f>
        <v>0</v>
      </c>
      <c r="L29" s="6">
        <f t="shared" si="3"/>
        <v>-4689965.23186938</v>
      </c>
      <c r="M29" s="6">
        <f t="shared" ca="1" si="4"/>
        <v>941862.64483421773</v>
      </c>
      <c r="N29" s="6">
        <f t="shared" ca="1" si="5"/>
        <v>280006.47769682453</v>
      </c>
      <c r="O29" s="6">
        <f t="shared" si="6"/>
        <v>12053756.552091334</v>
      </c>
      <c r="P29" s="6">
        <f t="shared" si="7"/>
        <v>4805277.092758527</v>
      </c>
      <c r="Q29" s="6">
        <f t="shared" si="8"/>
        <v>0</v>
      </c>
      <c r="R29" s="6">
        <f t="shared" si="9"/>
        <v>0</v>
      </c>
      <c r="S29" s="6">
        <f t="shared" ca="1" si="10"/>
        <v>13390937.535511523</v>
      </c>
    </row>
    <row r="30" spans="1:24">
      <c r="A30" s="197">
        <v>42125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7">
        <f t="shared" ca="1" si="12"/>
        <v>77.693552299140975</v>
      </c>
      <c r="F30" s="7">
        <f t="shared" ca="1" si="12"/>
        <v>124.82289540171806</v>
      </c>
      <c r="G30" s="6">
        <f>'Monthly Data (14-23) Used'!BC30</f>
        <v>740632</v>
      </c>
      <c r="H30">
        <f>'Monthly Data (14-23) Used'!CC30</f>
        <v>21</v>
      </c>
      <c r="I30">
        <f>'Monthly Data (14-23) Used'!BU30</f>
        <v>0</v>
      </c>
      <c r="J30">
        <f>'Monthly Data (14-23) Used'!BZ30</f>
        <v>0</v>
      </c>
      <c r="L30" s="6">
        <f t="shared" si="3"/>
        <v>-4689965.23186938</v>
      </c>
      <c r="M30" s="6">
        <f t="shared" ca="1" si="4"/>
        <v>306678.90974826925</v>
      </c>
      <c r="N30" s="6">
        <f t="shared" ca="1" si="5"/>
        <v>1904698.5982209388</v>
      </c>
      <c r="O30" s="6">
        <f t="shared" si="6"/>
        <v>12053756.552091334</v>
      </c>
      <c r="P30" s="6">
        <f t="shared" si="7"/>
        <v>4805277.092758527</v>
      </c>
      <c r="Q30" s="6">
        <f t="shared" si="8"/>
        <v>0</v>
      </c>
      <c r="R30" s="6">
        <f t="shared" si="9"/>
        <v>0</v>
      </c>
      <c r="S30" s="6">
        <f t="shared" ca="1" si="10"/>
        <v>14380445.920949688</v>
      </c>
    </row>
    <row r="31" spans="1:24">
      <c r="A31" s="197">
        <v>42156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7">
        <f t="shared" ca="1" si="12"/>
        <v>2.8535522991409801</v>
      </c>
      <c r="F31" s="7">
        <f t="shared" ca="1" si="12"/>
        <v>262.25644770085898</v>
      </c>
      <c r="G31" s="6">
        <f>'Monthly Data (14-23) Used'!BC31</f>
        <v>740632</v>
      </c>
      <c r="H31">
        <f>'Monthly Data (14-23) Used'!CC31</f>
        <v>22</v>
      </c>
      <c r="I31">
        <f>'Monthly Data (14-23) Used'!BU31</f>
        <v>0</v>
      </c>
      <c r="J31">
        <f>'Monthly Data (14-23) Used'!BZ31</f>
        <v>0</v>
      </c>
      <c r="L31" s="6">
        <f t="shared" si="3"/>
        <v>-4689965.23186938</v>
      </c>
      <c r="M31" s="6">
        <f t="shared" ca="1" si="4"/>
        <v>11263.79579917726</v>
      </c>
      <c r="N31" s="6">
        <f t="shared" ca="1" si="5"/>
        <v>4001825.8405449046</v>
      </c>
      <c r="O31" s="6">
        <f t="shared" si="6"/>
        <v>12053756.552091334</v>
      </c>
      <c r="P31" s="6">
        <f t="shared" si="7"/>
        <v>5034099.8114613146</v>
      </c>
      <c r="Q31" s="6">
        <f t="shared" si="8"/>
        <v>0</v>
      </c>
      <c r="R31" s="6">
        <f t="shared" si="9"/>
        <v>0</v>
      </c>
      <c r="S31" s="6">
        <f t="shared" ca="1" si="10"/>
        <v>16410980.76802735</v>
      </c>
    </row>
    <row r="32" spans="1:24">
      <c r="A32" s="197">
        <v>42186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7">
        <f t="shared" ca="1" si="12"/>
        <v>1.9999999999999928E-2</v>
      </c>
      <c r="F32" s="7">
        <f t="shared" ca="1" si="12"/>
        <v>335.21289540171807</v>
      </c>
      <c r="G32" s="6">
        <f>'Monthly Data (14-23) Used'!BC32</f>
        <v>746606</v>
      </c>
      <c r="H32">
        <f>'Monthly Data (14-23) Used'!CC32</f>
        <v>20</v>
      </c>
      <c r="I32">
        <f>'Monthly Data (14-23) Used'!BU32</f>
        <v>0</v>
      </c>
      <c r="J32">
        <f>'Monthly Data (14-23) Used'!BZ32</f>
        <v>0</v>
      </c>
      <c r="L32" s="6">
        <f t="shared" si="3"/>
        <v>-4689965.23186938</v>
      </c>
      <c r="M32" s="6">
        <f t="shared" ca="1" si="4"/>
        <v>78.945781386715908</v>
      </c>
      <c r="N32" s="6">
        <f t="shared" ca="1" si="5"/>
        <v>5115083.4942773376</v>
      </c>
      <c r="O32" s="6">
        <f t="shared" si="6"/>
        <v>12150983.166175243</v>
      </c>
      <c r="P32" s="6">
        <f t="shared" si="7"/>
        <v>4576454.3740557404</v>
      </c>
      <c r="Q32" s="6">
        <f t="shared" si="8"/>
        <v>0</v>
      </c>
      <c r="R32" s="6">
        <f t="shared" si="9"/>
        <v>0</v>
      </c>
      <c r="S32" s="6">
        <f t="shared" ca="1" si="10"/>
        <v>17152634.748420328</v>
      </c>
    </row>
    <row r="33" spans="1:19">
      <c r="A33" s="197">
        <v>42217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7">
        <f t="shared" ca="1" si="12"/>
        <v>0.49999999999999983</v>
      </c>
      <c r="F33" s="7">
        <f t="shared" ca="1" si="12"/>
        <v>307.37605861546228</v>
      </c>
      <c r="G33" s="6">
        <f>'Monthly Data (14-23) Used'!BC33</f>
        <v>746606</v>
      </c>
      <c r="H33">
        <f>'Monthly Data (14-23) Used'!CC33</f>
        <v>22</v>
      </c>
      <c r="I33">
        <f>'Monthly Data (14-23) Used'!BU33</f>
        <v>0</v>
      </c>
      <c r="J33">
        <f>'Monthly Data (14-23) Used'!BZ33</f>
        <v>0</v>
      </c>
      <c r="L33" s="6">
        <f t="shared" si="3"/>
        <v>-4689965.23186938</v>
      </c>
      <c r="M33" s="6">
        <f t="shared" ca="1" si="4"/>
        <v>1973.6445346679043</v>
      </c>
      <c r="N33" s="6">
        <f t="shared" ca="1" si="5"/>
        <v>4690315.3951633936</v>
      </c>
      <c r="O33" s="6">
        <f t="shared" si="6"/>
        <v>12150983.166175243</v>
      </c>
      <c r="P33" s="6">
        <f t="shared" si="7"/>
        <v>5034099.8114613146</v>
      </c>
      <c r="Q33" s="6">
        <f t="shared" si="8"/>
        <v>0</v>
      </c>
      <c r="R33" s="6">
        <f t="shared" si="9"/>
        <v>0</v>
      </c>
      <c r="S33" s="6">
        <f t="shared" ca="1" si="10"/>
        <v>17187406.78546524</v>
      </c>
    </row>
    <row r="34" spans="1:19">
      <c r="A34" s="197">
        <v>42248</v>
      </c>
      <c r="B34">
        <f t="shared" ref="B34:B65" si="13">MONTH(A46)</f>
        <v>9</v>
      </c>
      <c r="C34">
        <f t="shared" ref="C34:C65" si="14">YEAR(A46)</f>
        <v>2016</v>
      </c>
      <c r="D34" s="6">
        <f>'Monthly Data (14-23) Used'!M34</f>
        <v>19809166.990234364</v>
      </c>
      <c r="E34" s="7">
        <f t="shared" ca="1" si="12"/>
        <v>17.56355229914098</v>
      </c>
      <c r="F34" s="7">
        <f t="shared" ca="1" si="12"/>
        <v>194.39579080343606</v>
      </c>
      <c r="G34" s="6">
        <f>'Monthly Data (14-23) Used'!BC34</f>
        <v>746606</v>
      </c>
      <c r="H34">
        <f>'Monthly Data (14-23) Used'!CC34</f>
        <v>21</v>
      </c>
      <c r="I34">
        <f>'Monthly Data (14-23) Used'!BU34</f>
        <v>1</v>
      </c>
      <c r="J34">
        <f>'Monthly Data (14-23) Used'!BZ34</f>
        <v>0</v>
      </c>
      <c r="L34" s="6">
        <f t="shared" si="3"/>
        <v>-4689965.23186938</v>
      </c>
      <c r="M34" s="6">
        <f t="shared" ref="M34:M54" ca="1" si="15">E34*$V$10</f>
        <v>69328.41800910703</v>
      </c>
      <c r="N34" s="6">
        <f t="shared" ref="N34:N54" ca="1" si="16">F34*$V$11</f>
        <v>2966325.9216326368</v>
      </c>
      <c r="O34" s="6">
        <f t="shared" ref="O34:O54" si="17">G34*$V$12</f>
        <v>12150983.166175243</v>
      </c>
      <c r="P34" s="6">
        <f t="shared" ref="P34:P54" si="18">H34*$V$13</f>
        <v>4805277.092758527</v>
      </c>
      <c r="Q34" s="6">
        <f t="shared" ref="Q34:Q54" si="19">I34*$V$14</f>
        <v>1564224.56108409</v>
      </c>
      <c r="R34" s="6">
        <f t="shared" ref="R34:R54" si="20">J34*$V$15</f>
        <v>0</v>
      </c>
      <c r="S34" s="6">
        <f t="shared" ref="S34:S54" ca="1" si="21">SUM(L34:R34)</f>
        <v>16866173.927790225</v>
      </c>
    </row>
    <row r="35" spans="1:19">
      <c r="A35" s="197">
        <v>42278</v>
      </c>
      <c r="B35">
        <f t="shared" si="13"/>
        <v>10</v>
      </c>
      <c r="C35">
        <f t="shared" si="14"/>
        <v>2016</v>
      </c>
      <c r="D35" s="6">
        <f>'Monthly Data (14-23) Used'!M35</f>
        <v>17394767.990234364</v>
      </c>
      <c r="E35" s="7">
        <f t="shared" ca="1" si="12"/>
        <v>143.81420919656392</v>
      </c>
      <c r="F35" s="7">
        <f t="shared" ca="1" si="12"/>
        <v>62.822895401718029</v>
      </c>
      <c r="G35" s="6">
        <f>'Monthly Data (14-23) Used'!BC35</f>
        <v>745380</v>
      </c>
      <c r="H35">
        <f>'Monthly Data (14-23) Used'!CC35</f>
        <v>20</v>
      </c>
      <c r="I35">
        <f>'Monthly Data (14-23) Used'!BU35</f>
        <v>0</v>
      </c>
      <c r="J35">
        <f>'Monthly Data (14-23) Used'!BZ35</f>
        <v>1</v>
      </c>
      <c r="L35" s="6">
        <f t="shared" si="3"/>
        <v>-4689965.23186938</v>
      </c>
      <c r="M35" s="6">
        <f t="shared" ca="1" si="15"/>
        <v>567676.25597677031</v>
      </c>
      <c r="N35" s="6">
        <f t="shared" ca="1" si="16"/>
        <v>958627.66540332965</v>
      </c>
      <c r="O35" s="6">
        <f t="shared" si="17"/>
        <v>12131030.064590564</v>
      </c>
      <c r="P35" s="6">
        <f t="shared" si="18"/>
        <v>4576454.3740557404</v>
      </c>
      <c r="Q35" s="6">
        <f t="shared" si="19"/>
        <v>0</v>
      </c>
      <c r="R35" s="6">
        <f t="shared" si="20"/>
        <v>1139330.72171186</v>
      </c>
      <c r="S35" s="6">
        <f t="shared" ca="1" si="21"/>
        <v>14683153.849868882</v>
      </c>
    </row>
    <row r="36" spans="1:19">
      <c r="A36" s="197">
        <v>42309</v>
      </c>
      <c r="B36">
        <f t="shared" si="13"/>
        <v>11</v>
      </c>
      <c r="C36">
        <f t="shared" si="14"/>
        <v>2016</v>
      </c>
      <c r="D36" s="6">
        <f>'Monthly Data (14-23) Used'!M36</f>
        <v>16436231.990234362</v>
      </c>
      <c r="E36" s="7">
        <f t="shared" ca="1" si="12"/>
        <v>344.55065689742298</v>
      </c>
      <c r="F36" s="7">
        <f t="shared" ca="1" si="12"/>
        <v>6.1599999999999984</v>
      </c>
      <c r="G36" s="6">
        <f>'Monthly Data (14-23) Used'!BC36</f>
        <v>745380</v>
      </c>
      <c r="H36">
        <f>'Monthly Data (14-23) Used'!CC36</f>
        <v>22</v>
      </c>
      <c r="I36">
        <f>'Monthly Data (14-23) Used'!BU36</f>
        <v>0</v>
      </c>
      <c r="J36">
        <f>'Monthly Data (14-23) Used'!BZ36</f>
        <v>1</v>
      </c>
      <c r="L36" s="6">
        <f t="shared" si="3"/>
        <v>-4689965.23186938</v>
      </c>
      <c r="M36" s="6">
        <f t="shared" ca="1" si="15"/>
        <v>1360041.0418036708</v>
      </c>
      <c r="N36" s="6">
        <f t="shared" ca="1" si="16"/>
        <v>93996.724938007552</v>
      </c>
      <c r="O36" s="6">
        <f t="shared" si="17"/>
        <v>12131030.064590564</v>
      </c>
      <c r="P36" s="6">
        <f t="shared" si="18"/>
        <v>5034099.8114613146</v>
      </c>
      <c r="Q36" s="6">
        <f t="shared" si="19"/>
        <v>0</v>
      </c>
      <c r="R36" s="6">
        <f t="shared" si="20"/>
        <v>1139330.72171186</v>
      </c>
      <c r="S36" s="6">
        <f t="shared" ca="1" si="21"/>
        <v>15068533.132636037</v>
      </c>
    </row>
    <row r="37" spans="1:19">
      <c r="A37" s="197">
        <v>42339</v>
      </c>
      <c r="B37">
        <f t="shared" si="13"/>
        <v>12</v>
      </c>
      <c r="C37">
        <f t="shared" si="14"/>
        <v>2016</v>
      </c>
      <c r="D37" s="6">
        <f>'Monthly Data (14-23) Used'!M37</f>
        <v>16007365.990234362</v>
      </c>
      <c r="E37" s="7">
        <f t="shared" ca="1" si="12"/>
        <v>471.77</v>
      </c>
      <c r="F37" s="7">
        <f t="shared" ca="1" si="12"/>
        <v>8.0000000000000071E-2</v>
      </c>
      <c r="G37" s="6">
        <f>'Monthly Data (14-23) Used'!BC37</f>
        <v>745380</v>
      </c>
      <c r="H37">
        <f>'Monthly Data (14-23) Used'!CC37</f>
        <v>20</v>
      </c>
      <c r="I37">
        <f>'Monthly Data (14-23) Used'!BU37</f>
        <v>0</v>
      </c>
      <c r="J37">
        <f>'Monthly Data (14-23) Used'!BZ37</f>
        <v>0</v>
      </c>
      <c r="L37" s="6">
        <f t="shared" si="3"/>
        <v>-4689965.23186938</v>
      </c>
      <c r="M37" s="6">
        <f t="shared" ca="1" si="15"/>
        <v>1862212.564240555</v>
      </c>
      <c r="N37" s="6">
        <f t="shared" ca="1" si="16"/>
        <v>1220.7366875065932</v>
      </c>
      <c r="O37" s="6">
        <f t="shared" si="17"/>
        <v>12131030.064590564</v>
      </c>
      <c r="P37" s="6">
        <f t="shared" si="18"/>
        <v>4576454.3740557404</v>
      </c>
      <c r="Q37" s="6">
        <f t="shared" si="19"/>
        <v>0</v>
      </c>
      <c r="R37" s="6">
        <f t="shared" si="20"/>
        <v>0</v>
      </c>
      <c r="S37" s="6">
        <f t="shared" ca="1" si="21"/>
        <v>13880952.507704984</v>
      </c>
    </row>
    <row r="38" spans="1:19">
      <c r="A38" s="197">
        <v>42370</v>
      </c>
      <c r="B38">
        <f t="shared" si="13"/>
        <v>1</v>
      </c>
      <c r="C38">
        <f t="shared" si="14"/>
        <v>2017</v>
      </c>
      <c r="D38" s="6">
        <f>'Monthly Data (14-23) Used'!M38</f>
        <v>14446532.461887022</v>
      </c>
      <c r="E38" s="7">
        <f t="shared" ca="1" si="12"/>
        <v>608.99999999999989</v>
      </c>
      <c r="F38" s="7">
        <f t="shared" ca="1" si="12"/>
        <v>0</v>
      </c>
      <c r="G38" s="6">
        <f>'Monthly Data (14-23) Used'!BC38</f>
        <v>756702</v>
      </c>
      <c r="H38">
        <f>'Monthly Data (14-23) Used'!CC38</f>
        <v>22</v>
      </c>
      <c r="I38">
        <f>'Monthly Data (14-23) Used'!BU38</f>
        <v>0</v>
      </c>
      <c r="J38">
        <f>'Monthly Data (14-23) Used'!BZ38</f>
        <v>0</v>
      </c>
      <c r="L38" s="6">
        <f t="shared" si="3"/>
        <v>-4689965.23186938</v>
      </c>
      <c r="M38" s="6">
        <f t="shared" ca="1" si="15"/>
        <v>2403899.0432255077</v>
      </c>
      <c r="N38" s="6">
        <f t="shared" ca="1" si="16"/>
        <v>0</v>
      </c>
      <c r="O38" s="6">
        <f t="shared" si="17"/>
        <v>12315295.167479418</v>
      </c>
      <c r="P38" s="6">
        <f t="shared" si="18"/>
        <v>5034099.8114613146</v>
      </c>
      <c r="Q38" s="6">
        <f t="shared" si="19"/>
        <v>0</v>
      </c>
      <c r="R38" s="6">
        <f t="shared" si="20"/>
        <v>0</v>
      </c>
      <c r="S38" s="6">
        <f t="shared" ca="1" si="21"/>
        <v>15063328.79029686</v>
      </c>
    </row>
    <row r="39" spans="1:19">
      <c r="A39" s="197">
        <v>42401</v>
      </c>
      <c r="B39">
        <f t="shared" si="13"/>
        <v>2</v>
      </c>
      <c r="C39">
        <f t="shared" si="14"/>
        <v>2017</v>
      </c>
      <c r="D39" s="6">
        <f>'Monthly Data (14-23) Used'!M39</f>
        <v>12489324.461887022</v>
      </c>
      <c r="E39" s="7">
        <f t="shared" ca="1" si="12"/>
        <v>539.11355229914102</v>
      </c>
      <c r="F39" s="7">
        <f t="shared" ca="1" si="12"/>
        <v>0.1</v>
      </c>
      <c r="G39" s="6">
        <f>'Monthly Data (14-23) Used'!BC39</f>
        <v>756702</v>
      </c>
      <c r="H39">
        <f>'Monthly Data (14-23) Used'!CC39</f>
        <v>19</v>
      </c>
      <c r="I39">
        <f>'Monthly Data (14-23) Used'!BU39</f>
        <v>0</v>
      </c>
      <c r="J39">
        <f>'Monthly Data (14-23) Used'!BZ39</f>
        <v>0</v>
      </c>
      <c r="L39" s="6">
        <f t="shared" si="3"/>
        <v>-4689965.23186938</v>
      </c>
      <c r="M39" s="6">
        <f t="shared" ca="1" si="15"/>
        <v>2128037.0321211987</v>
      </c>
      <c r="N39" s="6">
        <f t="shared" ca="1" si="16"/>
        <v>1525.92085938324</v>
      </c>
      <c r="O39" s="6">
        <f t="shared" si="17"/>
        <v>12315295.167479418</v>
      </c>
      <c r="P39" s="6">
        <f t="shared" si="18"/>
        <v>4347631.6553529529</v>
      </c>
      <c r="Q39" s="6">
        <f t="shared" si="19"/>
        <v>0</v>
      </c>
      <c r="R39" s="6">
        <f t="shared" si="20"/>
        <v>0</v>
      </c>
      <c r="S39" s="6">
        <f t="shared" ca="1" si="21"/>
        <v>14102524.543943573</v>
      </c>
    </row>
    <row r="40" spans="1:19">
      <c r="A40" s="197">
        <v>42430</v>
      </c>
      <c r="B40">
        <f t="shared" si="13"/>
        <v>3</v>
      </c>
      <c r="C40">
        <f t="shared" si="14"/>
        <v>2017</v>
      </c>
      <c r="D40" s="6">
        <f>'Monthly Data (14-23) Used'!M40</f>
        <v>14870617.461887022</v>
      </c>
      <c r="E40" s="7">
        <f t="shared" ca="1" si="12"/>
        <v>434.46355229914104</v>
      </c>
      <c r="F40" s="7">
        <f t="shared" ca="1" si="12"/>
        <v>1.2599999999999998</v>
      </c>
      <c r="G40" s="6">
        <f>'Monthly Data (14-23) Used'!BC40</f>
        <v>756702</v>
      </c>
      <c r="H40">
        <f>'Monthly Data (14-23) Used'!CC40</f>
        <v>23</v>
      </c>
      <c r="I40">
        <f>'Monthly Data (14-23) Used'!BU40</f>
        <v>0</v>
      </c>
      <c r="J40">
        <f>'Monthly Data (14-23) Used'!BZ40</f>
        <v>0</v>
      </c>
      <c r="L40" s="6">
        <f t="shared" si="3"/>
        <v>-4689965.23186938</v>
      </c>
      <c r="M40" s="6">
        <f t="shared" ca="1" si="15"/>
        <v>1714953.2310152063</v>
      </c>
      <c r="N40" s="6">
        <f t="shared" ca="1" si="16"/>
        <v>19226.602828228821</v>
      </c>
      <c r="O40" s="6">
        <f t="shared" si="17"/>
        <v>12315295.167479418</v>
      </c>
      <c r="P40" s="6">
        <f t="shared" si="18"/>
        <v>5262922.5301641012</v>
      </c>
      <c r="Q40" s="6">
        <f t="shared" si="19"/>
        <v>0</v>
      </c>
      <c r="R40" s="6">
        <f t="shared" si="20"/>
        <v>0</v>
      </c>
      <c r="S40" s="6">
        <f t="shared" ca="1" si="21"/>
        <v>14622432.299617574</v>
      </c>
    </row>
    <row r="41" spans="1:19">
      <c r="A41" s="197">
        <v>42461</v>
      </c>
      <c r="B41">
        <f t="shared" si="13"/>
        <v>4</v>
      </c>
      <c r="C41">
        <f t="shared" si="14"/>
        <v>2017</v>
      </c>
      <c r="D41" s="6">
        <f>'Monthly Data (14-23) Used'!M41</f>
        <v>12959068.461887022</v>
      </c>
      <c r="E41" s="7">
        <f t="shared" ca="1" si="12"/>
        <v>238.61000000000004</v>
      </c>
      <c r="F41" s="7">
        <f t="shared" ca="1" si="12"/>
        <v>18.349999999999998</v>
      </c>
      <c r="G41" s="6">
        <f>'Monthly Data (14-23) Used'!BC41</f>
        <v>764644</v>
      </c>
      <c r="H41">
        <f>'Monthly Data (14-23) Used'!CC41</f>
        <v>19</v>
      </c>
      <c r="I41">
        <f>'Monthly Data (14-23) Used'!BU41</f>
        <v>0</v>
      </c>
      <c r="J41">
        <f>'Monthly Data (14-23) Used'!BZ41</f>
        <v>0</v>
      </c>
      <c r="L41" s="6">
        <f t="shared" si="3"/>
        <v>-4689965.23186938</v>
      </c>
      <c r="M41" s="6">
        <f t="shared" ca="1" si="15"/>
        <v>941862.64483421773</v>
      </c>
      <c r="N41" s="6">
        <f t="shared" ca="1" si="16"/>
        <v>280006.47769682453</v>
      </c>
      <c r="O41" s="6">
        <f t="shared" si="17"/>
        <v>12444550.903846076</v>
      </c>
      <c r="P41" s="6">
        <f t="shared" si="18"/>
        <v>4347631.6553529529</v>
      </c>
      <c r="Q41" s="6">
        <f t="shared" si="19"/>
        <v>0</v>
      </c>
      <c r="R41" s="6">
        <f t="shared" si="20"/>
        <v>0</v>
      </c>
      <c r="S41" s="6">
        <f t="shared" ca="1" si="21"/>
        <v>13324086.449860692</v>
      </c>
    </row>
    <row r="42" spans="1:19">
      <c r="A42" s="197">
        <v>42491</v>
      </c>
      <c r="B42">
        <f t="shared" si="13"/>
        <v>5</v>
      </c>
      <c r="C42">
        <f t="shared" si="14"/>
        <v>2017</v>
      </c>
      <c r="D42" s="6">
        <f>'Monthly Data (14-23) Used'!M42</f>
        <v>14186076.461887022</v>
      </c>
      <c r="E42" s="7">
        <f t="shared" ref="E42:F61" ca="1" si="22">E30</f>
        <v>77.693552299140975</v>
      </c>
      <c r="F42" s="7">
        <f t="shared" ca="1" si="22"/>
        <v>124.82289540171806</v>
      </c>
      <c r="G42" s="6">
        <f>'Monthly Data (14-23) Used'!BC42</f>
        <v>764644</v>
      </c>
      <c r="H42">
        <f>'Monthly Data (14-23) Used'!CC42</f>
        <v>22</v>
      </c>
      <c r="I42">
        <f>'Monthly Data (14-23) Used'!BU42</f>
        <v>0</v>
      </c>
      <c r="J42">
        <f>'Monthly Data (14-23) Used'!BZ42</f>
        <v>0</v>
      </c>
      <c r="L42" s="6">
        <f t="shared" si="3"/>
        <v>-4689965.23186938</v>
      </c>
      <c r="M42" s="6">
        <f t="shared" ca="1" si="15"/>
        <v>306678.90974826925</v>
      </c>
      <c r="N42" s="6">
        <f t="shared" ca="1" si="16"/>
        <v>1904698.5982209388</v>
      </c>
      <c r="O42" s="6">
        <f t="shared" si="17"/>
        <v>12444550.903846076</v>
      </c>
      <c r="P42" s="6">
        <f t="shared" si="18"/>
        <v>5034099.8114613146</v>
      </c>
      <c r="Q42" s="6">
        <f t="shared" si="19"/>
        <v>0</v>
      </c>
      <c r="R42" s="6">
        <f t="shared" si="20"/>
        <v>0</v>
      </c>
      <c r="S42" s="6">
        <f t="shared" ca="1" si="21"/>
        <v>15000062.991407219</v>
      </c>
    </row>
    <row r="43" spans="1:19">
      <c r="A43" s="197">
        <v>42522</v>
      </c>
      <c r="B43">
        <f t="shared" si="13"/>
        <v>6</v>
      </c>
      <c r="C43">
        <f t="shared" si="14"/>
        <v>2017</v>
      </c>
      <c r="D43" s="6">
        <f>'Monthly Data (14-23) Used'!M43</f>
        <v>15543861.461887022</v>
      </c>
      <c r="E43" s="7">
        <f t="shared" ca="1" si="22"/>
        <v>2.8535522991409801</v>
      </c>
      <c r="F43" s="7">
        <f t="shared" ca="1" si="22"/>
        <v>262.25644770085898</v>
      </c>
      <c r="G43" s="6">
        <f>'Monthly Data (14-23) Used'!BC43</f>
        <v>764644</v>
      </c>
      <c r="H43">
        <f>'Monthly Data (14-23) Used'!CC43</f>
        <v>22</v>
      </c>
      <c r="I43">
        <f>'Monthly Data (14-23) Used'!BU43</f>
        <v>0</v>
      </c>
      <c r="J43">
        <f>'Monthly Data (14-23) Used'!BZ43</f>
        <v>0</v>
      </c>
      <c r="L43" s="6">
        <f t="shared" si="3"/>
        <v>-4689965.23186938</v>
      </c>
      <c r="M43" s="6">
        <f t="shared" ca="1" si="15"/>
        <v>11263.79579917726</v>
      </c>
      <c r="N43" s="6">
        <f t="shared" ca="1" si="16"/>
        <v>4001825.8405449046</v>
      </c>
      <c r="O43" s="6">
        <f t="shared" si="17"/>
        <v>12444550.903846076</v>
      </c>
      <c r="P43" s="6">
        <f t="shared" si="18"/>
        <v>5034099.8114613146</v>
      </c>
      <c r="Q43" s="6">
        <f t="shared" si="19"/>
        <v>0</v>
      </c>
      <c r="R43" s="6">
        <f t="shared" si="20"/>
        <v>0</v>
      </c>
      <c r="S43" s="6">
        <f t="shared" ca="1" si="21"/>
        <v>16801775.11978209</v>
      </c>
    </row>
    <row r="44" spans="1:19">
      <c r="A44" s="197">
        <v>42552</v>
      </c>
      <c r="B44">
        <f t="shared" si="13"/>
        <v>7</v>
      </c>
      <c r="C44">
        <f t="shared" si="14"/>
        <v>2017</v>
      </c>
      <c r="D44" s="6">
        <f>'Monthly Data (14-23) Used'!M44</f>
        <v>17365234.461887024</v>
      </c>
      <c r="E44" s="7">
        <f t="shared" ca="1" si="22"/>
        <v>1.9999999999999928E-2</v>
      </c>
      <c r="F44" s="7">
        <f t="shared" ca="1" si="22"/>
        <v>335.21289540171807</v>
      </c>
      <c r="G44" s="6">
        <f>'Monthly Data (14-23) Used'!BC44</f>
        <v>765060</v>
      </c>
      <c r="H44">
        <f>'Monthly Data (14-23) Used'!CC44</f>
        <v>20</v>
      </c>
      <c r="I44">
        <f>'Monthly Data (14-23) Used'!BU44</f>
        <v>0</v>
      </c>
      <c r="J44">
        <f>'Monthly Data (14-23) Used'!BZ44</f>
        <v>0</v>
      </c>
      <c r="L44" s="6">
        <f t="shared" si="3"/>
        <v>-4689965.23186938</v>
      </c>
      <c r="M44" s="6">
        <f t="shared" ca="1" si="15"/>
        <v>78.945781386715908</v>
      </c>
      <c r="N44" s="6">
        <f t="shared" ca="1" si="16"/>
        <v>5115083.4942773376</v>
      </c>
      <c r="O44" s="6">
        <f t="shared" si="17"/>
        <v>12451321.287418038</v>
      </c>
      <c r="P44" s="6">
        <f t="shared" si="18"/>
        <v>4576454.3740557404</v>
      </c>
      <c r="Q44" s="6">
        <f t="shared" si="19"/>
        <v>0</v>
      </c>
      <c r="R44" s="6">
        <f t="shared" si="20"/>
        <v>0</v>
      </c>
      <c r="S44" s="6">
        <f t="shared" ca="1" si="21"/>
        <v>17452972.869663123</v>
      </c>
    </row>
    <row r="45" spans="1:19">
      <c r="A45" s="197">
        <v>42583</v>
      </c>
      <c r="B45">
        <f t="shared" si="13"/>
        <v>8</v>
      </c>
      <c r="C45">
        <f t="shared" si="14"/>
        <v>2017</v>
      </c>
      <c r="D45" s="6">
        <f>'Monthly Data (14-23) Used'!M45</f>
        <v>16941793.461887024</v>
      </c>
      <c r="E45" s="7">
        <f t="shared" ca="1" si="22"/>
        <v>0.49999999999999983</v>
      </c>
      <c r="F45" s="7">
        <f t="shared" ca="1" si="22"/>
        <v>307.37605861546228</v>
      </c>
      <c r="G45" s="6">
        <f>'Monthly Data (14-23) Used'!BC45</f>
        <v>765060</v>
      </c>
      <c r="H45">
        <f>'Monthly Data (14-23) Used'!CC45</f>
        <v>22</v>
      </c>
      <c r="I45">
        <f>'Monthly Data (14-23) Used'!BU45</f>
        <v>0</v>
      </c>
      <c r="J45">
        <f>'Monthly Data (14-23) Used'!BZ45</f>
        <v>0</v>
      </c>
      <c r="L45" s="6">
        <f t="shared" si="3"/>
        <v>-4689965.23186938</v>
      </c>
      <c r="M45" s="6">
        <f t="shared" ca="1" si="15"/>
        <v>1973.6445346679043</v>
      </c>
      <c r="N45" s="6">
        <f t="shared" ca="1" si="16"/>
        <v>4690315.3951633936</v>
      </c>
      <c r="O45" s="6">
        <f t="shared" si="17"/>
        <v>12451321.287418038</v>
      </c>
      <c r="P45" s="6">
        <f t="shared" si="18"/>
        <v>5034099.8114613146</v>
      </c>
      <c r="Q45" s="6">
        <f t="shared" si="19"/>
        <v>0</v>
      </c>
      <c r="R45" s="6">
        <f t="shared" si="20"/>
        <v>0</v>
      </c>
      <c r="S45" s="6">
        <f t="shared" ca="1" si="21"/>
        <v>17487744.906708032</v>
      </c>
    </row>
    <row r="46" spans="1:19">
      <c r="A46" s="197">
        <v>42614</v>
      </c>
      <c r="B46">
        <f t="shared" si="13"/>
        <v>9</v>
      </c>
      <c r="C46">
        <f t="shared" si="14"/>
        <v>2017</v>
      </c>
      <c r="D46" s="6">
        <f>'Monthly Data (14-23) Used'!M46</f>
        <v>17044512.461887024</v>
      </c>
      <c r="E46" s="7">
        <f t="shared" ca="1" si="22"/>
        <v>17.56355229914098</v>
      </c>
      <c r="F46" s="7">
        <f t="shared" ca="1" si="22"/>
        <v>194.39579080343606</v>
      </c>
      <c r="G46" s="6">
        <f>'Monthly Data (14-23) Used'!BC46</f>
        <v>765060</v>
      </c>
      <c r="H46">
        <f>'Monthly Data (14-23) Used'!CC46</f>
        <v>20</v>
      </c>
      <c r="I46">
        <f>'Monthly Data (14-23) Used'!BU46</f>
        <v>1</v>
      </c>
      <c r="J46">
        <f>'Monthly Data (14-23) Used'!BZ46</f>
        <v>0</v>
      </c>
      <c r="L46" s="6">
        <f t="shared" si="3"/>
        <v>-4689965.23186938</v>
      </c>
      <c r="M46" s="6">
        <f t="shared" ca="1" si="15"/>
        <v>69328.41800910703</v>
      </c>
      <c r="N46" s="6">
        <f t="shared" ca="1" si="16"/>
        <v>2966325.9216326368</v>
      </c>
      <c r="O46" s="6">
        <f t="shared" si="17"/>
        <v>12451321.287418038</v>
      </c>
      <c r="P46" s="6">
        <f t="shared" si="18"/>
        <v>4576454.3740557404</v>
      </c>
      <c r="Q46" s="6">
        <f t="shared" si="19"/>
        <v>1564224.56108409</v>
      </c>
      <c r="R46" s="6">
        <f t="shared" si="20"/>
        <v>0</v>
      </c>
      <c r="S46" s="6">
        <f t="shared" ca="1" si="21"/>
        <v>16937689.330330234</v>
      </c>
    </row>
    <row r="47" spans="1:19">
      <c r="A47" s="197">
        <v>42644</v>
      </c>
      <c r="B47">
        <f t="shared" si="13"/>
        <v>10</v>
      </c>
      <c r="C47">
        <f t="shared" si="14"/>
        <v>2017</v>
      </c>
      <c r="D47" s="6">
        <f>'Monthly Data (14-23) Used'!M47</f>
        <v>15614935.461887022</v>
      </c>
      <c r="E47" s="7">
        <f t="shared" ca="1" si="22"/>
        <v>143.81420919656392</v>
      </c>
      <c r="F47" s="7">
        <f t="shared" ca="1" si="22"/>
        <v>62.822895401718029</v>
      </c>
      <c r="G47" s="6">
        <f>'Monthly Data (14-23) Used'!BC47</f>
        <v>771453</v>
      </c>
      <c r="H47">
        <f>'Monthly Data (14-23) Used'!CC47</f>
        <v>21</v>
      </c>
      <c r="I47">
        <f>'Monthly Data (14-23) Used'!BU47</f>
        <v>0</v>
      </c>
      <c r="J47">
        <f>'Monthly Data (14-23) Used'!BZ47</f>
        <v>1</v>
      </c>
      <c r="L47" s="6">
        <f t="shared" si="3"/>
        <v>-4689965.23186938</v>
      </c>
      <c r="M47" s="6">
        <f t="shared" ca="1" si="15"/>
        <v>567676.25597677031</v>
      </c>
      <c r="N47" s="6">
        <f t="shared" ca="1" si="16"/>
        <v>958627.66540332965</v>
      </c>
      <c r="O47" s="6">
        <f t="shared" si="17"/>
        <v>12555367.109955437</v>
      </c>
      <c r="P47" s="6">
        <f t="shared" si="18"/>
        <v>4805277.092758527</v>
      </c>
      <c r="Q47" s="6">
        <f t="shared" si="19"/>
        <v>0</v>
      </c>
      <c r="R47" s="6">
        <f t="shared" si="20"/>
        <v>1139330.72171186</v>
      </c>
      <c r="S47" s="6">
        <f t="shared" ca="1" si="21"/>
        <v>15336313.613936543</v>
      </c>
    </row>
    <row r="48" spans="1:19">
      <c r="A48" s="197">
        <v>42675</v>
      </c>
      <c r="B48">
        <f t="shared" si="13"/>
        <v>11</v>
      </c>
      <c r="C48">
        <f t="shared" si="14"/>
        <v>2017</v>
      </c>
      <c r="D48" s="6">
        <f>'Monthly Data (14-23) Used'!M48</f>
        <v>14960151.461887022</v>
      </c>
      <c r="E48" s="7">
        <f t="shared" ca="1" si="22"/>
        <v>344.55065689742298</v>
      </c>
      <c r="F48" s="7">
        <f t="shared" ca="1" si="22"/>
        <v>6.1599999999999984</v>
      </c>
      <c r="G48" s="6">
        <f>'Monthly Data (14-23) Used'!BC48</f>
        <v>771453</v>
      </c>
      <c r="H48">
        <f>'Monthly Data (14-23) Used'!CC48</f>
        <v>22</v>
      </c>
      <c r="I48">
        <f>'Monthly Data (14-23) Used'!BU48</f>
        <v>0</v>
      </c>
      <c r="J48">
        <f>'Monthly Data (14-23) Used'!BZ48</f>
        <v>1</v>
      </c>
      <c r="L48" s="6">
        <f t="shared" si="3"/>
        <v>-4689965.23186938</v>
      </c>
      <c r="M48" s="6">
        <f t="shared" ca="1" si="15"/>
        <v>1360041.0418036708</v>
      </c>
      <c r="N48" s="6">
        <f t="shared" ca="1" si="16"/>
        <v>93996.724938007552</v>
      </c>
      <c r="O48" s="6">
        <f t="shared" si="17"/>
        <v>12555367.109955437</v>
      </c>
      <c r="P48" s="6">
        <f t="shared" si="18"/>
        <v>5034099.8114613146</v>
      </c>
      <c r="Q48" s="6">
        <f t="shared" si="19"/>
        <v>0</v>
      </c>
      <c r="R48" s="6">
        <f t="shared" si="20"/>
        <v>1139330.72171186</v>
      </c>
      <c r="S48" s="6">
        <f t="shared" ca="1" si="21"/>
        <v>15492870.178000912</v>
      </c>
    </row>
    <row r="49" spans="1:19">
      <c r="A49" s="197">
        <v>42705</v>
      </c>
      <c r="B49">
        <f t="shared" si="13"/>
        <v>12</v>
      </c>
      <c r="C49">
        <f t="shared" si="14"/>
        <v>2017</v>
      </c>
      <c r="D49" s="6">
        <f>'Monthly Data (14-23) Used'!M49</f>
        <v>13081358.461887022</v>
      </c>
      <c r="E49" s="7">
        <f t="shared" ca="1" si="22"/>
        <v>471.77</v>
      </c>
      <c r="F49" s="7">
        <f t="shared" ca="1" si="22"/>
        <v>8.0000000000000071E-2</v>
      </c>
      <c r="G49" s="6">
        <f>'Monthly Data (14-23) Used'!BC49</f>
        <v>771453</v>
      </c>
      <c r="H49">
        <f>'Monthly Data (14-23) Used'!CC49</f>
        <v>19</v>
      </c>
      <c r="I49">
        <f>'Monthly Data (14-23) Used'!BU49</f>
        <v>0</v>
      </c>
      <c r="J49">
        <f>'Monthly Data (14-23) Used'!BZ49</f>
        <v>0</v>
      </c>
      <c r="L49" s="6">
        <f t="shared" si="3"/>
        <v>-4689965.23186938</v>
      </c>
      <c r="M49" s="6">
        <f t="shared" ca="1" si="15"/>
        <v>1862212.564240555</v>
      </c>
      <c r="N49" s="6">
        <f t="shared" ca="1" si="16"/>
        <v>1220.7366875065932</v>
      </c>
      <c r="O49" s="6">
        <f t="shared" si="17"/>
        <v>12555367.109955437</v>
      </c>
      <c r="P49" s="6">
        <f t="shared" si="18"/>
        <v>4347631.6553529529</v>
      </c>
      <c r="Q49" s="6">
        <f t="shared" si="19"/>
        <v>0</v>
      </c>
      <c r="R49" s="6">
        <f t="shared" si="20"/>
        <v>0</v>
      </c>
      <c r="S49" s="6">
        <f t="shared" ca="1" si="21"/>
        <v>14076466.834367074</v>
      </c>
    </row>
    <row r="50" spans="1:19">
      <c r="A50" s="197">
        <v>42736</v>
      </c>
      <c r="B50">
        <f t="shared" si="13"/>
        <v>1</v>
      </c>
      <c r="C50">
        <f t="shared" si="14"/>
        <v>2018</v>
      </c>
      <c r="D50" s="6">
        <f>'Monthly Data (14-23) Used'!M50</f>
        <v>15580080.174657103</v>
      </c>
      <c r="E50" s="7">
        <f t="shared" ca="1" si="22"/>
        <v>608.99999999999989</v>
      </c>
      <c r="F50" s="7">
        <f t="shared" ca="1" si="22"/>
        <v>0</v>
      </c>
      <c r="G50" s="6">
        <f>'Monthly Data (14-23) Used'!BC50</f>
        <v>779459</v>
      </c>
      <c r="H50">
        <f>'Monthly Data (14-23) Used'!CC50</f>
        <v>22</v>
      </c>
      <c r="I50">
        <f>'Monthly Data (14-23) Used'!BU50</f>
        <v>0</v>
      </c>
      <c r="J50">
        <f>'Monthly Data (14-23) Used'!BZ50</f>
        <v>0</v>
      </c>
      <c r="L50" s="6">
        <f t="shared" si="3"/>
        <v>-4689965.23186938</v>
      </c>
      <c r="M50" s="6">
        <f t="shared" ca="1" si="15"/>
        <v>2403899.0432255077</v>
      </c>
      <c r="N50" s="6">
        <f t="shared" ca="1" si="16"/>
        <v>0</v>
      </c>
      <c r="O50" s="6">
        <f t="shared" si="17"/>
        <v>12685664.443794705</v>
      </c>
      <c r="P50" s="6">
        <f t="shared" si="18"/>
        <v>5034099.8114613146</v>
      </c>
      <c r="Q50" s="6">
        <f t="shared" si="19"/>
        <v>0</v>
      </c>
      <c r="R50" s="6">
        <f t="shared" si="20"/>
        <v>0</v>
      </c>
      <c r="S50" s="6">
        <f t="shared" ca="1" si="21"/>
        <v>15433698.066612147</v>
      </c>
    </row>
    <row r="51" spans="1:19">
      <c r="A51" s="197">
        <v>42767</v>
      </c>
      <c r="B51">
        <f t="shared" si="13"/>
        <v>2</v>
      </c>
      <c r="C51">
        <f t="shared" si="14"/>
        <v>2018</v>
      </c>
      <c r="D51" s="6">
        <f>'Monthly Data (14-23) Used'!M51</f>
        <v>11579961.174657103</v>
      </c>
      <c r="E51" s="7">
        <f t="shared" ca="1" si="22"/>
        <v>539.11355229914102</v>
      </c>
      <c r="F51" s="7">
        <f t="shared" ca="1" si="22"/>
        <v>0.1</v>
      </c>
      <c r="G51" s="6">
        <f>'Monthly Data (14-23) Used'!BC51</f>
        <v>779459</v>
      </c>
      <c r="H51">
        <f>'Monthly Data (14-23) Used'!CC51</f>
        <v>19</v>
      </c>
      <c r="I51">
        <f>'Monthly Data (14-23) Used'!BU51</f>
        <v>0</v>
      </c>
      <c r="J51">
        <f>'Monthly Data (14-23) Used'!BZ51</f>
        <v>0</v>
      </c>
      <c r="L51" s="6">
        <f t="shared" si="3"/>
        <v>-4689965.23186938</v>
      </c>
      <c r="M51" s="6">
        <f t="shared" ca="1" si="15"/>
        <v>2128037.0321211987</v>
      </c>
      <c r="N51" s="6">
        <f t="shared" ca="1" si="16"/>
        <v>1525.92085938324</v>
      </c>
      <c r="O51" s="6">
        <f t="shared" si="17"/>
        <v>12685664.443794705</v>
      </c>
      <c r="P51" s="6">
        <f t="shared" si="18"/>
        <v>4347631.6553529529</v>
      </c>
      <c r="Q51" s="6">
        <f t="shared" si="19"/>
        <v>0</v>
      </c>
      <c r="R51" s="6">
        <f t="shared" si="20"/>
        <v>0</v>
      </c>
      <c r="S51" s="6">
        <f t="shared" ca="1" si="21"/>
        <v>14472893.82025886</v>
      </c>
    </row>
    <row r="52" spans="1:19">
      <c r="A52" s="197">
        <v>42795</v>
      </c>
      <c r="B52">
        <f t="shared" si="13"/>
        <v>3</v>
      </c>
      <c r="C52">
        <f t="shared" si="14"/>
        <v>2018</v>
      </c>
      <c r="D52" s="6">
        <f>'Monthly Data (14-23) Used'!M52</f>
        <v>14641672.174657103</v>
      </c>
      <c r="E52" s="7">
        <f t="shared" ca="1" si="22"/>
        <v>434.46355229914104</v>
      </c>
      <c r="F52" s="7">
        <f t="shared" ca="1" si="22"/>
        <v>1.2599999999999998</v>
      </c>
      <c r="G52" s="6">
        <f>'Monthly Data (14-23) Used'!BC52</f>
        <v>779459</v>
      </c>
      <c r="H52">
        <f>'Monthly Data (14-23) Used'!CC52</f>
        <v>21</v>
      </c>
      <c r="I52">
        <f>'Monthly Data (14-23) Used'!BU52</f>
        <v>0</v>
      </c>
      <c r="J52">
        <f>'Monthly Data (14-23) Used'!BZ52</f>
        <v>0</v>
      </c>
      <c r="L52" s="6">
        <f t="shared" si="3"/>
        <v>-4689965.23186938</v>
      </c>
      <c r="M52" s="6">
        <f t="shared" ca="1" si="15"/>
        <v>1714953.2310152063</v>
      </c>
      <c r="N52" s="6">
        <f t="shared" ca="1" si="16"/>
        <v>19226.602828228821</v>
      </c>
      <c r="O52" s="6">
        <f t="shared" si="17"/>
        <v>12685664.443794705</v>
      </c>
      <c r="P52" s="6">
        <f t="shared" si="18"/>
        <v>4805277.092758527</v>
      </c>
      <c r="Q52" s="6">
        <f t="shared" si="19"/>
        <v>0</v>
      </c>
      <c r="R52" s="6">
        <f t="shared" si="20"/>
        <v>0</v>
      </c>
      <c r="S52" s="6">
        <f t="shared" ca="1" si="21"/>
        <v>14535156.138527287</v>
      </c>
    </row>
    <row r="53" spans="1:19">
      <c r="A53" s="197">
        <v>42826</v>
      </c>
      <c r="B53">
        <f t="shared" si="13"/>
        <v>4</v>
      </c>
      <c r="C53">
        <f t="shared" si="14"/>
        <v>2018</v>
      </c>
      <c r="D53" s="6">
        <f>'Monthly Data (14-23) Used'!M53</f>
        <v>13663498.174657103</v>
      </c>
      <c r="E53" s="7">
        <f t="shared" ca="1" si="22"/>
        <v>238.61000000000004</v>
      </c>
      <c r="F53" s="7">
        <f t="shared" ca="1" si="22"/>
        <v>18.349999999999998</v>
      </c>
      <c r="G53" s="6">
        <f>'Monthly Data (14-23) Used'!BC53</f>
        <v>784896</v>
      </c>
      <c r="H53">
        <f>'Monthly Data (14-23) Used'!CC53</f>
        <v>21</v>
      </c>
      <c r="I53">
        <f>'Monthly Data (14-23) Used'!BU53</f>
        <v>0</v>
      </c>
      <c r="J53">
        <f>'Monthly Data (14-23) Used'!BZ53</f>
        <v>0</v>
      </c>
      <c r="L53" s="6">
        <f t="shared" si="3"/>
        <v>-4689965.23186938</v>
      </c>
      <c r="M53" s="6">
        <f t="shared" ca="1" si="15"/>
        <v>941862.64483421773</v>
      </c>
      <c r="N53" s="6">
        <f t="shared" ca="1" si="16"/>
        <v>280006.47769682453</v>
      </c>
      <c r="O53" s="6">
        <f t="shared" si="17"/>
        <v>12774151.404084997</v>
      </c>
      <c r="P53" s="6">
        <f t="shared" si="18"/>
        <v>4805277.092758527</v>
      </c>
      <c r="Q53" s="6">
        <f t="shared" si="19"/>
        <v>0</v>
      </c>
      <c r="R53" s="6">
        <f t="shared" si="20"/>
        <v>0</v>
      </c>
      <c r="S53" s="6">
        <f t="shared" ca="1" si="21"/>
        <v>14111332.387505187</v>
      </c>
    </row>
    <row r="54" spans="1:19">
      <c r="A54" s="197">
        <v>42856</v>
      </c>
      <c r="B54">
        <f t="shared" si="13"/>
        <v>5</v>
      </c>
      <c r="C54">
        <f t="shared" si="14"/>
        <v>2018</v>
      </c>
      <c r="D54" s="6">
        <f>'Monthly Data (14-23) Used'!M54</f>
        <v>14444843.174657103</v>
      </c>
      <c r="E54" s="7">
        <f t="shared" ca="1" si="22"/>
        <v>77.693552299140975</v>
      </c>
      <c r="F54" s="7">
        <f t="shared" ca="1" si="22"/>
        <v>124.82289540171806</v>
      </c>
      <c r="G54" s="6">
        <f>'Monthly Data (14-23) Used'!BC54</f>
        <v>784896</v>
      </c>
      <c r="H54">
        <f>'Monthly Data (14-23) Used'!CC54</f>
        <v>22</v>
      </c>
      <c r="I54">
        <f>'Monthly Data (14-23) Used'!BU54</f>
        <v>0</v>
      </c>
      <c r="J54">
        <f>'Monthly Data (14-23) Used'!BZ54</f>
        <v>0</v>
      </c>
      <c r="L54" s="6">
        <f t="shared" ref="L54:L117" si="23">$V$9</f>
        <v>-4689965.23186938</v>
      </c>
      <c r="M54" s="6">
        <f t="shared" ca="1" si="15"/>
        <v>306678.90974826925</v>
      </c>
      <c r="N54" s="6">
        <f t="shared" ca="1" si="16"/>
        <v>1904698.5982209388</v>
      </c>
      <c r="O54" s="6">
        <f t="shared" si="17"/>
        <v>12774151.404084997</v>
      </c>
      <c r="P54" s="6">
        <f t="shared" si="18"/>
        <v>5034099.8114613146</v>
      </c>
      <c r="Q54" s="6">
        <f t="shared" si="19"/>
        <v>0</v>
      </c>
      <c r="R54" s="6">
        <f t="shared" si="20"/>
        <v>0</v>
      </c>
      <c r="S54" s="6">
        <f t="shared" ca="1" si="21"/>
        <v>15329663.491646141</v>
      </c>
    </row>
    <row r="55" spans="1:19">
      <c r="A55" s="197">
        <v>42887</v>
      </c>
      <c r="B55">
        <f t="shared" si="13"/>
        <v>6</v>
      </c>
      <c r="C55">
        <f t="shared" si="14"/>
        <v>2018</v>
      </c>
      <c r="D55" s="6">
        <f>'Monthly Data (14-23) Used'!M55</f>
        <v>15625564.174657103</v>
      </c>
      <c r="E55" s="7">
        <f t="shared" ca="1" si="22"/>
        <v>2.8535522991409801</v>
      </c>
      <c r="F55" s="7">
        <f t="shared" ca="1" si="22"/>
        <v>262.25644770085898</v>
      </c>
      <c r="G55" s="6">
        <f>'Monthly Data (14-23) Used'!BC55</f>
        <v>784896</v>
      </c>
      <c r="H55">
        <f>'Monthly Data (14-23) Used'!CC55</f>
        <v>21</v>
      </c>
      <c r="I55">
        <f>'Monthly Data (14-23) Used'!BU55</f>
        <v>0</v>
      </c>
      <c r="J55">
        <f>'Monthly Data (14-23) Used'!BZ55</f>
        <v>0</v>
      </c>
      <c r="L55" s="6">
        <f t="shared" si="23"/>
        <v>-4689965.23186938</v>
      </c>
      <c r="M55" s="6">
        <f t="shared" ref="M55:M113" ca="1" si="24">E55*$V$10</f>
        <v>11263.79579917726</v>
      </c>
      <c r="N55" s="6">
        <f t="shared" ref="N55:N113" ca="1" si="25">F55*$V$11</f>
        <v>4001825.8405449046</v>
      </c>
      <c r="O55" s="6">
        <f t="shared" ref="O55:O113" si="26">G55*$V$12</f>
        <v>12774151.404084997</v>
      </c>
      <c r="P55" s="6">
        <f t="shared" ref="P55:P113" si="27">H55*$V$13</f>
        <v>4805277.092758527</v>
      </c>
      <c r="Q55" s="6">
        <f t="shared" ref="Q55:Q118" si="28">I55*$V$14</f>
        <v>0</v>
      </c>
      <c r="R55" s="6">
        <f t="shared" ref="R55:R118" si="29">J55*$V$15</f>
        <v>0</v>
      </c>
      <c r="S55" s="6">
        <f t="shared" ref="S55:S118" ca="1" si="30">SUM(L55:R55)</f>
        <v>16902552.901318226</v>
      </c>
    </row>
    <row r="56" spans="1:19">
      <c r="A56" s="197">
        <v>42917</v>
      </c>
      <c r="B56">
        <f t="shared" si="13"/>
        <v>7</v>
      </c>
      <c r="C56">
        <f t="shared" si="14"/>
        <v>2018</v>
      </c>
      <c r="D56" s="6">
        <f>'Monthly Data (14-23) Used'!M56</f>
        <v>17089508.174657103</v>
      </c>
      <c r="E56" s="7">
        <f t="shared" ca="1" si="22"/>
        <v>1.9999999999999928E-2</v>
      </c>
      <c r="F56" s="7">
        <f t="shared" ca="1" si="22"/>
        <v>335.21289540171807</v>
      </c>
      <c r="G56" s="6">
        <f>'Monthly Data (14-23) Used'!BC56</f>
        <v>794140</v>
      </c>
      <c r="H56">
        <f>'Monthly Data (14-23) Used'!CC56</f>
        <v>21</v>
      </c>
      <c r="I56">
        <f>'Monthly Data (14-23) Used'!BU56</f>
        <v>0</v>
      </c>
      <c r="J56">
        <f>'Monthly Data (14-23) Used'!BZ56</f>
        <v>0</v>
      </c>
      <c r="L56" s="6">
        <f t="shared" si="23"/>
        <v>-4689965.23186938</v>
      </c>
      <c r="M56" s="6">
        <f t="shared" ca="1" si="24"/>
        <v>78.945781386715908</v>
      </c>
      <c r="N56" s="6">
        <f t="shared" ca="1" si="25"/>
        <v>5115083.4942773376</v>
      </c>
      <c r="O56" s="6">
        <f t="shared" si="26"/>
        <v>12924597.139035057</v>
      </c>
      <c r="P56" s="6">
        <f t="shared" si="27"/>
        <v>4805277.092758527</v>
      </c>
      <c r="Q56" s="6">
        <f t="shared" si="28"/>
        <v>0</v>
      </c>
      <c r="R56" s="6">
        <f t="shared" si="29"/>
        <v>0</v>
      </c>
      <c r="S56" s="6">
        <f t="shared" ca="1" si="30"/>
        <v>18155071.439982928</v>
      </c>
    </row>
    <row r="57" spans="1:19">
      <c r="A57" s="197">
        <v>42948</v>
      </c>
      <c r="B57">
        <f t="shared" si="13"/>
        <v>8</v>
      </c>
      <c r="C57">
        <f t="shared" si="14"/>
        <v>2018</v>
      </c>
      <c r="D57" s="6">
        <f>'Monthly Data (14-23) Used'!M57</f>
        <v>17969716.174657103</v>
      </c>
      <c r="E57" s="7">
        <f t="shared" ca="1" si="22"/>
        <v>0.49999999999999983</v>
      </c>
      <c r="F57" s="7">
        <f t="shared" ca="1" si="22"/>
        <v>307.37605861546228</v>
      </c>
      <c r="G57" s="6">
        <f>'Monthly Data (14-23) Used'!BC57</f>
        <v>794140</v>
      </c>
      <c r="H57">
        <f>'Monthly Data (14-23) Used'!CC57</f>
        <v>22</v>
      </c>
      <c r="I57">
        <f>'Monthly Data (14-23) Used'!BU57</f>
        <v>0</v>
      </c>
      <c r="J57">
        <f>'Monthly Data (14-23) Used'!BZ57</f>
        <v>0</v>
      </c>
      <c r="L57" s="6">
        <f t="shared" si="23"/>
        <v>-4689965.23186938</v>
      </c>
      <c r="M57" s="6">
        <f t="shared" ca="1" si="24"/>
        <v>1973.6445346679043</v>
      </c>
      <c r="N57" s="6">
        <f t="shared" ca="1" si="25"/>
        <v>4690315.3951633936</v>
      </c>
      <c r="O57" s="6">
        <f t="shared" si="26"/>
        <v>12924597.139035057</v>
      </c>
      <c r="P57" s="6">
        <f t="shared" si="27"/>
        <v>5034099.8114613146</v>
      </c>
      <c r="Q57" s="6">
        <f t="shared" si="28"/>
        <v>0</v>
      </c>
      <c r="R57" s="6">
        <f t="shared" si="29"/>
        <v>0</v>
      </c>
      <c r="S57" s="6">
        <f t="shared" ca="1" si="30"/>
        <v>17961020.758325055</v>
      </c>
    </row>
    <row r="58" spans="1:19">
      <c r="A58" s="197">
        <v>42979</v>
      </c>
      <c r="B58">
        <f t="shared" si="13"/>
        <v>9</v>
      </c>
      <c r="C58">
        <f t="shared" si="14"/>
        <v>2018</v>
      </c>
      <c r="D58" s="6">
        <f>'Monthly Data (14-23) Used'!M58</f>
        <v>18103668.174657103</v>
      </c>
      <c r="E58" s="7">
        <f t="shared" ca="1" si="22"/>
        <v>17.56355229914098</v>
      </c>
      <c r="F58" s="7">
        <f t="shared" ca="1" si="22"/>
        <v>194.39579080343606</v>
      </c>
      <c r="G58" s="6">
        <f>'Monthly Data (14-23) Used'!BC58</f>
        <v>794140</v>
      </c>
      <c r="H58">
        <f>'Monthly Data (14-23) Used'!CC58</f>
        <v>19</v>
      </c>
      <c r="I58">
        <f>'Monthly Data (14-23) Used'!BU58</f>
        <v>1</v>
      </c>
      <c r="J58">
        <f>'Monthly Data (14-23) Used'!BZ58</f>
        <v>0</v>
      </c>
      <c r="L58" s="6">
        <f t="shared" si="23"/>
        <v>-4689965.23186938</v>
      </c>
      <c r="M58" s="6">
        <f t="shared" ca="1" si="24"/>
        <v>69328.41800910703</v>
      </c>
      <c r="N58" s="6">
        <f t="shared" ca="1" si="25"/>
        <v>2966325.9216326368</v>
      </c>
      <c r="O58" s="6">
        <f t="shared" si="26"/>
        <v>12924597.139035057</v>
      </c>
      <c r="P58" s="6">
        <f t="shared" si="27"/>
        <v>4347631.6553529529</v>
      </c>
      <c r="Q58" s="6">
        <f t="shared" si="28"/>
        <v>1564224.56108409</v>
      </c>
      <c r="R58" s="6">
        <f t="shared" si="29"/>
        <v>0</v>
      </c>
      <c r="S58" s="6">
        <f t="shared" ca="1" si="30"/>
        <v>17182142.463244464</v>
      </c>
    </row>
    <row r="59" spans="1:19">
      <c r="A59" s="197">
        <v>43009</v>
      </c>
      <c r="B59">
        <f t="shared" si="13"/>
        <v>10</v>
      </c>
      <c r="C59">
        <f t="shared" si="14"/>
        <v>2018</v>
      </c>
      <c r="D59" s="6">
        <f>'Monthly Data (14-23) Used'!M59</f>
        <v>16238325.174657103</v>
      </c>
      <c r="E59" s="7">
        <f t="shared" ca="1" si="22"/>
        <v>143.81420919656392</v>
      </c>
      <c r="F59" s="7">
        <f t="shared" ca="1" si="22"/>
        <v>62.822895401718029</v>
      </c>
      <c r="G59" s="6">
        <f>'Monthly Data (14-23) Used'!BC59</f>
        <v>799632</v>
      </c>
      <c r="H59">
        <f>'Monthly Data (14-23) Used'!CC59</f>
        <v>22</v>
      </c>
      <c r="I59">
        <f>'Monthly Data (14-23) Used'!BU59</f>
        <v>0</v>
      </c>
      <c r="J59">
        <f>'Monthly Data (14-23) Used'!BZ59</f>
        <v>1</v>
      </c>
      <c r="L59" s="6">
        <f t="shared" si="23"/>
        <v>-4689965.23186938</v>
      </c>
      <c r="M59" s="6">
        <f t="shared" ca="1" si="24"/>
        <v>567676.25597677031</v>
      </c>
      <c r="N59" s="6">
        <f t="shared" ca="1" si="25"/>
        <v>958627.66540332965</v>
      </c>
      <c r="O59" s="6">
        <f t="shared" si="26"/>
        <v>13013979.222153375</v>
      </c>
      <c r="P59" s="6">
        <f t="shared" si="27"/>
        <v>5034099.8114613146</v>
      </c>
      <c r="Q59" s="6">
        <f t="shared" si="28"/>
        <v>0</v>
      </c>
      <c r="R59" s="6">
        <f t="shared" si="29"/>
        <v>1139330.72171186</v>
      </c>
      <c r="S59" s="6">
        <f t="shared" ca="1" si="30"/>
        <v>16023748.444837268</v>
      </c>
    </row>
    <row r="60" spans="1:19">
      <c r="A60" s="197">
        <v>43040</v>
      </c>
      <c r="B60">
        <f t="shared" si="13"/>
        <v>11</v>
      </c>
      <c r="C60">
        <f t="shared" si="14"/>
        <v>2018</v>
      </c>
      <c r="D60" s="6">
        <f>'Monthly Data (14-23) Used'!M60</f>
        <v>15711352.174657103</v>
      </c>
      <c r="E60" s="7">
        <f t="shared" ca="1" si="22"/>
        <v>344.55065689742298</v>
      </c>
      <c r="F60" s="7">
        <f t="shared" ca="1" si="22"/>
        <v>6.1599999999999984</v>
      </c>
      <c r="G60" s="6">
        <f>'Monthly Data (14-23) Used'!BC60</f>
        <v>799632</v>
      </c>
      <c r="H60">
        <f>'Monthly Data (14-23) Used'!CC60</f>
        <v>22</v>
      </c>
      <c r="I60">
        <f>'Monthly Data (14-23) Used'!BU60</f>
        <v>0</v>
      </c>
      <c r="J60">
        <f>'Monthly Data (14-23) Used'!BZ60</f>
        <v>1</v>
      </c>
      <c r="L60" s="6">
        <f t="shared" si="23"/>
        <v>-4689965.23186938</v>
      </c>
      <c r="M60" s="6">
        <f t="shared" ca="1" si="24"/>
        <v>1360041.0418036708</v>
      </c>
      <c r="N60" s="6">
        <f t="shared" ca="1" si="25"/>
        <v>93996.724938007552</v>
      </c>
      <c r="O60" s="6">
        <f t="shared" si="26"/>
        <v>13013979.222153375</v>
      </c>
      <c r="P60" s="6">
        <f t="shared" si="27"/>
        <v>5034099.8114613146</v>
      </c>
      <c r="Q60" s="6">
        <f t="shared" si="28"/>
        <v>0</v>
      </c>
      <c r="R60" s="6">
        <f t="shared" si="29"/>
        <v>1139330.72171186</v>
      </c>
      <c r="S60" s="6">
        <f t="shared" ca="1" si="30"/>
        <v>15951482.290198848</v>
      </c>
    </row>
    <row r="61" spans="1:19">
      <c r="A61" s="197">
        <v>43070</v>
      </c>
      <c r="B61">
        <f t="shared" si="13"/>
        <v>12</v>
      </c>
      <c r="C61">
        <f t="shared" si="14"/>
        <v>2018</v>
      </c>
      <c r="D61" s="6">
        <f>'Monthly Data (14-23) Used'!M61</f>
        <v>14656942.174657103</v>
      </c>
      <c r="E61" s="7">
        <f t="shared" ca="1" si="22"/>
        <v>471.77</v>
      </c>
      <c r="F61" s="7">
        <f t="shared" ca="1" si="22"/>
        <v>8.0000000000000071E-2</v>
      </c>
      <c r="G61" s="6">
        <f>'Monthly Data (14-23) Used'!BC61</f>
        <v>799632</v>
      </c>
      <c r="H61">
        <f>'Monthly Data (14-23) Used'!CC61</f>
        <v>19</v>
      </c>
      <c r="I61">
        <f>'Monthly Data (14-23) Used'!BU61</f>
        <v>0</v>
      </c>
      <c r="J61">
        <f>'Monthly Data (14-23) Used'!BZ61</f>
        <v>0</v>
      </c>
      <c r="L61" s="6">
        <f t="shared" si="23"/>
        <v>-4689965.23186938</v>
      </c>
      <c r="M61" s="6">
        <f t="shared" ca="1" si="24"/>
        <v>1862212.564240555</v>
      </c>
      <c r="N61" s="6">
        <f t="shared" ca="1" si="25"/>
        <v>1220.7366875065932</v>
      </c>
      <c r="O61" s="6">
        <f t="shared" si="26"/>
        <v>13013979.222153375</v>
      </c>
      <c r="P61" s="6">
        <f t="shared" si="27"/>
        <v>4347631.6553529529</v>
      </c>
      <c r="Q61" s="6">
        <f t="shared" si="28"/>
        <v>0</v>
      </c>
      <c r="R61" s="6">
        <f t="shared" si="29"/>
        <v>0</v>
      </c>
      <c r="S61" s="6">
        <f t="shared" ca="1" si="30"/>
        <v>14535078.94656501</v>
      </c>
    </row>
    <row r="62" spans="1:19">
      <c r="A62" s="197">
        <v>43101</v>
      </c>
      <c r="B62">
        <f t="shared" si="13"/>
        <v>1</v>
      </c>
      <c r="C62">
        <f t="shared" si="14"/>
        <v>2019</v>
      </c>
      <c r="D62" s="6">
        <f>'Monthly Data (14-23) Used'!M62</f>
        <v>16080001.374472635</v>
      </c>
      <c r="E62" s="7">
        <f t="shared" ref="E62:F81" ca="1" si="31">E50</f>
        <v>608.99999999999989</v>
      </c>
      <c r="F62" s="7">
        <f t="shared" ca="1" si="31"/>
        <v>0</v>
      </c>
      <c r="G62" s="6">
        <f>'Monthly Data (14-23) Used'!BC62</f>
        <v>800724</v>
      </c>
      <c r="H62">
        <f>'Monthly Data (14-23) Used'!CC62</f>
        <v>22</v>
      </c>
      <c r="I62">
        <f>'Monthly Data (14-23) Used'!BU62</f>
        <v>0</v>
      </c>
      <c r="J62">
        <f>'Monthly Data (14-23) Used'!BZ62</f>
        <v>0</v>
      </c>
      <c r="L62" s="6">
        <f t="shared" si="23"/>
        <v>-4689965.23186938</v>
      </c>
      <c r="M62" s="6">
        <f t="shared" ca="1" si="24"/>
        <v>2403899.0432255077</v>
      </c>
      <c r="N62" s="6">
        <f t="shared" ca="1" si="25"/>
        <v>0</v>
      </c>
      <c r="O62" s="6">
        <f t="shared" si="26"/>
        <v>13031751.479029777</v>
      </c>
      <c r="P62" s="6">
        <f t="shared" si="27"/>
        <v>5034099.8114613146</v>
      </c>
      <c r="Q62" s="6">
        <f t="shared" si="28"/>
        <v>0</v>
      </c>
      <c r="R62" s="6">
        <f t="shared" si="29"/>
        <v>0</v>
      </c>
      <c r="S62" s="6">
        <f t="shared" ca="1" si="30"/>
        <v>15779785.101847218</v>
      </c>
    </row>
    <row r="63" spans="1:19">
      <c r="A63" s="197">
        <v>43132</v>
      </c>
      <c r="B63">
        <f t="shared" si="13"/>
        <v>2</v>
      </c>
      <c r="C63">
        <f t="shared" si="14"/>
        <v>2019</v>
      </c>
      <c r="D63" s="6">
        <f>'Monthly Data (14-23) Used'!M63</f>
        <v>14838000.374472635</v>
      </c>
      <c r="E63" s="7">
        <f t="shared" ca="1" si="31"/>
        <v>539.11355229914102</v>
      </c>
      <c r="F63" s="7">
        <f t="shared" ca="1" si="31"/>
        <v>0.1</v>
      </c>
      <c r="G63" s="6">
        <f>'Monthly Data (14-23) Used'!BC63</f>
        <v>800724</v>
      </c>
      <c r="H63">
        <f>'Monthly Data (14-23) Used'!CC63</f>
        <v>19</v>
      </c>
      <c r="I63">
        <f>'Monthly Data (14-23) Used'!BU63</f>
        <v>0</v>
      </c>
      <c r="J63">
        <f>'Monthly Data (14-23) Used'!BZ63</f>
        <v>0</v>
      </c>
      <c r="L63" s="6">
        <f t="shared" si="23"/>
        <v>-4689965.23186938</v>
      </c>
      <c r="M63" s="6">
        <f t="shared" ca="1" si="24"/>
        <v>2128037.0321211987</v>
      </c>
      <c r="N63" s="6">
        <f t="shared" ca="1" si="25"/>
        <v>1525.92085938324</v>
      </c>
      <c r="O63" s="6">
        <f t="shared" si="26"/>
        <v>13031751.479029777</v>
      </c>
      <c r="P63" s="6">
        <f t="shared" si="27"/>
        <v>4347631.6553529529</v>
      </c>
      <c r="Q63" s="6">
        <f t="shared" si="28"/>
        <v>0</v>
      </c>
      <c r="R63" s="6">
        <f t="shared" si="29"/>
        <v>0</v>
      </c>
      <c r="S63" s="6">
        <f t="shared" ca="1" si="30"/>
        <v>14818980.855493933</v>
      </c>
    </row>
    <row r="64" spans="1:19">
      <c r="A64" s="197">
        <v>43160</v>
      </c>
      <c r="B64">
        <f t="shared" si="13"/>
        <v>3</v>
      </c>
      <c r="C64">
        <f t="shared" si="14"/>
        <v>2019</v>
      </c>
      <c r="D64" s="6">
        <f>'Monthly Data (14-23) Used'!M64</f>
        <v>15694211.374472635</v>
      </c>
      <c r="E64" s="7">
        <f t="shared" ca="1" si="31"/>
        <v>434.46355229914104</v>
      </c>
      <c r="F64" s="7">
        <f t="shared" ca="1" si="31"/>
        <v>1.2599999999999998</v>
      </c>
      <c r="G64" s="6">
        <f>'Monthly Data (14-23) Used'!BC64</f>
        <v>800724</v>
      </c>
      <c r="H64">
        <f>'Monthly Data (14-23) Used'!CC64</f>
        <v>22</v>
      </c>
      <c r="I64">
        <f>'Monthly Data (14-23) Used'!BU64</f>
        <v>0</v>
      </c>
      <c r="J64">
        <f>'Monthly Data (14-23) Used'!BZ64</f>
        <v>0</v>
      </c>
      <c r="L64" s="6">
        <f t="shared" si="23"/>
        <v>-4689965.23186938</v>
      </c>
      <c r="M64" s="6">
        <f t="shared" ca="1" si="24"/>
        <v>1714953.2310152063</v>
      </c>
      <c r="N64" s="6">
        <f t="shared" ca="1" si="25"/>
        <v>19226.602828228821</v>
      </c>
      <c r="O64" s="6">
        <f t="shared" si="26"/>
        <v>13031751.479029777</v>
      </c>
      <c r="P64" s="6">
        <f t="shared" si="27"/>
        <v>5034099.8114613146</v>
      </c>
      <c r="Q64" s="6">
        <f t="shared" si="28"/>
        <v>0</v>
      </c>
      <c r="R64" s="6">
        <f t="shared" si="29"/>
        <v>0</v>
      </c>
      <c r="S64" s="6">
        <f t="shared" ca="1" si="30"/>
        <v>15110065.892465146</v>
      </c>
    </row>
    <row r="65" spans="1:19">
      <c r="A65" s="197">
        <v>43191</v>
      </c>
      <c r="B65">
        <f t="shared" si="13"/>
        <v>4</v>
      </c>
      <c r="C65">
        <f t="shared" si="14"/>
        <v>2019</v>
      </c>
      <c r="D65" s="6">
        <f>'Monthly Data (14-23) Used'!M65</f>
        <v>14423362.374472635</v>
      </c>
      <c r="E65" s="7">
        <f t="shared" ca="1" si="31"/>
        <v>238.61000000000004</v>
      </c>
      <c r="F65" s="7">
        <f t="shared" ca="1" si="31"/>
        <v>18.349999999999998</v>
      </c>
      <c r="G65" s="6">
        <f>'Monthly Data (14-23) Used'!BC65</f>
        <v>806630</v>
      </c>
      <c r="H65">
        <f>'Monthly Data (14-23) Used'!CC65</f>
        <v>21</v>
      </c>
      <c r="I65">
        <f>'Monthly Data (14-23) Used'!BU65</f>
        <v>0</v>
      </c>
      <c r="J65">
        <f>'Monthly Data (14-23) Used'!BZ65</f>
        <v>0</v>
      </c>
      <c r="L65" s="6">
        <f t="shared" si="23"/>
        <v>-4689965.23186938</v>
      </c>
      <c r="M65" s="6">
        <f t="shared" ca="1" si="24"/>
        <v>941862.64483421773</v>
      </c>
      <c r="N65" s="6">
        <f t="shared" ca="1" si="25"/>
        <v>280006.47769682453</v>
      </c>
      <c r="O65" s="6">
        <f t="shared" si="26"/>
        <v>13127871.395799037</v>
      </c>
      <c r="P65" s="6">
        <f t="shared" si="27"/>
        <v>4805277.092758527</v>
      </c>
      <c r="Q65" s="6">
        <f t="shared" si="28"/>
        <v>0</v>
      </c>
      <c r="R65" s="6">
        <f t="shared" si="29"/>
        <v>0</v>
      </c>
      <c r="S65" s="6">
        <f t="shared" ca="1" si="30"/>
        <v>14465052.379219227</v>
      </c>
    </row>
    <row r="66" spans="1:19">
      <c r="A66" s="197">
        <v>43221</v>
      </c>
      <c r="B66">
        <f t="shared" ref="B66:B97" si="32">MONTH(A78)</f>
        <v>5</v>
      </c>
      <c r="C66">
        <f t="shared" ref="C66:C97" si="33">YEAR(A78)</f>
        <v>2019</v>
      </c>
      <c r="D66" s="6">
        <f>'Monthly Data (14-23) Used'!M66</f>
        <v>14808434.374472635</v>
      </c>
      <c r="E66" s="7">
        <f t="shared" ca="1" si="31"/>
        <v>77.693552299140975</v>
      </c>
      <c r="F66" s="7">
        <f t="shared" ca="1" si="31"/>
        <v>124.82289540171806</v>
      </c>
      <c r="G66" s="6">
        <f>'Monthly Data (14-23) Used'!BC66</f>
        <v>806630</v>
      </c>
      <c r="H66">
        <f>'Monthly Data (14-23) Used'!CC66</f>
        <v>20</v>
      </c>
      <c r="I66">
        <f>'Monthly Data (14-23) Used'!BU66</f>
        <v>0</v>
      </c>
      <c r="J66">
        <f>'Monthly Data (14-23) Used'!BZ66</f>
        <v>0</v>
      </c>
      <c r="L66" s="6">
        <f t="shared" si="23"/>
        <v>-4689965.23186938</v>
      </c>
      <c r="M66" s="6">
        <f t="shared" ca="1" si="24"/>
        <v>306678.90974826925</v>
      </c>
      <c r="N66" s="6">
        <f t="shared" ca="1" si="25"/>
        <v>1904698.5982209388</v>
      </c>
      <c r="O66" s="6">
        <f t="shared" si="26"/>
        <v>13127871.395799037</v>
      </c>
      <c r="P66" s="6">
        <f t="shared" si="27"/>
        <v>4576454.3740557404</v>
      </c>
      <c r="Q66" s="6">
        <f t="shared" si="28"/>
        <v>0</v>
      </c>
      <c r="R66" s="6">
        <f t="shared" si="29"/>
        <v>0</v>
      </c>
      <c r="S66" s="6">
        <f t="shared" ca="1" si="30"/>
        <v>15225738.045954604</v>
      </c>
    </row>
    <row r="67" spans="1:19">
      <c r="A67" s="197">
        <v>43252</v>
      </c>
      <c r="B67">
        <f t="shared" si="32"/>
        <v>6</v>
      </c>
      <c r="C67">
        <f t="shared" si="33"/>
        <v>2019</v>
      </c>
      <c r="D67" s="6">
        <f>'Monthly Data (14-23) Used'!M67</f>
        <v>15415733.374472635</v>
      </c>
      <c r="E67" s="7">
        <f t="shared" ca="1" si="31"/>
        <v>2.8535522991409801</v>
      </c>
      <c r="F67" s="7">
        <f t="shared" ca="1" si="31"/>
        <v>262.25644770085898</v>
      </c>
      <c r="G67" s="6">
        <f>'Monthly Data (14-23) Used'!BC67</f>
        <v>806630</v>
      </c>
      <c r="H67">
        <f>'Monthly Data (14-23) Used'!CC67</f>
        <v>22</v>
      </c>
      <c r="I67">
        <f>'Monthly Data (14-23) Used'!BU67</f>
        <v>0</v>
      </c>
      <c r="J67">
        <f>'Monthly Data (14-23) Used'!BZ67</f>
        <v>0</v>
      </c>
      <c r="L67" s="6">
        <f t="shared" si="23"/>
        <v>-4689965.23186938</v>
      </c>
      <c r="M67" s="6">
        <f t="shared" ca="1" si="24"/>
        <v>11263.79579917726</v>
      </c>
      <c r="N67" s="6">
        <f t="shared" ca="1" si="25"/>
        <v>4001825.8405449046</v>
      </c>
      <c r="O67" s="6">
        <f t="shared" si="26"/>
        <v>13127871.395799037</v>
      </c>
      <c r="P67" s="6">
        <f t="shared" si="27"/>
        <v>5034099.8114613146</v>
      </c>
      <c r="Q67" s="6">
        <f t="shared" si="28"/>
        <v>0</v>
      </c>
      <c r="R67" s="6">
        <f t="shared" si="29"/>
        <v>0</v>
      </c>
      <c r="S67" s="6">
        <f t="shared" ca="1" si="30"/>
        <v>17485095.611735053</v>
      </c>
    </row>
    <row r="68" spans="1:19">
      <c r="A68" s="197">
        <v>43282</v>
      </c>
      <c r="B68">
        <f t="shared" si="32"/>
        <v>7</v>
      </c>
      <c r="C68">
        <f t="shared" si="33"/>
        <v>2019</v>
      </c>
      <c r="D68" s="6">
        <f>'Monthly Data (14-23) Used'!M68</f>
        <v>18581661.374472633</v>
      </c>
      <c r="E68" s="7">
        <f t="shared" ca="1" si="31"/>
        <v>1.9999999999999928E-2</v>
      </c>
      <c r="F68" s="7">
        <f t="shared" ca="1" si="31"/>
        <v>335.21289540171807</v>
      </c>
      <c r="G68" s="6">
        <f>'Monthly Data (14-23) Used'!BC68</f>
        <v>810347</v>
      </c>
      <c r="H68">
        <f>'Monthly Data (14-23) Used'!CC68</f>
        <v>22</v>
      </c>
      <c r="I68">
        <f>'Monthly Data (14-23) Used'!BU68</f>
        <v>0</v>
      </c>
      <c r="J68">
        <f>'Monthly Data (14-23) Used'!BZ68</f>
        <v>0</v>
      </c>
      <c r="L68" s="6">
        <f t="shared" si="23"/>
        <v>-4689965.23186938</v>
      </c>
      <c r="M68" s="6">
        <f t="shared" ca="1" si="24"/>
        <v>78.945781386715908</v>
      </c>
      <c r="N68" s="6">
        <f t="shared" ca="1" si="25"/>
        <v>5115083.4942773376</v>
      </c>
      <c r="O68" s="6">
        <f t="shared" si="26"/>
        <v>13188365.424012946</v>
      </c>
      <c r="P68" s="6">
        <f t="shared" si="27"/>
        <v>5034099.8114613146</v>
      </c>
      <c r="Q68" s="6">
        <f t="shared" si="28"/>
        <v>0</v>
      </c>
      <c r="R68" s="6">
        <f t="shared" si="29"/>
        <v>0</v>
      </c>
      <c r="S68" s="6">
        <f t="shared" ca="1" si="30"/>
        <v>18647662.443663605</v>
      </c>
    </row>
    <row r="69" spans="1:19">
      <c r="A69" s="197">
        <v>43313</v>
      </c>
      <c r="B69">
        <f t="shared" si="32"/>
        <v>8</v>
      </c>
      <c r="C69">
        <f t="shared" si="33"/>
        <v>2019</v>
      </c>
      <c r="D69" s="6">
        <f>'Monthly Data (14-23) Used'!M69</f>
        <v>18671585.374472633</v>
      </c>
      <c r="E69" s="7">
        <f t="shared" ca="1" si="31"/>
        <v>0.49999999999999983</v>
      </c>
      <c r="F69" s="7">
        <f t="shared" ca="1" si="31"/>
        <v>307.37605861546228</v>
      </c>
      <c r="G69" s="6">
        <f>'Monthly Data (14-23) Used'!BC69</f>
        <v>810347</v>
      </c>
      <c r="H69">
        <f>'Monthly Data (14-23) Used'!CC69</f>
        <v>20</v>
      </c>
      <c r="I69">
        <f>'Monthly Data (14-23) Used'!BU69</f>
        <v>0</v>
      </c>
      <c r="J69">
        <f>'Monthly Data (14-23) Used'!BZ69</f>
        <v>0</v>
      </c>
      <c r="L69" s="6">
        <f t="shared" si="23"/>
        <v>-4689965.23186938</v>
      </c>
      <c r="M69" s="6">
        <f t="shared" ca="1" si="24"/>
        <v>1973.6445346679043</v>
      </c>
      <c r="N69" s="6">
        <f t="shared" ca="1" si="25"/>
        <v>4690315.3951633936</v>
      </c>
      <c r="O69" s="6">
        <f t="shared" si="26"/>
        <v>13188365.424012946</v>
      </c>
      <c r="P69" s="6">
        <f t="shared" si="27"/>
        <v>4576454.3740557404</v>
      </c>
      <c r="Q69" s="6">
        <f t="shared" si="28"/>
        <v>0</v>
      </c>
      <c r="R69" s="6">
        <f t="shared" si="29"/>
        <v>0</v>
      </c>
      <c r="S69" s="6">
        <f t="shared" ca="1" si="30"/>
        <v>17767143.605897367</v>
      </c>
    </row>
    <row r="70" spans="1:19">
      <c r="A70" s="197">
        <v>43344</v>
      </c>
      <c r="B70">
        <f t="shared" si="32"/>
        <v>9</v>
      </c>
      <c r="C70">
        <f t="shared" si="33"/>
        <v>2019</v>
      </c>
      <c r="D70" s="6">
        <f>'Monthly Data (14-23) Used'!M70</f>
        <v>18603631.374472633</v>
      </c>
      <c r="E70" s="7">
        <f t="shared" ca="1" si="31"/>
        <v>17.56355229914098</v>
      </c>
      <c r="F70" s="7">
        <f t="shared" ca="1" si="31"/>
        <v>194.39579080343606</v>
      </c>
      <c r="G70" s="6">
        <f>'Monthly Data (14-23) Used'!BC70</f>
        <v>810347</v>
      </c>
      <c r="H70">
        <f>'Monthly Data (14-23) Used'!CC70</f>
        <v>21</v>
      </c>
      <c r="I70">
        <f>'Monthly Data (14-23) Used'!BU70</f>
        <v>1</v>
      </c>
      <c r="J70">
        <f>'Monthly Data (14-23) Used'!BZ70</f>
        <v>0</v>
      </c>
      <c r="L70" s="6">
        <f t="shared" si="23"/>
        <v>-4689965.23186938</v>
      </c>
      <c r="M70" s="6">
        <f t="shared" ca="1" si="24"/>
        <v>69328.41800910703</v>
      </c>
      <c r="N70" s="6">
        <f t="shared" ca="1" si="25"/>
        <v>2966325.9216326368</v>
      </c>
      <c r="O70" s="6">
        <f t="shared" si="26"/>
        <v>13188365.424012946</v>
      </c>
      <c r="P70" s="6">
        <f t="shared" si="27"/>
        <v>4805277.092758527</v>
      </c>
      <c r="Q70" s="6">
        <f t="shared" si="28"/>
        <v>1564224.56108409</v>
      </c>
      <c r="R70" s="6">
        <f t="shared" si="29"/>
        <v>0</v>
      </c>
      <c r="S70" s="6">
        <f t="shared" ca="1" si="30"/>
        <v>17903556.185627926</v>
      </c>
    </row>
    <row r="71" spans="1:19">
      <c r="A71" s="197">
        <v>43374</v>
      </c>
      <c r="B71">
        <f t="shared" si="32"/>
        <v>10</v>
      </c>
      <c r="C71">
        <f t="shared" si="33"/>
        <v>2019</v>
      </c>
      <c r="D71" s="6">
        <f>'Monthly Data (14-23) Used'!M71</f>
        <v>16969281.374472633</v>
      </c>
      <c r="E71" s="7">
        <f t="shared" ca="1" si="31"/>
        <v>143.81420919656392</v>
      </c>
      <c r="F71" s="7">
        <f t="shared" ca="1" si="31"/>
        <v>62.822895401718029</v>
      </c>
      <c r="G71" s="6">
        <f>'Monthly Data (14-23) Used'!BC71</f>
        <v>811397</v>
      </c>
      <c r="H71">
        <f>'Monthly Data (14-23) Used'!CC71</f>
        <v>21</v>
      </c>
      <c r="I71">
        <f>'Monthly Data (14-23) Used'!BU71</f>
        <v>0</v>
      </c>
      <c r="J71">
        <f>'Monthly Data (14-23) Used'!BZ71</f>
        <v>1</v>
      </c>
      <c r="L71" s="6">
        <f t="shared" si="23"/>
        <v>-4689965.23186938</v>
      </c>
      <c r="M71" s="6">
        <f t="shared" ca="1" si="24"/>
        <v>567676.25597677031</v>
      </c>
      <c r="N71" s="6">
        <f t="shared" ca="1" si="25"/>
        <v>958627.66540332965</v>
      </c>
      <c r="O71" s="6">
        <f t="shared" si="26"/>
        <v>13205454.132547949</v>
      </c>
      <c r="P71" s="6">
        <f t="shared" si="27"/>
        <v>4805277.092758527</v>
      </c>
      <c r="Q71" s="6">
        <f t="shared" si="28"/>
        <v>0</v>
      </c>
      <c r="R71" s="6">
        <f t="shared" si="29"/>
        <v>1139330.72171186</v>
      </c>
      <c r="S71" s="6">
        <f t="shared" ca="1" si="30"/>
        <v>15986400.636529054</v>
      </c>
    </row>
    <row r="72" spans="1:19">
      <c r="A72" s="197">
        <v>43405</v>
      </c>
      <c r="B72">
        <f t="shared" si="32"/>
        <v>11</v>
      </c>
      <c r="C72">
        <f t="shared" si="33"/>
        <v>2019</v>
      </c>
      <c r="D72" s="6">
        <f>'Monthly Data (14-23) Used'!M72</f>
        <v>16215950.374472635</v>
      </c>
      <c r="E72" s="7">
        <f t="shared" ca="1" si="31"/>
        <v>344.55065689742298</v>
      </c>
      <c r="F72" s="7">
        <f t="shared" ca="1" si="31"/>
        <v>6.1599999999999984</v>
      </c>
      <c r="G72" s="6">
        <f>'Monthly Data (14-23) Used'!BC72</f>
        <v>811397</v>
      </c>
      <c r="H72">
        <f>'Monthly Data (14-23) Used'!CC72</f>
        <v>21</v>
      </c>
      <c r="I72">
        <f>'Monthly Data (14-23) Used'!BU72</f>
        <v>0</v>
      </c>
      <c r="J72">
        <f>'Monthly Data (14-23) Used'!BZ72</f>
        <v>1</v>
      </c>
      <c r="L72" s="6">
        <f t="shared" si="23"/>
        <v>-4689965.23186938</v>
      </c>
      <c r="M72" s="6">
        <f t="shared" ca="1" si="24"/>
        <v>1360041.0418036708</v>
      </c>
      <c r="N72" s="6">
        <f t="shared" ca="1" si="25"/>
        <v>93996.724938007552</v>
      </c>
      <c r="O72" s="6">
        <f t="shared" si="26"/>
        <v>13205454.132547949</v>
      </c>
      <c r="P72" s="6">
        <f t="shared" si="27"/>
        <v>4805277.092758527</v>
      </c>
      <c r="Q72" s="6">
        <f t="shared" si="28"/>
        <v>0</v>
      </c>
      <c r="R72" s="6">
        <f t="shared" si="29"/>
        <v>1139330.72171186</v>
      </c>
      <c r="S72" s="6">
        <f t="shared" ca="1" si="30"/>
        <v>15914134.481890634</v>
      </c>
    </row>
    <row r="73" spans="1:19">
      <c r="A73" s="197">
        <v>43435</v>
      </c>
      <c r="B73">
        <f t="shared" si="32"/>
        <v>12</v>
      </c>
      <c r="C73">
        <f t="shared" si="33"/>
        <v>2019</v>
      </c>
      <c r="D73" s="6">
        <f>'Monthly Data (14-23) Used'!M73</f>
        <v>15098518.374472635</v>
      </c>
      <c r="E73" s="7">
        <f t="shared" ca="1" si="31"/>
        <v>471.77</v>
      </c>
      <c r="F73" s="7">
        <f t="shared" ca="1" si="31"/>
        <v>8.0000000000000071E-2</v>
      </c>
      <c r="G73" s="6">
        <f>'Monthly Data (14-23) Used'!BC73</f>
        <v>811397</v>
      </c>
      <c r="H73">
        <f>'Monthly Data (14-23) Used'!CC73</f>
        <v>21</v>
      </c>
      <c r="I73">
        <f>'Monthly Data (14-23) Used'!BU73</f>
        <v>0</v>
      </c>
      <c r="J73">
        <f>'Monthly Data (14-23) Used'!BZ73</f>
        <v>0</v>
      </c>
      <c r="L73" s="6">
        <f t="shared" si="23"/>
        <v>-4689965.23186938</v>
      </c>
      <c r="M73" s="6">
        <f t="shared" ca="1" si="24"/>
        <v>1862212.564240555</v>
      </c>
      <c r="N73" s="6">
        <f t="shared" ca="1" si="25"/>
        <v>1220.7366875065932</v>
      </c>
      <c r="O73" s="6">
        <f t="shared" si="26"/>
        <v>13205454.132547949</v>
      </c>
      <c r="P73" s="6">
        <f t="shared" si="27"/>
        <v>4805277.092758527</v>
      </c>
      <c r="Q73" s="6">
        <f t="shared" si="28"/>
        <v>0</v>
      </c>
      <c r="R73" s="6">
        <f t="shared" si="29"/>
        <v>0</v>
      </c>
      <c r="S73" s="6">
        <f t="shared" ca="1" si="30"/>
        <v>15184199.294365158</v>
      </c>
    </row>
    <row r="74" spans="1:19">
      <c r="A74" s="197">
        <v>43466</v>
      </c>
      <c r="B74">
        <f t="shared" si="32"/>
        <v>1</v>
      </c>
      <c r="C74">
        <f t="shared" si="33"/>
        <v>2020</v>
      </c>
      <c r="D74" s="6">
        <f>'Monthly Data (14-23) Used'!M74</f>
        <v>15271808.375952736</v>
      </c>
      <c r="E74" s="7">
        <f t="shared" ca="1" si="31"/>
        <v>608.99999999999989</v>
      </c>
      <c r="F74" s="7">
        <f t="shared" ca="1" si="31"/>
        <v>0</v>
      </c>
      <c r="G74" s="6">
        <f>'Monthly Data (14-23) Used'!BC74</f>
        <v>800126</v>
      </c>
      <c r="H74">
        <f>'Monthly Data (14-23) Used'!CC74</f>
        <v>22</v>
      </c>
      <c r="I74">
        <f>'Monthly Data (14-23) Used'!BU74</f>
        <v>0</v>
      </c>
      <c r="J74">
        <f>'Monthly Data (14-23) Used'!BZ74</f>
        <v>0</v>
      </c>
      <c r="L74" s="6">
        <f t="shared" si="23"/>
        <v>-4689965.23186938</v>
      </c>
      <c r="M74" s="6">
        <f t="shared" ca="1" si="24"/>
        <v>2403899.0432255077</v>
      </c>
      <c r="N74" s="6">
        <f t="shared" ca="1" si="25"/>
        <v>0</v>
      </c>
      <c r="O74" s="6">
        <f t="shared" si="26"/>
        <v>13022019.05264508</v>
      </c>
      <c r="P74" s="6">
        <f t="shared" si="27"/>
        <v>5034099.8114613146</v>
      </c>
      <c r="Q74" s="6">
        <f t="shared" si="28"/>
        <v>0</v>
      </c>
      <c r="R74" s="6">
        <f t="shared" si="29"/>
        <v>0</v>
      </c>
      <c r="S74" s="6">
        <f t="shared" ca="1" si="30"/>
        <v>15770052.675462522</v>
      </c>
    </row>
    <row r="75" spans="1:19">
      <c r="A75" s="197">
        <v>43497</v>
      </c>
      <c r="B75">
        <f t="shared" si="32"/>
        <v>2</v>
      </c>
      <c r="C75">
        <f t="shared" si="33"/>
        <v>2020</v>
      </c>
      <c r="D75" s="6">
        <f>'Monthly Data (14-23) Used'!M75</f>
        <v>14811034.375952736</v>
      </c>
      <c r="E75" s="7">
        <f t="shared" ca="1" si="31"/>
        <v>539.11355229914102</v>
      </c>
      <c r="F75" s="7">
        <f t="shared" ca="1" si="31"/>
        <v>0.1</v>
      </c>
      <c r="G75" s="6">
        <f>'Monthly Data (14-23) Used'!BC75</f>
        <v>800126</v>
      </c>
      <c r="H75">
        <f>'Monthly Data (14-23) Used'!CC75</f>
        <v>19</v>
      </c>
      <c r="I75">
        <f>'Monthly Data (14-23) Used'!BU75</f>
        <v>0</v>
      </c>
      <c r="J75">
        <f>'Monthly Data (14-23) Used'!BZ75</f>
        <v>0</v>
      </c>
      <c r="L75" s="6">
        <f t="shared" si="23"/>
        <v>-4689965.23186938</v>
      </c>
      <c r="M75" s="6">
        <f t="shared" ca="1" si="24"/>
        <v>2128037.0321211987</v>
      </c>
      <c r="N75" s="6">
        <f t="shared" ca="1" si="25"/>
        <v>1525.92085938324</v>
      </c>
      <c r="O75" s="6">
        <f t="shared" si="26"/>
        <v>13022019.05264508</v>
      </c>
      <c r="P75" s="6">
        <f t="shared" si="27"/>
        <v>4347631.6553529529</v>
      </c>
      <c r="Q75" s="6">
        <f t="shared" si="28"/>
        <v>0</v>
      </c>
      <c r="R75" s="6">
        <f t="shared" si="29"/>
        <v>0</v>
      </c>
      <c r="S75" s="6">
        <f t="shared" ca="1" si="30"/>
        <v>14809248.429109234</v>
      </c>
    </row>
    <row r="76" spans="1:19">
      <c r="A76" s="197">
        <v>43525</v>
      </c>
      <c r="B76">
        <f t="shared" si="32"/>
        <v>3</v>
      </c>
      <c r="C76">
        <f t="shared" si="33"/>
        <v>2020</v>
      </c>
      <c r="D76" s="6">
        <f>'Monthly Data (14-23) Used'!M76</f>
        <v>14069415.375952736</v>
      </c>
      <c r="E76" s="7">
        <f t="shared" ca="1" si="31"/>
        <v>434.46355229914104</v>
      </c>
      <c r="F76" s="7">
        <f t="shared" ca="1" si="31"/>
        <v>1.2599999999999998</v>
      </c>
      <c r="G76" s="6">
        <f>'Monthly Data (14-23) Used'!BC76</f>
        <v>800126</v>
      </c>
      <c r="H76">
        <f>'Monthly Data (14-23) Used'!CC76</f>
        <v>22</v>
      </c>
      <c r="I76">
        <f>'Monthly Data (14-23) Used'!BU76</f>
        <v>0</v>
      </c>
      <c r="J76">
        <f>'Monthly Data (14-23) Used'!BZ76</f>
        <v>0</v>
      </c>
      <c r="L76" s="6">
        <f t="shared" si="23"/>
        <v>-4689965.23186938</v>
      </c>
      <c r="M76" s="6">
        <f t="shared" ca="1" si="24"/>
        <v>1714953.2310152063</v>
      </c>
      <c r="N76" s="6">
        <f t="shared" ca="1" si="25"/>
        <v>19226.602828228821</v>
      </c>
      <c r="O76" s="6">
        <f t="shared" si="26"/>
        <v>13022019.05264508</v>
      </c>
      <c r="P76" s="6">
        <f t="shared" si="27"/>
        <v>5034099.8114613146</v>
      </c>
      <c r="Q76" s="6">
        <f t="shared" si="28"/>
        <v>0</v>
      </c>
      <c r="R76" s="6">
        <f t="shared" si="29"/>
        <v>0</v>
      </c>
      <c r="S76" s="6">
        <f t="shared" ca="1" si="30"/>
        <v>15100333.46608045</v>
      </c>
    </row>
    <row r="77" spans="1:19">
      <c r="A77" s="197">
        <v>43556</v>
      </c>
      <c r="B77">
        <f t="shared" si="32"/>
        <v>4</v>
      </c>
      <c r="C77">
        <f t="shared" si="33"/>
        <v>2020</v>
      </c>
      <c r="D77" s="6">
        <f>'Monthly Data (14-23) Used'!M77</f>
        <v>12021064.375952736</v>
      </c>
      <c r="E77" s="7">
        <f t="shared" ca="1" si="31"/>
        <v>238.61000000000004</v>
      </c>
      <c r="F77" s="7">
        <f t="shared" ca="1" si="31"/>
        <v>18.349999999999998</v>
      </c>
      <c r="G77" s="6">
        <f>'Monthly Data (14-23) Used'!BC77</f>
        <v>706539</v>
      </c>
      <c r="H77">
        <f>'Monthly Data (14-23) Used'!CC77</f>
        <v>21</v>
      </c>
      <c r="I77">
        <f>'Monthly Data (14-23) Used'!BU77</f>
        <v>0</v>
      </c>
      <c r="J77">
        <f>'Monthly Data (14-23) Used'!BZ77</f>
        <v>0</v>
      </c>
      <c r="L77" s="6">
        <f t="shared" si="23"/>
        <v>-4689965.23186938</v>
      </c>
      <c r="M77" s="6">
        <f t="shared" ca="1" si="24"/>
        <v>941862.64483421773</v>
      </c>
      <c r="N77" s="6">
        <f t="shared" ca="1" si="25"/>
        <v>280006.47769682453</v>
      </c>
      <c r="O77" s="6">
        <f t="shared" si="26"/>
        <v>11498894.32344006</v>
      </c>
      <c r="P77" s="6">
        <f t="shared" si="27"/>
        <v>4805277.092758527</v>
      </c>
      <c r="Q77" s="6">
        <f t="shared" si="28"/>
        <v>0</v>
      </c>
      <c r="R77" s="6">
        <f t="shared" si="29"/>
        <v>0</v>
      </c>
      <c r="S77" s="6">
        <f t="shared" ca="1" si="30"/>
        <v>12836075.306860249</v>
      </c>
    </row>
    <row r="78" spans="1:19">
      <c r="A78" s="197">
        <v>43586</v>
      </c>
      <c r="B78">
        <f t="shared" si="32"/>
        <v>5</v>
      </c>
      <c r="C78">
        <f t="shared" si="33"/>
        <v>2020</v>
      </c>
      <c r="D78" s="6">
        <f>'Monthly Data (14-23) Used'!M78</f>
        <v>12781316.375952736</v>
      </c>
      <c r="E78" s="7">
        <f t="shared" ca="1" si="31"/>
        <v>77.693552299140975</v>
      </c>
      <c r="F78" s="7">
        <f t="shared" ca="1" si="31"/>
        <v>124.82289540171806</v>
      </c>
      <c r="G78" s="6">
        <f>'Monthly Data (14-23) Used'!BC78</f>
        <v>706539</v>
      </c>
      <c r="H78">
        <f>'Monthly Data (14-23) Used'!CC78</f>
        <v>20</v>
      </c>
      <c r="I78">
        <f>'Monthly Data (14-23) Used'!BU78</f>
        <v>0</v>
      </c>
      <c r="J78">
        <f>'Monthly Data (14-23) Used'!BZ78</f>
        <v>0</v>
      </c>
      <c r="L78" s="6">
        <f t="shared" si="23"/>
        <v>-4689965.23186938</v>
      </c>
      <c r="M78" s="6">
        <f t="shared" ca="1" si="24"/>
        <v>306678.90974826925</v>
      </c>
      <c r="N78" s="6">
        <f t="shared" ca="1" si="25"/>
        <v>1904698.5982209388</v>
      </c>
      <c r="O78" s="6">
        <f t="shared" si="26"/>
        <v>11498894.32344006</v>
      </c>
      <c r="P78" s="6">
        <f t="shared" si="27"/>
        <v>4576454.3740557404</v>
      </c>
      <c r="Q78" s="6">
        <f t="shared" si="28"/>
        <v>0</v>
      </c>
      <c r="R78" s="6">
        <f t="shared" si="29"/>
        <v>0</v>
      </c>
      <c r="S78" s="6">
        <f t="shared" ca="1" si="30"/>
        <v>13596760.973595627</v>
      </c>
    </row>
    <row r="79" spans="1:19">
      <c r="A79" s="197">
        <v>43617</v>
      </c>
      <c r="B79">
        <f t="shared" si="32"/>
        <v>6</v>
      </c>
      <c r="C79">
        <f t="shared" si="33"/>
        <v>2020</v>
      </c>
      <c r="D79" s="6">
        <f>'Monthly Data (14-23) Used'!M79</f>
        <v>15526321.375952736</v>
      </c>
      <c r="E79" s="7">
        <f t="shared" ca="1" si="31"/>
        <v>2.8535522991409801</v>
      </c>
      <c r="F79" s="7">
        <f t="shared" ca="1" si="31"/>
        <v>262.25644770085898</v>
      </c>
      <c r="G79" s="6">
        <f>'Monthly Data (14-23) Used'!BC79</f>
        <v>706539</v>
      </c>
      <c r="H79">
        <f>'Monthly Data (14-23) Used'!CC79</f>
        <v>22</v>
      </c>
      <c r="I79">
        <f>'Monthly Data (14-23) Used'!BU79</f>
        <v>0</v>
      </c>
      <c r="J79">
        <f>'Monthly Data (14-23) Used'!BZ79</f>
        <v>0</v>
      </c>
      <c r="L79" s="6">
        <f t="shared" si="23"/>
        <v>-4689965.23186938</v>
      </c>
      <c r="M79" s="6">
        <f t="shared" ca="1" si="24"/>
        <v>11263.79579917726</v>
      </c>
      <c r="N79" s="6">
        <f t="shared" ca="1" si="25"/>
        <v>4001825.8405449046</v>
      </c>
      <c r="O79" s="6">
        <f t="shared" si="26"/>
        <v>11498894.32344006</v>
      </c>
      <c r="P79" s="6">
        <f t="shared" si="27"/>
        <v>5034099.8114613146</v>
      </c>
      <c r="Q79" s="6">
        <f t="shared" si="28"/>
        <v>0</v>
      </c>
      <c r="R79" s="6">
        <f t="shared" si="29"/>
        <v>0</v>
      </c>
      <c r="S79" s="6">
        <f t="shared" ca="1" si="30"/>
        <v>15856118.539376076</v>
      </c>
    </row>
    <row r="80" spans="1:19">
      <c r="A80" s="197">
        <v>43647</v>
      </c>
      <c r="B80">
        <f t="shared" si="32"/>
        <v>7</v>
      </c>
      <c r="C80">
        <f t="shared" si="33"/>
        <v>2020</v>
      </c>
      <c r="D80" s="6">
        <f>'Monthly Data (14-23) Used'!M80</f>
        <v>18470477.375952736</v>
      </c>
      <c r="E80" s="7">
        <f t="shared" ca="1" si="31"/>
        <v>1.9999999999999928E-2</v>
      </c>
      <c r="F80" s="7">
        <f t="shared" ca="1" si="31"/>
        <v>335.21289540171807</v>
      </c>
      <c r="G80" s="6">
        <f>'Monthly Data (14-23) Used'!BC80</f>
        <v>777225</v>
      </c>
      <c r="H80">
        <f>'Monthly Data (14-23) Used'!CC80</f>
        <v>22</v>
      </c>
      <c r="I80">
        <f>'Monthly Data (14-23) Used'!BU80</f>
        <v>0</v>
      </c>
      <c r="J80">
        <f>'Monthly Data (14-23) Used'!BZ80</f>
        <v>0</v>
      </c>
      <c r="L80" s="6">
        <f t="shared" si="23"/>
        <v>-4689965.23186938</v>
      </c>
      <c r="M80" s="6">
        <f t="shared" ca="1" si="24"/>
        <v>78.945781386715908</v>
      </c>
      <c r="N80" s="6">
        <f t="shared" ca="1" si="25"/>
        <v>5115083.4942773376</v>
      </c>
      <c r="O80" s="6">
        <f t="shared" si="26"/>
        <v>12649306.182016423</v>
      </c>
      <c r="P80" s="6">
        <f t="shared" si="27"/>
        <v>5034099.8114613146</v>
      </c>
      <c r="Q80" s="6">
        <f t="shared" si="28"/>
        <v>0</v>
      </c>
      <c r="R80" s="6">
        <f t="shared" si="29"/>
        <v>0</v>
      </c>
      <c r="S80" s="6">
        <f t="shared" ca="1" si="30"/>
        <v>18108603.201667082</v>
      </c>
    </row>
    <row r="81" spans="1:19">
      <c r="A81" s="197">
        <v>43678</v>
      </c>
      <c r="B81">
        <f t="shared" si="32"/>
        <v>8</v>
      </c>
      <c r="C81">
        <f t="shared" si="33"/>
        <v>2020</v>
      </c>
      <c r="D81" s="6">
        <f>'Monthly Data (14-23) Used'!M81</f>
        <v>18218385.375952736</v>
      </c>
      <c r="E81" s="7">
        <f t="shared" ca="1" si="31"/>
        <v>0.49999999999999983</v>
      </c>
      <c r="F81" s="7">
        <f t="shared" ca="1" si="31"/>
        <v>307.37605861546228</v>
      </c>
      <c r="G81" s="6">
        <f>'Monthly Data (14-23) Used'!BC81</f>
        <v>777225</v>
      </c>
      <c r="H81">
        <f>'Monthly Data (14-23) Used'!CC81</f>
        <v>20</v>
      </c>
      <c r="I81">
        <f>'Monthly Data (14-23) Used'!BU81</f>
        <v>0</v>
      </c>
      <c r="J81">
        <f>'Monthly Data (14-23) Used'!BZ81</f>
        <v>0</v>
      </c>
      <c r="L81" s="6">
        <f t="shared" si="23"/>
        <v>-4689965.23186938</v>
      </c>
      <c r="M81" s="6">
        <f t="shared" ca="1" si="24"/>
        <v>1973.6445346679043</v>
      </c>
      <c r="N81" s="6">
        <f t="shared" ca="1" si="25"/>
        <v>4690315.3951633936</v>
      </c>
      <c r="O81" s="6">
        <f t="shared" si="26"/>
        <v>12649306.182016423</v>
      </c>
      <c r="P81" s="6">
        <f t="shared" si="27"/>
        <v>4576454.3740557404</v>
      </c>
      <c r="Q81" s="6">
        <f t="shared" si="28"/>
        <v>0</v>
      </c>
      <c r="R81" s="6">
        <f t="shared" si="29"/>
        <v>0</v>
      </c>
      <c r="S81" s="6">
        <f t="shared" ca="1" si="30"/>
        <v>17228084.363900844</v>
      </c>
    </row>
    <row r="82" spans="1:19">
      <c r="A82" s="197">
        <v>43709</v>
      </c>
      <c r="B82">
        <f t="shared" si="32"/>
        <v>9</v>
      </c>
      <c r="C82">
        <f t="shared" si="33"/>
        <v>2020</v>
      </c>
      <c r="D82" s="6">
        <f>'Monthly Data (14-23) Used'!M82</f>
        <v>17753847.375952736</v>
      </c>
      <c r="E82" s="7">
        <f t="shared" ref="E82:F101" ca="1" si="34">E70</f>
        <v>17.56355229914098</v>
      </c>
      <c r="F82" s="7">
        <f t="shared" ca="1" si="34"/>
        <v>194.39579080343606</v>
      </c>
      <c r="G82" s="6">
        <f>'Monthly Data (14-23) Used'!BC82</f>
        <v>777225</v>
      </c>
      <c r="H82">
        <f>'Monthly Data (14-23) Used'!CC82</f>
        <v>21</v>
      </c>
      <c r="I82">
        <f>'Monthly Data (14-23) Used'!BU82</f>
        <v>1</v>
      </c>
      <c r="J82">
        <f>'Monthly Data (14-23) Used'!BZ82</f>
        <v>0</v>
      </c>
      <c r="L82" s="6">
        <f t="shared" si="23"/>
        <v>-4689965.23186938</v>
      </c>
      <c r="M82" s="6">
        <f t="shared" ca="1" si="24"/>
        <v>69328.41800910703</v>
      </c>
      <c r="N82" s="6">
        <f t="shared" ca="1" si="25"/>
        <v>2966325.9216326368</v>
      </c>
      <c r="O82" s="6">
        <f t="shared" si="26"/>
        <v>12649306.182016423</v>
      </c>
      <c r="P82" s="6">
        <f t="shared" si="27"/>
        <v>4805277.092758527</v>
      </c>
      <c r="Q82" s="6">
        <f t="shared" si="28"/>
        <v>1564224.56108409</v>
      </c>
      <c r="R82" s="6">
        <f t="shared" si="29"/>
        <v>0</v>
      </c>
      <c r="S82" s="6">
        <f t="shared" ca="1" si="30"/>
        <v>17364496.943631403</v>
      </c>
    </row>
    <row r="83" spans="1:19">
      <c r="A83" s="197">
        <v>43739</v>
      </c>
      <c r="B83">
        <f t="shared" si="32"/>
        <v>10</v>
      </c>
      <c r="C83">
        <f t="shared" si="33"/>
        <v>2020</v>
      </c>
      <c r="D83" s="6">
        <f>'Monthly Data (14-23) Used'!M83</f>
        <v>16343960.375952736</v>
      </c>
      <c r="E83" s="7">
        <f t="shared" ca="1" si="34"/>
        <v>143.81420919656392</v>
      </c>
      <c r="F83" s="7">
        <f t="shared" ca="1" si="34"/>
        <v>62.822895401718029</v>
      </c>
      <c r="G83" s="6">
        <f>'Monthly Data (14-23) Used'!BC83</f>
        <v>795879</v>
      </c>
      <c r="H83">
        <f>'Monthly Data (14-23) Used'!CC83</f>
        <v>21</v>
      </c>
      <c r="I83">
        <f>'Monthly Data (14-23) Used'!BU83</f>
        <v>0</v>
      </c>
      <c r="J83">
        <f>'Monthly Data (14-23) Used'!BZ83</f>
        <v>1</v>
      </c>
      <c r="L83" s="6">
        <f t="shared" si="23"/>
        <v>-4689965.23186938</v>
      </c>
      <c r="M83" s="6">
        <f t="shared" ca="1" si="24"/>
        <v>567676.25597677031</v>
      </c>
      <c r="N83" s="6">
        <f t="shared" ca="1" si="25"/>
        <v>958627.66540332965</v>
      </c>
      <c r="O83" s="6">
        <f t="shared" si="26"/>
        <v>12952899.295361122</v>
      </c>
      <c r="P83" s="6">
        <f t="shared" si="27"/>
        <v>4805277.092758527</v>
      </c>
      <c r="Q83" s="6">
        <f t="shared" si="28"/>
        <v>0</v>
      </c>
      <c r="R83" s="6">
        <f t="shared" si="29"/>
        <v>1139330.72171186</v>
      </c>
      <c r="S83" s="6">
        <f t="shared" ca="1" si="30"/>
        <v>15733845.79934223</v>
      </c>
    </row>
    <row r="84" spans="1:19">
      <c r="A84" s="197">
        <v>43770</v>
      </c>
      <c r="B84">
        <f t="shared" si="32"/>
        <v>11</v>
      </c>
      <c r="C84">
        <f t="shared" si="33"/>
        <v>2020</v>
      </c>
      <c r="D84" s="6">
        <f>'Monthly Data (14-23) Used'!M84</f>
        <v>15290197.375952736</v>
      </c>
      <c r="E84" s="7">
        <f t="shared" ca="1" si="34"/>
        <v>344.55065689742298</v>
      </c>
      <c r="F84" s="7">
        <f t="shared" ca="1" si="34"/>
        <v>6.1599999999999984</v>
      </c>
      <c r="G84" s="6">
        <f>'Monthly Data (14-23) Used'!BC84</f>
        <v>795879</v>
      </c>
      <c r="H84">
        <f>'Monthly Data (14-23) Used'!CC84</f>
        <v>21</v>
      </c>
      <c r="I84">
        <f>'Monthly Data (14-23) Used'!BU84</f>
        <v>0</v>
      </c>
      <c r="J84">
        <f>'Monthly Data (14-23) Used'!BZ84</f>
        <v>1</v>
      </c>
      <c r="L84" s="6">
        <f t="shared" si="23"/>
        <v>-4689965.23186938</v>
      </c>
      <c r="M84" s="6">
        <f t="shared" ca="1" si="24"/>
        <v>1360041.0418036708</v>
      </c>
      <c r="N84" s="6">
        <f t="shared" ca="1" si="25"/>
        <v>93996.724938007552</v>
      </c>
      <c r="O84" s="6">
        <f t="shared" si="26"/>
        <v>12952899.295361122</v>
      </c>
      <c r="P84" s="6">
        <f t="shared" si="27"/>
        <v>4805277.092758527</v>
      </c>
      <c r="Q84" s="6">
        <f t="shared" si="28"/>
        <v>0</v>
      </c>
      <c r="R84" s="6">
        <f t="shared" si="29"/>
        <v>1139330.72171186</v>
      </c>
      <c r="S84" s="6">
        <f t="shared" ca="1" si="30"/>
        <v>15661579.644703809</v>
      </c>
    </row>
    <row r="85" spans="1:19">
      <c r="A85" s="197">
        <v>43800</v>
      </c>
      <c r="B85">
        <f t="shared" si="32"/>
        <v>12</v>
      </c>
      <c r="C85">
        <f t="shared" si="33"/>
        <v>2020</v>
      </c>
      <c r="D85" s="6">
        <f>'Monthly Data (14-23) Used'!M85</f>
        <v>15350534.375952736</v>
      </c>
      <c r="E85" s="7">
        <f t="shared" ca="1" si="34"/>
        <v>471.77</v>
      </c>
      <c r="F85" s="7">
        <f t="shared" ca="1" si="34"/>
        <v>8.0000000000000071E-2</v>
      </c>
      <c r="G85" s="6">
        <f>'Monthly Data (14-23) Used'!BC85</f>
        <v>795879</v>
      </c>
      <c r="H85">
        <f>'Monthly Data (14-23) Used'!CC85</f>
        <v>21</v>
      </c>
      <c r="I85">
        <f>'Monthly Data (14-23) Used'!BU85</f>
        <v>0</v>
      </c>
      <c r="J85">
        <f>'Monthly Data (14-23) Used'!BZ85</f>
        <v>0</v>
      </c>
      <c r="L85" s="6">
        <f t="shared" si="23"/>
        <v>-4689965.23186938</v>
      </c>
      <c r="M85" s="6">
        <f t="shared" ca="1" si="24"/>
        <v>1862212.564240555</v>
      </c>
      <c r="N85" s="6">
        <f t="shared" ca="1" si="25"/>
        <v>1220.7366875065932</v>
      </c>
      <c r="O85" s="6">
        <f t="shared" si="26"/>
        <v>12952899.295361122</v>
      </c>
      <c r="P85" s="6">
        <f t="shared" si="27"/>
        <v>4805277.092758527</v>
      </c>
      <c r="Q85" s="6">
        <f t="shared" si="28"/>
        <v>0</v>
      </c>
      <c r="R85" s="6">
        <f t="shared" si="29"/>
        <v>0</v>
      </c>
      <c r="S85" s="6">
        <f t="shared" ca="1" si="30"/>
        <v>14931644.45717833</v>
      </c>
    </row>
    <row r="86" spans="1:19">
      <c r="A86" s="197">
        <v>43831</v>
      </c>
      <c r="B86">
        <f t="shared" si="32"/>
        <v>1</v>
      </c>
      <c r="C86">
        <f t="shared" si="33"/>
        <v>2021</v>
      </c>
      <c r="D86" s="6">
        <f>'Monthly Data (14-23) Used'!M86</f>
        <v>14829539.657323709</v>
      </c>
      <c r="E86" s="7">
        <f t="shared" ca="1" si="34"/>
        <v>608.99999999999989</v>
      </c>
      <c r="F86" s="7">
        <f t="shared" ca="1" si="34"/>
        <v>0</v>
      </c>
      <c r="G86" s="6">
        <f>'Monthly Data (14-23) Used'!BC86</f>
        <v>805455</v>
      </c>
      <c r="H86">
        <f>'Monthly Data (14-23) Used'!CC86</f>
        <v>20</v>
      </c>
      <c r="I86">
        <f>'Monthly Data (14-23) Used'!BU86</f>
        <v>0</v>
      </c>
      <c r="J86">
        <f>'Monthly Data (14-23) Used'!BZ86</f>
        <v>0</v>
      </c>
      <c r="L86" s="6">
        <f t="shared" si="23"/>
        <v>-4689965.23186938</v>
      </c>
      <c r="M86" s="6">
        <f t="shared" ca="1" si="24"/>
        <v>2403899.0432255077</v>
      </c>
      <c r="N86" s="6">
        <f t="shared" ca="1" si="25"/>
        <v>0</v>
      </c>
      <c r="O86" s="6">
        <f t="shared" si="26"/>
        <v>13108748.317200344</v>
      </c>
      <c r="P86" s="6">
        <f t="shared" si="27"/>
        <v>4576454.3740557404</v>
      </c>
      <c r="Q86" s="6">
        <f t="shared" si="28"/>
        <v>0</v>
      </c>
      <c r="R86" s="6">
        <f t="shared" si="29"/>
        <v>0</v>
      </c>
      <c r="S86" s="6">
        <f t="shared" ca="1" si="30"/>
        <v>15399136.502612211</v>
      </c>
    </row>
    <row r="87" spans="1:19">
      <c r="A87" s="197">
        <v>43862</v>
      </c>
      <c r="B87">
        <f t="shared" si="32"/>
        <v>2</v>
      </c>
      <c r="C87">
        <f t="shared" si="33"/>
        <v>2021</v>
      </c>
      <c r="D87" s="6">
        <f>'Monthly Data (14-23) Used'!M87</f>
        <v>14463352.657323709</v>
      </c>
      <c r="E87" s="7">
        <f t="shared" ca="1" si="34"/>
        <v>539.11355229914102</v>
      </c>
      <c r="F87" s="7">
        <f t="shared" ca="1" si="34"/>
        <v>0.1</v>
      </c>
      <c r="G87" s="6">
        <f>'Monthly Data (14-23) Used'!BC87</f>
        <v>805455</v>
      </c>
      <c r="H87">
        <f>'Monthly Data (14-23) Used'!CC87</f>
        <v>19</v>
      </c>
      <c r="I87">
        <f>'Monthly Data (14-23) Used'!BU87</f>
        <v>0</v>
      </c>
      <c r="J87">
        <f>'Monthly Data (14-23) Used'!BZ87</f>
        <v>0</v>
      </c>
      <c r="L87" s="6">
        <f t="shared" si="23"/>
        <v>-4689965.23186938</v>
      </c>
      <c r="M87" s="6">
        <f t="shared" ca="1" si="24"/>
        <v>2128037.0321211987</v>
      </c>
      <c r="N87" s="6">
        <f t="shared" ca="1" si="25"/>
        <v>1525.92085938324</v>
      </c>
      <c r="O87" s="6">
        <f t="shared" si="26"/>
        <v>13108748.317200344</v>
      </c>
      <c r="P87" s="6">
        <f t="shared" si="27"/>
        <v>4347631.6553529529</v>
      </c>
      <c r="Q87" s="6">
        <f t="shared" si="28"/>
        <v>0</v>
      </c>
      <c r="R87" s="6">
        <f t="shared" si="29"/>
        <v>0</v>
      </c>
      <c r="S87" s="6">
        <f t="shared" ca="1" si="30"/>
        <v>14895977.693664499</v>
      </c>
    </row>
    <row r="88" spans="1:19">
      <c r="A88" s="197">
        <v>43891</v>
      </c>
      <c r="B88">
        <f t="shared" si="32"/>
        <v>3</v>
      </c>
      <c r="C88">
        <f t="shared" si="33"/>
        <v>2021</v>
      </c>
      <c r="D88" s="6">
        <f>'Monthly Data (14-23) Used'!M88</f>
        <v>14987614.657323709</v>
      </c>
      <c r="E88" s="7">
        <f t="shared" ca="1" si="34"/>
        <v>434.46355229914104</v>
      </c>
      <c r="F88" s="7">
        <f t="shared" ca="1" si="34"/>
        <v>1.2599999999999998</v>
      </c>
      <c r="G88" s="6">
        <f>'Monthly Data (14-23) Used'!BC88</f>
        <v>805455</v>
      </c>
      <c r="H88">
        <f>'Monthly Data (14-23) Used'!CC88</f>
        <v>23</v>
      </c>
      <c r="I88">
        <f>'Monthly Data (14-23) Used'!BU88</f>
        <v>0</v>
      </c>
      <c r="J88">
        <f>'Monthly Data (14-23) Used'!BZ88</f>
        <v>0</v>
      </c>
      <c r="L88" s="6">
        <f t="shared" si="23"/>
        <v>-4689965.23186938</v>
      </c>
      <c r="M88" s="6">
        <f t="shared" ca="1" si="24"/>
        <v>1714953.2310152063</v>
      </c>
      <c r="N88" s="6">
        <f t="shared" ca="1" si="25"/>
        <v>19226.602828228821</v>
      </c>
      <c r="O88" s="6">
        <f t="shared" si="26"/>
        <v>13108748.317200344</v>
      </c>
      <c r="P88" s="6">
        <f t="shared" si="27"/>
        <v>5262922.5301641012</v>
      </c>
      <c r="Q88" s="6">
        <f t="shared" si="28"/>
        <v>0</v>
      </c>
      <c r="R88" s="6">
        <f t="shared" si="29"/>
        <v>0</v>
      </c>
      <c r="S88" s="6">
        <f t="shared" ca="1" si="30"/>
        <v>15415885.449338499</v>
      </c>
    </row>
    <row r="89" spans="1:19">
      <c r="A89" s="197">
        <v>43922</v>
      </c>
      <c r="B89">
        <f t="shared" si="32"/>
        <v>4</v>
      </c>
      <c r="C89">
        <f t="shared" si="33"/>
        <v>2021</v>
      </c>
      <c r="D89" s="6">
        <f>'Monthly Data (14-23) Used'!M89</f>
        <v>13569451.657323709</v>
      </c>
      <c r="E89" s="7">
        <f t="shared" ca="1" si="34"/>
        <v>238.61000000000004</v>
      </c>
      <c r="F89" s="7">
        <f t="shared" ca="1" si="34"/>
        <v>18.349999999999998</v>
      </c>
      <c r="G89" s="6">
        <f>'Monthly Data (14-23) Used'!BC89</f>
        <v>795824</v>
      </c>
      <c r="H89">
        <f>'Monthly Data (14-23) Used'!CC89</f>
        <v>21</v>
      </c>
      <c r="I89">
        <f>'Monthly Data (14-23) Used'!BU89</f>
        <v>0</v>
      </c>
      <c r="J89">
        <f>'Monthly Data (14-23) Used'!BZ89</f>
        <v>0</v>
      </c>
      <c r="L89" s="6">
        <f t="shared" si="23"/>
        <v>-4689965.23186938</v>
      </c>
      <c r="M89" s="6">
        <f t="shared" ca="1" si="24"/>
        <v>941862.64483421773</v>
      </c>
      <c r="N89" s="6">
        <f t="shared" ca="1" si="25"/>
        <v>280006.47769682453</v>
      </c>
      <c r="O89" s="6">
        <f t="shared" si="26"/>
        <v>12952004.172533099</v>
      </c>
      <c r="P89" s="6">
        <f t="shared" si="27"/>
        <v>4805277.092758527</v>
      </c>
      <c r="Q89" s="6">
        <f t="shared" si="28"/>
        <v>0</v>
      </c>
      <c r="R89" s="6">
        <f t="shared" si="29"/>
        <v>0</v>
      </c>
      <c r="S89" s="6">
        <f t="shared" ca="1" si="30"/>
        <v>14289185.155953288</v>
      </c>
    </row>
    <row r="90" spans="1:19">
      <c r="A90" s="197">
        <v>43952</v>
      </c>
      <c r="B90">
        <f t="shared" si="32"/>
        <v>5</v>
      </c>
      <c r="C90">
        <f t="shared" si="33"/>
        <v>2021</v>
      </c>
      <c r="D90" s="6">
        <f>'Monthly Data (14-23) Used'!M90</f>
        <v>14542473.657323709</v>
      </c>
      <c r="E90" s="7">
        <f t="shared" ca="1" si="34"/>
        <v>77.693552299140975</v>
      </c>
      <c r="F90" s="7">
        <f t="shared" ca="1" si="34"/>
        <v>124.82289540171806</v>
      </c>
      <c r="G90" s="6">
        <f>'Monthly Data (14-23) Used'!BC90</f>
        <v>795824</v>
      </c>
      <c r="H90">
        <f>'Monthly Data (14-23) Used'!CC90</f>
        <v>20</v>
      </c>
      <c r="I90">
        <f>'Monthly Data (14-23) Used'!BU90</f>
        <v>0</v>
      </c>
      <c r="J90">
        <f>'Monthly Data (14-23) Used'!BZ90</f>
        <v>0</v>
      </c>
      <c r="L90" s="6">
        <f t="shared" si="23"/>
        <v>-4689965.23186938</v>
      </c>
      <c r="M90" s="6">
        <f t="shared" ca="1" si="24"/>
        <v>306678.90974826925</v>
      </c>
      <c r="N90" s="6">
        <f t="shared" ca="1" si="25"/>
        <v>1904698.5982209388</v>
      </c>
      <c r="O90" s="6">
        <f t="shared" si="26"/>
        <v>12952004.172533099</v>
      </c>
      <c r="P90" s="6">
        <f t="shared" si="27"/>
        <v>4576454.3740557404</v>
      </c>
      <c r="Q90" s="6">
        <f t="shared" si="28"/>
        <v>0</v>
      </c>
      <c r="R90" s="6">
        <f t="shared" si="29"/>
        <v>0</v>
      </c>
      <c r="S90" s="6">
        <f t="shared" ca="1" si="30"/>
        <v>15049870.822688665</v>
      </c>
    </row>
    <row r="91" spans="1:19">
      <c r="A91" s="197">
        <v>43983</v>
      </c>
      <c r="B91">
        <f t="shared" si="32"/>
        <v>6</v>
      </c>
      <c r="C91">
        <f t="shared" si="33"/>
        <v>2021</v>
      </c>
      <c r="D91" s="6">
        <f>'Monthly Data (14-23) Used'!M91</f>
        <v>16882499.657323711</v>
      </c>
      <c r="E91" s="7">
        <f t="shared" ca="1" si="34"/>
        <v>2.8535522991409801</v>
      </c>
      <c r="F91" s="7">
        <f t="shared" ca="1" si="34"/>
        <v>262.25644770085898</v>
      </c>
      <c r="G91" s="6">
        <f>'Monthly Data (14-23) Used'!BC91</f>
        <v>795824</v>
      </c>
      <c r="H91">
        <f>'Monthly Data (14-23) Used'!CC91</f>
        <v>22</v>
      </c>
      <c r="I91">
        <f>'Monthly Data (14-23) Used'!BU91</f>
        <v>0</v>
      </c>
      <c r="J91">
        <f>'Monthly Data (14-23) Used'!BZ91</f>
        <v>0</v>
      </c>
      <c r="L91" s="6">
        <f t="shared" si="23"/>
        <v>-4689965.23186938</v>
      </c>
      <c r="M91" s="6">
        <f t="shared" ca="1" si="24"/>
        <v>11263.79579917726</v>
      </c>
      <c r="N91" s="6">
        <f t="shared" ca="1" si="25"/>
        <v>4001825.8405449046</v>
      </c>
      <c r="O91" s="6">
        <f t="shared" si="26"/>
        <v>12952004.172533099</v>
      </c>
      <c r="P91" s="6">
        <f t="shared" si="27"/>
        <v>5034099.8114613146</v>
      </c>
      <c r="Q91" s="6">
        <f t="shared" si="28"/>
        <v>0</v>
      </c>
      <c r="R91" s="6">
        <f t="shared" si="29"/>
        <v>0</v>
      </c>
      <c r="S91" s="6">
        <f t="shared" ca="1" si="30"/>
        <v>17309228.388469115</v>
      </c>
    </row>
    <row r="92" spans="1:19">
      <c r="A92" s="197">
        <v>44013</v>
      </c>
      <c r="B92">
        <f t="shared" si="32"/>
        <v>7</v>
      </c>
      <c r="C92">
        <f t="shared" si="33"/>
        <v>2021</v>
      </c>
      <c r="D92" s="6">
        <f>'Monthly Data (14-23) Used'!M92</f>
        <v>17823956.657323711</v>
      </c>
      <c r="E92" s="7">
        <f t="shared" ca="1" si="34"/>
        <v>1.9999999999999928E-2</v>
      </c>
      <c r="F92" s="7">
        <f t="shared" ca="1" si="34"/>
        <v>335.21289540171807</v>
      </c>
      <c r="G92" s="6">
        <f>'Monthly Data (14-23) Used'!BC92</f>
        <v>810982</v>
      </c>
      <c r="H92">
        <f>'Monthly Data (14-23) Used'!CC92</f>
        <v>21</v>
      </c>
      <c r="I92">
        <f>'Monthly Data (14-23) Used'!BU92</f>
        <v>0</v>
      </c>
      <c r="J92">
        <f>'Monthly Data (14-23) Used'!BZ92</f>
        <v>0</v>
      </c>
      <c r="L92" s="6">
        <f t="shared" si="23"/>
        <v>-4689965.23186938</v>
      </c>
      <c r="M92" s="6">
        <f t="shared" ca="1" si="24"/>
        <v>78.945781386715908</v>
      </c>
      <c r="N92" s="6">
        <f t="shared" ca="1" si="25"/>
        <v>5115083.4942773376</v>
      </c>
      <c r="O92" s="6">
        <f t="shared" si="26"/>
        <v>13198700.023936495</v>
      </c>
      <c r="P92" s="6">
        <f t="shared" si="27"/>
        <v>4805277.092758527</v>
      </c>
      <c r="Q92" s="6">
        <f t="shared" si="28"/>
        <v>0</v>
      </c>
      <c r="R92" s="6">
        <f t="shared" si="29"/>
        <v>0</v>
      </c>
      <c r="S92" s="6">
        <f t="shared" ca="1" si="30"/>
        <v>18429174.324884366</v>
      </c>
    </row>
    <row r="93" spans="1:19">
      <c r="A93" s="197">
        <v>44044</v>
      </c>
      <c r="B93">
        <f t="shared" si="32"/>
        <v>8</v>
      </c>
      <c r="C93">
        <f t="shared" si="33"/>
        <v>2021</v>
      </c>
      <c r="D93" s="6">
        <f>'Monthly Data (14-23) Used'!M93</f>
        <v>20016862.657323711</v>
      </c>
      <c r="E93" s="7">
        <f t="shared" ca="1" si="34"/>
        <v>0.49999999999999983</v>
      </c>
      <c r="F93" s="7">
        <f t="shared" ca="1" si="34"/>
        <v>307.37605861546228</v>
      </c>
      <c r="G93" s="6">
        <f>'Monthly Data (14-23) Used'!BC93</f>
        <v>810982</v>
      </c>
      <c r="H93">
        <f>'Monthly Data (14-23) Used'!CC93</f>
        <v>20</v>
      </c>
      <c r="I93">
        <f>'Monthly Data (14-23) Used'!BU93</f>
        <v>0</v>
      </c>
      <c r="J93">
        <f>'Monthly Data (14-23) Used'!BZ93</f>
        <v>0</v>
      </c>
      <c r="L93" s="6">
        <f t="shared" si="23"/>
        <v>-4689965.23186938</v>
      </c>
      <c r="M93" s="6">
        <f t="shared" ca="1" si="24"/>
        <v>1973.6445346679043</v>
      </c>
      <c r="N93" s="6">
        <f t="shared" ca="1" si="25"/>
        <v>4690315.3951633936</v>
      </c>
      <c r="O93" s="6">
        <f t="shared" si="26"/>
        <v>13198700.023936495</v>
      </c>
      <c r="P93" s="6">
        <f t="shared" si="27"/>
        <v>4576454.3740557404</v>
      </c>
      <c r="Q93" s="6">
        <f t="shared" si="28"/>
        <v>0</v>
      </c>
      <c r="R93" s="6">
        <f t="shared" si="29"/>
        <v>0</v>
      </c>
      <c r="S93" s="6">
        <f t="shared" ca="1" si="30"/>
        <v>17777478.205820918</v>
      </c>
    </row>
    <row r="94" spans="1:19">
      <c r="A94" s="197">
        <v>44075</v>
      </c>
      <c r="B94">
        <f t="shared" si="32"/>
        <v>9</v>
      </c>
      <c r="C94">
        <f t="shared" si="33"/>
        <v>2021</v>
      </c>
      <c r="D94" s="6">
        <f>'Monthly Data (14-23) Used'!M94</f>
        <v>18514000.657323711</v>
      </c>
      <c r="E94" s="7">
        <f t="shared" ca="1" si="34"/>
        <v>17.56355229914098</v>
      </c>
      <c r="F94" s="7">
        <f t="shared" ca="1" si="34"/>
        <v>194.39579080343606</v>
      </c>
      <c r="G94" s="6">
        <f>'Monthly Data (14-23) Used'!BC94</f>
        <v>810982</v>
      </c>
      <c r="H94">
        <f>'Monthly Data (14-23) Used'!CC94</f>
        <v>20</v>
      </c>
      <c r="I94">
        <f>'Monthly Data (14-23) Used'!BU94</f>
        <v>1</v>
      </c>
      <c r="J94">
        <f>'Monthly Data (14-23) Used'!BZ94</f>
        <v>0</v>
      </c>
      <c r="L94" s="6">
        <f t="shared" si="23"/>
        <v>-4689965.23186938</v>
      </c>
      <c r="M94" s="6">
        <f t="shared" ca="1" si="24"/>
        <v>69328.41800910703</v>
      </c>
      <c r="N94" s="6">
        <f t="shared" ca="1" si="25"/>
        <v>2966325.9216326368</v>
      </c>
      <c r="O94" s="6">
        <f t="shared" si="26"/>
        <v>13198700.023936495</v>
      </c>
      <c r="P94" s="6">
        <f t="shared" si="27"/>
        <v>4576454.3740557404</v>
      </c>
      <c r="Q94" s="6">
        <f t="shared" si="28"/>
        <v>1564224.56108409</v>
      </c>
      <c r="R94" s="6">
        <f t="shared" si="29"/>
        <v>0</v>
      </c>
      <c r="S94" s="6">
        <f t="shared" ca="1" si="30"/>
        <v>17685068.066848692</v>
      </c>
    </row>
    <row r="95" spans="1:19">
      <c r="A95" s="197">
        <v>44105</v>
      </c>
      <c r="B95">
        <f t="shared" si="32"/>
        <v>10</v>
      </c>
      <c r="C95">
        <f t="shared" si="33"/>
        <v>2021</v>
      </c>
      <c r="D95" s="6">
        <f>'Monthly Data (14-23) Used'!M95</f>
        <v>16453533.657323709</v>
      </c>
      <c r="E95" s="7">
        <f t="shared" ca="1" si="34"/>
        <v>143.81420919656392</v>
      </c>
      <c r="F95" s="7">
        <f t="shared" ca="1" si="34"/>
        <v>62.822895401718029</v>
      </c>
      <c r="G95" s="6">
        <f>'Monthly Data (14-23) Used'!BC95</f>
        <v>826374</v>
      </c>
      <c r="H95">
        <f>'Monthly Data (14-23) Used'!CC95</f>
        <v>20</v>
      </c>
      <c r="I95">
        <f>'Monthly Data (14-23) Used'!BU95</f>
        <v>0</v>
      </c>
      <c r="J95">
        <f>'Monthly Data (14-23) Used'!BZ95</f>
        <v>1</v>
      </c>
      <c r="L95" s="6">
        <f t="shared" si="23"/>
        <v>-4689965.23186938</v>
      </c>
      <c r="M95" s="6">
        <f t="shared" ca="1" si="24"/>
        <v>567676.25597677031</v>
      </c>
      <c r="N95" s="6">
        <f t="shared" ca="1" si="25"/>
        <v>958627.66540332965</v>
      </c>
      <c r="O95" s="6">
        <f t="shared" si="26"/>
        <v>13449204.216099121</v>
      </c>
      <c r="P95" s="6">
        <f t="shared" si="27"/>
        <v>4576454.3740557404</v>
      </c>
      <c r="Q95" s="6">
        <f t="shared" si="28"/>
        <v>0</v>
      </c>
      <c r="R95" s="6">
        <f t="shared" si="29"/>
        <v>1139330.72171186</v>
      </c>
      <c r="S95" s="6">
        <f t="shared" ca="1" si="30"/>
        <v>16001328.001377441</v>
      </c>
    </row>
    <row r="96" spans="1:19">
      <c r="A96" s="197">
        <v>44136</v>
      </c>
      <c r="B96">
        <f t="shared" si="32"/>
        <v>11</v>
      </c>
      <c r="C96">
        <f t="shared" si="33"/>
        <v>2021</v>
      </c>
      <c r="D96" s="6">
        <f>'Monthly Data (14-23) Used'!M96</f>
        <v>16096655.657323709</v>
      </c>
      <c r="E96" s="7">
        <f t="shared" ca="1" si="34"/>
        <v>344.55065689742298</v>
      </c>
      <c r="F96" s="7">
        <f t="shared" ca="1" si="34"/>
        <v>6.1599999999999984</v>
      </c>
      <c r="G96" s="6">
        <f>'Monthly Data (14-23) Used'!BC96</f>
        <v>826374</v>
      </c>
      <c r="H96">
        <f>'Monthly Data (14-23) Used'!CC96</f>
        <v>22</v>
      </c>
      <c r="I96">
        <f>'Monthly Data (14-23) Used'!BU96</f>
        <v>0</v>
      </c>
      <c r="J96">
        <f>'Monthly Data (14-23) Used'!BZ96</f>
        <v>1</v>
      </c>
      <c r="L96" s="6">
        <f t="shared" si="23"/>
        <v>-4689965.23186938</v>
      </c>
      <c r="M96" s="6">
        <f t="shared" ca="1" si="24"/>
        <v>1360041.0418036708</v>
      </c>
      <c r="N96" s="6">
        <f t="shared" ca="1" si="25"/>
        <v>93996.724938007552</v>
      </c>
      <c r="O96" s="6">
        <f t="shared" si="26"/>
        <v>13449204.216099121</v>
      </c>
      <c r="P96" s="6">
        <f t="shared" si="27"/>
        <v>5034099.8114613146</v>
      </c>
      <c r="Q96" s="6">
        <f t="shared" si="28"/>
        <v>0</v>
      </c>
      <c r="R96" s="6">
        <f t="shared" si="29"/>
        <v>1139330.72171186</v>
      </c>
      <c r="S96" s="6">
        <f t="shared" ca="1" si="30"/>
        <v>16386707.284144595</v>
      </c>
    </row>
    <row r="97" spans="1:19">
      <c r="A97" s="197">
        <v>44166</v>
      </c>
      <c r="B97">
        <f t="shared" si="32"/>
        <v>12</v>
      </c>
      <c r="C97">
        <f t="shared" si="33"/>
        <v>2021</v>
      </c>
      <c r="D97" s="6">
        <f>'Monthly Data (14-23) Used'!M97</f>
        <v>15063042.657323709</v>
      </c>
      <c r="E97" s="7">
        <f t="shared" ca="1" si="34"/>
        <v>471.77</v>
      </c>
      <c r="F97" s="7">
        <f t="shared" ca="1" si="34"/>
        <v>8.0000000000000071E-2</v>
      </c>
      <c r="G97" s="6">
        <f>'Monthly Data (14-23) Used'!BC97</f>
        <v>826374</v>
      </c>
      <c r="H97">
        <f>'Monthly Data (14-23) Used'!CC97</f>
        <v>21</v>
      </c>
      <c r="I97">
        <f>'Monthly Data (14-23) Used'!BU97</f>
        <v>0</v>
      </c>
      <c r="J97">
        <f>'Monthly Data (14-23) Used'!BZ97</f>
        <v>0</v>
      </c>
      <c r="L97" s="6">
        <f t="shared" si="23"/>
        <v>-4689965.23186938</v>
      </c>
      <c r="M97" s="6">
        <f t="shared" ca="1" si="24"/>
        <v>1862212.564240555</v>
      </c>
      <c r="N97" s="6">
        <f t="shared" ca="1" si="25"/>
        <v>1220.7366875065932</v>
      </c>
      <c r="O97" s="6">
        <f t="shared" si="26"/>
        <v>13449204.216099121</v>
      </c>
      <c r="P97" s="6">
        <f t="shared" si="27"/>
        <v>4805277.092758527</v>
      </c>
      <c r="Q97" s="6">
        <f t="shared" si="28"/>
        <v>0</v>
      </c>
      <c r="R97" s="6">
        <f t="shared" si="29"/>
        <v>0</v>
      </c>
      <c r="S97" s="6">
        <f t="shared" ca="1" si="30"/>
        <v>15427949.37791633</v>
      </c>
    </row>
    <row r="98" spans="1:19">
      <c r="A98" s="197">
        <v>44197</v>
      </c>
      <c r="B98">
        <f t="shared" ref="B98:B129" si="35">MONTH(A110)</f>
        <v>1</v>
      </c>
      <c r="C98">
        <f t="shared" ref="C98:C129" si="36">YEAR(A110)</f>
        <v>2022</v>
      </c>
      <c r="D98" s="6">
        <f>'Monthly Data (14-23) Used'!M98</f>
        <v>15923178.882654494</v>
      </c>
      <c r="E98" s="7">
        <f t="shared" ca="1" si="34"/>
        <v>608.99999999999989</v>
      </c>
      <c r="F98" s="7">
        <f t="shared" ca="1" si="34"/>
        <v>0</v>
      </c>
      <c r="G98" s="6">
        <f>'Monthly Data (14-23) Used'!BC98</f>
        <v>833713</v>
      </c>
      <c r="H98">
        <f>'Monthly Data (14-23) Used'!CC98</f>
        <v>20</v>
      </c>
      <c r="I98">
        <f>'Monthly Data (14-23) Used'!BU98</f>
        <v>0</v>
      </c>
      <c r="J98">
        <f>'Monthly Data (14-23) Used'!BZ98</f>
        <v>0</v>
      </c>
      <c r="L98" s="6">
        <f t="shared" si="23"/>
        <v>-4689965.23186938</v>
      </c>
      <c r="M98" s="6">
        <f t="shared" ca="1" si="24"/>
        <v>2403899.0432255077</v>
      </c>
      <c r="N98" s="6">
        <f t="shared" ca="1" si="25"/>
        <v>0</v>
      </c>
      <c r="O98" s="6">
        <f t="shared" si="26"/>
        <v>13568646.151278533</v>
      </c>
      <c r="P98" s="6">
        <f t="shared" si="27"/>
        <v>4576454.3740557404</v>
      </c>
      <c r="Q98" s="6">
        <f t="shared" si="28"/>
        <v>0</v>
      </c>
      <c r="R98" s="6">
        <f t="shared" si="29"/>
        <v>0</v>
      </c>
      <c r="S98" s="6">
        <f t="shared" ca="1" si="30"/>
        <v>15859034.3366904</v>
      </c>
    </row>
    <row r="99" spans="1:19">
      <c r="A99" s="197">
        <v>44228</v>
      </c>
      <c r="B99">
        <f t="shared" si="35"/>
        <v>2</v>
      </c>
      <c r="C99">
        <f t="shared" si="36"/>
        <v>2022</v>
      </c>
      <c r="D99" s="6">
        <f>'Monthly Data (14-23) Used'!M99</f>
        <v>14626504.882654494</v>
      </c>
      <c r="E99" s="7">
        <f t="shared" ca="1" si="34"/>
        <v>539.11355229914102</v>
      </c>
      <c r="F99" s="7">
        <f t="shared" ca="1" si="34"/>
        <v>0.1</v>
      </c>
      <c r="G99" s="6">
        <f>'Monthly Data (14-23) Used'!BC99</f>
        <v>833713</v>
      </c>
      <c r="H99">
        <f>'Monthly Data (14-23) Used'!CC99</f>
        <v>19</v>
      </c>
      <c r="I99">
        <f>'Monthly Data (14-23) Used'!BU99</f>
        <v>0</v>
      </c>
      <c r="J99">
        <f>'Monthly Data (14-23) Used'!BZ99</f>
        <v>0</v>
      </c>
      <c r="L99" s="6">
        <f t="shared" si="23"/>
        <v>-4689965.23186938</v>
      </c>
      <c r="M99" s="6">
        <f t="shared" ca="1" si="24"/>
        <v>2128037.0321211987</v>
      </c>
      <c r="N99" s="6">
        <f t="shared" ca="1" si="25"/>
        <v>1525.92085938324</v>
      </c>
      <c r="O99" s="6">
        <f t="shared" si="26"/>
        <v>13568646.151278533</v>
      </c>
      <c r="P99" s="6">
        <f t="shared" si="27"/>
        <v>4347631.6553529529</v>
      </c>
      <c r="Q99" s="6">
        <f t="shared" si="28"/>
        <v>0</v>
      </c>
      <c r="R99" s="6">
        <f t="shared" si="29"/>
        <v>0</v>
      </c>
      <c r="S99" s="6">
        <f t="shared" ca="1" si="30"/>
        <v>15355875.527742688</v>
      </c>
    </row>
    <row r="100" spans="1:19">
      <c r="A100" s="197">
        <v>44256</v>
      </c>
      <c r="B100">
        <f t="shared" si="35"/>
        <v>3</v>
      </c>
      <c r="C100">
        <f t="shared" si="36"/>
        <v>2022</v>
      </c>
      <c r="D100" s="6">
        <f>'Monthly Data (14-23) Used'!M100</f>
        <v>15391912.882654494</v>
      </c>
      <c r="E100" s="7">
        <f t="shared" ca="1" si="34"/>
        <v>434.46355229914104</v>
      </c>
      <c r="F100" s="7">
        <f t="shared" ca="1" si="34"/>
        <v>1.2599999999999998</v>
      </c>
      <c r="G100" s="6">
        <f>'Monthly Data (14-23) Used'!BC100</f>
        <v>833713</v>
      </c>
      <c r="H100">
        <f>'Monthly Data (14-23) Used'!CC100</f>
        <v>23</v>
      </c>
      <c r="I100">
        <f>'Monthly Data (14-23) Used'!BU100</f>
        <v>0</v>
      </c>
      <c r="J100">
        <f>'Monthly Data (14-23) Used'!BZ100</f>
        <v>0</v>
      </c>
      <c r="L100" s="6">
        <f t="shared" si="23"/>
        <v>-4689965.23186938</v>
      </c>
      <c r="M100" s="6">
        <f t="shared" ca="1" si="24"/>
        <v>1714953.2310152063</v>
      </c>
      <c r="N100" s="6">
        <f t="shared" ca="1" si="25"/>
        <v>19226.602828228821</v>
      </c>
      <c r="O100" s="6">
        <f t="shared" si="26"/>
        <v>13568646.151278533</v>
      </c>
      <c r="P100" s="6">
        <f t="shared" si="27"/>
        <v>5262922.5301641012</v>
      </c>
      <c r="Q100" s="6">
        <f t="shared" si="28"/>
        <v>0</v>
      </c>
      <c r="R100" s="6">
        <f t="shared" si="29"/>
        <v>0</v>
      </c>
      <c r="S100" s="6">
        <f t="shared" ca="1" si="30"/>
        <v>15875783.283416688</v>
      </c>
    </row>
    <row r="101" spans="1:19">
      <c r="A101" s="197">
        <v>44287</v>
      </c>
      <c r="B101">
        <f t="shared" si="35"/>
        <v>4</v>
      </c>
      <c r="C101">
        <f t="shared" si="36"/>
        <v>2022</v>
      </c>
      <c r="D101" s="6">
        <f>'Monthly Data (14-23) Used'!M101</f>
        <v>14498959.882654494</v>
      </c>
      <c r="E101" s="7">
        <f t="shared" ca="1" si="34"/>
        <v>238.61000000000004</v>
      </c>
      <c r="F101" s="7">
        <f t="shared" ca="1" si="34"/>
        <v>18.349999999999998</v>
      </c>
      <c r="G101" s="6">
        <f>'Monthly Data (14-23) Used'!BC101</f>
        <v>840190</v>
      </c>
      <c r="H101">
        <f>'Monthly Data (14-23) Used'!CC101</f>
        <v>20</v>
      </c>
      <c r="I101">
        <f>'Monthly Data (14-23) Used'!BU101</f>
        <v>0</v>
      </c>
      <c r="J101">
        <f>'Monthly Data (14-23) Used'!BZ101</f>
        <v>0</v>
      </c>
      <c r="L101" s="6">
        <f t="shared" si="23"/>
        <v>-4689965.23186938</v>
      </c>
      <c r="M101" s="6">
        <f t="shared" ca="1" si="24"/>
        <v>941862.64483421773</v>
      </c>
      <c r="N101" s="6">
        <f t="shared" ca="1" si="25"/>
        <v>280006.47769682453</v>
      </c>
      <c r="O101" s="6">
        <f t="shared" si="26"/>
        <v>13674059.070498733</v>
      </c>
      <c r="P101" s="6">
        <f t="shared" si="27"/>
        <v>4576454.3740557404</v>
      </c>
      <c r="Q101" s="6">
        <f t="shared" si="28"/>
        <v>0</v>
      </c>
      <c r="R101" s="6">
        <f t="shared" si="29"/>
        <v>0</v>
      </c>
      <c r="S101" s="6">
        <f t="shared" ca="1" si="30"/>
        <v>14782417.335216135</v>
      </c>
    </row>
    <row r="102" spans="1:19">
      <c r="A102" s="197">
        <v>44317</v>
      </c>
      <c r="B102">
        <f t="shared" si="35"/>
        <v>5</v>
      </c>
      <c r="C102">
        <f t="shared" si="36"/>
        <v>2022</v>
      </c>
      <c r="D102" s="6">
        <f>'Monthly Data (14-23) Used'!M102</f>
        <v>15865841.882654494</v>
      </c>
      <c r="E102" s="7">
        <f t="shared" ref="E102:F113" ca="1" si="37">E90</f>
        <v>77.693552299140975</v>
      </c>
      <c r="F102" s="7">
        <f t="shared" ca="1" si="37"/>
        <v>124.82289540171806</v>
      </c>
      <c r="G102" s="6">
        <f>'Monthly Data (14-23) Used'!BC102</f>
        <v>840190</v>
      </c>
      <c r="H102">
        <f>'Monthly Data (14-23) Used'!CC102</f>
        <v>21</v>
      </c>
      <c r="I102">
        <f>'Monthly Data (14-23) Used'!BU102</f>
        <v>0</v>
      </c>
      <c r="J102">
        <f>'Monthly Data (14-23) Used'!BZ102</f>
        <v>0</v>
      </c>
      <c r="L102" s="6">
        <f t="shared" si="23"/>
        <v>-4689965.23186938</v>
      </c>
      <c r="M102" s="6">
        <f t="shared" ca="1" si="24"/>
        <v>306678.90974826925</v>
      </c>
      <c r="N102" s="6">
        <f t="shared" ca="1" si="25"/>
        <v>1904698.5982209388</v>
      </c>
      <c r="O102" s="6">
        <f t="shared" si="26"/>
        <v>13674059.070498733</v>
      </c>
      <c r="P102" s="6">
        <f t="shared" si="27"/>
        <v>4805277.092758527</v>
      </c>
      <c r="Q102" s="6">
        <f t="shared" si="28"/>
        <v>0</v>
      </c>
      <c r="R102" s="6">
        <f t="shared" si="29"/>
        <v>0</v>
      </c>
      <c r="S102" s="6">
        <f t="shared" ca="1" si="30"/>
        <v>16000748.439357089</v>
      </c>
    </row>
    <row r="103" spans="1:19">
      <c r="A103" s="197">
        <v>44348</v>
      </c>
      <c r="B103">
        <f t="shared" si="35"/>
        <v>6</v>
      </c>
      <c r="C103">
        <f t="shared" si="36"/>
        <v>2022</v>
      </c>
      <c r="D103" s="6">
        <f>'Monthly Data (14-23) Used'!M103</f>
        <v>17673474.882654496</v>
      </c>
      <c r="E103" s="7">
        <f t="shared" ca="1" si="37"/>
        <v>2.8535522991409801</v>
      </c>
      <c r="F103" s="7">
        <f t="shared" ca="1" si="37"/>
        <v>262.25644770085898</v>
      </c>
      <c r="G103" s="6">
        <f>'Monthly Data (14-23) Used'!BC103</f>
        <v>840190</v>
      </c>
      <c r="H103">
        <f>'Monthly Data (14-23) Used'!CC103</f>
        <v>22</v>
      </c>
      <c r="I103">
        <f>'Monthly Data (14-23) Used'!BU103</f>
        <v>0</v>
      </c>
      <c r="J103">
        <f>'Monthly Data (14-23) Used'!BZ103</f>
        <v>0</v>
      </c>
      <c r="L103" s="6">
        <f t="shared" si="23"/>
        <v>-4689965.23186938</v>
      </c>
      <c r="M103" s="6">
        <f t="shared" ca="1" si="24"/>
        <v>11263.79579917726</v>
      </c>
      <c r="N103" s="6">
        <f t="shared" ca="1" si="25"/>
        <v>4001825.8405449046</v>
      </c>
      <c r="O103" s="6">
        <f t="shared" si="26"/>
        <v>13674059.070498733</v>
      </c>
      <c r="P103" s="6">
        <f t="shared" si="27"/>
        <v>5034099.8114613146</v>
      </c>
      <c r="Q103" s="6">
        <f t="shared" si="28"/>
        <v>0</v>
      </c>
      <c r="R103" s="6">
        <f t="shared" si="29"/>
        <v>0</v>
      </c>
      <c r="S103" s="6">
        <f t="shared" ca="1" si="30"/>
        <v>18031283.286434747</v>
      </c>
    </row>
    <row r="104" spans="1:19">
      <c r="A104" s="197">
        <v>44378</v>
      </c>
      <c r="B104">
        <f t="shared" si="35"/>
        <v>7</v>
      </c>
      <c r="C104">
        <f t="shared" si="36"/>
        <v>2022</v>
      </c>
      <c r="D104" s="6">
        <f>'Monthly Data (14-23) Used'!M104</f>
        <v>18461407.882654496</v>
      </c>
      <c r="E104" s="7">
        <f t="shared" ca="1" si="37"/>
        <v>1.9999999999999928E-2</v>
      </c>
      <c r="F104" s="7">
        <f t="shared" ca="1" si="37"/>
        <v>335.21289540171807</v>
      </c>
      <c r="G104" s="6">
        <f>'Monthly Data (14-23) Used'!BC104</f>
        <v>842100</v>
      </c>
      <c r="H104">
        <f>'Monthly Data (14-23) Used'!CC104</f>
        <v>20</v>
      </c>
      <c r="I104">
        <f>'Monthly Data (14-23) Used'!BU104</f>
        <v>0</v>
      </c>
      <c r="J104">
        <f>'Monthly Data (14-23) Used'!BZ104</f>
        <v>0</v>
      </c>
      <c r="L104" s="6">
        <f t="shared" si="23"/>
        <v>-4689965.23186938</v>
      </c>
      <c r="M104" s="6">
        <f t="shared" ca="1" si="24"/>
        <v>78.945781386715908</v>
      </c>
      <c r="N104" s="6">
        <f t="shared" ca="1" si="25"/>
        <v>5115083.4942773376</v>
      </c>
      <c r="O104" s="6">
        <f t="shared" si="26"/>
        <v>13705144.245071929</v>
      </c>
      <c r="P104" s="6">
        <f t="shared" si="27"/>
        <v>4576454.3740557404</v>
      </c>
      <c r="Q104" s="6">
        <f t="shared" si="28"/>
        <v>0</v>
      </c>
      <c r="R104" s="6">
        <f t="shared" si="29"/>
        <v>0</v>
      </c>
      <c r="S104" s="6">
        <f t="shared" ca="1" si="30"/>
        <v>18706795.827317014</v>
      </c>
    </row>
    <row r="105" spans="1:19">
      <c r="A105" s="197">
        <v>44409</v>
      </c>
      <c r="B105">
        <f t="shared" si="35"/>
        <v>8</v>
      </c>
      <c r="C105">
        <f t="shared" si="36"/>
        <v>2022</v>
      </c>
      <c r="D105" s="6">
        <f>'Monthly Data (14-23) Used'!M105</f>
        <v>19870185.882654496</v>
      </c>
      <c r="E105" s="7">
        <f t="shared" ca="1" si="37"/>
        <v>0.49999999999999983</v>
      </c>
      <c r="F105" s="7">
        <f t="shared" ca="1" si="37"/>
        <v>307.37605861546228</v>
      </c>
      <c r="G105" s="6">
        <f>'Monthly Data (14-23) Used'!BC105</f>
        <v>842100</v>
      </c>
      <c r="H105">
        <f>'Monthly Data (14-23) Used'!CC105</f>
        <v>22</v>
      </c>
      <c r="I105">
        <f>'Monthly Data (14-23) Used'!BU105</f>
        <v>0</v>
      </c>
      <c r="J105">
        <f>'Monthly Data (14-23) Used'!BZ105</f>
        <v>0</v>
      </c>
      <c r="L105" s="6">
        <f t="shared" si="23"/>
        <v>-4689965.23186938</v>
      </c>
      <c r="M105" s="6">
        <f t="shared" ca="1" si="24"/>
        <v>1973.6445346679043</v>
      </c>
      <c r="N105" s="6">
        <f t="shared" ca="1" si="25"/>
        <v>4690315.3951633936</v>
      </c>
      <c r="O105" s="6">
        <f t="shared" si="26"/>
        <v>13705144.245071929</v>
      </c>
      <c r="P105" s="6">
        <f t="shared" si="27"/>
        <v>5034099.8114613146</v>
      </c>
      <c r="Q105" s="6">
        <f t="shared" si="28"/>
        <v>0</v>
      </c>
      <c r="R105" s="6">
        <f t="shared" si="29"/>
        <v>0</v>
      </c>
      <c r="S105" s="6">
        <f t="shared" ca="1" si="30"/>
        <v>18741567.864361927</v>
      </c>
    </row>
    <row r="106" spans="1:19">
      <c r="A106" s="197">
        <v>44440</v>
      </c>
      <c r="B106">
        <f t="shared" si="35"/>
        <v>9</v>
      </c>
      <c r="C106">
        <f t="shared" si="36"/>
        <v>2022</v>
      </c>
      <c r="D106" s="6">
        <f>'Monthly Data (14-23) Used'!M106</f>
        <v>18388065.882654496</v>
      </c>
      <c r="E106" s="7">
        <f t="shared" ca="1" si="37"/>
        <v>17.56355229914098</v>
      </c>
      <c r="F106" s="7">
        <f t="shared" ca="1" si="37"/>
        <v>194.39579080343606</v>
      </c>
      <c r="G106" s="6">
        <f>'Monthly Data (14-23) Used'!BC106</f>
        <v>842100</v>
      </c>
      <c r="H106">
        <f>'Monthly Data (14-23) Used'!CC106</f>
        <v>20</v>
      </c>
      <c r="I106">
        <f>'Monthly Data (14-23) Used'!BU106</f>
        <v>1</v>
      </c>
      <c r="J106">
        <f>'Monthly Data (14-23) Used'!BZ106</f>
        <v>0</v>
      </c>
      <c r="L106" s="6">
        <f t="shared" si="23"/>
        <v>-4689965.23186938</v>
      </c>
      <c r="M106" s="6">
        <f t="shared" ca="1" si="24"/>
        <v>69328.41800910703</v>
      </c>
      <c r="N106" s="6">
        <f t="shared" ca="1" si="25"/>
        <v>2966325.9216326368</v>
      </c>
      <c r="O106" s="6">
        <f t="shared" si="26"/>
        <v>13705144.245071929</v>
      </c>
      <c r="P106" s="6">
        <f t="shared" si="27"/>
        <v>4576454.3740557404</v>
      </c>
      <c r="Q106" s="6">
        <f t="shared" si="28"/>
        <v>1564224.56108409</v>
      </c>
      <c r="R106" s="6">
        <f t="shared" si="29"/>
        <v>0</v>
      </c>
      <c r="S106" s="6">
        <f t="shared" ca="1" si="30"/>
        <v>18191512.287984125</v>
      </c>
    </row>
    <row r="107" spans="1:19">
      <c r="A107" s="197">
        <v>44470</v>
      </c>
      <c r="B107">
        <f t="shared" si="35"/>
        <v>10</v>
      </c>
      <c r="C107">
        <f t="shared" si="36"/>
        <v>2022</v>
      </c>
      <c r="D107" s="6">
        <f>'Monthly Data (14-23) Used'!M107</f>
        <v>16579131.882654494</v>
      </c>
      <c r="E107" s="7">
        <f t="shared" ca="1" si="37"/>
        <v>143.81420919656392</v>
      </c>
      <c r="F107" s="7">
        <f t="shared" ca="1" si="37"/>
        <v>62.822895401718029</v>
      </c>
      <c r="G107" s="6">
        <f>'Monthly Data (14-23) Used'!BC107</f>
        <v>841987</v>
      </c>
      <c r="H107">
        <f>'Monthly Data (14-23) Used'!CC107</f>
        <v>20</v>
      </c>
      <c r="I107">
        <f>'Monthly Data (14-23) Used'!BU107</f>
        <v>0</v>
      </c>
      <c r="J107">
        <f>'Monthly Data (14-23) Used'!BZ107</f>
        <v>1</v>
      </c>
      <c r="L107" s="6">
        <f t="shared" si="23"/>
        <v>-4689965.23186938</v>
      </c>
      <c r="M107" s="6">
        <f t="shared" ca="1" si="24"/>
        <v>567676.25597677031</v>
      </c>
      <c r="N107" s="6">
        <f t="shared" ca="1" si="25"/>
        <v>958627.66540332965</v>
      </c>
      <c r="O107" s="6">
        <f t="shared" si="26"/>
        <v>13703305.174534352</v>
      </c>
      <c r="P107" s="6">
        <f t="shared" si="27"/>
        <v>4576454.3740557404</v>
      </c>
      <c r="Q107" s="6">
        <f t="shared" si="28"/>
        <v>0</v>
      </c>
      <c r="R107" s="6">
        <f t="shared" si="29"/>
        <v>1139330.72171186</v>
      </c>
      <c r="S107" s="6">
        <f t="shared" ca="1" si="30"/>
        <v>16255428.959812671</v>
      </c>
    </row>
    <row r="108" spans="1:19">
      <c r="A108" s="197">
        <v>44501</v>
      </c>
      <c r="B108">
        <f t="shared" si="35"/>
        <v>11</v>
      </c>
      <c r="C108">
        <f t="shared" si="36"/>
        <v>2022</v>
      </c>
      <c r="D108" s="6">
        <f>'Monthly Data (14-23) Used'!M108</f>
        <v>16193570.882654494</v>
      </c>
      <c r="E108" s="7">
        <f t="shared" ca="1" si="37"/>
        <v>344.55065689742298</v>
      </c>
      <c r="F108" s="7">
        <f t="shared" ca="1" si="37"/>
        <v>6.1599999999999984</v>
      </c>
      <c r="G108" s="6">
        <f>'Monthly Data (14-23) Used'!BC108</f>
        <v>841987</v>
      </c>
      <c r="H108">
        <f>'Monthly Data (14-23) Used'!CC108</f>
        <v>22</v>
      </c>
      <c r="I108">
        <f>'Monthly Data (14-23) Used'!BU108</f>
        <v>0</v>
      </c>
      <c r="J108">
        <f>'Monthly Data (14-23) Used'!BZ108</f>
        <v>1</v>
      </c>
      <c r="L108" s="6">
        <f t="shared" si="23"/>
        <v>-4689965.23186938</v>
      </c>
      <c r="M108" s="6">
        <f t="shared" ca="1" si="24"/>
        <v>1360041.0418036708</v>
      </c>
      <c r="N108" s="6">
        <f t="shared" ca="1" si="25"/>
        <v>93996.724938007552</v>
      </c>
      <c r="O108" s="6">
        <f t="shared" si="26"/>
        <v>13703305.174534352</v>
      </c>
      <c r="P108" s="6">
        <f t="shared" si="27"/>
        <v>5034099.8114613146</v>
      </c>
      <c r="Q108" s="6">
        <f t="shared" si="28"/>
        <v>0</v>
      </c>
      <c r="R108" s="6">
        <f t="shared" si="29"/>
        <v>1139330.72171186</v>
      </c>
      <c r="S108" s="6">
        <f t="shared" ca="1" si="30"/>
        <v>16640808.242579825</v>
      </c>
    </row>
    <row r="109" spans="1:19">
      <c r="A109" s="197">
        <v>44531</v>
      </c>
      <c r="B109">
        <f t="shared" si="35"/>
        <v>12</v>
      </c>
      <c r="C109">
        <f t="shared" si="36"/>
        <v>2022</v>
      </c>
      <c r="D109" s="6">
        <f>'Monthly Data (14-23) Used'!M109</f>
        <v>15808158.882654494</v>
      </c>
      <c r="E109" s="7">
        <f t="shared" ca="1" si="37"/>
        <v>471.77</v>
      </c>
      <c r="F109" s="7">
        <f t="shared" ca="1" si="37"/>
        <v>8.0000000000000071E-2</v>
      </c>
      <c r="G109" s="6">
        <f>'Monthly Data (14-23) Used'!BC109</f>
        <v>841987</v>
      </c>
      <c r="H109">
        <f>'Monthly Data (14-23) Used'!CC109</f>
        <v>20</v>
      </c>
      <c r="I109">
        <f>'Monthly Data (14-23) Used'!BU109</f>
        <v>0</v>
      </c>
      <c r="J109">
        <f>'Monthly Data (14-23) Used'!BZ109</f>
        <v>0</v>
      </c>
      <c r="L109" s="6">
        <f t="shared" si="23"/>
        <v>-4689965.23186938</v>
      </c>
      <c r="M109" s="6">
        <f t="shared" ca="1" si="24"/>
        <v>1862212.564240555</v>
      </c>
      <c r="N109" s="6">
        <f t="shared" ca="1" si="25"/>
        <v>1220.7366875065932</v>
      </c>
      <c r="O109" s="6">
        <f t="shared" si="26"/>
        <v>13703305.174534352</v>
      </c>
      <c r="P109" s="6">
        <f t="shared" si="27"/>
        <v>4576454.3740557404</v>
      </c>
      <c r="Q109" s="6">
        <f t="shared" si="28"/>
        <v>0</v>
      </c>
      <c r="R109" s="6">
        <f t="shared" si="29"/>
        <v>0</v>
      </c>
      <c r="S109" s="6">
        <f t="shared" ca="1" si="30"/>
        <v>15453227.617648773</v>
      </c>
    </row>
    <row r="110" spans="1:19">
      <c r="A110" s="197">
        <v>44562</v>
      </c>
      <c r="B110">
        <f t="shared" si="35"/>
        <v>1</v>
      </c>
      <c r="C110">
        <f t="shared" si="36"/>
        <v>2023</v>
      </c>
      <c r="D110" s="6">
        <f>'Monthly Data (14-23) Used'!M110</f>
        <v>15830251.327624639</v>
      </c>
      <c r="E110" s="7">
        <f t="shared" ca="1" si="37"/>
        <v>608.99999999999989</v>
      </c>
      <c r="F110" s="7">
        <f t="shared" ca="1" si="37"/>
        <v>0</v>
      </c>
      <c r="G110" s="6">
        <f>'Monthly Data (14-23) Used'!BC110</f>
        <v>848873</v>
      </c>
      <c r="H110">
        <f>'Monthly Data (14-23) Used'!CC110</f>
        <v>21</v>
      </c>
      <c r="I110">
        <f>'Monthly Data (14-23) Used'!BU110</f>
        <v>0</v>
      </c>
      <c r="J110">
        <f>'Monthly Data (14-23) Used'!BZ110</f>
        <v>0</v>
      </c>
      <c r="L110" s="6">
        <f t="shared" si="23"/>
        <v>-4689965.23186938</v>
      </c>
      <c r="M110" s="6">
        <f t="shared" ca="1" si="24"/>
        <v>2403899.0432255077</v>
      </c>
      <c r="N110" s="6">
        <f t="shared" ca="1" si="25"/>
        <v>0</v>
      </c>
      <c r="O110" s="6">
        <f t="shared" si="26"/>
        <v>13815374.552602949</v>
      </c>
      <c r="P110" s="6">
        <f t="shared" si="27"/>
        <v>4805277.092758527</v>
      </c>
      <c r="Q110" s="6">
        <f t="shared" si="28"/>
        <v>0</v>
      </c>
      <c r="R110" s="6">
        <f t="shared" si="29"/>
        <v>0</v>
      </c>
      <c r="S110" s="6">
        <f t="shared" ca="1" si="30"/>
        <v>16334585.456717603</v>
      </c>
    </row>
    <row r="111" spans="1:19">
      <c r="A111" s="197">
        <v>44593</v>
      </c>
      <c r="B111">
        <f t="shared" si="35"/>
        <v>2</v>
      </c>
      <c r="C111">
        <f t="shared" si="36"/>
        <v>2023</v>
      </c>
      <c r="D111" s="6">
        <f>'Monthly Data (14-23) Used'!M111</f>
        <v>14554219.660621656</v>
      </c>
      <c r="E111" s="7">
        <f t="shared" ca="1" si="37"/>
        <v>539.11355229914102</v>
      </c>
      <c r="F111" s="7">
        <f t="shared" ca="1" si="37"/>
        <v>0.1</v>
      </c>
      <c r="G111" s="6">
        <f>'Monthly Data (14-23) Used'!BC111</f>
        <v>848873</v>
      </c>
      <c r="H111">
        <f>'Monthly Data (14-23) Used'!CC111</f>
        <v>19</v>
      </c>
      <c r="I111">
        <f>'Monthly Data (14-23) Used'!BU111</f>
        <v>0</v>
      </c>
      <c r="J111">
        <f>'Monthly Data (14-23) Used'!BZ111</f>
        <v>0</v>
      </c>
      <c r="L111" s="6">
        <f t="shared" si="23"/>
        <v>-4689965.23186938</v>
      </c>
      <c r="M111" s="6">
        <f t="shared" ca="1" si="24"/>
        <v>2128037.0321211987</v>
      </c>
      <c r="N111" s="6">
        <f t="shared" ca="1" si="25"/>
        <v>1525.92085938324</v>
      </c>
      <c r="O111" s="6">
        <f t="shared" si="26"/>
        <v>13815374.552602949</v>
      </c>
      <c r="P111" s="6">
        <f t="shared" si="27"/>
        <v>4347631.6553529529</v>
      </c>
      <c r="Q111" s="6">
        <f t="shared" si="28"/>
        <v>0</v>
      </c>
      <c r="R111" s="6">
        <f t="shared" si="29"/>
        <v>0</v>
      </c>
      <c r="S111" s="6">
        <f t="shared" ca="1" si="30"/>
        <v>15602603.929067105</v>
      </c>
    </row>
    <row r="112" spans="1:19">
      <c r="A112" s="197">
        <v>44621</v>
      </c>
      <c r="B112">
        <f t="shared" si="35"/>
        <v>3</v>
      </c>
      <c r="C112">
        <f t="shared" si="36"/>
        <v>2023</v>
      </c>
      <c r="D112" s="6">
        <f>'Monthly Data (14-23) Used'!M112</f>
        <v>15953101.46062164</v>
      </c>
      <c r="E112" s="7">
        <f t="shared" ca="1" si="37"/>
        <v>434.46355229914104</v>
      </c>
      <c r="F112" s="7">
        <f t="shared" ca="1" si="37"/>
        <v>1.2599999999999998</v>
      </c>
      <c r="G112" s="6">
        <f>'Monthly Data (14-23) Used'!BC112</f>
        <v>848873</v>
      </c>
      <c r="H112">
        <f>'Monthly Data (14-23) Used'!CC112</f>
        <v>23</v>
      </c>
      <c r="I112">
        <f>'Monthly Data (14-23) Used'!BU112</f>
        <v>0</v>
      </c>
      <c r="J112">
        <f>'Monthly Data (14-23) Used'!BZ112</f>
        <v>0</v>
      </c>
      <c r="L112" s="6">
        <f t="shared" si="23"/>
        <v>-4689965.23186938</v>
      </c>
      <c r="M112" s="6">
        <f t="shared" ca="1" si="24"/>
        <v>1714953.2310152063</v>
      </c>
      <c r="N112" s="6">
        <f t="shared" ca="1" si="25"/>
        <v>19226.602828228821</v>
      </c>
      <c r="O112" s="6">
        <f t="shared" si="26"/>
        <v>13815374.552602949</v>
      </c>
      <c r="P112" s="6">
        <f t="shared" si="27"/>
        <v>5262922.5301641012</v>
      </c>
      <c r="Q112" s="6">
        <f t="shared" si="28"/>
        <v>0</v>
      </c>
      <c r="R112" s="6">
        <f t="shared" si="29"/>
        <v>0</v>
      </c>
      <c r="S112" s="6">
        <f t="shared" ca="1" si="30"/>
        <v>16122511.684741106</v>
      </c>
    </row>
    <row r="113" spans="1:19">
      <c r="A113" s="197">
        <v>44652</v>
      </c>
      <c r="B113">
        <f t="shared" si="35"/>
        <v>4</v>
      </c>
      <c r="C113">
        <f t="shared" si="36"/>
        <v>2023</v>
      </c>
      <c r="D113" s="6">
        <f>'Monthly Data (14-23) Used'!M113</f>
        <v>14624468.130621644</v>
      </c>
      <c r="E113" s="7">
        <f t="shared" ca="1" si="37"/>
        <v>238.61000000000004</v>
      </c>
      <c r="F113" s="7">
        <f t="shared" ca="1" si="37"/>
        <v>18.349999999999998</v>
      </c>
      <c r="G113" s="6">
        <f>'Monthly Data (14-23) Used'!BC113</f>
        <v>852586</v>
      </c>
      <c r="H113">
        <f>'Monthly Data (14-23) Used'!CC113</f>
        <v>19</v>
      </c>
      <c r="I113">
        <f>'Monthly Data (14-23) Used'!BU113</f>
        <v>0</v>
      </c>
      <c r="J113">
        <f>'Monthly Data (14-23) Used'!BZ113</f>
        <v>0</v>
      </c>
      <c r="L113" s="6">
        <f t="shared" si="23"/>
        <v>-4689965.23186938</v>
      </c>
      <c r="M113" s="6">
        <f t="shared" ca="1" si="24"/>
        <v>941862.64483421773</v>
      </c>
      <c r="N113" s="6">
        <f t="shared" ca="1" si="25"/>
        <v>280006.47769682453</v>
      </c>
      <c r="O113" s="6">
        <f t="shared" si="26"/>
        <v>13875803.48097482</v>
      </c>
      <c r="P113" s="6">
        <f t="shared" si="27"/>
        <v>4347631.6553529529</v>
      </c>
      <c r="Q113" s="6">
        <f t="shared" si="28"/>
        <v>0</v>
      </c>
      <c r="R113" s="6">
        <f t="shared" si="29"/>
        <v>0</v>
      </c>
      <c r="S113" s="6">
        <f t="shared" ca="1" si="30"/>
        <v>14755339.026989434</v>
      </c>
    </row>
    <row r="114" spans="1:19">
      <c r="A114" s="197">
        <v>44682</v>
      </c>
      <c r="B114">
        <f t="shared" si="35"/>
        <v>5</v>
      </c>
      <c r="C114">
        <f t="shared" si="36"/>
        <v>2023</v>
      </c>
      <c r="D114" s="6">
        <f>'Monthly Data (14-23) Used'!M114</f>
        <v>15802234.27025165</v>
      </c>
      <c r="E114" s="7">
        <f t="shared" ref="E114:F121" ca="1" si="38">E102</f>
        <v>77.693552299140975</v>
      </c>
      <c r="F114" s="7">
        <f t="shared" ca="1" si="38"/>
        <v>124.82289540171806</v>
      </c>
      <c r="G114" s="6">
        <f>'Monthly Data (14-23) Used'!BC114</f>
        <v>852586</v>
      </c>
      <c r="H114">
        <f>'Monthly Data (14-23) Used'!CC114</f>
        <v>22</v>
      </c>
      <c r="I114">
        <f>'Monthly Data (14-23) Used'!BU114</f>
        <v>0</v>
      </c>
      <c r="J114">
        <f>'Monthly Data (14-23) Used'!BZ114</f>
        <v>0</v>
      </c>
      <c r="L114" s="6">
        <f t="shared" si="23"/>
        <v>-4689965.23186938</v>
      </c>
      <c r="M114" s="6">
        <f t="shared" ref="M114:M121" ca="1" si="39">E114*$V$10</f>
        <v>306678.90974826925</v>
      </c>
      <c r="N114" s="6">
        <f t="shared" ref="N114:N121" ca="1" si="40">F114*$V$11</f>
        <v>1904698.5982209388</v>
      </c>
      <c r="O114" s="6">
        <f t="shared" ref="O114:O121" si="41">G114*$V$12</f>
        <v>13875803.48097482</v>
      </c>
      <c r="P114" s="6">
        <f t="shared" ref="P114:P121" si="42">H114*$V$13</f>
        <v>5034099.8114613146</v>
      </c>
      <c r="Q114" s="6">
        <f t="shared" si="28"/>
        <v>0</v>
      </c>
      <c r="R114" s="6">
        <f t="shared" si="29"/>
        <v>0</v>
      </c>
      <c r="S114" s="6">
        <f t="shared" ca="1" si="30"/>
        <v>16431315.568535961</v>
      </c>
    </row>
    <row r="115" spans="1:19">
      <c r="A115" s="197">
        <v>44713</v>
      </c>
      <c r="B115">
        <f t="shared" si="35"/>
        <v>6</v>
      </c>
      <c r="C115">
        <f t="shared" si="36"/>
        <v>2023</v>
      </c>
      <c r="D115" s="6">
        <f>'Monthly Data (14-23) Used'!M115</f>
        <v>17314216.540621646</v>
      </c>
      <c r="E115" s="7">
        <f t="shared" ca="1" si="38"/>
        <v>2.8535522991409801</v>
      </c>
      <c r="F115" s="7">
        <f t="shared" ca="1" si="38"/>
        <v>262.25644770085898</v>
      </c>
      <c r="G115" s="6">
        <f>'Monthly Data (14-23) Used'!BC115</f>
        <v>852586</v>
      </c>
      <c r="H115">
        <f>'Monthly Data (14-23) Used'!CC115</f>
        <v>22</v>
      </c>
      <c r="I115">
        <f>'Monthly Data (14-23) Used'!BU115</f>
        <v>0</v>
      </c>
      <c r="J115">
        <f>'Monthly Data (14-23) Used'!BZ115</f>
        <v>0</v>
      </c>
      <c r="L115" s="6">
        <f t="shared" si="23"/>
        <v>-4689965.23186938</v>
      </c>
      <c r="M115" s="6">
        <f t="shared" ca="1" si="39"/>
        <v>11263.79579917726</v>
      </c>
      <c r="N115" s="6">
        <f t="shared" ca="1" si="40"/>
        <v>4001825.8405449046</v>
      </c>
      <c r="O115" s="6">
        <f t="shared" si="41"/>
        <v>13875803.48097482</v>
      </c>
      <c r="P115" s="6">
        <f t="shared" si="42"/>
        <v>5034099.8114613146</v>
      </c>
      <c r="Q115" s="6">
        <f t="shared" si="28"/>
        <v>0</v>
      </c>
      <c r="R115" s="6">
        <f t="shared" si="29"/>
        <v>0</v>
      </c>
      <c r="S115" s="6">
        <f t="shared" ca="1" si="30"/>
        <v>18233027.696910836</v>
      </c>
    </row>
    <row r="116" spans="1:19">
      <c r="A116" s="197">
        <v>44743</v>
      </c>
      <c r="B116">
        <f t="shared" si="35"/>
        <v>7</v>
      </c>
      <c r="C116">
        <f t="shared" si="36"/>
        <v>2023</v>
      </c>
      <c r="D116" s="6">
        <f>'Monthly Data (14-23) Used'!M116</f>
        <v>20499379.560621645</v>
      </c>
      <c r="E116" s="7">
        <f t="shared" ca="1" si="38"/>
        <v>1.9999999999999928E-2</v>
      </c>
      <c r="F116" s="7">
        <f t="shared" ca="1" si="38"/>
        <v>335.21289540171807</v>
      </c>
      <c r="G116" s="6">
        <f>'Monthly Data (14-23) Used'!BC116</f>
        <v>852629</v>
      </c>
      <c r="H116">
        <f>'Monthly Data (14-23) Used'!CC116</f>
        <v>20</v>
      </c>
      <c r="I116">
        <f>'Monthly Data (14-23) Used'!BU116</f>
        <v>0</v>
      </c>
      <c r="J116">
        <f>'Monthly Data (14-23) Used'!BZ116</f>
        <v>0</v>
      </c>
      <c r="L116" s="6">
        <f t="shared" si="23"/>
        <v>-4689965.23186938</v>
      </c>
      <c r="M116" s="6">
        <f t="shared" ca="1" si="39"/>
        <v>78.945781386715908</v>
      </c>
      <c r="N116" s="6">
        <f t="shared" ca="1" si="40"/>
        <v>5115083.4942773376</v>
      </c>
      <c r="O116" s="6">
        <f t="shared" si="41"/>
        <v>13876503.304276729</v>
      </c>
      <c r="P116" s="6">
        <f t="shared" si="42"/>
        <v>4576454.3740557404</v>
      </c>
      <c r="Q116" s="6">
        <f t="shared" si="28"/>
        <v>0</v>
      </c>
      <c r="R116" s="6">
        <f t="shared" si="29"/>
        <v>0</v>
      </c>
      <c r="S116" s="6">
        <f t="shared" ca="1" si="30"/>
        <v>18878154.886521813</v>
      </c>
    </row>
    <row r="117" spans="1:19">
      <c r="A117" s="197">
        <v>44774</v>
      </c>
      <c r="B117">
        <f t="shared" si="35"/>
        <v>8</v>
      </c>
      <c r="C117">
        <f t="shared" si="36"/>
        <v>2023</v>
      </c>
      <c r="D117" s="6">
        <f>'Monthly Data (14-23) Used'!M117</f>
        <v>19294498.600621633</v>
      </c>
      <c r="E117" s="7">
        <f t="shared" ca="1" si="38"/>
        <v>0.49999999999999983</v>
      </c>
      <c r="F117" s="7">
        <f t="shared" ca="1" si="38"/>
        <v>307.37605861546228</v>
      </c>
      <c r="G117" s="6">
        <f>'Monthly Data (14-23) Used'!BC117</f>
        <v>852629</v>
      </c>
      <c r="H117">
        <f>'Monthly Data (14-23) Used'!CC117</f>
        <v>22</v>
      </c>
      <c r="I117">
        <f>'Monthly Data (14-23) Used'!BU117</f>
        <v>0</v>
      </c>
      <c r="J117">
        <f>'Monthly Data (14-23) Used'!BZ117</f>
        <v>0</v>
      </c>
      <c r="L117" s="6">
        <f t="shared" si="23"/>
        <v>-4689965.23186938</v>
      </c>
      <c r="M117" s="6">
        <f t="shared" ca="1" si="39"/>
        <v>1973.6445346679043</v>
      </c>
      <c r="N117" s="6">
        <f t="shared" ca="1" si="40"/>
        <v>4690315.3951633936</v>
      </c>
      <c r="O117" s="6">
        <f t="shared" si="41"/>
        <v>13876503.304276729</v>
      </c>
      <c r="P117" s="6">
        <f t="shared" si="42"/>
        <v>5034099.8114613146</v>
      </c>
      <c r="Q117" s="6">
        <f t="shared" si="28"/>
        <v>0</v>
      </c>
      <c r="R117" s="6">
        <f t="shared" si="29"/>
        <v>0</v>
      </c>
      <c r="S117" s="6">
        <f t="shared" ca="1" si="30"/>
        <v>18912926.923566725</v>
      </c>
    </row>
    <row r="118" spans="1:19">
      <c r="A118" s="197">
        <v>44805</v>
      </c>
      <c r="B118">
        <f t="shared" si="35"/>
        <v>9</v>
      </c>
      <c r="C118">
        <f t="shared" si="36"/>
        <v>2023</v>
      </c>
      <c r="D118" s="6">
        <f>'Monthly Data (14-23) Used'!M118</f>
        <v>18423022.120621648</v>
      </c>
      <c r="E118" s="7">
        <f t="shared" ca="1" si="38"/>
        <v>17.56355229914098</v>
      </c>
      <c r="F118" s="7">
        <f t="shared" ca="1" si="38"/>
        <v>194.39579080343606</v>
      </c>
      <c r="G118" s="6">
        <f>'Monthly Data (14-23) Used'!BC118</f>
        <v>852629</v>
      </c>
      <c r="H118">
        <f>'Monthly Data (14-23) Used'!CC118</f>
        <v>20</v>
      </c>
      <c r="I118">
        <f>'Monthly Data (14-23) Used'!BU118</f>
        <v>1</v>
      </c>
      <c r="J118">
        <f>'Monthly Data (14-23) Used'!BZ118</f>
        <v>0</v>
      </c>
      <c r="L118" s="6">
        <f>$V$9</f>
        <v>-4689965.23186938</v>
      </c>
      <c r="M118" s="6">
        <f t="shared" ca="1" si="39"/>
        <v>69328.41800910703</v>
      </c>
      <c r="N118" s="6">
        <f t="shared" ca="1" si="40"/>
        <v>2966325.9216326368</v>
      </c>
      <c r="O118" s="6">
        <f t="shared" si="41"/>
        <v>13876503.304276729</v>
      </c>
      <c r="P118" s="6">
        <f t="shared" si="42"/>
        <v>4576454.3740557404</v>
      </c>
      <c r="Q118" s="6">
        <f t="shared" si="28"/>
        <v>1564224.56108409</v>
      </c>
      <c r="R118" s="6">
        <f t="shared" si="29"/>
        <v>0</v>
      </c>
      <c r="S118" s="6">
        <f t="shared" ca="1" si="30"/>
        <v>18362871.347188924</v>
      </c>
    </row>
    <row r="119" spans="1:19">
      <c r="A119" s="197">
        <v>44835</v>
      </c>
      <c r="B119">
        <f t="shared" si="35"/>
        <v>10</v>
      </c>
      <c r="C119">
        <f t="shared" si="36"/>
        <v>2023</v>
      </c>
      <c r="D119" s="6">
        <f>'Monthly Data (14-23) Used'!M119</f>
        <v>17248949.170621652</v>
      </c>
      <c r="E119" s="7">
        <f t="shared" ca="1" si="38"/>
        <v>143.81420919656392</v>
      </c>
      <c r="F119" s="7">
        <f t="shared" ca="1" si="38"/>
        <v>62.822895401718029</v>
      </c>
      <c r="G119" s="6">
        <f>'Monthly Data (14-23) Used'!BC119</f>
        <v>852090.84400000004</v>
      </c>
      <c r="H119">
        <f>'Monthly Data (14-23) Used'!CC119</f>
        <v>21</v>
      </c>
      <c r="I119">
        <f>'Monthly Data (14-23) Used'!BU119</f>
        <v>0</v>
      </c>
      <c r="J119">
        <f>'Monthly Data (14-23) Used'!BZ119</f>
        <v>1</v>
      </c>
      <c r="L119" s="6">
        <f>$V$9</f>
        <v>-4689965.23186938</v>
      </c>
      <c r="M119" s="6">
        <f t="shared" ca="1" si="39"/>
        <v>567676.25597677031</v>
      </c>
      <c r="N119" s="6">
        <f t="shared" ca="1" si="40"/>
        <v>958627.66540332965</v>
      </c>
      <c r="O119" s="6">
        <f t="shared" si="41"/>
        <v>13867744.836628765</v>
      </c>
      <c r="P119" s="6">
        <f t="shared" si="42"/>
        <v>4805277.092758527</v>
      </c>
      <c r="Q119" s="6">
        <f t="shared" ref="Q119:Q145" si="43">I119*$V$14</f>
        <v>0</v>
      </c>
      <c r="R119" s="6">
        <f t="shared" ref="R119:R145" si="44">J119*$V$15</f>
        <v>1139330.72171186</v>
      </c>
      <c r="S119" s="6">
        <f t="shared" ref="S119:S145" ca="1" si="45">SUM(L119:R119)</f>
        <v>16648691.340609871</v>
      </c>
    </row>
    <row r="120" spans="1:19">
      <c r="A120" s="197">
        <v>44866</v>
      </c>
      <c r="B120">
        <f t="shared" si="35"/>
        <v>11</v>
      </c>
      <c r="C120">
        <f t="shared" si="36"/>
        <v>2023</v>
      </c>
      <c r="D120" s="6">
        <f>'Monthly Data (14-23) Used'!M120</f>
        <v>16474136.860621652</v>
      </c>
      <c r="E120" s="7">
        <f t="shared" ca="1" si="38"/>
        <v>344.55065689742298</v>
      </c>
      <c r="F120" s="7">
        <f t="shared" ca="1" si="38"/>
        <v>6.1599999999999984</v>
      </c>
      <c r="G120" s="6">
        <f>'Monthly Data (14-23) Used'!BC120</f>
        <v>852090.84400000004</v>
      </c>
      <c r="H120">
        <f>'Monthly Data (14-23) Used'!CC120</f>
        <v>22</v>
      </c>
      <c r="I120">
        <f>'Monthly Data (14-23) Used'!BU120</f>
        <v>0</v>
      </c>
      <c r="J120">
        <f>'Monthly Data (14-23) Used'!BZ120</f>
        <v>1</v>
      </c>
      <c r="L120" s="6">
        <f>$V$9</f>
        <v>-4689965.23186938</v>
      </c>
      <c r="M120" s="6">
        <f t="shared" ca="1" si="39"/>
        <v>1360041.0418036708</v>
      </c>
      <c r="N120" s="6">
        <f t="shared" ca="1" si="40"/>
        <v>93996.724938007552</v>
      </c>
      <c r="O120" s="6">
        <f t="shared" si="41"/>
        <v>13867744.836628765</v>
      </c>
      <c r="P120" s="6">
        <f t="shared" si="42"/>
        <v>5034099.8114613146</v>
      </c>
      <c r="Q120" s="6">
        <f t="shared" si="43"/>
        <v>0</v>
      </c>
      <c r="R120" s="6">
        <f t="shared" si="44"/>
        <v>1139330.72171186</v>
      </c>
      <c r="S120" s="6">
        <f t="shared" ca="1" si="45"/>
        <v>16805247.904674239</v>
      </c>
    </row>
    <row r="121" spans="1:19">
      <c r="A121" s="197">
        <v>44896</v>
      </c>
      <c r="B121">
        <f t="shared" si="35"/>
        <v>12</v>
      </c>
      <c r="C121">
        <f t="shared" si="36"/>
        <v>2023</v>
      </c>
      <c r="D121" s="6">
        <f>'Monthly Data (14-23) Used'!M121</f>
        <v>15393750.390621644</v>
      </c>
      <c r="E121" s="7">
        <f t="shared" ca="1" si="38"/>
        <v>471.77</v>
      </c>
      <c r="F121" s="7">
        <f t="shared" ca="1" si="38"/>
        <v>8.0000000000000071E-2</v>
      </c>
      <c r="G121" s="6">
        <f>'Monthly Data (14-23) Used'!BC121</f>
        <v>852090.84400000004</v>
      </c>
      <c r="H121">
        <f>'Monthly Data (14-23) Used'!CC121</f>
        <v>19</v>
      </c>
      <c r="I121">
        <f>'Monthly Data (14-23) Used'!BU121</f>
        <v>0</v>
      </c>
      <c r="J121">
        <f>'Monthly Data (14-23) Used'!BZ121</f>
        <v>0</v>
      </c>
      <c r="L121" s="6">
        <f>$V$9</f>
        <v>-4689965.23186938</v>
      </c>
      <c r="M121" s="6">
        <f t="shared" ca="1" si="39"/>
        <v>1862212.564240555</v>
      </c>
      <c r="N121" s="6">
        <f t="shared" ca="1" si="40"/>
        <v>1220.7366875065932</v>
      </c>
      <c r="O121" s="6">
        <f t="shared" si="41"/>
        <v>13867744.836628765</v>
      </c>
      <c r="P121" s="6">
        <f t="shared" si="42"/>
        <v>4347631.6553529529</v>
      </c>
      <c r="Q121" s="6">
        <f t="shared" si="43"/>
        <v>0</v>
      </c>
      <c r="R121" s="6">
        <f t="shared" si="44"/>
        <v>0</v>
      </c>
      <c r="S121" s="6">
        <f t="shared" ca="1" si="45"/>
        <v>15388844.561040401</v>
      </c>
    </row>
    <row r="122" spans="1:19">
      <c r="A122" s="197">
        <v>44927</v>
      </c>
      <c r="B122">
        <f t="shared" si="35"/>
        <v>1</v>
      </c>
      <c r="C122">
        <f t="shared" si="36"/>
        <v>2024</v>
      </c>
      <c r="D122" s="6"/>
      <c r="E122" s="7">
        <f t="shared" ref="E122:F133" ca="1" si="46">E110</f>
        <v>608.99999999999989</v>
      </c>
      <c r="F122" s="7">
        <f t="shared" ca="1" si="46"/>
        <v>0</v>
      </c>
      <c r="G122" s="6">
        <f>'Economic Data'!Q148</f>
        <v>853966.23800000001</v>
      </c>
      <c r="H122">
        <v>21</v>
      </c>
      <c r="I122">
        <f t="shared" ref="I122:J145" si="47">I110</f>
        <v>0</v>
      </c>
      <c r="J122">
        <f t="shared" si="47"/>
        <v>0</v>
      </c>
      <c r="L122" s="6">
        <f t="shared" ref="L122:L145" si="48">$V$9</f>
        <v>-4689965.23186938</v>
      </c>
      <c r="M122" s="6">
        <f t="shared" ref="M122:M145" ca="1" si="49">E122*$V$10</f>
        <v>2403899.0432255077</v>
      </c>
      <c r="N122" s="6">
        <f t="shared" ref="N122:N145" ca="1" si="50">F122*$V$11</f>
        <v>0</v>
      </c>
      <c r="O122" s="6">
        <f t="shared" ref="O122:O145" si="51">G122*$V$12</f>
        <v>13898266.799918566</v>
      </c>
      <c r="P122" s="6">
        <f t="shared" ref="P122:P145" si="52">H122*$V$13</f>
        <v>4805277.092758527</v>
      </c>
      <c r="Q122" s="6">
        <f t="shared" si="43"/>
        <v>0</v>
      </c>
      <c r="R122" s="6">
        <f t="shared" si="44"/>
        <v>0</v>
      </c>
      <c r="S122" s="6">
        <f t="shared" ca="1" si="45"/>
        <v>16417477.70403322</v>
      </c>
    </row>
    <row r="123" spans="1:19">
      <c r="A123" s="197">
        <v>44958</v>
      </c>
      <c r="B123">
        <f t="shared" si="35"/>
        <v>2</v>
      </c>
      <c r="C123">
        <f t="shared" si="36"/>
        <v>2024</v>
      </c>
      <c r="D123" s="6"/>
      <c r="E123" s="7">
        <f t="shared" ca="1" si="46"/>
        <v>539.11355229914102</v>
      </c>
      <c r="F123" s="7">
        <f t="shared" ca="1" si="46"/>
        <v>0.1</v>
      </c>
      <c r="G123" s="6">
        <f>'Economic Data'!Q149</f>
        <v>853966.23800000001</v>
      </c>
      <c r="H123">
        <v>20</v>
      </c>
      <c r="I123">
        <f t="shared" si="47"/>
        <v>0</v>
      </c>
      <c r="J123">
        <f t="shared" si="47"/>
        <v>0</v>
      </c>
      <c r="L123" s="6">
        <f t="shared" si="48"/>
        <v>-4689965.23186938</v>
      </c>
      <c r="M123" s="6">
        <f t="shared" ca="1" si="49"/>
        <v>2128037.0321211987</v>
      </c>
      <c r="N123" s="6">
        <f t="shared" ca="1" si="50"/>
        <v>1525.92085938324</v>
      </c>
      <c r="O123" s="6">
        <f t="shared" si="51"/>
        <v>13898266.799918566</v>
      </c>
      <c r="P123" s="6">
        <f t="shared" si="52"/>
        <v>4576454.3740557404</v>
      </c>
      <c r="Q123" s="6">
        <f t="shared" si="43"/>
        <v>0</v>
      </c>
      <c r="R123" s="6">
        <f t="shared" si="44"/>
        <v>0</v>
      </c>
      <c r="S123" s="6">
        <f t="shared" ca="1" si="45"/>
        <v>15914318.89508551</v>
      </c>
    </row>
    <row r="124" spans="1:19">
      <c r="A124" s="197">
        <v>44986</v>
      </c>
      <c r="B124">
        <f t="shared" si="35"/>
        <v>3</v>
      </c>
      <c r="C124">
        <f t="shared" si="36"/>
        <v>2024</v>
      </c>
      <c r="D124" s="6"/>
      <c r="E124" s="7">
        <f t="shared" ca="1" si="46"/>
        <v>434.46355229914104</v>
      </c>
      <c r="F124" s="7">
        <f t="shared" ca="1" si="46"/>
        <v>1.2599999999999998</v>
      </c>
      <c r="G124" s="6">
        <f>'Economic Data'!Q150</f>
        <v>853966.23800000001</v>
      </c>
      <c r="H124">
        <v>20</v>
      </c>
      <c r="I124">
        <f t="shared" si="47"/>
        <v>0</v>
      </c>
      <c r="J124">
        <f t="shared" si="47"/>
        <v>0</v>
      </c>
      <c r="L124" s="6">
        <f t="shared" si="48"/>
        <v>-4689965.23186938</v>
      </c>
      <c r="M124" s="6">
        <f t="shared" ca="1" si="49"/>
        <v>1714953.2310152063</v>
      </c>
      <c r="N124" s="6">
        <f t="shared" ca="1" si="50"/>
        <v>19226.602828228821</v>
      </c>
      <c r="O124" s="6">
        <f t="shared" si="51"/>
        <v>13898266.799918566</v>
      </c>
      <c r="P124" s="6">
        <f t="shared" si="52"/>
        <v>4576454.3740557404</v>
      </c>
      <c r="Q124" s="6">
        <f t="shared" si="43"/>
        <v>0</v>
      </c>
      <c r="R124" s="6">
        <f t="shared" si="44"/>
        <v>0</v>
      </c>
      <c r="S124" s="6">
        <f t="shared" ca="1" si="45"/>
        <v>15518935.775948361</v>
      </c>
    </row>
    <row r="125" spans="1:19">
      <c r="A125" s="197">
        <v>45017</v>
      </c>
      <c r="B125">
        <f t="shared" si="35"/>
        <v>4</v>
      </c>
      <c r="C125">
        <f t="shared" si="36"/>
        <v>2024</v>
      </c>
      <c r="D125" s="6"/>
      <c r="E125" s="7">
        <f t="shared" ca="1" si="46"/>
        <v>238.61000000000004</v>
      </c>
      <c r="F125" s="7">
        <f t="shared" ca="1" si="46"/>
        <v>18.349999999999998</v>
      </c>
      <c r="G125" s="6">
        <f>'Economic Data'!Q151</f>
        <v>857701.51600000006</v>
      </c>
      <c r="H125">
        <v>22</v>
      </c>
      <c r="I125">
        <f t="shared" si="47"/>
        <v>0</v>
      </c>
      <c r="J125">
        <f t="shared" si="47"/>
        <v>0</v>
      </c>
      <c r="L125" s="6">
        <f t="shared" si="48"/>
        <v>-4689965.23186938</v>
      </c>
      <c r="M125" s="6">
        <f t="shared" ca="1" si="49"/>
        <v>941862.64483421773</v>
      </c>
      <c r="N125" s="6">
        <f t="shared" ca="1" si="50"/>
        <v>280006.47769682453</v>
      </c>
      <c r="O125" s="6">
        <f t="shared" si="51"/>
        <v>13959058.30186067</v>
      </c>
      <c r="P125" s="6">
        <f t="shared" si="52"/>
        <v>5034099.8114613146</v>
      </c>
      <c r="Q125" s="6">
        <f t="shared" si="43"/>
        <v>0</v>
      </c>
      <c r="R125" s="6">
        <f t="shared" si="44"/>
        <v>0</v>
      </c>
      <c r="S125" s="6">
        <f t="shared" ca="1" si="45"/>
        <v>15525062.003983647</v>
      </c>
    </row>
    <row r="126" spans="1:19">
      <c r="A126" s="197">
        <v>45047</v>
      </c>
      <c r="B126">
        <f t="shared" si="35"/>
        <v>5</v>
      </c>
      <c r="C126">
        <f t="shared" si="36"/>
        <v>2024</v>
      </c>
      <c r="D126" s="6"/>
      <c r="E126" s="7">
        <f t="shared" ca="1" si="46"/>
        <v>77.693552299140975</v>
      </c>
      <c r="F126" s="7">
        <f t="shared" ca="1" si="46"/>
        <v>124.82289540171806</v>
      </c>
      <c r="G126" s="6">
        <f>'Economic Data'!Q152</f>
        <v>857701.51600000006</v>
      </c>
      <c r="H126">
        <v>22</v>
      </c>
      <c r="I126">
        <f t="shared" si="47"/>
        <v>0</v>
      </c>
      <c r="J126">
        <f t="shared" si="47"/>
        <v>0</v>
      </c>
      <c r="L126" s="6">
        <f t="shared" si="48"/>
        <v>-4689965.23186938</v>
      </c>
      <c r="M126" s="6">
        <f t="shared" ca="1" si="49"/>
        <v>306678.90974826925</v>
      </c>
      <c r="N126" s="6">
        <f t="shared" ca="1" si="50"/>
        <v>1904698.5982209388</v>
      </c>
      <c r="O126" s="6">
        <f t="shared" si="51"/>
        <v>13959058.30186067</v>
      </c>
      <c r="P126" s="6">
        <f t="shared" si="52"/>
        <v>5034099.8114613146</v>
      </c>
      <c r="Q126" s="6">
        <f t="shared" si="43"/>
        <v>0</v>
      </c>
      <c r="R126" s="6">
        <f t="shared" si="44"/>
        <v>0</v>
      </c>
      <c r="S126" s="6">
        <f t="shared" ca="1" si="45"/>
        <v>16514570.389421813</v>
      </c>
    </row>
    <row r="127" spans="1:19">
      <c r="A127" s="197">
        <v>45078</v>
      </c>
      <c r="B127">
        <f t="shared" si="35"/>
        <v>6</v>
      </c>
      <c r="C127">
        <f t="shared" si="36"/>
        <v>2024</v>
      </c>
      <c r="D127" s="6"/>
      <c r="E127" s="7">
        <f t="shared" ca="1" si="46"/>
        <v>2.8535522991409801</v>
      </c>
      <c r="F127" s="7">
        <f t="shared" ca="1" si="46"/>
        <v>262.25644770085898</v>
      </c>
      <c r="G127" s="6">
        <f>'Economic Data'!Q153</f>
        <v>857701.51600000006</v>
      </c>
      <c r="H127">
        <v>20</v>
      </c>
      <c r="I127">
        <f t="shared" si="47"/>
        <v>0</v>
      </c>
      <c r="J127">
        <f t="shared" si="47"/>
        <v>0</v>
      </c>
      <c r="L127" s="6">
        <f t="shared" si="48"/>
        <v>-4689965.23186938</v>
      </c>
      <c r="M127" s="6">
        <f t="shared" ca="1" si="49"/>
        <v>11263.79579917726</v>
      </c>
      <c r="N127" s="6">
        <f t="shared" ca="1" si="50"/>
        <v>4001825.8405449046</v>
      </c>
      <c r="O127" s="6">
        <f t="shared" si="51"/>
        <v>13959058.30186067</v>
      </c>
      <c r="P127" s="6">
        <f t="shared" si="52"/>
        <v>4576454.3740557404</v>
      </c>
      <c r="Q127" s="6">
        <f t="shared" si="43"/>
        <v>0</v>
      </c>
      <c r="R127" s="6">
        <f t="shared" si="44"/>
        <v>0</v>
      </c>
      <c r="S127" s="6">
        <f t="shared" ca="1" si="45"/>
        <v>17858637.080391113</v>
      </c>
    </row>
    <row r="128" spans="1:19">
      <c r="A128" s="197">
        <v>45108</v>
      </c>
      <c r="B128">
        <f t="shared" si="35"/>
        <v>7</v>
      </c>
      <c r="C128">
        <f t="shared" si="36"/>
        <v>2024</v>
      </c>
      <c r="D128" s="6"/>
      <c r="E128" s="7">
        <f t="shared" ca="1" si="46"/>
        <v>1.9999999999999928E-2</v>
      </c>
      <c r="F128" s="7">
        <f t="shared" ca="1" si="46"/>
        <v>335.21289540171807</v>
      </c>
      <c r="G128" s="6">
        <f>'Economic Data'!Q154</f>
        <v>857744.77399999998</v>
      </c>
      <c r="H128">
        <v>22</v>
      </c>
      <c r="I128">
        <f t="shared" si="47"/>
        <v>0</v>
      </c>
      <c r="J128">
        <f t="shared" si="47"/>
        <v>0</v>
      </c>
      <c r="L128" s="6">
        <f t="shared" si="48"/>
        <v>-4689965.23186938</v>
      </c>
      <c r="M128" s="6">
        <f t="shared" ca="1" si="49"/>
        <v>78.945781386715908</v>
      </c>
      <c r="N128" s="6">
        <f t="shared" ca="1" si="50"/>
        <v>5115083.4942773376</v>
      </c>
      <c r="O128" s="6">
        <f t="shared" si="51"/>
        <v>13959762.324102389</v>
      </c>
      <c r="P128" s="6">
        <f t="shared" si="52"/>
        <v>5034099.8114613146</v>
      </c>
      <c r="Q128" s="6">
        <f t="shared" si="43"/>
        <v>0</v>
      </c>
      <c r="R128" s="6">
        <f t="shared" si="44"/>
        <v>0</v>
      </c>
      <c r="S128" s="6">
        <f t="shared" ca="1" si="45"/>
        <v>19419059.343753047</v>
      </c>
    </row>
    <row r="129" spans="1:19">
      <c r="A129" s="197">
        <v>45139</v>
      </c>
      <c r="B129">
        <f t="shared" si="35"/>
        <v>8</v>
      </c>
      <c r="C129">
        <f t="shared" si="36"/>
        <v>2024</v>
      </c>
      <c r="D129" s="6"/>
      <c r="E129" s="7">
        <f t="shared" ca="1" si="46"/>
        <v>0.49999999999999983</v>
      </c>
      <c r="F129" s="7">
        <f t="shared" ca="1" si="46"/>
        <v>307.37605861546228</v>
      </c>
      <c r="G129" s="6">
        <f>'Economic Data'!Q155</f>
        <v>857744.77399999998</v>
      </c>
      <c r="H129">
        <v>21</v>
      </c>
      <c r="I129">
        <f t="shared" si="47"/>
        <v>0</v>
      </c>
      <c r="J129">
        <f t="shared" si="47"/>
        <v>0</v>
      </c>
      <c r="L129" s="6">
        <f t="shared" si="48"/>
        <v>-4689965.23186938</v>
      </c>
      <c r="M129" s="6">
        <f t="shared" ca="1" si="49"/>
        <v>1973.6445346679043</v>
      </c>
      <c r="N129" s="6">
        <f t="shared" ca="1" si="50"/>
        <v>4690315.3951633936</v>
      </c>
      <c r="O129" s="6">
        <f t="shared" si="51"/>
        <v>13959762.324102389</v>
      </c>
      <c r="P129" s="6">
        <f t="shared" si="52"/>
        <v>4805277.092758527</v>
      </c>
      <c r="Q129" s="6">
        <f t="shared" si="43"/>
        <v>0</v>
      </c>
      <c r="R129" s="6">
        <f t="shared" si="44"/>
        <v>0</v>
      </c>
      <c r="S129" s="6">
        <f t="shared" ca="1" si="45"/>
        <v>18767363.224689595</v>
      </c>
    </row>
    <row r="130" spans="1:19">
      <c r="A130" s="197">
        <v>45170</v>
      </c>
      <c r="B130">
        <f t="shared" ref="B130:B145" si="53">MONTH(A142)</f>
        <v>9</v>
      </c>
      <c r="C130">
        <f t="shared" ref="C130:C145" si="54">YEAR(A142)</f>
        <v>2024</v>
      </c>
      <c r="D130" s="6"/>
      <c r="E130" s="7">
        <f t="shared" ca="1" si="46"/>
        <v>17.56355229914098</v>
      </c>
      <c r="F130" s="7">
        <f t="shared" ca="1" si="46"/>
        <v>194.39579080343606</v>
      </c>
      <c r="G130" s="6">
        <f>'Economic Data'!Q156</f>
        <v>857744.77399999998</v>
      </c>
      <c r="H130">
        <v>20</v>
      </c>
      <c r="I130">
        <f t="shared" si="47"/>
        <v>1</v>
      </c>
      <c r="J130">
        <f t="shared" si="47"/>
        <v>0</v>
      </c>
      <c r="L130" s="6">
        <f t="shared" si="48"/>
        <v>-4689965.23186938</v>
      </c>
      <c r="M130" s="6">
        <f t="shared" ca="1" si="49"/>
        <v>69328.41800910703</v>
      </c>
      <c r="N130" s="6">
        <f t="shared" ca="1" si="50"/>
        <v>2966325.9216326368</v>
      </c>
      <c r="O130" s="6">
        <f t="shared" si="51"/>
        <v>13959762.324102389</v>
      </c>
      <c r="P130" s="6">
        <f t="shared" si="52"/>
        <v>4576454.3740557404</v>
      </c>
      <c r="Q130" s="6">
        <f t="shared" si="43"/>
        <v>1564224.56108409</v>
      </c>
      <c r="R130" s="6">
        <f t="shared" si="44"/>
        <v>0</v>
      </c>
      <c r="S130" s="6">
        <f t="shared" ca="1" si="45"/>
        <v>18446130.367014583</v>
      </c>
    </row>
    <row r="131" spans="1:19">
      <c r="A131" s="197">
        <v>45200</v>
      </c>
      <c r="B131">
        <f t="shared" si="53"/>
        <v>10</v>
      </c>
      <c r="C131">
        <f t="shared" si="54"/>
        <v>2024</v>
      </c>
      <c r="D131" s="6"/>
      <c r="E131" s="7">
        <f t="shared" ca="1" si="46"/>
        <v>143.81420919656392</v>
      </c>
      <c r="F131" s="7">
        <f t="shared" ca="1" si="46"/>
        <v>62.822895401718029</v>
      </c>
      <c r="G131" s="6">
        <f>'Economic Data'!Q157</f>
        <v>857203.38906399999</v>
      </c>
      <c r="H131">
        <v>22</v>
      </c>
      <c r="I131">
        <f t="shared" si="47"/>
        <v>0</v>
      </c>
      <c r="J131">
        <f t="shared" si="47"/>
        <v>1</v>
      </c>
      <c r="L131" s="6">
        <f t="shared" si="48"/>
        <v>-4689965.23186938</v>
      </c>
      <c r="M131" s="6">
        <f t="shared" ca="1" si="49"/>
        <v>567676.25597677031</v>
      </c>
      <c r="N131" s="6">
        <f t="shared" ca="1" si="50"/>
        <v>958627.66540332965</v>
      </c>
      <c r="O131" s="6">
        <f t="shared" si="51"/>
        <v>13950951.305648537</v>
      </c>
      <c r="P131" s="6">
        <f t="shared" si="52"/>
        <v>5034099.8114613146</v>
      </c>
      <c r="Q131" s="6">
        <f t="shared" si="43"/>
        <v>0</v>
      </c>
      <c r="R131" s="6">
        <f t="shared" si="44"/>
        <v>1139330.72171186</v>
      </c>
      <c r="S131" s="6">
        <f t="shared" ca="1" si="45"/>
        <v>16960720.528332431</v>
      </c>
    </row>
    <row r="132" spans="1:19">
      <c r="A132" s="197">
        <v>45231</v>
      </c>
      <c r="B132">
        <f t="shared" si="53"/>
        <v>11</v>
      </c>
      <c r="C132">
        <f t="shared" si="54"/>
        <v>2024</v>
      </c>
      <c r="D132" s="6"/>
      <c r="E132" s="7">
        <f t="shared" ca="1" si="46"/>
        <v>344.55065689742298</v>
      </c>
      <c r="F132" s="7">
        <f t="shared" ca="1" si="46"/>
        <v>6.1599999999999984</v>
      </c>
      <c r="G132" s="6">
        <f>'Economic Data'!Q158</f>
        <v>857203.38906399999</v>
      </c>
      <c r="H132">
        <v>21</v>
      </c>
      <c r="I132">
        <f t="shared" si="47"/>
        <v>0</v>
      </c>
      <c r="J132">
        <f t="shared" si="47"/>
        <v>1</v>
      </c>
      <c r="L132" s="6">
        <f t="shared" si="48"/>
        <v>-4689965.23186938</v>
      </c>
      <c r="M132" s="6">
        <f t="shared" ca="1" si="49"/>
        <v>1360041.0418036708</v>
      </c>
      <c r="N132" s="6">
        <f t="shared" ca="1" si="50"/>
        <v>93996.724938007552</v>
      </c>
      <c r="O132" s="6">
        <f t="shared" si="51"/>
        <v>13950951.305648537</v>
      </c>
      <c r="P132" s="6">
        <f t="shared" si="52"/>
        <v>4805277.092758527</v>
      </c>
      <c r="Q132" s="6">
        <f t="shared" si="43"/>
        <v>0</v>
      </c>
      <c r="R132" s="6">
        <f t="shared" si="44"/>
        <v>1139330.72171186</v>
      </c>
      <c r="S132" s="6">
        <f t="shared" ca="1" si="45"/>
        <v>16659631.654991224</v>
      </c>
    </row>
    <row r="133" spans="1:19">
      <c r="A133" s="197">
        <v>45261</v>
      </c>
      <c r="B133">
        <f t="shared" si="53"/>
        <v>12</v>
      </c>
      <c r="C133">
        <f t="shared" si="54"/>
        <v>2024</v>
      </c>
      <c r="D133" s="6"/>
      <c r="E133" s="7">
        <f t="shared" ca="1" si="46"/>
        <v>471.77</v>
      </c>
      <c r="F133" s="7">
        <f t="shared" ca="1" si="46"/>
        <v>8.0000000000000071E-2</v>
      </c>
      <c r="G133" s="6">
        <f>'Economic Data'!Q159</f>
        <v>857203.38906399999</v>
      </c>
      <c r="H133">
        <v>20</v>
      </c>
      <c r="I133">
        <f t="shared" si="47"/>
        <v>0</v>
      </c>
      <c r="J133">
        <f t="shared" si="47"/>
        <v>0</v>
      </c>
      <c r="L133" s="6">
        <f t="shared" si="48"/>
        <v>-4689965.23186938</v>
      </c>
      <c r="M133" s="6">
        <f t="shared" ca="1" si="49"/>
        <v>1862212.564240555</v>
      </c>
      <c r="N133" s="6">
        <f t="shared" ca="1" si="50"/>
        <v>1220.7366875065932</v>
      </c>
      <c r="O133" s="6">
        <f t="shared" si="51"/>
        <v>13950951.305648537</v>
      </c>
      <c r="P133" s="6">
        <f t="shared" si="52"/>
        <v>4576454.3740557404</v>
      </c>
      <c r="Q133" s="6">
        <f t="shared" si="43"/>
        <v>0</v>
      </c>
      <c r="R133" s="6">
        <f t="shared" si="44"/>
        <v>0</v>
      </c>
      <c r="S133" s="6">
        <f t="shared" ca="1" si="45"/>
        <v>15700873.748762958</v>
      </c>
    </row>
    <row r="134" spans="1:19">
      <c r="A134" s="197">
        <v>45292</v>
      </c>
      <c r="B134">
        <f t="shared" si="53"/>
        <v>1</v>
      </c>
      <c r="C134">
        <f t="shared" si="54"/>
        <v>2025</v>
      </c>
      <c r="D134" s="6"/>
      <c r="E134" s="7">
        <f t="shared" ref="E134:F145" ca="1" si="55">E122</f>
        <v>608.99999999999989</v>
      </c>
      <c r="F134" s="7">
        <f t="shared" ca="1" si="55"/>
        <v>0</v>
      </c>
      <c r="G134" s="6">
        <f>'Economic Data'!Q160</f>
        <v>871472.54587899998</v>
      </c>
      <c r="H134">
        <v>22</v>
      </c>
      <c r="I134">
        <f t="shared" si="47"/>
        <v>0</v>
      </c>
      <c r="J134">
        <f t="shared" si="47"/>
        <v>0</v>
      </c>
      <c r="L134" s="6">
        <f t="shared" si="48"/>
        <v>-4689965.23186938</v>
      </c>
      <c r="M134" s="6">
        <f t="shared" ca="1" si="49"/>
        <v>2403899.0432255077</v>
      </c>
      <c r="N134" s="6">
        <f t="shared" ca="1" si="50"/>
        <v>0</v>
      </c>
      <c r="O134" s="6">
        <f t="shared" si="51"/>
        <v>14183181.269316897</v>
      </c>
      <c r="P134" s="6">
        <f t="shared" si="52"/>
        <v>5034099.8114613146</v>
      </c>
      <c r="Q134" s="6">
        <f t="shared" si="43"/>
        <v>0</v>
      </c>
      <c r="R134" s="6">
        <f t="shared" si="44"/>
        <v>0</v>
      </c>
      <c r="S134" s="6">
        <f t="shared" ca="1" si="45"/>
        <v>16931214.892134339</v>
      </c>
    </row>
    <row r="135" spans="1:19">
      <c r="A135" s="197">
        <v>45323</v>
      </c>
      <c r="B135">
        <f t="shared" si="53"/>
        <v>2</v>
      </c>
      <c r="C135">
        <f t="shared" si="54"/>
        <v>2025</v>
      </c>
      <c r="D135" s="6"/>
      <c r="E135" s="7">
        <f t="shared" ca="1" si="55"/>
        <v>539.11355229914102</v>
      </c>
      <c r="F135" s="7">
        <f t="shared" ca="1" si="55"/>
        <v>0.1</v>
      </c>
      <c r="G135" s="6">
        <f>'Economic Data'!Q161</f>
        <v>871472.54587899998</v>
      </c>
      <c r="H135">
        <v>19</v>
      </c>
      <c r="I135">
        <f t="shared" si="47"/>
        <v>0</v>
      </c>
      <c r="J135">
        <f t="shared" si="47"/>
        <v>0</v>
      </c>
      <c r="L135" s="6">
        <f t="shared" si="48"/>
        <v>-4689965.23186938</v>
      </c>
      <c r="M135" s="6">
        <f t="shared" ca="1" si="49"/>
        <v>2128037.0321211987</v>
      </c>
      <c r="N135" s="6">
        <f t="shared" ca="1" si="50"/>
        <v>1525.92085938324</v>
      </c>
      <c r="O135" s="6">
        <f t="shared" si="51"/>
        <v>14183181.269316897</v>
      </c>
      <c r="P135" s="6">
        <f t="shared" si="52"/>
        <v>4347631.6553529529</v>
      </c>
      <c r="Q135" s="6">
        <f t="shared" si="43"/>
        <v>0</v>
      </c>
      <c r="R135" s="6">
        <f t="shared" si="44"/>
        <v>0</v>
      </c>
      <c r="S135" s="6">
        <f t="shared" ca="1" si="45"/>
        <v>15970410.645781051</v>
      </c>
    </row>
    <row r="136" spans="1:19">
      <c r="A136" s="197">
        <v>45352</v>
      </c>
      <c r="B136">
        <f t="shared" si="53"/>
        <v>3</v>
      </c>
      <c r="C136">
        <f t="shared" si="54"/>
        <v>2025</v>
      </c>
      <c r="D136" s="6"/>
      <c r="E136" s="7">
        <f t="shared" ca="1" si="55"/>
        <v>434.46355229914104</v>
      </c>
      <c r="F136" s="7">
        <f t="shared" ca="1" si="55"/>
        <v>1.2599999999999998</v>
      </c>
      <c r="G136" s="6">
        <f>'Economic Data'!Q162</f>
        <v>871472.54587899998</v>
      </c>
      <c r="H136">
        <v>21</v>
      </c>
      <c r="I136">
        <f t="shared" si="47"/>
        <v>0</v>
      </c>
      <c r="J136">
        <f t="shared" si="47"/>
        <v>0</v>
      </c>
      <c r="L136" s="6">
        <f t="shared" si="48"/>
        <v>-4689965.23186938</v>
      </c>
      <c r="M136" s="6">
        <f t="shared" ca="1" si="49"/>
        <v>1714953.2310152063</v>
      </c>
      <c r="N136" s="6">
        <f t="shared" ca="1" si="50"/>
        <v>19226.602828228821</v>
      </c>
      <c r="O136" s="6">
        <f t="shared" si="51"/>
        <v>14183181.269316897</v>
      </c>
      <c r="P136" s="6">
        <f t="shared" si="52"/>
        <v>4805277.092758527</v>
      </c>
      <c r="Q136" s="6">
        <f t="shared" si="43"/>
        <v>0</v>
      </c>
      <c r="R136" s="6">
        <f t="shared" si="44"/>
        <v>0</v>
      </c>
      <c r="S136" s="6">
        <f t="shared" ca="1" si="45"/>
        <v>16032672.964049479</v>
      </c>
    </row>
    <row r="137" spans="1:19">
      <c r="A137" s="197">
        <v>45383</v>
      </c>
      <c r="B137">
        <f t="shared" si="53"/>
        <v>4</v>
      </c>
      <c r="C137">
        <f t="shared" si="54"/>
        <v>2025</v>
      </c>
      <c r="D137" s="6"/>
      <c r="E137" s="7">
        <f t="shared" ca="1" si="55"/>
        <v>238.61000000000004</v>
      </c>
      <c r="F137" s="7">
        <f t="shared" ca="1" si="55"/>
        <v>18.349999999999998</v>
      </c>
      <c r="G137" s="6">
        <f>'Economic Data'!Q163</f>
        <v>875284.39707800001</v>
      </c>
      <c r="H137">
        <v>21</v>
      </c>
      <c r="I137">
        <f t="shared" si="47"/>
        <v>0</v>
      </c>
      <c r="J137">
        <f t="shared" si="47"/>
        <v>0</v>
      </c>
      <c r="L137" s="6">
        <f t="shared" si="48"/>
        <v>-4689965.23186938</v>
      </c>
      <c r="M137" s="6">
        <f t="shared" ca="1" si="49"/>
        <v>941862.64483421773</v>
      </c>
      <c r="N137" s="6">
        <f t="shared" ca="1" si="50"/>
        <v>280006.47769682453</v>
      </c>
      <c r="O137" s="6">
        <f t="shared" si="51"/>
        <v>14245218.997048812</v>
      </c>
      <c r="P137" s="6">
        <f t="shared" si="52"/>
        <v>4805277.092758527</v>
      </c>
      <c r="Q137" s="6">
        <f t="shared" si="43"/>
        <v>0</v>
      </c>
      <c r="R137" s="6">
        <f t="shared" si="44"/>
        <v>0</v>
      </c>
      <c r="S137" s="6">
        <f t="shared" ca="1" si="45"/>
        <v>15582399.980469001</v>
      </c>
    </row>
    <row r="138" spans="1:19">
      <c r="A138" s="197">
        <v>45413</v>
      </c>
      <c r="B138">
        <f t="shared" si="53"/>
        <v>5</v>
      </c>
      <c r="C138">
        <f t="shared" si="54"/>
        <v>2025</v>
      </c>
      <c r="D138" s="6"/>
      <c r="E138" s="7">
        <f t="shared" ca="1" si="55"/>
        <v>77.693552299140975</v>
      </c>
      <c r="F138" s="7">
        <f t="shared" ca="1" si="55"/>
        <v>124.82289540171806</v>
      </c>
      <c r="G138" s="6">
        <f>'Economic Data'!Q164</f>
        <v>875284.39707800001</v>
      </c>
      <c r="H138">
        <v>21</v>
      </c>
      <c r="I138">
        <f t="shared" si="47"/>
        <v>0</v>
      </c>
      <c r="J138">
        <f t="shared" si="47"/>
        <v>0</v>
      </c>
      <c r="L138" s="6">
        <f t="shared" si="48"/>
        <v>-4689965.23186938</v>
      </c>
      <c r="M138" s="6">
        <f t="shared" ca="1" si="49"/>
        <v>306678.90974826925</v>
      </c>
      <c r="N138" s="6">
        <f t="shared" ca="1" si="50"/>
        <v>1904698.5982209388</v>
      </c>
      <c r="O138" s="6">
        <f t="shared" si="51"/>
        <v>14245218.997048812</v>
      </c>
      <c r="P138" s="6">
        <f t="shared" si="52"/>
        <v>4805277.092758527</v>
      </c>
      <c r="Q138" s="6">
        <f t="shared" si="43"/>
        <v>0</v>
      </c>
      <c r="R138" s="6">
        <f t="shared" si="44"/>
        <v>0</v>
      </c>
      <c r="S138" s="6">
        <f t="shared" ca="1" si="45"/>
        <v>16571908.365907168</v>
      </c>
    </row>
    <row r="139" spans="1:19">
      <c r="A139" s="197">
        <v>45444</v>
      </c>
      <c r="B139">
        <f t="shared" si="53"/>
        <v>6</v>
      </c>
      <c r="C139">
        <f t="shared" si="54"/>
        <v>2025</v>
      </c>
      <c r="D139" s="6"/>
      <c r="E139" s="7">
        <f t="shared" ca="1" si="55"/>
        <v>2.8535522991409801</v>
      </c>
      <c r="F139" s="7">
        <f t="shared" ca="1" si="55"/>
        <v>262.25644770085898</v>
      </c>
      <c r="G139" s="6">
        <f>'Economic Data'!Q165</f>
        <v>875284.39707800001</v>
      </c>
      <c r="H139">
        <v>21</v>
      </c>
      <c r="I139">
        <f t="shared" si="47"/>
        <v>0</v>
      </c>
      <c r="J139">
        <f t="shared" si="47"/>
        <v>0</v>
      </c>
      <c r="L139" s="6">
        <f t="shared" si="48"/>
        <v>-4689965.23186938</v>
      </c>
      <c r="M139" s="6">
        <f t="shared" ca="1" si="49"/>
        <v>11263.79579917726</v>
      </c>
      <c r="N139" s="6">
        <f t="shared" ca="1" si="50"/>
        <v>4001825.8405449046</v>
      </c>
      <c r="O139" s="6">
        <f t="shared" si="51"/>
        <v>14245218.997048812</v>
      </c>
      <c r="P139" s="6">
        <f t="shared" si="52"/>
        <v>4805277.092758527</v>
      </c>
      <c r="Q139" s="6">
        <f t="shared" si="43"/>
        <v>0</v>
      </c>
      <c r="R139" s="6">
        <f t="shared" si="44"/>
        <v>0</v>
      </c>
      <c r="S139" s="6">
        <f t="shared" ca="1" si="45"/>
        <v>18373620.494282041</v>
      </c>
    </row>
    <row r="140" spans="1:19">
      <c r="A140" s="197">
        <v>45474</v>
      </c>
      <c r="B140">
        <f t="shared" si="53"/>
        <v>7</v>
      </c>
      <c r="C140">
        <f t="shared" si="54"/>
        <v>2025</v>
      </c>
      <c r="D140" s="6"/>
      <c r="E140" s="7">
        <f t="shared" ca="1" si="55"/>
        <v>1.9999999999999928E-2</v>
      </c>
      <c r="F140" s="7">
        <f t="shared" ca="1" si="55"/>
        <v>335.21289540171807</v>
      </c>
      <c r="G140" s="6">
        <f>'Economic Data'!Q166</f>
        <v>875328.54186699993</v>
      </c>
      <c r="H140">
        <v>22</v>
      </c>
      <c r="I140">
        <f t="shared" si="47"/>
        <v>0</v>
      </c>
      <c r="J140">
        <f t="shared" si="47"/>
        <v>0</v>
      </c>
      <c r="L140" s="6">
        <f t="shared" si="48"/>
        <v>-4689965.23186938</v>
      </c>
      <c r="M140" s="6">
        <f t="shared" ca="1" si="49"/>
        <v>78.945781386715908</v>
      </c>
      <c r="N140" s="6">
        <f t="shared" ca="1" si="50"/>
        <v>5115083.4942773376</v>
      </c>
      <c r="O140" s="6">
        <f t="shared" si="51"/>
        <v>14245937.451746488</v>
      </c>
      <c r="P140" s="6">
        <f t="shared" si="52"/>
        <v>5034099.8114613146</v>
      </c>
      <c r="Q140" s="6">
        <f t="shared" si="43"/>
        <v>0</v>
      </c>
      <c r="R140" s="6">
        <f t="shared" si="44"/>
        <v>0</v>
      </c>
      <c r="S140" s="6">
        <f t="shared" ca="1" si="45"/>
        <v>19705234.471397147</v>
      </c>
    </row>
    <row r="141" spans="1:19">
      <c r="A141" s="197">
        <v>45505</v>
      </c>
      <c r="B141">
        <f t="shared" si="53"/>
        <v>8</v>
      </c>
      <c r="C141">
        <f t="shared" si="54"/>
        <v>2025</v>
      </c>
      <c r="D141" s="6"/>
      <c r="E141" s="7">
        <f t="shared" ca="1" si="55"/>
        <v>0.49999999999999983</v>
      </c>
      <c r="F141" s="7">
        <f t="shared" ca="1" si="55"/>
        <v>307.37605861546228</v>
      </c>
      <c r="G141" s="6">
        <f>'Economic Data'!Q167</f>
        <v>875328.54186699993</v>
      </c>
      <c r="H141">
        <v>20</v>
      </c>
      <c r="I141">
        <f t="shared" si="47"/>
        <v>0</v>
      </c>
      <c r="J141">
        <f t="shared" si="47"/>
        <v>0</v>
      </c>
      <c r="L141" s="6">
        <f t="shared" si="48"/>
        <v>-4689965.23186938</v>
      </c>
      <c r="M141" s="6">
        <f t="shared" ca="1" si="49"/>
        <v>1973.6445346679043</v>
      </c>
      <c r="N141" s="6">
        <f t="shared" ca="1" si="50"/>
        <v>4690315.3951633936</v>
      </c>
      <c r="O141" s="6">
        <f t="shared" si="51"/>
        <v>14245937.451746488</v>
      </c>
      <c r="P141" s="6">
        <f t="shared" si="52"/>
        <v>4576454.3740557404</v>
      </c>
      <c r="Q141" s="6">
        <f t="shared" si="43"/>
        <v>0</v>
      </c>
      <c r="R141" s="6">
        <f t="shared" si="44"/>
        <v>0</v>
      </c>
      <c r="S141" s="6">
        <f t="shared" ca="1" si="45"/>
        <v>18824715.633630909</v>
      </c>
    </row>
    <row r="142" spans="1:19">
      <c r="A142" s="197">
        <v>45536</v>
      </c>
      <c r="B142">
        <f t="shared" si="53"/>
        <v>9</v>
      </c>
      <c r="C142">
        <f t="shared" si="54"/>
        <v>2025</v>
      </c>
      <c r="D142" s="6"/>
      <c r="E142" s="7">
        <f t="shared" ca="1" si="55"/>
        <v>17.56355229914098</v>
      </c>
      <c r="F142" s="7">
        <f t="shared" ca="1" si="55"/>
        <v>194.39579080343606</v>
      </c>
      <c r="G142" s="6">
        <f>'Economic Data'!Q168</f>
        <v>875328.54186699993</v>
      </c>
      <c r="H142">
        <v>21</v>
      </c>
      <c r="I142">
        <f t="shared" si="47"/>
        <v>1</v>
      </c>
      <c r="J142">
        <f t="shared" si="47"/>
        <v>0</v>
      </c>
      <c r="L142" s="6">
        <f t="shared" si="48"/>
        <v>-4689965.23186938</v>
      </c>
      <c r="M142" s="6">
        <f t="shared" ca="1" si="49"/>
        <v>69328.41800910703</v>
      </c>
      <c r="N142" s="6">
        <f t="shared" ca="1" si="50"/>
        <v>2966325.9216326368</v>
      </c>
      <c r="O142" s="6">
        <f t="shared" si="51"/>
        <v>14245937.451746488</v>
      </c>
      <c r="P142" s="6">
        <f t="shared" si="52"/>
        <v>4805277.092758527</v>
      </c>
      <c r="Q142" s="6">
        <f t="shared" si="43"/>
        <v>1564224.56108409</v>
      </c>
      <c r="R142" s="6">
        <f t="shared" si="44"/>
        <v>0</v>
      </c>
      <c r="S142" s="6">
        <f t="shared" ca="1" si="45"/>
        <v>18961128.213361472</v>
      </c>
    </row>
    <row r="143" spans="1:19">
      <c r="A143" s="197">
        <v>45566</v>
      </c>
      <c r="B143">
        <f t="shared" si="53"/>
        <v>10</v>
      </c>
      <c r="C143">
        <f t="shared" si="54"/>
        <v>2025</v>
      </c>
      <c r="D143" s="6"/>
      <c r="E143" s="7">
        <f t="shared" ca="1" si="55"/>
        <v>143.81420919656392</v>
      </c>
      <c r="F143" s="7">
        <f t="shared" ca="1" si="55"/>
        <v>62.822895401718029</v>
      </c>
      <c r="G143" s="6">
        <f>'Economic Data'!Q169</f>
        <v>874776.05853981199</v>
      </c>
      <c r="H143">
        <v>22</v>
      </c>
      <c r="I143">
        <f t="shared" si="47"/>
        <v>0</v>
      </c>
      <c r="J143">
        <f t="shared" si="47"/>
        <v>1</v>
      </c>
      <c r="L143" s="6">
        <f t="shared" si="48"/>
        <v>-4689965.23186938</v>
      </c>
      <c r="M143" s="6">
        <f t="shared" ca="1" si="49"/>
        <v>567676.25597677031</v>
      </c>
      <c r="N143" s="6">
        <f t="shared" ca="1" si="50"/>
        <v>958627.66540332965</v>
      </c>
      <c r="O143" s="6">
        <f t="shared" si="51"/>
        <v>14236945.807414332</v>
      </c>
      <c r="P143" s="6">
        <f t="shared" si="52"/>
        <v>5034099.8114613146</v>
      </c>
      <c r="Q143" s="6">
        <f t="shared" si="43"/>
        <v>0</v>
      </c>
      <c r="R143" s="6">
        <f t="shared" si="44"/>
        <v>1139330.72171186</v>
      </c>
      <c r="S143" s="6">
        <f t="shared" ca="1" si="45"/>
        <v>17246715.030098226</v>
      </c>
    </row>
    <row r="144" spans="1:19">
      <c r="A144" s="197">
        <v>45597</v>
      </c>
      <c r="B144">
        <f t="shared" si="53"/>
        <v>11</v>
      </c>
      <c r="C144">
        <f t="shared" si="54"/>
        <v>2025</v>
      </c>
      <c r="D144" s="6"/>
      <c r="E144" s="7">
        <f t="shared" ca="1" si="55"/>
        <v>344.55065689742298</v>
      </c>
      <c r="F144" s="7">
        <f t="shared" ca="1" si="55"/>
        <v>6.1599999999999984</v>
      </c>
      <c r="G144" s="6">
        <f>'Economic Data'!Q170</f>
        <v>874776.05853981199</v>
      </c>
      <c r="H144">
        <v>20</v>
      </c>
      <c r="I144">
        <f t="shared" si="47"/>
        <v>0</v>
      </c>
      <c r="J144">
        <f t="shared" si="47"/>
        <v>1</v>
      </c>
      <c r="L144" s="6">
        <f t="shared" si="48"/>
        <v>-4689965.23186938</v>
      </c>
      <c r="M144" s="6">
        <f t="shared" ca="1" si="49"/>
        <v>1360041.0418036708</v>
      </c>
      <c r="N144" s="6">
        <f t="shared" ca="1" si="50"/>
        <v>93996.724938007552</v>
      </c>
      <c r="O144" s="6">
        <f t="shared" si="51"/>
        <v>14236945.807414332</v>
      </c>
      <c r="P144" s="6">
        <f t="shared" si="52"/>
        <v>4576454.3740557404</v>
      </c>
      <c r="Q144" s="6">
        <f t="shared" si="43"/>
        <v>0</v>
      </c>
      <c r="R144" s="6">
        <f t="shared" si="44"/>
        <v>1139330.72171186</v>
      </c>
      <c r="S144" s="6">
        <f t="shared" ca="1" si="45"/>
        <v>16716803.43805423</v>
      </c>
    </row>
    <row r="145" spans="1:19">
      <c r="A145" s="197">
        <v>45627</v>
      </c>
      <c r="B145">
        <f t="shared" si="53"/>
        <v>12</v>
      </c>
      <c r="C145">
        <f t="shared" si="54"/>
        <v>2025</v>
      </c>
      <c r="D145" s="6"/>
      <c r="E145" s="7">
        <f t="shared" ca="1" si="55"/>
        <v>471.77</v>
      </c>
      <c r="F145" s="7">
        <f t="shared" ca="1" si="55"/>
        <v>8.0000000000000071E-2</v>
      </c>
      <c r="G145" s="6">
        <f>'Economic Data'!Q171</f>
        <v>874776.05853981199</v>
      </c>
      <c r="H145">
        <v>21</v>
      </c>
      <c r="I145">
        <f t="shared" si="47"/>
        <v>0</v>
      </c>
      <c r="J145">
        <f t="shared" si="47"/>
        <v>0</v>
      </c>
      <c r="L145" s="6">
        <f t="shared" si="48"/>
        <v>-4689965.23186938</v>
      </c>
      <c r="M145" s="6">
        <f t="shared" ca="1" si="49"/>
        <v>1862212.564240555</v>
      </c>
      <c r="N145" s="6">
        <f t="shared" ca="1" si="50"/>
        <v>1220.7366875065932</v>
      </c>
      <c r="O145" s="6">
        <f t="shared" si="51"/>
        <v>14236945.807414332</v>
      </c>
      <c r="P145" s="6">
        <f t="shared" si="52"/>
        <v>4805277.092758527</v>
      </c>
      <c r="Q145" s="6">
        <f t="shared" si="43"/>
        <v>0</v>
      </c>
      <c r="R145" s="6">
        <f t="shared" si="44"/>
        <v>0</v>
      </c>
      <c r="S145" s="6">
        <f t="shared" ca="1" si="45"/>
        <v>16215690.96923154</v>
      </c>
    </row>
    <row r="146" spans="1:19">
      <c r="A146" s="197">
        <v>45658</v>
      </c>
    </row>
    <row r="147" spans="1:19">
      <c r="A147" s="197">
        <v>45689</v>
      </c>
    </row>
    <row r="148" spans="1:19">
      <c r="A148" s="197">
        <v>45717</v>
      </c>
    </row>
    <row r="149" spans="1:19">
      <c r="A149" s="197">
        <v>45748</v>
      </c>
    </row>
    <row r="150" spans="1:19">
      <c r="A150" s="197">
        <v>45778</v>
      </c>
    </row>
    <row r="151" spans="1:19">
      <c r="A151" s="197">
        <v>45809</v>
      </c>
    </row>
    <row r="152" spans="1:19">
      <c r="A152" s="197">
        <v>45839</v>
      </c>
    </row>
    <row r="153" spans="1:19">
      <c r="A153" s="197">
        <v>45870</v>
      </c>
    </row>
    <row r="154" spans="1:19">
      <c r="A154" s="197">
        <v>45901</v>
      </c>
    </row>
    <row r="155" spans="1:19">
      <c r="A155" s="197">
        <v>45931</v>
      </c>
    </row>
    <row r="156" spans="1:19">
      <c r="A156" s="197">
        <v>45962</v>
      </c>
    </row>
    <row r="157" spans="1:19">
      <c r="A157" s="197">
        <v>45992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E8E9-405F-4A2A-8B16-CD2282F7ADF1}">
  <sheetPr codeName="Sheet23"/>
  <dimension ref="A1:AB159"/>
  <sheetViews>
    <sheetView workbookViewId="0">
      <selection activeCell="U16" sqref="U16"/>
    </sheetView>
  </sheetViews>
  <sheetFormatPr defaultRowHeight="14.45"/>
  <cols>
    <col min="1" max="1" width="12.28515625" customWidth="1"/>
    <col min="4" max="4" width="16.85546875" customWidth="1"/>
    <col min="8" max="8" width="11.85546875" customWidth="1"/>
    <col min="9" max="9" width="10.140625" bestFit="1" customWidth="1"/>
    <col min="10" max="10" width="11.28515625" bestFit="1" customWidth="1"/>
    <col min="11" max="11" width="11.5703125" bestFit="1" customWidth="1"/>
    <col min="12" max="13" width="11.5703125" customWidth="1"/>
    <col min="14" max="14" width="10.5703125" bestFit="1" customWidth="1"/>
    <col min="15" max="15" width="11.5703125" bestFit="1" customWidth="1"/>
    <col min="16" max="16" width="12.28515625" bestFit="1" customWidth="1"/>
    <col min="17" max="17" width="13.42578125" bestFit="1" customWidth="1"/>
    <col min="18" max="18" width="13.28515625" customWidth="1"/>
    <col min="19" max="19" width="14.28515625" bestFit="1" customWidth="1"/>
    <col min="20" max="20" width="12" customWidth="1"/>
    <col min="21" max="21" width="11.28515625" bestFit="1" customWidth="1"/>
    <col min="23" max="23" width="12.42578125" customWidth="1"/>
    <col min="24" max="24" width="10.7109375" customWidth="1"/>
  </cols>
  <sheetData>
    <row r="1" spans="1:28">
      <c r="A1" t="s">
        <v>0</v>
      </c>
      <c r="B1" t="s">
        <v>151</v>
      </c>
      <c r="C1" t="s">
        <v>1</v>
      </c>
      <c r="D1" s="6" t="str">
        <f>'Monthly Data (14-23) Used'!DW1</f>
        <v>EDkWh2016</v>
      </c>
      <c r="E1" t="str">
        <f>'Monthly Data (14-23) Used'!AG1</f>
        <v>HDD14</v>
      </c>
      <c r="F1" t="str">
        <f>'Monthly Data (14-23) Used'!AF1</f>
        <v>CDD16</v>
      </c>
      <c r="G1" t="str">
        <f>'Monthly Data (14-23) Used'!BZ1</f>
        <v>Fall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Fall</v>
      </c>
      <c r="N1" t="str">
        <f>H1</f>
        <v>Adj.Windsor_FTE</v>
      </c>
      <c r="O1" t="s">
        <v>242</v>
      </c>
      <c r="P1" t="s">
        <v>248</v>
      </c>
      <c r="Q1" t="s">
        <v>243</v>
      </c>
    </row>
    <row r="2" spans="1:28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(longer 09-23)'!X62</f>
        <v>3490024</v>
      </c>
      <c r="E2" s="226">
        <f ca="1">'Weather Data'!BP38</f>
        <v>546.99999999999989</v>
      </c>
      <c r="F2" s="226">
        <f ca="1">'Weather Data'!BC38</f>
        <v>0</v>
      </c>
      <c r="G2">
        <f>'Monthly Data (14-23) Used'!BZ2</f>
        <v>0</v>
      </c>
      <c r="H2">
        <f>'Monthly Data (14-23) Used'!AR2</f>
        <v>158.80000000000001</v>
      </c>
      <c r="J2" s="6"/>
      <c r="K2" s="6"/>
      <c r="L2" s="6"/>
      <c r="M2" s="6"/>
      <c r="N2" s="6"/>
      <c r="O2" s="6"/>
    </row>
    <row r="3" spans="1:28">
      <c r="A3" s="197">
        <v>41671</v>
      </c>
      <c r="B3">
        <f t="shared" si="0"/>
        <v>2</v>
      </c>
      <c r="C3">
        <f t="shared" si="1"/>
        <v>2014</v>
      </c>
      <c r="D3" s="6">
        <f>'Monthly Data (longer 09-23)'!X63</f>
        <v>3101238</v>
      </c>
      <c r="E3" s="226">
        <f ca="1">'Weather Data'!BP39</f>
        <v>482.71355229914104</v>
      </c>
      <c r="F3" s="226">
        <f ca="1">'Weather Data'!BC39</f>
        <v>0</v>
      </c>
      <c r="G3">
        <f>'Monthly Data (14-23) Used'!BZ3</f>
        <v>0</v>
      </c>
      <c r="H3">
        <f>'Monthly Data (14-23) Used'!AR3</f>
        <v>156.6</v>
      </c>
      <c r="J3" s="6"/>
      <c r="K3" s="6"/>
      <c r="L3" s="6"/>
      <c r="M3" s="6"/>
      <c r="N3" s="6"/>
      <c r="O3" s="6"/>
    </row>
    <row r="4" spans="1:28">
      <c r="A4" s="197">
        <v>41699</v>
      </c>
      <c r="B4">
        <f t="shared" si="0"/>
        <v>3</v>
      </c>
      <c r="C4">
        <f t="shared" si="1"/>
        <v>2014</v>
      </c>
      <c r="D4" s="6">
        <f>'Monthly Data (longer 09-23)'!X64</f>
        <v>3182338</v>
      </c>
      <c r="E4" s="226">
        <f ca="1">'Weather Data'!BP40</f>
        <v>372.63355229914106</v>
      </c>
      <c r="F4" s="226">
        <f ca="1">'Weather Data'!BC40</f>
        <v>0</v>
      </c>
      <c r="G4">
        <f>'Monthly Data (14-23) Used'!BZ4</f>
        <v>0</v>
      </c>
      <c r="H4">
        <f>'Monthly Data (14-23) Used'!AR4</f>
        <v>154.80000000000001</v>
      </c>
      <c r="J4" s="6"/>
      <c r="K4" s="6"/>
      <c r="L4" s="6"/>
      <c r="M4" s="6"/>
      <c r="N4" s="6"/>
      <c r="O4" s="6"/>
      <c r="R4" t="s">
        <v>258</v>
      </c>
    </row>
    <row r="5" spans="1:28">
      <c r="A5" s="197">
        <v>41730</v>
      </c>
      <c r="B5">
        <f t="shared" si="0"/>
        <v>4</v>
      </c>
      <c r="C5">
        <f t="shared" si="1"/>
        <v>2014</v>
      </c>
      <c r="D5" s="6">
        <f>'Monthly Data (longer 09-23)'!X65</f>
        <v>2976481</v>
      </c>
      <c r="E5" s="226">
        <f ca="1">'Weather Data'!BP41</f>
        <v>184.31</v>
      </c>
      <c r="F5" s="226">
        <f ca="1">'Weather Data'!BC41</f>
        <v>3.0799999999999996</v>
      </c>
      <c r="G5">
        <f>'Monthly Data (14-23) Used'!BZ5</f>
        <v>0</v>
      </c>
      <c r="H5">
        <f>'Monthly Data (14-23) Used'!AR5</f>
        <v>152.80000000000001</v>
      </c>
      <c r="J5" s="6"/>
      <c r="K5" s="6"/>
      <c r="L5" s="6"/>
      <c r="M5" s="6"/>
      <c r="N5" s="6"/>
      <c r="O5" s="6"/>
      <c r="R5" t="s">
        <v>259</v>
      </c>
    </row>
    <row r="6" spans="1:28">
      <c r="A6" s="197">
        <v>41760</v>
      </c>
      <c r="B6">
        <f t="shared" si="0"/>
        <v>5</v>
      </c>
      <c r="C6">
        <f t="shared" si="1"/>
        <v>2014</v>
      </c>
      <c r="D6" s="6">
        <f>'Monthly Data (longer 09-23)'!X66</f>
        <v>3042348</v>
      </c>
      <c r="E6" s="226">
        <f ca="1">'Weather Data'!BP42</f>
        <v>47.083552299140976</v>
      </c>
      <c r="F6" s="226">
        <f ca="1">'Weather Data'!BC42</f>
        <v>53.286447700859014</v>
      </c>
      <c r="G6">
        <f>'Monthly Data (14-23) Used'!BZ6</f>
        <v>0</v>
      </c>
      <c r="H6">
        <f>'Monthly Data (14-23) Used'!AR6</f>
        <v>152.30000000000001</v>
      </c>
      <c r="J6" s="6"/>
      <c r="K6" s="6"/>
      <c r="L6" s="6"/>
      <c r="M6" s="6"/>
      <c r="N6" s="6"/>
      <c r="O6" s="6"/>
      <c r="R6" t="s">
        <v>260</v>
      </c>
    </row>
    <row r="7" spans="1:28">
      <c r="A7" s="197">
        <v>41791</v>
      </c>
      <c r="B7">
        <f t="shared" si="0"/>
        <v>6</v>
      </c>
      <c r="C7">
        <f t="shared" si="1"/>
        <v>2014</v>
      </c>
      <c r="D7" s="6">
        <f>'Monthly Data (longer 09-23)'!X67</f>
        <v>3409531</v>
      </c>
      <c r="E7" s="226">
        <f ca="1">'Weather Data'!BP43</f>
        <v>0.4200000000000001</v>
      </c>
      <c r="F7" s="226">
        <f ca="1">'Weather Data'!BC43</f>
        <v>145.07</v>
      </c>
      <c r="G7">
        <f>'Monthly Data (14-23) Used'!BZ7</f>
        <v>0</v>
      </c>
      <c r="H7">
        <f>'Monthly Data (14-23) Used'!AR7</f>
        <v>150.9</v>
      </c>
      <c r="J7" s="6"/>
      <c r="K7" s="6"/>
      <c r="L7" s="6"/>
      <c r="M7" s="6"/>
      <c r="N7" s="6"/>
      <c r="O7" s="6"/>
    </row>
    <row r="8" spans="1:28">
      <c r="A8" s="197">
        <v>41821</v>
      </c>
      <c r="B8">
        <f t="shared" si="0"/>
        <v>7</v>
      </c>
      <c r="C8">
        <f t="shared" si="1"/>
        <v>2014</v>
      </c>
      <c r="D8" s="6">
        <f>'Monthly Data (longer 09-23)'!X68</f>
        <v>3573547</v>
      </c>
      <c r="E8" s="226">
        <f ca="1">'Weather Data'!BP44</f>
        <v>0</v>
      </c>
      <c r="F8" s="226">
        <f ca="1">'Weather Data'!BC44</f>
        <v>211.23289540171805</v>
      </c>
      <c r="G8">
        <f>'Monthly Data (14-23) Used'!BZ8</f>
        <v>0</v>
      </c>
      <c r="H8">
        <f>'Monthly Data (14-23) Used'!AR8</f>
        <v>152.4</v>
      </c>
      <c r="J8" s="6"/>
      <c r="K8" s="6"/>
      <c r="L8" s="6"/>
      <c r="M8" s="6"/>
      <c r="N8" s="6"/>
      <c r="O8" s="6"/>
      <c r="S8" t="s">
        <v>217</v>
      </c>
      <c r="T8" t="s">
        <v>218</v>
      </c>
      <c r="U8" t="s">
        <v>219</v>
      </c>
      <c r="V8" t="s">
        <v>220</v>
      </c>
    </row>
    <row r="9" spans="1:28">
      <c r="A9" s="197">
        <v>41852</v>
      </c>
      <c r="B9">
        <f t="shared" si="0"/>
        <v>8</v>
      </c>
      <c r="C9">
        <f t="shared" si="1"/>
        <v>2014</v>
      </c>
      <c r="D9" s="6">
        <f>'Monthly Data (longer 09-23)'!X69</f>
        <v>2693259</v>
      </c>
      <c r="E9" s="226">
        <f ca="1">'Weather Data'!BP45</f>
        <v>0</v>
      </c>
      <c r="F9" s="226">
        <f ca="1">'Weather Data'!BC45</f>
        <v>183.87605861546231</v>
      </c>
      <c r="G9">
        <f>'Monthly Data (14-23) Used'!BZ9</f>
        <v>0</v>
      </c>
      <c r="H9">
        <f>'Monthly Data (14-23) Used'!AR9</f>
        <v>153.9</v>
      </c>
      <c r="J9" s="6"/>
      <c r="K9" s="6"/>
      <c r="L9" s="6"/>
      <c r="M9" s="6"/>
      <c r="N9" s="6"/>
      <c r="O9" s="6"/>
      <c r="R9" t="s">
        <v>221</v>
      </c>
      <c r="S9" s="6">
        <v>788660.63968622696</v>
      </c>
      <c r="T9" s="64">
        <v>686069.17124835495</v>
      </c>
      <c r="U9" s="75">
        <v>1.1495351674980501</v>
      </c>
      <c r="V9" s="192">
        <v>0.25328303444139499</v>
      </c>
      <c r="X9" s="6"/>
      <c r="Y9" s="64"/>
      <c r="Z9" s="75"/>
      <c r="AA9" s="192"/>
    </row>
    <row r="10" spans="1:28">
      <c r="A10" s="197">
        <v>41883</v>
      </c>
      <c r="B10">
        <f t="shared" si="0"/>
        <v>9</v>
      </c>
      <c r="C10">
        <f t="shared" si="1"/>
        <v>2014</v>
      </c>
      <c r="D10" s="6">
        <f>'Monthly Data (longer 09-23)'!X70</f>
        <v>3111799</v>
      </c>
      <c r="E10" s="226">
        <f ca="1">'Weather Data'!BP46</f>
        <v>5.87</v>
      </c>
      <c r="F10" s="226">
        <f ca="1">'Weather Data'!BC46</f>
        <v>90.709343102577066</v>
      </c>
      <c r="G10">
        <f>'Monthly Data (14-23) Used'!BZ10</f>
        <v>0</v>
      </c>
      <c r="H10">
        <f>'Monthly Data (14-23) Used'!AR10</f>
        <v>157</v>
      </c>
      <c r="J10" s="6"/>
      <c r="K10" s="6"/>
      <c r="L10" s="6"/>
      <c r="M10" s="6"/>
      <c r="N10" s="6"/>
      <c r="O10" s="6"/>
      <c r="R10" t="s">
        <v>32</v>
      </c>
      <c r="S10" s="6">
        <v>898.69649581366298</v>
      </c>
      <c r="T10" s="64">
        <v>169.291252540172</v>
      </c>
      <c r="U10" s="75">
        <v>5.3085819989453302</v>
      </c>
      <c r="V10" s="192">
        <v>7.4822858322693899E-7</v>
      </c>
      <c r="X10" s="6"/>
      <c r="Y10" s="64"/>
      <c r="Z10" s="75"/>
      <c r="AA10" s="192"/>
    </row>
    <row r="11" spans="1:28">
      <c r="A11" s="197">
        <v>41913</v>
      </c>
      <c r="B11">
        <f t="shared" si="0"/>
        <v>10</v>
      </c>
      <c r="C11">
        <f t="shared" si="1"/>
        <v>2014</v>
      </c>
      <c r="D11" s="6">
        <f>'Monthly Data (longer 09-23)'!X71</f>
        <v>2963385</v>
      </c>
      <c r="E11" s="226">
        <f ca="1">'Weather Data'!BP47</f>
        <v>99.500656897422942</v>
      </c>
      <c r="F11" s="226">
        <f ca="1">'Weather Data'!BC47</f>
        <v>20.479999999999997</v>
      </c>
      <c r="G11">
        <f>'Monthly Data (14-23) Used'!BZ11</f>
        <v>1</v>
      </c>
      <c r="H11">
        <f>'Monthly Data (14-23) Used'!AR11</f>
        <v>158.5</v>
      </c>
      <c r="J11" s="6"/>
      <c r="K11" s="6"/>
      <c r="L11" s="6"/>
      <c r="M11" s="6"/>
      <c r="N11" s="6"/>
      <c r="O11" s="6"/>
      <c r="R11" t="s">
        <v>31</v>
      </c>
      <c r="S11" s="6">
        <v>3715.5321852586399</v>
      </c>
      <c r="T11" s="64">
        <v>385.626829116284</v>
      </c>
      <c r="U11" s="75">
        <v>9.6350458648670401</v>
      </c>
      <c r="V11" s="192">
        <v>1.21031191444027E-15</v>
      </c>
      <c r="X11" s="6"/>
      <c r="Y11" s="64"/>
      <c r="Z11" s="75"/>
      <c r="AA11" s="192"/>
      <c r="AB11" s="18"/>
    </row>
    <row r="12" spans="1:28">
      <c r="A12" s="197">
        <v>41944</v>
      </c>
      <c r="B12">
        <f t="shared" si="0"/>
        <v>11</v>
      </c>
      <c r="C12">
        <f t="shared" si="1"/>
        <v>2014</v>
      </c>
      <c r="D12" s="6">
        <f>'Monthly Data (longer 09-23)'!X72</f>
        <v>3181573</v>
      </c>
      <c r="E12" s="226">
        <f ca="1">'Weather Data'!BP48</f>
        <v>286.30065689742298</v>
      </c>
      <c r="F12" s="226">
        <f ca="1">'Weather Data'!BC48</f>
        <v>0.6699999999999996</v>
      </c>
      <c r="G12">
        <f>'Monthly Data (14-23) Used'!BZ12</f>
        <v>1</v>
      </c>
      <c r="H12">
        <f>'Monthly Data (14-23) Used'!AR12</f>
        <v>159.69999999999999</v>
      </c>
      <c r="J12" s="6"/>
      <c r="K12" s="6"/>
      <c r="L12" s="6"/>
      <c r="M12" s="6"/>
      <c r="N12" s="6"/>
      <c r="O12" s="6"/>
      <c r="R12" t="s">
        <v>77</v>
      </c>
      <c r="S12" s="6">
        <v>135311.078711176</v>
      </c>
      <c r="T12" s="64">
        <v>50967.033692320998</v>
      </c>
      <c r="U12" s="75">
        <v>2.6548745121802702</v>
      </c>
      <c r="V12" s="192">
        <v>9.3337138866790206E-3</v>
      </c>
      <c r="X12" s="6"/>
      <c r="Y12" s="64"/>
      <c r="Z12" s="75"/>
      <c r="AA12" s="192"/>
      <c r="AB12" s="18"/>
    </row>
    <row r="13" spans="1:28">
      <c r="A13" s="197">
        <v>41974</v>
      </c>
      <c r="B13">
        <f t="shared" si="0"/>
        <v>12</v>
      </c>
      <c r="C13">
        <f t="shared" si="1"/>
        <v>2014</v>
      </c>
      <c r="D13" s="6">
        <f>'Monthly Data (longer 09-23)'!X73</f>
        <v>3333306</v>
      </c>
      <c r="E13" s="226">
        <f ca="1">'Weather Data'!BP49</f>
        <v>409.7700000000001</v>
      </c>
      <c r="F13" s="226">
        <f ca="1">'Weather Data'!BC49</f>
        <v>0</v>
      </c>
      <c r="G13">
        <f>'Monthly Data (14-23) Used'!BZ13</f>
        <v>0</v>
      </c>
      <c r="H13">
        <f>'Monthly Data (14-23) Used'!AR13</f>
        <v>161.4</v>
      </c>
      <c r="J13" s="6"/>
      <c r="K13" s="6"/>
      <c r="L13" s="6"/>
      <c r="M13" s="6"/>
      <c r="N13" s="6"/>
      <c r="O13" s="6"/>
      <c r="R13" t="s">
        <v>222</v>
      </c>
      <c r="S13" s="6">
        <v>8460.5654149567908</v>
      </c>
      <c r="T13" s="64">
        <v>4069.53676136374</v>
      </c>
      <c r="U13" s="75">
        <v>2.0789996284789898</v>
      </c>
      <c r="V13" s="192">
        <v>4.03706035778938E-2</v>
      </c>
      <c r="X13" s="6"/>
      <c r="Y13" s="64"/>
      <c r="Z13" s="75"/>
      <c r="AA13" s="192"/>
      <c r="AB13" s="18"/>
    </row>
    <row r="14" spans="1:28">
      <c r="A14" s="197">
        <v>42005</v>
      </c>
      <c r="B14">
        <f t="shared" si="0"/>
        <v>1</v>
      </c>
      <c r="C14">
        <f t="shared" si="1"/>
        <v>2015</v>
      </c>
      <c r="D14" s="6">
        <f>'Monthly Data (longer 09-23)'!X74</f>
        <v>3747992</v>
      </c>
      <c r="E14" s="229">
        <f t="shared" ref="E14:F33" ca="1" si="2">E2</f>
        <v>546.99999999999989</v>
      </c>
      <c r="F14" s="229">
        <f t="shared" ca="1" si="2"/>
        <v>0</v>
      </c>
      <c r="G14">
        <f>'Monthly Data (14-23) Used'!BZ14</f>
        <v>0</v>
      </c>
      <c r="H14">
        <f>'Monthly Data (14-23) Used'!AR14</f>
        <v>162.19999999999999</v>
      </c>
      <c r="J14" s="6"/>
      <c r="K14" s="6"/>
      <c r="L14" s="6"/>
      <c r="M14" s="6"/>
      <c r="N14" s="6"/>
      <c r="O14" s="6"/>
      <c r="S14" s="6"/>
      <c r="T14" s="64"/>
      <c r="U14" s="75"/>
      <c r="V14" s="192"/>
      <c r="X14" s="6"/>
      <c r="Y14" s="64"/>
      <c r="Z14" s="75"/>
      <c r="AA14" s="192"/>
    </row>
    <row r="15" spans="1:28">
      <c r="A15" s="197">
        <v>42036</v>
      </c>
      <c r="B15">
        <f t="shared" si="0"/>
        <v>2</v>
      </c>
      <c r="C15">
        <f t="shared" si="1"/>
        <v>2015</v>
      </c>
      <c r="D15" s="6">
        <f>'Monthly Data (longer 09-23)'!X75</f>
        <v>3564671</v>
      </c>
      <c r="E15" s="229">
        <f t="shared" ca="1" si="2"/>
        <v>482.71355229914104</v>
      </c>
      <c r="F15" s="229">
        <f t="shared" ca="1" si="2"/>
        <v>0</v>
      </c>
      <c r="G15">
        <f>'Monthly Data (14-23) Used'!BZ15</f>
        <v>0</v>
      </c>
      <c r="H15">
        <f>'Monthly Data (14-23) Used'!AR15</f>
        <v>162.80000000000001</v>
      </c>
      <c r="J15" s="6"/>
      <c r="K15" s="6"/>
      <c r="L15" s="6"/>
      <c r="M15" s="6"/>
      <c r="N15" s="6"/>
      <c r="O15" s="6"/>
      <c r="R15" t="s">
        <v>223</v>
      </c>
      <c r="S15" s="6"/>
      <c r="U15" s="193"/>
      <c r="V15" s="192"/>
      <c r="X15" s="6"/>
      <c r="Y15" s="64"/>
      <c r="Z15" s="75"/>
      <c r="AA15" s="192"/>
    </row>
    <row r="16" spans="1:28">
      <c r="A16" s="197">
        <v>42064</v>
      </c>
      <c r="B16">
        <f t="shared" si="0"/>
        <v>3</v>
      </c>
      <c r="C16">
        <f t="shared" si="1"/>
        <v>2015</v>
      </c>
      <c r="D16" s="6">
        <f>'Monthly Data (longer 09-23)'!X76</f>
        <v>3449912</v>
      </c>
      <c r="E16" s="229">
        <f t="shared" ca="1" si="2"/>
        <v>372.63355229914106</v>
      </c>
      <c r="F16" s="229">
        <f t="shared" ca="1" si="2"/>
        <v>0</v>
      </c>
      <c r="G16">
        <f>'Monthly Data (14-23) Used'!BZ16</f>
        <v>0</v>
      </c>
      <c r="H16">
        <f>'Monthly Data (14-23) Used'!AR16</f>
        <v>161.30000000000001</v>
      </c>
      <c r="J16" s="6"/>
      <c r="K16" s="6"/>
      <c r="L16" s="6"/>
      <c r="M16" s="6"/>
      <c r="N16" s="6"/>
      <c r="O16" s="6"/>
      <c r="R16" t="s">
        <v>226</v>
      </c>
      <c r="S16" s="193">
        <v>2954331005515.73</v>
      </c>
      <c r="T16" t="s">
        <v>227</v>
      </c>
      <c r="U16" s="193">
        <v>178232.99374501</v>
      </c>
    </row>
    <row r="17" spans="1:27">
      <c r="A17" s="197">
        <v>42095</v>
      </c>
      <c r="B17">
        <f t="shared" si="0"/>
        <v>4</v>
      </c>
      <c r="C17">
        <f t="shared" si="1"/>
        <v>2015</v>
      </c>
      <c r="D17" s="6">
        <f>'Monthly Data (longer 09-23)'!X77</f>
        <v>3013821</v>
      </c>
      <c r="E17" s="229">
        <f t="shared" ca="1" si="2"/>
        <v>184.31</v>
      </c>
      <c r="F17" s="229">
        <f t="shared" ca="1" si="2"/>
        <v>3.0799999999999996</v>
      </c>
      <c r="G17">
        <f>'Monthly Data (14-23) Used'!BZ17</f>
        <v>0</v>
      </c>
      <c r="H17">
        <f>'Monthly Data (14-23) Used'!AR17</f>
        <v>160.69999999999999</v>
      </c>
      <c r="J17" s="6"/>
      <c r="K17" s="6"/>
      <c r="L17" s="6"/>
      <c r="M17" s="6"/>
      <c r="N17" s="6"/>
      <c r="O17" s="6"/>
      <c r="R17" t="s">
        <v>228</v>
      </c>
      <c r="S17" s="192">
        <v>0.71005468765533997</v>
      </c>
      <c r="T17" t="s">
        <v>229</v>
      </c>
      <c r="U17" s="192">
        <v>0.69758392153298998</v>
      </c>
    </row>
    <row r="18" spans="1:27">
      <c r="A18" s="197">
        <v>42125</v>
      </c>
      <c r="B18">
        <f t="shared" si="0"/>
        <v>5</v>
      </c>
      <c r="C18">
        <f t="shared" si="1"/>
        <v>2015</v>
      </c>
      <c r="D18" s="6">
        <f>'Monthly Data (longer 09-23)'!X78</f>
        <v>2960403</v>
      </c>
      <c r="E18" s="229">
        <f t="shared" ca="1" si="2"/>
        <v>47.083552299140976</v>
      </c>
      <c r="F18" s="229">
        <f t="shared" ca="1" si="2"/>
        <v>53.286447700859014</v>
      </c>
      <c r="G18">
        <f>'Monthly Data (14-23) Used'!BZ18</f>
        <v>0</v>
      </c>
      <c r="H18">
        <f>'Monthly Data (14-23) Used'!AR18</f>
        <v>161.19999999999999</v>
      </c>
      <c r="J18" s="6"/>
      <c r="K18" s="6"/>
      <c r="L18" s="6"/>
      <c r="M18" s="6"/>
      <c r="N18" s="6"/>
      <c r="O18" s="6"/>
      <c r="R18" t="s">
        <v>261</v>
      </c>
      <c r="S18" s="75">
        <v>33.8751322886624</v>
      </c>
      <c r="T18" t="s">
        <v>231</v>
      </c>
      <c r="U18" s="192">
        <v>2.0053011183048799E-17</v>
      </c>
      <c r="X18" s="6"/>
      <c r="Z18" s="6"/>
      <c r="AA18" s="18"/>
    </row>
    <row r="19" spans="1:27">
      <c r="A19" s="197">
        <v>42156</v>
      </c>
      <c r="B19">
        <f t="shared" si="0"/>
        <v>6</v>
      </c>
      <c r="C19">
        <f t="shared" si="1"/>
        <v>2015</v>
      </c>
      <c r="D19" s="6">
        <f>'Monthly Data (longer 09-23)'!X79</f>
        <v>3221522</v>
      </c>
      <c r="E19" s="229">
        <f t="shared" ca="1" si="2"/>
        <v>0.4200000000000001</v>
      </c>
      <c r="F19" s="229">
        <f t="shared" ca="1" si="2"/>
        <v>145.07</v>
      </c>
      <c r="G19">
        <f>'Monthly Data (14-23) Used'!BZ19</f>
        <v>0</v>
      </c>
      <c r="H19">
        <f>'Monthly Data (14-23) Used'!AR19</f>
        <v>162.5</v>
      </c>
      <c r="J19" s="6"/>
      <c r="K19" s="6"/>
      <c r="L19" s="6"/>
      <c r="M19" s="6"/>
      <c r="N19" s="6"/>
      <c r="O19" s="6"/>
      <c r="R19" t="s">
        <v>232</v>
      </c>
      <c r="S19" s="75">
        <v>-0.16792790457037601</v>
      </c>
      <c r="T19" t="s">
        <v>233</v>
      </c>
      <c r="U19" s="105">
        <v>2.3279667385312899</v>
      </c>
      <c r="X19" s="193"/>
      <c r="Z19" s="6"/>
      <c r="AA19" s="18"/>
    </row>
    <row r="20" spans="1:27">
      <c r="A20" s="197">
        <v>42186</v>
      </c>
      <c r="B20">
        <f t="shared" si="0"/>
        <v>7</v>
      </c>
      <c r="C20">
        <f t="shared" si="1"/>
        <v>2015</v>
      </c>
      <c r="D20" s="6">
        <f>'Monthly Data (longer 09-23)'!X80</f>
        <v>4072605</v>
      </c>
      <c r="E20" s="229">
        <f t="shared" ca="1" si="2"/>
        <v>0</v>
      </c>
      <c r="F20" s="229">
        <f t="shared" ca="1" si="2"/>
        <v>211.23289540171805</v>
      </c>
      <c r="G20">
        <f>'Monthly Data (14-23) Used'!BZ20</f>
        <v>0</v>
      </c>
      <c r="H20">
        <f>'Monthly Data (14-23) Used'!AR20</f>
        <v>161.6</v>
      </c>
      <c r="J20" s="6"/>
      <c r="K20" s="6"/>
      <c r="L20" s="6"/>
      <c r="M20" s="6"/>
      <c r="N20" s="6"/>
      <c r="O20" s="6"/>
      <c r="S20" s="195"/>
      <c r="U20" s="105"/>
      <c r="X20" s="194"/>
      <c r="Z20" s="105"/>
    </row>
    <row r="21" spans="1:27">
      <c r="A21" s="197">
        <v>42217</v>
      </c>
      <c r="B21">
        <f t="shared" si="0"/>
        <v>8</v>
      </c>
      <c r="C21">
        <f t="shared" si="1"/>
        <v>2015</v>
      </c>
      <c r="D21" s="6">
        <f>'Monthly Data (longer 09-23)'!X81</f>
        <v>3555685</v>
      </c>
      <c r="E21" s="229">
        <f t="shared" ca="1" si="2"/>
        <v>0</v>
      </c>
      <c r="F21" s="229">
        <f t="shared" ca="1" si="2"/>
        <v>183.87605861546231</v>
      </c>
      <c r="G21">
        <f>'Monthly Data (14-23) Used'!BZ21</f>
        <v>0</v>
      </c>
      <c r="H21">
        <f>'Monthly Data (14-23) Used'!AR21</f>
        <v>158.4</v>
      </c>
      <c r="J21" s="6"/>
      <c r="K21" s="6"/>
      <c r="L21" s="6"/>
      <c r="M21" s="6"/>
      <c r="N21" s="6"/>
      <c r="O21" s="6"/>
      <c r="R21" t="s">
        <v>247</v>
      </c>
      <c r="S21" s="196"/>
      <c r="U21" s="105"/>
      <c r="X21" s="196"/>
      <c r="Z21" s="105"/>
    </row>
    <row r="22" spans="1:27">
      <c r="A22" s="197">
        <v>42248</v>
      </c>
      <c r="B22">
        <f t="shared" si="0"/>
        <v>9</v>
      </c>
      <c r="C22">
        <f t="shared" si="1"/>
        <v>2015</v>
      </c>
      <c r="D22" s="6">
        <f>'Monthly Data (longer 09-23)'!X82</f>
        <v>3226818</v>
      </c>
      <c r="E22" s="229">
        <f t="shared" ca="1" si="2"/>
        <v>5.87</v>
      </c>
      <c r="F22" s="229">
        <f t="shared" ca="1" si="2"/>
        <v>90.709343102577066</v>
      </c>
      <c r="G22">
        <f>'Monthly Data (14-23) Used'!BZ22</f>
        <v>0</v>
      </c>
      <c r="H22">
        <f>'Monthly Data (14-23) Used'!AR22</f>
        <v>154.69999999999999</v>
      </c>
      <c r="J22" s="6"/>
      <c r="K22" s="6"/>
      <c r="L22" s="6"/>
      <c r="M22" s="6"/>
      <c r="N22" s="6"/>
      <c r="O22" s="6"/>
      <c r="R22" t="s">
        <v>224</v>
      </c>
      <c r="S22" s="6">
        <v>2630297.8673469401</v>
      </c>
      <c r="T22" s="6" t="s">
        <v>225</v>
      </c>
      <c r="U22" s="6">
        <v>323420.23204287002</v>
      </c>
      <c r="X22" s="195"/>
      <c r="Z22" s="105"/>
    </row>
    <row r="23" spans="1:27">
      <c r="A23" s="197">
        <v>42278</v>
      </c>
      <c r="B23">
        <f t="shared" si="0"/>
        <v>10</v>
      </c>
      <c r="C23">
        <f t="shared" si="1"/>
        <v>2015</v>
      </c>
      <c r="D23" s="6">
        <f>'Monthly Data (longer 09-23)'!X83</f>
        <v>2870641</v>
      </c>
      <c r="E23" s="229">
        <f t="shared" ca="1" si="2"/>
        <v>99.500656897422942</v>
      </c>
      <c r="F23" s="229">
        <f t="shared" ca="1" si="2"/>
        <v>20.479999999999997</v>
      </c>
      <c r="G23">
        <f>'Monthly Data (14-23) Used'!BZ23</f>
        <v>1</v>
      </c>
      <c r="H23">
        <f>'Monthly Data (14-23) Used'!AR23</f>
        <v>153.1</v>
      </c>
      <c r="J23" s="6"/>
      <c r="K23" s="6"/>
      <c r="L23" s="6"/>
      <c r="M23" s="6"/>
      <c r="N23" s="6"/>
      <c r="O23" s="6"/>
    </row>
    <row r="24" spans="1:27">
      <c r="A24" s="197">
        <v>42309</v>
      </c>
      <c r="B24">
        <f t="shared" si="0"/>
        <v>11</v>
      </c>
      <c r="C24">
        <f t="shared" si="1"/>
        <v>2015</v>
      </c>
      <c r="D24" s="6">
        <f>'Monthly Data (longer 09-23)'!X84</f>
        <v>2607047</v>
      </c>
      <c r="E24" s="229">
        <f t="shared" ca="1" si="2"/>
        <v>286.30065689742298</v>
      </c>
      <c r="F24" s="229">
        <f t="shared" ca="1" si="2"/>
        <v>0.6699999999999996</v>
      </c>
      <c r="G24">
        <f>'Monthly Data (14-23) Used'!BZ24</f>
        <v>1</v>
      </c>
      <c r="H24">
        <f>'Monthly Data (14-23) Used'!AR24</f>
        <v>153.4</v>
      </c>
      <c r="J24" s="6">
        <f t="shared" ref="J24:J53" si="3">$S$9</f>
        <v>788660.63968622696</v>
      </c>
      <c r="K24" s="6">
        <f t="shared" ref="K24:K54" ca="1" si="4">E24*$S$10</f>
        <v>257297.39710286385</v>
      </c>
      <c r="L24" s="6">
        <f t="shared" ref="L24:L54" ca="1" si="5">F24*$S$11</f>
        <v>2489.4065641232874</v>
      </c>
      <c r="M24" s="6">
        <f t="shared" ref="M24:M54" si="6">G24*$S$12</f>
        <v>135311.078711176</v>
      </c>
      <c r="N24" s="6">
        <f t="shared" ref="N24:N54" si="7">H24*$S$13</f>
        <v>1297850.7346543719</v>
      </c>
      <c r="O24" s="6">
        <f t="shared" ref="O24:O53" ca="1" si="8">SUM(J24:N24)</f>
        <v>2481609.2567187622</v>
      </c>
    </row>
    <row r="25" spans="1:27">
      <c r="A25" s="197">
        <v>42339</v>
      </c>
      <c r="B25">
        <f t="shared" si="0"/>
        <v>12</v>
      </c>
      <c r="C25">
        <f t="shared" si="1"/>
        <v>2015</v>
      </c>
      <c r="D25" s="6">
        <f>'Monthly Data (longer 09-23)'!X85</f>
        <v>2364501</v>
      </c>
      <c r="E25" s="229">
        <f t="shared" ca="1" si="2"/>
        <v>409.7700000000001</v>
      </c>
      <c r="F25" s="229">
        <f t="shared" ca="1" si="2"/>
        <v>0</v>
      </c>
      <c r="G25">
        <f>'Monthly Data (14-23) Used'!BZ25</f>
        <v>0</v>
      </c>
      <c r="H25">
        <f>'Monthly Data (14-23) Used'!AR25</f>
        <v>153.9</v>
      </c>
      <c r="J25" s="6">
        <f t="shared" si="3"/>
        <v>788660.63968622696</v>
      </c>
      <c r="K25" s="6">
        <f t="shared" ca="1" si="4"/>
        <v>368258.86308956478</v>
      </c>
      <c r="L25" s="6">
        <f t="shared" ca="1" si="5"/>
        <v>0</v>
      </c>
      <c r="M25" s="6">
        <f t="shared" si="6"/>
        <v>0</v>
      </c>
      <c r="N25" s="6">
        <f t="shared" si="7"/>
        <v>1302081.0173618502</v>
      </c>
      <c r="O25" s="6">
        <f t="shared" ca="1" si="8"/>
        <v>2459000.520137642</v>
      </c>
    </row>
    <row r="26" spans="1:27">
      <c r="A26" s="197">
        <v>42370</v>
      </c>
      <c r="B26">
        <f t="shared" si="0"/>
        <v>1</v>
      </c>
      <c r="C26">
        <f t="shared" si="1"/>
        <v>2016</v>
      </c>
      <c r="D26" s="6">
        <f>'Monthly Data (longer 09-23)'!X86</f>
        <v>2580598</v>
      </c>
      <c r="E26" s="229">
        <f t="shared" ca="1" si="2"/>
        <v>546.99999999999989</v>
      </c>
      <c r="F26" s="229">
        <f t="shared" ca="1" si="2"/>
        <v>0</v>
      </c>
      <c r="G26">
        <f>'Monthly Data (14-23) Used'!BZ26</f>
        <v>0</v>
      </c>
      <c r="H26">
        <f>'Monthly Data (14-23) Used'!AR26</f>
        <v>156</v>
      </c>
      <c r="J26" s="6">
        <f t="shared" si="3"/>
        <v>788660.63968622696</v>
      </c>
      <c r="K26" s="6">
        <f t="shared" ca="1" si="4"/>
        <v>491586.98321007355</v>
      </c>
      <c r="L26" s="6">
        <f t="shared" ca="1" si="5"/>
        <v>0</v>
      </c>
      <c r="M26" s="6">
        <f t="shared" si="6"/>
        <v>0</v>
      </c>
      <c r="N26" s="6">
        <f t="shared" si="7"/>
        <v>1319848.2047332593</v>
      </c>
      <c r="O26" s="6">
        <f t="shared" ca="1" si="8"/>
        <v>2600095.8276295597</v>
      </c>
    </row>
    <row r="27" spans="1:27">
      <c r="A27" s="197">
        <v>42401</v>
      </c>
      <c r="B27">
        <f t="shared" si="0"/>
        <v>2</v>
      </c>
      <c r="C27">
        <f t="shared" si="1"/>
        <v>2016</v>
      </c>
      <c r="D27" s="6">
        <f>'Monthly Data (longer 09-23)'!X87</f>
        <v>2518509</v>
      </c>
      <c r="E27" s="229">
        <f t="shared" ca="1" si="2"/>
        <v>482.71355229914104</v>
      </c>
      <c r="F27" s="229">
        <f t="shared" ca="1" si="2"/>
        <v>0</v>
      </c>
      <c r="G27">
        <f>'Monthly Data (14-23) Used'!BZ27</f>
        <v>0</v>
      </c>
      <c r="H27">
        <f>'Monthly Data (14-23) Used'!AR27</f>
        <v>158.4</v>
      </c>
      <c r="J27" s="6">
        <f t="shared" si="3"/>
        <v>788660.63968622696</v>
      </c>
      <c r="K27" s="6">
        <f t="shared" ca="1" si="4"/>
        <v>433812.97793300339</v>
      </c>
      <c r="L27" s="6">
        <f t="shared" ca="1" si="5"/>
        <v>0</v>
      </c>
      <c r="M27" s="6">
        <f t="shared" si="6"/>
        <v>0</v>
      </c>
      <c r="N27" s="6">
        <f t="shared" si="7"/>
        <v>1340153.5617291557</v>
      </c>
      <c r="O27" s="6">
        <f t="shared" ca="1" si="8"/>
        <v>2562627.1793483859</v>
      </c>
    </row>
    <row r="28" spans="1:27">
      <c r="A28" s="197">
        <v>42430</v>
      </c>
      <c r="B28">
        <f t="shared" si="0"/>
        <v>3</v>
      </c>
      <c r="C28">
        <f t="shared" si="1"/>
        <v>2016</v>
      </c>
      <c r="D28" s="6">
        <f>'Monthly Data (longer 09-23)'!X88</f>
        <v>2565586</v>
      </c>
      <c r="E28" s="229">
        <f t="shared" ca="1" si="2"/>
        <v>372.63355229914106</v>
      </c>
      <c r="F28" s="229">
        <f t="shared" ca="1" si="2"/>
        <v>0</v>
      </c>
      <c r="G28">
        <f>'Monthly Data (14-23) Used'!BZ28</f>
        <v>0</v>
      </c>
      <c r="H28">
        <f>'Monthly Data (14-23) Used'!AR28</f>
        <v>160.69999999999999</v>
      </c>
      <c r="J28" s="6">
        <f t="shared" si="3"/>
        <v>788660.63968622696</v>
      </c>
      <c r="K28" s="6">
        <f t="shared" ca="1" si="4"/>
        <v>334884.4676738354</v>
      </c>
      <c r="L28" s="6">
        <f t="shared" ca="1" si="5"/>
        <v>0</v>
      </c>
      <c r="M28" s="6">
        <f t="shared" si="6"/>
        <v>0</v>
      </c>
      <c r="N28" s="6">
        <f t="shared" si="7"/>
        <v>1359612.8621835562</v>
      </c>
      <c r="O28" s="6">
        <f t="shared" ca="1" si="8"/>
        <v>2483157.9695436186</v>
      </c>
    </row>
    <row r="29" spans="1:27">
      <c r="A29" s="197">
        <v>42461</v>
      </c>
      <c r="B29">
        <f t="shared" si="0"/>
        <v>4</v>
      </c>
      <c r="C29">
        <f t="shared" si="1"/>
        <v>2016</v>
      </c>
      <c r="D29" s="6">
        <f>'Monthly Data (longer 09-23)'!X89</f>
        <v>2289773</v>
      </c>
      <c r="E29" s="229">
        <f t="shared" ca="1" si="2"/>
        <v>184.31</v>
      </c>
      <c r="F29" s="229">
        <f t="shared" ca="1" si="2"/>
        <v>3.0799999999999996</v>
      </c>
      <c r="G29">
        <f>'Monthly Data (14-23) Used'!BZ29</f>
        <v>0</v>
      </c>
      <c r="H29">
        <f>'Monthly Data (14-23) Used'!AR29</f>
        <v>162.6</v>
      </c>
      <c r="J29" s="6">
        <f t="shared" si="3"/>
        <v>788660.63968622696</v>
      </c>
      <c r="K29" s="6">
        <f t="shared" ca="1" si="4"/>
        <v>165638.75114341622</v>
      </c>
      <c r="L29" s="6">
        <f t="shared" ca="1" si="5"/>
        <v>11443.839130596609</v>
      </c>
      <c r="M29" s="6">
        <f t="shared" si="6"/>
        <v>0</v>
      </c>
      <c r="N29" s="6">
        <f t="shared" si="7"/>
        <v>1375687.9364719742</v>
      </c>
      <c r="O29" s="6">
        <f t="shared" ca="1" si="8"/>
        <v>2341431.166432214</v>
      </c>
    </row>
    <row r="30" spans="1:27">
      <c r="A30" s="197">
        <v>42491</v>
      </c>
      <c r="B30">
        <f t="shared" si="0"/>
        <v>5</v>
      </c>
      <c r="C30">
        <f t="shared" si="1"/>
        <v>2016</v>
      </c>
      <c r="D30" s="6">
        <f>'Monthly Data (longer 09-23)'!X90</f>
        <v>2326556</v>
      </c>
      <c r="E30" s="229">
        <f t="shared" ca="1" si="2"/>
        <v>47.083552299140976</v>
      </c>
      <c r="F30" s="229">
        <f t="shared" ca="1" si="2"/>
        <v>53.286447700859014</v>
      </c>
      <c r="G30">
        <f>'Monthly Data (14-23) Used'!BZ30</f>
        <v>0</v>
      </c>
      <c r="H30">
        <f>'Monthly Data (14-23) Used'!AR30</f>
        <v>164.5</v>
      </c>
      <c r="J30" s="6">
        <f t="shared" si="3"/>
        <v>788660.63968622696</v>
      </c>
      <c r="K30" s="6">
        <f t="shared" ca="1" si="4"/>
        <v>42313.823461697328</v>
      </c>
      <c r="L30" s="6">
        <f t="shared" ca="1" si="5"/>
        <v>197987.51147064293</v>
      </c>
      <c r="M30" s="6">
        <f t="shared" si="6"/>
        <v>0</v>
      </c>
      <c r="N30" s="6">
        <f t="shared" si="7"/>
        <v>1391763.0107603921</v>
      </c>
      <c r="O30" s="6">
        <f t="shared" ca="1" si="8"/>
        <v>2420724.9853789592</v>
      </c>
    </row>
    <row r="31" spans="1:27">
      <c r="A31" s="197">
        <v>42522</v>
      </c>
      <c r="B31">
        <f t="shared" si="0"/>
        <v>6</v>
      </c>
      <c r="C31">
        <f t="shared" si="1"/>
        <v>2016</v>
      </c>
      <c r="D31" s="6">
        <f>'Monthly Data (longer 09-23)'!X91</f>
        <v>2706683</v>
      </c>
      <c r="E31" s="229">
        <f t="shared" ca="1" si="2"/>
        <v>0.4200000000000001</v>
      </c>
      <c r="F31" s="229">
        <f t="shared" ca="1" si="2"/>
        <v>145.07</v>
      </c>
      <c r="G31">
        <f>'Monthly Data (14-23) Used'!BZ31</f>
        <v>0</v>
      </c>
      <c r="H31">
        <f>'Monthly Data (14-23) Used'!AR31</f>
        <v>166.4</v>
      </c>
      <c r="J31" s="6">
        <f t="shared" si="3"/>
        <v>788660.63968622696</v>
      </c>
      <c r="K31" s="6">
        <f t="shared" ca="1" si="4"/>
        <v>377.45252824173855</v>
      </c>
      <c r="L31" s="6">
        <f t="shared" ca="1" si="5"/>
        <v>539012.2541154708</v>
      </c>
      <c r="M31" s="6">
        <f t="shared" si="6"/>
        <v>0</v>
      </c>
      <c r="N31" s="6">
        <f t="shared" si="7"/>
        <v>1407838.0850488101</v>
      </c>
      <c r="O31" s="6">
        <f t="shared" ca="1" si="8"/>
        <v>2735888.4313787497</v>
      </c>
    </row>
    <row r="32" spans="1:27">
      <c r="A32" s="197">
        <v>42552</v>
      </c>
      <c r="B32">
        <f t="shared" si="0"/>
        <v>7</v>
      </c>
      <c r="C32">
        <f t="shared" si="1"/>
        <v>2016</v>
      </c>
      <c r="D32" s="6">
        <f>'Monthly Data (longer 09-23)'!X92</f>
        <v>3094570</v>
      </c>
      <c r="E32" s="229">
        <f t="shared" ca="1" si="2"/>
        <v>0</v>
      </c>
      <c r="F32" s="229">
        <f t="shared" ca="1" si="2"/>
        <v>211.23289540171805</v>
      </c>
      <c r="G32">
        <f>'Monthly Data (14-23) Used'!BZ32</f>
        <v>0</v>
      </c>
      <c r="H32">
        <f>'Monthly Data (14-23) Used'!AR32</f>
        <v>167.9</v>
      </c>
      <c r="J32" s="6">
        <f t="shared" si="3"/>
        <v>788660.63968622696</v>
      </c>
      <c r="K32" s="6">
        <f t="shared" ca="1" si="4"/>
        <v>0</v>
      </c>
      <c r="L32" s="6">
        <f t="shared" ca="1" si="5"/>
        <v>784842.62145045516</v>
      </c>
      <c r="M32" s="6">
        <f t="shared" si="6"/>
        <v>0</v>
      </c>
      <c r="N32" s="6">
        <f t="shared" si="7"/>
        <v>1420528.9331712453</v>
      </c>
      <c r="O32" s="6">
        <f t="shared" ca="1" si="8"/>
        <v>2994032.1943079275</v>
      </c>
    </row>
    <row r="33" spans="1:15">
      <c r="A33" s="197">
        <v>42583</v>
      </c>
      <c r="B33">
        <f t="shared" si="0"/>
        <v>8</v>
      </c>
      <c r="C33">
        <f t="shared" si="1"/>
        <v>2016</v>
      </c>
      <c r="D33" s="6">
        <f>'Monthly Data (longer 09-23)'!X93</f>
        <v>3564597</v>
      </c>
      <c r="E33" s="229">
        <f t="shared" ca="1" si="2"/>
        <v>0</v>
      </c>
      <c r="F33" s="229">
        <f t="shared" ca="1" si="2"/>
        <v>183.87605861546231</v>
      </c>
      <c r="G33">
        <f>'Monthly Data (14-23) Used'!BZ33</f>
        <v>0</v>
      </c>
      <c r="H33">
        <f>'Monthly Data (14-23) Used'!AR33</f>
        <v>167.8</v>
      </c>
      <c r="J33" s="6">
        <f t="shared" si="3"/>
        <v>788660.63968622696</v>
      </c>
      <c r="K33" s="6">
        <f t="shared" ca="1" si="4"/>
        <v>0</v>
      </c>
      <c r="L33" s="6">
        <f t="shared" ca="1" si="5"/>
        <v>683197.41388425441</v>
      </c>
      <c r="M33" s="6">
        <f t="shared" si="6"/>
        <v>0</v>
      </c>
      <c r="N33" s="6">
        <f t="shared" si="7"/>
        <v>1419682.8766297495</v>
      </c>
      <c r="O33" s="6">
        <f t="shared" ca="1" si="8"/>
        <v>2891540.9302002313</v>
      </c>
    </row>
    <row r="34" spans="1:15">
      <c r="A34" s="197">
        <v>42614</v>
      </c>
      <c r="B34">
        <f t="shared" si="0"/>
        <v>9</v>
      </c>
      <c r="C34">
        <f t="shared" si="1"/>
        <v>2016</v>
      </c>
      <c r="D34" s="6">
        <f>'Monthly Data (longer 09-23)'!X94</f>
        <v>2934361</v>
      </c>
      <c r="E34" s="229">
        <f t="shared" ref="E34:F53" ca="1" si="9">E22</f>
        <v>5.87</v>
      </c>
      <c r="F34" s="229">
        <f t="shared" ca="1" si="9"/>
        <v>90.709343102577066</v>
      </c>
      <c r="G34">
        <f>'Monthly Data (14-23) Used'!BZ34</f>
        <v>0</v>
      </c>
      <c r="H34">
        <f>'Monthly Data (14-23) Used'!AR34</f>
        <v>167.6</v>
      </c>
      <c r="J34" s="6">
        <f t="shared" si="3"/>
        <v>788660.63968622696</v>
      </c>
      <c r="K34" s="6">
        <f t="shared" ca="1" si="4"/>
        <v>5275.348430426202</v>
      </c>
      <c r="L34" s="6">
        <f t="shared" ca="1" si="5"/>
        <v>337033.48380129389</v>
      </c>
      <c r="M34" s="6">
        <f t="shared" si="6"/>
        <v>0</v>
      </c>
      <c r="N34" s="6">
        <f t="shared" si="7"/>
        <v>1417990.7635467581</v>
      </c>
      <c r="O34" s="6">
        <f t="shared" ca="1" si="8"/>
        <v>2548960.2354647052</v>
      </c>
    </row>
    <row r="35" spans="1:15">
      <c r="A35" s="197">
        <v>42644</v>
      </c>
      <c r="B35">
        <f t="shared" si="0"/>
        <v>10</v>
      </c>
      <c r="C35">
        <f t="shared" si="1"/>
        <v>2016</v>
      </c>
      <c r="D35" s="6">
        <f>'Monthly Data (longer 09-23)'!X95</f>
        <v>2701535</v>
      </c>
      <c r="E35" s="229">
        <f t="shared" ca="1" si="9"/>
        <v>99.500656897422942</v>
      </c>
      <c r="F35" s="229">
        <f t="shared" ca="1" si="9"/>
        <v>20.479999999999997</v>
      </c>
      <c r="G35">
        <f>'Monthly Data (14-23) Used'!BZ35</f>
        <v>1</v>
      </c>
      <c r="H35">
        <f>'Monthly Data (14-23) Used'!AR35</f>
        <v>166.9</v>
      </c>
      <c r="J35" s="6">
        <f t="shared" si="3"/>
        <v>788660.63968622696</v>
      </c>
      <c r="K35" s="6">
        <f t="shared" ca="1" si="4"/>
        <v>89420.891684871574</v>
      </c>
      <c r="L35" s="6">
        <f t="shared" ca="1" si="5"/>
        <v>76094.099154096926</v>
      </c>
      <c r="M35" s="6">
        <f t="shared" si="6"/>
        <v>135311.078711176</v>
      </c>
      <c r="N35" s="6">
        <f t="shared" si="7"/>
        <v>1412068.3677562885</v>
      </c>
      <c r="O35" s="6">
        <f t="shared" ca="1" si="8"/>
        <v>2501555.0769926598</v>
      </c>
    </row>
    <row r="36" spans="1:15">
      <c r="A36" s="197">
        <v>42675</v>
      </c>
      <c r="B36">
        <f t="shared" si="0"/>
        <v>11</v>
      </c>
      <c r="C36">
        <f t="shared" si="1"/>
        <v>2016</v>
      </c>
      <c r="D36" s="6">
        <f>'Monthly Data (longer 09-23)'!X96</f>
        <v>2668913</v>
      </c>
      <c r="E36" s="229">
        <f t="shared" ca="1" si="9"/>
        <v>286.30065689742298</v>
      </c>
      <c r="F36" s="229">
        <f t="shared" ca="1" si="9"/>
        <v>0.6699999999999996</v>
      </c>
      <c r="G36">
        <f>'Monthly Data (14-23) Used'!BZ36</f>
        <v>1</v>
      </c>
      <c r="H36">
        <f>'Monthly Data (14-23) Used'!AR36</f>
        <v>163.80000000000001</v>
      </c>
      <c r="J36" s="6">
        <f t="shared" si="3"/>
        <v>788660.63968622696</v>
      </c>
      <c r="K36" s="6">
        <f t="shared" ca="1" si="4"/>
        <v>257297.39710286385</v>
      </c>
      <c r="L36" s="6">
        <f t="shared" ca="1" si="5"/>
        <v>2489.4065641232874</v>
      </c>
      <c r="M36" s="6">
        <f t="shared" si="6"/>
        <v>135311.078711176</v>
      </c>
      <c r="N36" s="6">
        <f t="shared" si="7"/>
        <v>1385840.6149699225</v>
      </c>
      <c r="O36" s="6">
        <f t="shared" ca="1" si="8"/>
        <v>2569599.1370343128</v>
      </c>
    </row>
    <row r="37" spans="1:15">
      <c r="A37" s="197">
        <v>42705</v>
      </c>
      <c r="B37">
        <f t="shared" si="0"/>
        <v>12</v>
      </c>
      <c r="C37">
        <f t="shared" si="1"/>
        <v>2016</v>
      </c>
      <c r="D37" s="6">
        <f>'Monthly Data (longer 09-23)'!X97</f>
        <v>2635161</v>
      </c>
      <c r="E37" s="229">
        <f t="shared" ca="1" si="9"/>
        <v>409.7700000000001</v>
      </c>
      <c r="F37" s="229">
        <f t="shared" ca="1" si="9"/>
        <v>0</v>
      </c>
      <c r="G37">
        <f>'Monthly Data (14-23) Used'!BZ37</f>
        <v>0</v>
      </c>
      <c r="H37">
        <f>'Monthly Data (14-23) Used'!AR37</f>
        <v>161.19999999999999</v>
      </c>
      <c r="J37" s="6">
        <f t="shared" si="3"/>
        <v>788660.63968622696</v>
      </c>
      <c r="K37" s="6">
        <f t="shared" ca="1" si="4"/>
        <v>368258.86308956478</v>
      </c>
      <c r="L37" s="6">
        <f t="shared" ca="1" si="5"/>
        <v>0</v>
      </c>
      <c r="M37" s="6">
        <f t="shared" si="6"/>
        <v>0</v>
      </c>
      <c r="N37" s="6">
        <f t="shared" si="7"/>
        <v>1363843.1448910346</v>
      </c>
      <c r="O37" s="6">
        <f t="shared" ca="1" si="8"/>
        <v>2520762.6476668264</v>
      </c>
    </row>
    <row r="38" spans="1:15">
      <c r="A38" s="197">
        <v>42736</v>
      </c>
      <c r="B38">
        <f t="shared" si="0"/>
        <v>1</v>
      </c>
      <c r="C38">
        <f t="shared" si="1"/>
        <v>2017</v>
      </c>
      <c r="D38" s="6">
        <f>'Monthly Data (longer 09-23)'!X98</f>
        <v>3109978</v>
      </c>
      <c r="E38" s="229">
        <f t="shared" ca="1" si="9"/>
        <v>546.99999999999989</v>
      </c>
      <c r="F38" s="229">
        <f t="shared" ca="1" si="9"/>
        <v>0</v>
      </c>
      <c r="G38">
        <f>'Monthly Data (14-23) Used'!BZ38</f>
        <v>0</v>
      </c>
      <c r="H38">
        <f>'Monthly Data (14-23) Used'!AR38</f>
        <v>160.5</v>
      </c>
      <c r="J38" s="6">
        <f t="shared" si="3"/>
        <v>788660.63968622696</v>
      </c>
      <c r="K38" s="6">
        <f t="shared" ca="1" si="4"/>
        <v>491586.98321007355</v>
      </c>
      <c r="L38" s="6">
        <f t="shared" ca="1" si="5"/>
        <v>0</v>
      </c>
      <c r="M38" s="6">
        <f t="shared" si="6"/>
        <v>0</v>
      </c>
      <c r="N38" s="6">
        <f t="shared" si="7"/>
        <v>1357920.749100565</v>
      </c>
      <c r="O38" s="6">
        <f t="shared" ca="1" si="8"/>
        <v>2638168.3719968656</v>
      </c>
    </row>
    <row r="39" spans="1:15">
      <c r="A39" s="197">
        <v>42767</v>
      </c>
      <c r="B39">
        <f t="shared" si="0"/>
        <v>2</v>
      </c>
      <c r="C39">
        <f t="shared" si="1"/>
        <v>2017</v>
      </c>
      <c r="D39" s="6">
        <f>'Monthly Data (longer 09-23)'!X99</f>
        <v>2736036</v>
      </c>
      <c r="E39" s="229">
        <f t="shared" ca="1" si="9"/>
        <v>482.71355229914104</v>
      </c>
      <c r="F39" s="229">
        <f t="shared" ca="1" si="9"/>
        <v>0</v>
      </c>
      <c r="G39">
        <f>'Monthly Data (14-23) Used'!BZ39</f>
        <v>0</v>
      </c>
      <c r="H39">
        <f>'Monthly Data (14-23) Used'!AR39</f>
        <v>160.6</v>
      </c>
      <c r="J39" s="6">
        <f t="shared" si="3"/>
        <v>788660.63968622696</v>
      </c>
      <c r="K39" s="6">
        <f t="shared" ca="1" si="4"/>
        <v>433812.97793300339</v>
      </c>
      <c r="L39" s="6">
        <f t="shared" ca="1" si="5"/>
        <v>0</v>
      </c>
      <c r="M39" s="6">
        <f t="shared" si="6"/>
        <v>0</v>
      </c>
      <c r="N39" s="6">
        <f t="shared" si="7"/>
        <v>1358766.8056420605</v>
      </c>
      <c r="O39" s="6">
        <f t="shared" ca="1" si="8"/>
        <v>2581240.4232612909</v>
      </c>
    </row>
    <row r="40" spans="1:15">
      <c r="A40" s="197">
        <v>42795</v>
      </c>
      <c r="B40">
        <f t="shared" si="0"/>
        <v>3</v>
      </c>
      <c r="C40">
        <f t="shared" si="1"/>
        <v>2017</v>
      </c>
      <c r="D40" s="6">
        <f>'Monthly Data (longer 09-23)'!X100</f>
        <v>2956591</v>
      </c>
      <c r="E40" s="229">
        <f t="shared" ca="1" si="9"/>
        <v>372.63355229914106</v>
      </c>
      <c r="F40" s="229">
        <f t="shared" ca="1" si="9"/>
        <v>0</v>
      </c>
      <c r="G40">
        <f>'Monthly Data (14-23) Used'!BZ40</f>
        <v>0</v>
      </c>
      <c r="H40">
        <f>'Monthly Data (14-23) Used'!AR40</f>
        <v>160.69999999999999</v>
      </c>
      <c r="J40" s="6">
        <f t="shared" si="3"/>
        <v>788660.63968622696</v>
      </c>
      <c r="K40" s="6">
        <f t="shared" ca="1" si="4"/>
        <v>334884.4676738354</v>
      </c>
      <c r="L40" s="6">
        <f t="shared" ca="1" si="5"/>
        <v>0</v>
      </c>
      <c r="M40" s="6">
        <f t="shared" si="6"/>
        <v>0</v>
      </c>
      <c r="N40" s="6">
        <f t="shared" si="7"/>
        <v>1359612.8621835562</v>
      </c>
      <c r="O40" s="6">
        <f t="shared" ca="1" si="8"/>
        <v>2483157.9695436186</v>
      </c>
    </row>
    <row r="41" spans="1:15">
      <c r="A41" s="197">
        <v>42826</v>
      </c>
      <c r="B41">
        <f t="shared" si="0"/>
        <v>4</v>
      </c>
      <c r="C41">
        <f t="shared" si="1"/>
        <v>2017</v>
      </c>
      <c r="D41" s="6">
        <f>'Monthly Data (longer 09-23)'!X101</f>
        <v>2405329</v>
      </c>
      <c r="E41" s="229">
        <f t="shared" ca="1" si="9"/>
        <v>184.31</v>
      </c>
      <c r="F41" s="229">
        <f t="shared" ca="1" si="9"/>
        <v>3.0799999999999996</v>
      </c>
      <c r="G41">
        <f>'Monthly Data (14-23) Used'!BZ41</f>
        <v>0</v>
      </c>
      <c r="H41">
        <f>'Monthly Data (14-23) Used'!AR41</f>
        <v>159.30000000000001</v>
      </c>
      <c r="J41" s="6">
        <f t="shared" si="3"/>
        <v>788660.63968622696</v>
      </c>
      <c r="K41" s="6">
        <f t="shared" ca="1" si="4"/>
        <v>165638.75114341622</v>
      </c>
      <c r="L41" s="6">
        <f t="shared" ca="1" si="5"/>
        <v>11443.839130596609</v>
      </c>
      <c r="M41" s="6">
        <f t="shared" si="6"/>
        <v>0</v>
      </c>
      <c r="N41" s="6">
        <f t="shared" si="7"/>
        <v>1347768.070602617</v>
      </c>
      <c r="O41" s="6">
        <f t="shared" ca="1" si="8"/>
        <v>2313511.3005628567</v>
      </c>
    </row>
    <row r="42" spans="1:15">
      <c r="A42" s="197">
        <v>42856</v>
      </c>
      <c r="B42">
        <f t="shared" ref="B42:B105" si="10">MONTH(A42)</f>
        <v>5</v>
      </c>
      <c r="C42">
        <f t="shared" ref="C42:C105" si="11">YEAR(A42)</f>
        <v>2017</v>
      </c>
      <c r="D42" s="6">
        <f>'Monthly Data (longer 09-23)'!X102</f>
        <v>2604156</v>
      </c>
      <c r="E42" s="229">
        <f t="shared" ca="1" si="9"/>
        <v>47.083552299140976</v>
      </c>
      <c r="F42" s="229">
        <f t="shared" ca="1" si="9"/>
        <v>53.286447700859014</v>
      </c>
      <c r="G42">
        <f>'Monthly Data (14-23) Used'!BZ42</f>
        <v>0</v>
      </c>
      <c r="H42">
        <f>'Monthly Data (14-23) Used'!AR42</f>
        <v>158.5</v>
      </c>
      <c r="J42" s="6">
        <f t="shared" si="3"/>
        <v>788660.63968622696</v>
      </c>
      <c r="K42" s="6">
        <f t="shared" ca="1" si="4"/>
        <v>42313.823461697328</v>
      </c>
      <c r="L42" s="6">
        <f t="shared" ca="1" si="5"/>
        <v>197987.51147064293</v>
      </c>
      <c r="M42" s="6">
        <f t="shared" si="6"/>
        <v>0</v>
      </c>
      <c r="N42" s="6">
        <f t="shared" si="7"/>
        <v>1340999.6182706514</v>
      </c>
      <c r="O42" s="6">
        <f t="shared" ca="1" si="8"/>
        <v>2369961.5928892186</v>
      </c>
    </row>
    <row r="43" spans="1:15">
      <c r="A43" s="197">
        <v>42887</v>
      </c>
      <c r="B43">
        <f t="shared" si="10"/>
        <v>6</v>
      </c>
      <c r="C43">
        <f t="shared" si="11"/>
        <v>2017</v>
      </c>
      <c r="D43" s="6">
        <f>'Monthly Data (longer 09-23)'!X103</f>
        <v>2874524</v>
      </c>
      <c r="E43" s="229">
        <f t="shared" ca="1" si="9"/>
        <v>0.4200000000000001</v>
      </c>
      <c r="F43" s="229">
        <f t="shared" ca="1" si="9"/>
        <v>145.07</v>
      </c>
      <c r="G43">
        <f>'Monthly Data (14-23) Used'!BZ43</f>
        <v>0</v>
      </c>
      <c r="H43">
        <f>'Monthly Data (14-23) Used'!AR43</f>
        <v>160</v>
      </c>
      <c r="J43" s="6">
        <f t="shared" si="3"/>
        <v>788660.63968622696</v>
      </c>
      <c r="K43" s="6">
        <f t="shared" ca="1" si="4"/>
        <v>377.45252824173855</v>
      </c>
      <c r="L43" s="6">
        <f t="shared" ca="1" si="5"/>
        <v>539012.2541154708</v>
      </c>
      <c r="M43" s="6">
        <f t="shared" si="6"/>
        <v>0</v>
      </c>
      <c r="N43" s="6">
        <f t="shared" si="7"/>
        <v>1353690.4663930866</v>
      </c>
      <c r="O43" s="6">
        <f t="shared" ca="1" si="8"/>
        <v>2681740.8127230261</v>
      </c>
    </row>
    <row r="44" spans="1:15">
      <c r="A44" s="197">
        <v>42917</v>
      </c>
      <c r="B44">
        <f t="shared" si="10"/>
        <v>7</v>
      </c>
      <c r="C44">
        <f t="shared" si="11"/>
        <v>2017</v>
      </c>
      <c r="D44" s="6">
        <f>'Monthly Data (longer 09-23)'!X104</f>
        <v>2922427</v>
      </c>
      <c r="E44" s="229">
        <f t="shared" ca="1" si="9"/>
        <v>0</v>
      </c>
      <c r="F44" s="229">
        <f t="shared" ca="1" si="9"/>
        <v>211.23289540171805</v>
      </c>
      <c r="G44">
        <f>'Monthly Data (14-23) Used'!BZ44</f>
        <v>0</v>
      </c>
      <c r="H44">
        <f>'Monthly Data (14-23) Used'!AR44</f>
        <v>161.1</v>
      </c>
      <c r="J44" s="6">
        <f t="shared" si="3"/>
        <v>788660.63968622696</v>
      </c>
      <c r="K44" s="6">
        <f t="shared" ca="1" si="4"/>
        <v>0</v>
      </c>
      <c r="L44" s="6">
        <f t="shared" ca="1" si="5"/>
        <v>784842.62145045516</v>
      </c>
      <c r="M44" s="6">
        <f t="shared" si="6"/>
        <v>0</v>
      </c>
      <c r="N44" s="6">
        <f t="shared" si="7"/>
        <v>1362997.0883495389</v>
      </c>
      <c r="O44" s="6">
        <f t="shared" ca="1" si="8"/>
        <v>2936500.3494862211</v>
      </c>
    </row>
    <row r="45" spans="1:15">
      <c r="A45" s="197">
        <v>42948</v>
      </c>
      <c r="B45">
        <f t="shared" si="10"/>
        <v>8</v>
      </c>
      <c r="C45">
        <f t="shared" si="11"/>
        <v>2017</v>
      </c>
      <c r="D45" s="6">
        <f>'Monthly Data (longer 09-23)'!X105</f>
        <v>3048623</v>
      </c>
      <c r="E45" s="229">
        <f t="shared" ca="1" si="9"/>
        <v>0</v>
      </c>
      <c r="F45" s="229">
        <f t="shared" ca="1" si="9"/>
        <v>183.87605861546231</v>
      </c>
      <c r="G45">
        <f>'Monthly Data (14-23) Used'!BZ45</f>
        <v>0</v>
      </c>
      <c r="H45">
        <f>'Monthly Data (14-23) Used'!AR45</f>
        <v>165</v>
      </c>
      <c r="J45" s="6">
        <f t="shared" si="3"/>
        <v>788660.63968622696</v>
      </c>
      <c r="K45" s="6">
        <f t="shared" ca="1" si="4"/>
        <v>0</v>
      </c>
      <c r="L45" s="6">
        <f t="shared" ca="1" si="5"/>
        <v>683197.41388425441</v>
      </c>
      <c r="M45" s="6">
        <f t="shared" si="6"/>
        <v>0</v>
      </c>
      <c r="N45" s="6">
        <f t="shared" si="7"/>
        <v>1395993.2934678704</v>
      </c>
      <c r="O45" s="6">
        <f t="shared" ca="1" si="8"/>
        <v>2867851.3470383519</v>
      </c>
    </row>
    <row r="46" spans="1:15">
      <c r="A46" s="197">
        <v>42979</v>
      </c>
      <c r="B46">
        <f t="shared" si="10"/>
        <v>9</v>
      </c>
      <c r="C46">
        <f t="shared" si="11"/>
        <v>2017</v>
      </c>
      <c r="D46" s="6">
        <f>'Monthly Data (longer 09-23)'!X106</f>
        <v>2734668</v>
      </c>
      <c r="E46" s="229">
        <f t="shared" ca="1" si="9"/>
        <v>5.87</v>
      </c>
      <c r="F46" s="229">
        <f t="shared" ca="1" si="9"/>
        <v>90.709343102577066</v>
      </c>
      <c r="G46">
        <f>'Monthly Data (14-23) Used'!BZ46</f>
        <v>0</v>
      </c>
      <c r="H46">
        <f>'Monthly Data (14-23) Used'!AR46</f>
        <v>166</v>
      </c>
      <c r="J46" s="6">
        <f t="shared" si="3"/>
        <v>788660.63968622696</v>
      </c>
      <c r="K46" s="6">
        <f t="shared" ca="1" si="4"/>
        <v>5275.348430426202</v>
      </c>
      <c r="L46" s="6">
        <f t="shared" ca="1" si="5"/>
        <v>337033.48380129389</v>
      </c>
      <c r="M46" s="6">
        <f t="shared" si="6"/>
        <v>0</v>
      </c>
      <c r="N46" s="6">
        <f t="shared" si="7"/>
        <v>1404453.8588828272</v>
      </c>
      <c r="O46" s="6">
        <f t="shared" ca="1" si="8"/>
        <v>2535423.3308007745</v>
      </c>
    </row>
    <row r="47" spans="1:15">
      <c r="A47" s="197">
        <v>43009</v>
      </c>
      <c r="B47">
        <f t="shared" si="10"/>
        <v>10</v>
      </c>
      <c r="C47">
        <f t="shared" si="11"/>
        <v>2017</v>
      </c>
      <c r="D47" s="6">
        <f>'Monthly Data (longer 09-23)'!X107</f>
        <v>2665747</v>
      </c>
      <c r="E47" s="229">
        <f t="shared" ca="1" si="9"/>
        <v>99.500656897422942</v>
      </c>
      <c r="F47" s="229">
        <f t="shared" ca="1" si="9"/>
        <v>20.479999999999997</v>
      </c>
      <c r="G47">
        <f>'Monthly Data (14-23) Used'!BZ47</f>
        <v>1</v>
      </c>
      <c r="H47">
        <f>'Monthly Data (14-23) Used'!AR47</f>
        <v>164</v>
      </c>
      <c r="J47" s="6">
        <f t="shared" si="3"/>
        <v>788660.63968622696</v>
      </c>
      <c r="K47" s="6">
        <f t="shared" ca="1" si="4"/>
        <v>89420.891684871574</v>
      </c>
      <c r="L47" s="6">
        <f t="shared" ca="1" si="5"/>
        <v>76094.099154096926</v>
      </c>
      <c r="M47" s="6">
        <f t="shared" si="6"/>
        <v>135311.078711176</v>
      </c>
      <c r="N47" s="6">
        <f t="shared" si="7"/>
        <v>1387532.7280529137</v>
      </c>
      <c r="O47" s="6">
        <f t="shared" ca="1" si="8"/>
        <v>2477019.437289285</v>
      </c>
    </row>
    <row r="48" spans="1:15">
      <c r="A48" s="197">
        <v>43040</v>
      </c>
      <c r="B48">
        <f t="shared" si="10"/>
        <v>11</v>
      </c>
      <c r="C48">
        <f t="shared" si="11"/>
        <v>2017</v>
      </c>
      <c r="D48" s="6">
        <f>'Monthly Data (longer 09-23)'!X108</f>
        <v>2738878</v>
      </c>
      <c r="E48" s="229">
        <f t="shared" ca="1" si="9"/>
        <v>286.30065689742298</v>
      </c>
      <c r="F48" s="229">
        <f t="shared" ca="1" si="9"/>
        <v>0.6699999999999996</v>
      </c>
      <c r="G48">
        <f>'Monthly Data (14-23) Used'!BZ48</f>
        <v>1</v>
      </c>
      <c r="H48">
        <f>'Monthly Data (14-23) Used'!AR48</f>
        <v>165.3</v>
      </c>
      <c r="J48" s="6">
        <f t="shared" si="3"/>
        <v>788660.63968622696</v>
      </c>
      <c r="K48" s="6">
        <f t="shared" ca="1" si="4"/>
        <v>257297.39710286385</v>
      </c>
      <c r="L48" s="6">
        <f t="shared" ca="1" si="5"/>
        <v>2489.4065641232874</v>
      </c>
      <c r="M48" s="6">
        <f t="shared" si="6"/>
        <v>135311.078711176</v>
      </c>
      <c r="N48" s="6">
        <f t="shared" si="7"/>
        <v>1398531.4630923576</v>
      </c>
      <c r="O48" s="6">
        <f t="shared" ca="1" si="8"/>
        <v>2582289.9851567475</v>
      </c>
    </row>
    <row r="49" spans="1:15">
      <c r="A49" s="197">
        <v>43070</v>
      </c>
      <c r="B49">
        <f t="shared" si="10"/>
        <v>12</v>
      </c>
      <c r="C49">
        <f t="shared" si="11"/>
        <v>2017</v>
      </c>
      <c r="D49" s="6">
        <f>'Monthly Data (longer 09-23)'!X109</f>
        <v>2623050</v>
      </c>
      <c r="E49" s="229">
        <f t="shared" ca="1" si="9"/>
        <v>409.7700000000001</v>
      </c>
      <c r="F49" s="229">
        <f t="shared" ca="1" si="9"/>
        <v>0</v>
      </c>
      <c r="G49">
        <f>'Monthly Data (14-23) Used'!BZ49</f>
        <v>0</v>
      </c>
      <c r="H49">
        <f>'Monthly Data (14-23) Used'!AR49</f>
        <v>165.8</v>
      </c>
      <c r="J49" s="6">
        <f t="shared" si="3"/>
        <v>788660.63968622696</v>
      </c>
      <c r="K49" s="6">
        <f t="shared" ca="1" si="4"/>
        <v>368258.86308956478</v>
      </c>
      <c r="L49" s="6">
        <f t="shared" ca="1" si="5"/>
        <v>0</v>
      </c>
      <c r="M49" s="6">
        <f t="shared" si="6"/>
        <v>0</v>
      </c>
      <c r="N49" s="6">
        <f t="shared" si="7"/>
        <v>1402761.745799836</v>
      </c>
      <c r="O49" s="6">
        <f t="shared" ca="1" si="8"/>
        <v>2559681.2485756278</v>
      </c>
    </row>
    <row r="50" spans="1:15">
      <c r="A50" s="197">
        <v>43101</v>
      </c>
      <c r="B50">
        <f t="shared" si="10"/>
        <v>1</v>
      </c>
      <c r="C50">
        <f t="shared" si="11"/>
        <v>2018</v>
      </c>
      <c r="D50" s="6">
        <f>'Monthly Data (longer 09-23)'!X110</f>
        <v>2945901</v>
      </c>
      <c r="E50" s="229">
        <f t="shared" ca="1" si="9"/>
        <v>546.99999999999989</v>
      </c>
      <c r="F50" s="229">
        <f t="shared" ca="1" si="9"/>
        <v>0</v>
      </c>
      <c r="G50">
        <f>'Monthly Data (14-23) Used'!BZ50</f>
        <v>0</v>
      </c>
      <c r="H50">
        <f>'Monthly Data (14-23) Used'!AR50</f>
        <v>168.3</v>
      </c>
      <c r="J50" s="6">
        <f t="shared" si="3"/>
        <v>788660.63968622696</v>
      </c>
      <c r="K50" s="6">
        <f t="shared" ca="1" si="4"/>
        <v>491586.98321007355</v>
      </c>
      <c r="L50" s="6">
        <f t="shared" ca="1" si="5"/>
        <v>0</v>
      </c>
      <c r="M50" s="6">
        <f t="shared" si="6"/>
        <v>0</v>
      </c>
      <c r="N50" s="6">
        <f t="shared" si="7"/>
        <v>1423913.1593372279</v>
      </c>
      <c r="O50" s="6">
        <f t="shared" ca="1" si="8"/>
        <v>2704160.7822335288</v>
      </c>
    </row>
    <row r="51" spans="1:15">
      <c r="A51" s="197">
        <v>43132</v>
      </c>
      <c r="B51">
        <f t="shared" si="10"/>
        <v>2</v>
      </c>
      <c r="C51">
        <f t="shared" si="11"/>
        <v>2018</v>
      </c>
      <c r="D51" s="6">
        <f>'Monthly Data (longer 09-23)'!X111</f>
        <v>2641888</v>
      </c>
      <c r="E51" s="229">
        <f t="shared" ca="1" si="9"/>
        <v>482.71355229914104</v>
      </c>
      <c r="F51" s="229">
        <f t="shared" ca="1" si="9"/>
        <v>0</v>
      </c>
      <c r="G51">
        <f>'Monthly Data (14-23) Used'!BZ51</f>
        <v>0</v>
      </c>
      <c r="H51">
        <f>'Monthly Data (14-23) Used'!AR51</f>
        <v>165.4</v>
      </c>
      <c r="J51" s="6">
        <f t="shared" si="3"/>
        <v>788660.63968622696</v>
      </c>
      <c r="K51" s="6">
        <f t="shared" ca="1" si="4"/>
        <v>433812.97793300339</v>
      </c>
      <c r="L51" s="6">
        <f t="shared" ca="1" si="5"/>
        <v>0</v>
      </c>
      <c r="M51" s="6">
        <f t="shared" si="6"/>
        <v>0</v>
      </c>
      <c r="N51" s="6">
        <f t="shared" si="7"/>
        <v>1399377.5196338533</v>
      </c>
      <c r="O51" s="6">
        <f t="shared" ca="1" si="8"/>
        <v>2621851.1372530838</v>
      </c>
    </row>
    <row r="52" spans="1:15">
      <c r="A52" s="197">
        <v>43160</v>
      </c>
      <c r="B52">
        <f t="shared" si="10"/>
        <v>3</v>
      </c>
      <c r="C52">
        <f t="shared" si="11"/>
        <v>2018</v>
      </c>
      <c r="D52" s="6">
        <f>'Monthly Data (longer 09-23)'!X112</f>
        <v>2707092</v>
      </c>
      <c r="E52" s="229">
        <f t="shared" ca="1" si="9"/>
        <v>372.63355229914106</v>
      </c>
      <c r="F52" s="229">
        <f t="shared" ca="1" si="9"/>
        <v>0</v>
      </c>
      <c r="G52">
        <f>'Monthly Data (14-23) Used'!BZ52</f>
        <v>0</v>
      </c>
      <c r="H52">
        <f>'Monthly Data (14-23) Used'!AR52</f>
        <v>165.6</v>
      </c>
      <c r="J52" s="6">
        <f t="shared" si="3"/>
        <v>788660.63968622696</v>
      </c>
      <c r="K52" s="6">
        <f t="shared" ca="1" si="4"/>
        <v>334884.4676738354</v>
      </c>
      <c r="L52" s="6">
        <f t="shared" ca="1" si="5"/>
        <v>0</v>
      </c>
      <c r="M52" s="6">
        <f t="shared" si="6"/>
        <v>0</v>
      </c>
      <c r="N52" s="6">
        <f t="shared" si="7"/>
        <v>1401069.6327168446</v>
      </c>
      <c r="O52" s="6">
        <f t="shared" ca="1" si="8"/>
        <v>2524614.740076907</v>
      </c>
    </row>
    <row r="53" spans="1:15">
      <c r="A53" s="197">
        <v>43191</v>
      </c>
      <c r="B53">
        <f t="shared" si="10"/>
        <v>4</v>
      </c>
      <c r="C53">
        <f t="shared" si="11"/>
        <v>2018</v>
      </c>
      <c r="D53" s="6">
        <f>'Monthly Data (longer 09-23)'!X113</f>
        <v>2546244</v>
      </c>
      <c r="E53" s="229">
        <f t="shared" ca="1" si="9"/>
        <v>184.31</v>
      </c>
      <c r="F53" s="229">
        <f t="shared" ca="1" si="9"/>
        <v>3.0799999999999996</v>
      </c>
      <c r="G53">
        <f>'Monthly Data (14-23) Used'!BZ53</f>
        <v>0</v>
      </c>
      <c r="H53">
        <f>'Monthly Data (14-23) Used'!AR53</f>
        <v>166</v>
      </c>
      <c r="J53" s="6">
        <f t="shared" si="3"/>
        <v>788660.63968622696</v>
      </c>
      <c r="K53" s="6">
        <f t="shared" ca="1" si="4"/>
        <v>165638.75114341622</v>
      </c>
      <c r="L53" s="6">
        <f t="shared" ca="1" si="5"/>
        <v>11443.839130596609</v>
      </c>
      <c r="M53" s="6">
        <f t="shared" si="6"/>
        <v>0</v>
      </c>
      <c r="N53" s="6">
        <f t="shared" si="7"/>
        <v>1404453.8588828272</v>
      </c>
      <c r="O53" s="6">
        <f t="shared" ca="1" si="8"/>
        <v>2370197.0888430672</v>
      </c>
    </row>
    <row r="54" spans="1:15">
      <c r="A54" s="197">
        <v>43221</v>
      </c>
      <c r="B54">
        <f t="shared" si="10"/>
        <v>5</v>
      </c>
      <c r="C54">
        <f t="shared" si="11"/>
        <v>2018</v>
      </c>
      <c r="D54" s="6">
        <f>'Monthly Data (longer 09-23)'!X114</f>
        <v>2646635</v>
      </c>
      <c r="E54" s="229">
        <f t="shared" ref="E54:F66" ca="1" si="12">E42</f>
        <v>47.083552299140976</v>
      </c>
      <c r="F54" s="229">
        <f t="shared" ca="1" si="12"/>
        <v>53.286447700859014</v>
      </c>
      <c r="G54">
        <f>'Monthly Data (14-23) Used'!BZ54</f>
        <v>0</v>
      </c>
      <c r="H54">
        <f>'Monthly Data (14-23) Used'!AR54</f>
        <v>166.1</v>
      </c>
      <c r="J54" s="6">
        <f t="shared" ref="J54:J85" si="13">$S$9</f>
        <v>788660.63968622696</v>
      </c>
      <c r="K54" s="6">
        <f t="shared" ca="1" si="4"/>
        <v>42313.823461697328</v>
      </c>
      <c r="L54" s="6">
        <f t="shared" ca="1" si="5"/>
        <v>197987.51147064293</v>
      </c>
      <c r="M54" s="6">
        <f t="shared" si="6"/>
        <v>0</v>
      </c>
      <c r="N54" s="6">
        <f t="shared" si="7"/>
        <v>1405299.9154243229</v>
      </c>
      <c r="O54" s="6">
        <f t="shared" ref="O54:O85" ca="1" si="14">SUM(J54:N54)</f>
        <v>2434261.8900428899</v>
      </c>
    </row>
    <row r="55" spans="1:15">
      <c r="A55" s="197">
        <v>43252</v>
      </c>
      <c r="B55">
        <f t="shared" si="10"/>
        <v>6</v>
      </c>
      <c r="C55">
        <f t="shared" si="11"/>
        <v>2018</v>
      </c>
      <c r="D55" s="6">
        <f>'Monthly Data (longer 09-23)'!X115</f>
        <v>2755014</v>
      </c>
      <c r="E55" s="229">
        <f t="shared" ca="1" si="12"/>
        <v>0.4200000000000001</v>
      </c>
      <c r="F55" s="229">
        <f t="shared" ca="1" si="12"/>
        <v>145.07</v>
      </c>
      <c r="G55">
        <f>'Monthly Data (14-23) Used'!BZ55</f>
        <v>0</v>
      </c>
      <c r="H55">
        <f>'Monthly Data (14-23) Used'!AR55</f>
        <v>164.3</v>
      </c>
      <c r="J55" s="6">
        <f t="shared" si="13"/>
        <v>788660.63968622696</v>
      </c>
      <c r="K55" s="6">
        <f t="shared" ref="K55:K114" ca="1" si="15">E55*$S$10</f>
        <v>377.45252824173855</v>
      </c>
      <c r="L55" s="6">
        <f t="shared" ref="L55:L114" ca="1" si="16">F55*$S$11</f>
        <v>539012.2541154708</v>
      </c>
      <c r="M55" s="6">
        <f t="shared" ref="M55:M114" si="17">G55*$S$12</f>
        <v>0</v>
      </c>
      <c r="N55" s="6">
        <f t="shared" ref="N55:N114" si="18">H55*$S$13</f>
        <v>1390070.8976774008</v>
      </c>
      <c r="O55" s="6">
        <f t="shared" ca="1" si="14"/>
        <v>2718121.2440073406</v>
      </c>
    </row>
    <row r="56" spans="1:15">
      <c r="A56" s="197">
        <v>43282</v>
      </c>
      <c r="B56">
        <f t="shared" si="10"/>
        <v>7</v>
      </c>
      <c r="C56">
        <f t="shared" si="11"/>
        <v>2018</v>
      </c>
      <c r="D56" s="6">
        <f>'Monthly Data (longer 09-23)'!X116</f>
        <v>2895706</v>
      </c>
      <c r="E56" s="229">
        <f t="shared" ca="1" si="12"/>
        <v>0</v>
      </c>
      <c r="F56" s="229">
        <f t="shared" ca="1" si="12"/>
        <v>211.23289540171805</v>
      </c>
      <c r="G56">
        <f>'Monthly Data (14-23) Used'!BZ56</f>
        <v>0</v>
      </c>
      <c r="H56">
        <f>'Monthly Data (14-23) Used'!AR56</f>
        <v>164.1</v>
      </c>
      <c r="J56" s="6">
        <f t="shared" si="13"/>
        <v>788660.63968622696</v>
      </c>
      <c r="K56" s="6">
        <f t="shared" ca="1" si="15"/>
        <v>0</v>
      </c>
      <c r="L56" s="6">
        <f t="shared" ca="1" si="16"/>
        <v>784842.62145045516</v>
      </c>
      <c r="M56" s="6">
        <f t="shared" si="17"/>
        <v>0</v>
      </c>
      <c r="N56" s="6">
        <f t="shared" si="18"/>
        <v>1388378.7845944094</v>
      </c>
      <c r="O56" s="6">
        <f t="shared" ca="1" si="14"/>
        <v>2961882.0457310919</v>
      </c>
    </row>
    <row r="57" spans="1:15">
      <c r="A57" s="197">
        <v>43313</v>
      </c>
      <c r="B57">
        <f t="shared" si="10"/>
        <v>8</v>
      </c>
      <c r="C57">
        <f t="shared" si="11"/>
        <v>2018</v>
      </c>
      <c r="D57" s="6">
        <f>'Monthly Data (longer 09-23)'!X117</f>
        <v>2972667</v>
      </c>
      <c r="E57" s="229">
        <f t="shared" ca="1" si="12"/>
        <v>0</v>
      </c>
      <c r="F57" s="229">
        <f t="shared" ca="1" si="12"/>
        <v>183.87605861546231</v>
      </c>
      <c r="G57">
        <f>'Monthly Data (14-23) Used'!BZ57</f>
        <v>0</v>
      </c>
      <c r="H57">
        <f>'Monthly Data (14-23) Used'!AR57</f>
        <v>163.9</v>
      </c>
      <c r="J57" s="6">
        <f t="shared" si="13"/>
        <v>788660.63968622696</v>
      </c>
      <c r="K57" s="6">
        <f t="shared" ca="1" si="15"/>
        <v>0</v>
      </c>
      <c r="L57" s="6">
        <f t="shared" ca="1" si="16"/>
        <v>683197.41388425441</v>
      </c>
      <c r="M57" s="6">
        <f t="shared" si="17"/>
        <v>0</v>
      </c>
      <c r="N57" s="6">
        <f t="shared" si="18"/>
        <v>1386686.671511418</v>
      </c>
      <c r="O57" s="6">
        <f t="shared" ca="1" si="14"/>
        <v>2858544.7250818992</v>
      </c>
    </row>
    <row r="58" spans="1:15">
      <c r="A58" s="197">
        <v>43344</v>
      </c>
      <c r="B58">
        <f t="shared" si="10"/>
        <v>9</v>
      </c>
      <c r="C58">
        <f t="shared" si="11"/>
        <v>2018</v>
      </c>
      <c r="D58" s="6">
        <f>'Monthly Data (longer 09-23)'!X118</f>
        <v>2476319</v>
      </c>
      <c r="E58" s="229">
        <f t="shared" ca="1" si="12"/>
        <v>5.87</v>
      </c>
      <c r="F58" s="229">
        <f t="shared" ca="1" si="12"/>
        <v>90.709343102577066</v>
      </c>
      <c r="G58">
        <f>'Monthly Data (14-23) Used'!BZ58</f>
        <v>0</v>
      </c>
      <c r="H58">
        <f>'Monthly Data (14-23) Used'!AR58</f>
        <v>164.4</v>
      </c>
      <c r="J58" s="6">
        <f t="shared" si="13"/>
        <v>788660.63968622696</v>
      </c>
      <c r="K58" s="6">
        <f t="shared" ca="1" si="15"/>
        <v>5275.348430426202</v>
      </c>
      <c r="L58" s="6">
        <f t="shared" ca="1" si="16"/>
        <v>337033.48380129389</v>
      </c>
      <c r="M58" s="6">
        <f t="shared" si="17"/>
        <v>0</v>
      </c>
      <c r="N58" s="6">
        <f t="shared" si="18"/>
        <v>1390916.9542188966</v>
      </c>
      <c r="O58" s="6">
        <f t="shared" ca="1" si="14"/>
        <v>2521886.4261368439</v>
      </c>
    </row>
    <row r="59" spans="1:15">
      <c r="A59" s="197">
        <v>43374</v>
      </c>
      <c r="B59">
        <f t="shared" si="10"/>
        <v>10</v>
      </c>
      <c r="C59">
        <f t="shared" si="11"/>
        <v>2018</v>
      </c>
      <c r="D59" s="6">
        <f>'Monthly Data (longer 09-23)'!X119</f>
        <v>2237779</v>
      </c>
      <c r="E59" s="229">
        <f t="shared" ca="1" si="12"/>
        <v>99.500656897422942</v>
      </c>
      <c r="F59" s="229">
        <f t="shared" ca="1" si="12"/>
        <v>20.479999999999997</v>
      </c>
      <c r="G59">
        <f>'Monthly Data (14-23) Used'!BZ59</f>
        <v>1</v>
      </c>
      <c r="H59">
        <f>'Monthly Data (14-23) Used'!AR59</f>
        <v>164.9</v>
      </c>
      <c r="J59" s="6">
        <f t="shared" si="13"/>
        <v>788660.63968622696</v>
      </c>
      <c r="K59" s="6">
        <f t="shared" ca="1" si="15"/>
        <v>89420.891684871574</v>
      </c>
      <c r="L59" s="6">
        <f t="shared" ca="1" si="16"/>
        <v>76094.099154096926</v>
      </c>
      <c r="M59" s="6">
        <f t="shared" si="17"/>
        <v>135311.078711176</v>
      </c>
      <c r="N59" s="6">
        <f t="shared" si="18"/>
        <v>1395147.236926375</v>
      </c>
      <c r="O59" s="6">
        <f t="shared" ca="1" si="14"/>
        <v>2484633.9461627463</v>
      </c>
    </row>
    <row r="60" spans="1:15">
      <c r="A60" s="197">
        <v>43405</v>
      </c>
      <c r="B60">
        <f t="shared" si="10"/>
        <v>11</v>
      </c>
      <c r="C60">
        <f t="shared" si="11"/>
        <v>2018</v>
      </c>
      <c r="D60" s="6">
        <f>'Monthly Data (longer 09-23)'!X120</f>
        <v>2748670</v>
      </c>
      <c r="E60" s="229">
        <f t="shared" ca="1" si="12"/>
        <v>286.30065689742298</v>
      </c>
      <c r="F60" s="229">
        <f t="shared" ca="1" si="12"/>
        <v>0.6699999999999996</v>
      </c>
      <c r="G60">
        <f>'Monthly Data (14-23) Used'!BZ60</f>
        <v>1</v>
      </c>
      <c r="H60">
        <f>'Monthly Data (14-23) Used'!AR60</f>
        <v>168.2</v>
      </c>
      <c r="J60" s="6">
        <f t="shared" si="13"/>
        <v>788660.63968622696</v>
      </c>
      <c r="K60" s="6">
        <f t="shared" ca="1" si="15"/>
        <v>257297.39710286385</v>
      </c>
      <c r="L60" s="6">
        <f t="shared" ca="1" si="16"/>
        <v>2489.4065641232874</v>
      </c>
      <c r="M60" s="6">
        <f t="shared" si="17"/>
        <v>135311.078711176</v>
      </c>
      <c r="N60" s="6">
        <f t="shared" si="18"/>
        <v>1423067.1027957322</v>
      </c>
      <c r="O60" s="6">
        <f t="shared" ca="1" si="14"/>
        <v>2606825.6248601223</v>
      </c>
    </row>
    <row r="61" spans="1:15">
      <c r="A61" s="197">
        <v>43435</v>
      </c>
      <c r="B61">
        <f t="shared" si="10"/>
        <v>12</v>
      </c>
      <c r="C61">
        <f t="shared" si="11"/>
        <v>2018</v>
      </c>
      <c r="D61" s="6">
        <f>'Monthly Data (longer 09-23)'!X121</f>
        <v>2349326</v>
      </c>
      <c r="E61" s="229">
        <f t="shared" ca="1" si="12"/>
        <v>409.7700000000001</v>
      </c>
      <c r="F61" s="229">
        <f t="shared" ca="1" si="12"/>
        <v>0</v>
      </c>
      <c r="G61">
        <f>'Monthly Data (14-23) Used'!BZ61</f>
        <v>0</v>
      </c>
      <c r="H61">
        <f>'Monthly Data (14-23) Used'!AR61</f>
        <v>170.2</v>
      </c>
      <c r="J61" s="6">
        <f t="shared" si="13"/>
        <v>788660.63968622696</v>
      </c>
      <c r="K61" s="6">
        <f t="shared" ca="1" si="15"/>
        <v>368258.86308956478</v>
      </c>
      <c r="L61" s="6">
        <f t="shared" ca="1" si="16"/>
        <v>0</v>
      </c>
      <c r="M61" s="6">
        <f t="shared" si="17"/>
        <v>0</v>
      </c>
      <c r="N61" s="6">
        <f t="shared" si="18"/>
        <v>1439988.2336256457</v>
      </c>
      <c r="O61" s="6">
        <f t="shared" ca="1" si="14"/>
        <v>2596907.7364014378</v>
      </c>
    </row>
    <row r="62" spans="1:15">
      <c r="A62" s="197">
        <v>43466</v>
      </c>
      <c r="B62">
        <f t="shared" si="10"/>
        <v>1</v>
      </c>
      <c r="C62">
        <f t="shared" si="11"/>
        <v>2019</v>
      </c>
      <c r="D62" s="6">
        <f>'Monthly Data (longer 09-23)'!X122</f>
        <v>2994820</v>
      </c>
      <c r="E62" s="229">
        <f t="shared" ca="1" si="12"/>
        <v>546.99999999999989</v>
      </c>
      <c r="F62" s="229">
        <f t="shared" ca="1" si="12"/>
        <v>0</v>
      </c>
      <c r="G62">
        <f>'Monthly Data (14-23) Used'!BZ62</f>
        <v>0</v>
      </c>
      <c r="H62">
        <f>'Monthly Data (14-23) Used'!AR62</f>
        <v>172.7</v>
      </c>
      <c r="J62" s="6">
        <f t="shared" si="13"/>
        <v>788660.63968622696</v>
      </c>
      <c r="K62" s="6">
        <f t="shared" ca="1" si="15"/>
        <v>491586.98321007355</v>
      </c>
      <c r="L62" s="6">
        <f t="shared" ca="1" si="16"/>
        <v>0</v>
      </c>
      <c r="M62" s="6">
        <f t="shared" si="17"/>
        <v>0</v>
      </c>
      <c r="N62" s="6">
        <f t="shared" si="18"/>
        <v>1461139.6471630377</v>
      </c>
      <c r="O62" s="6">
        <f t="shared" ca="1" si="14"/>
        <v>2741387.2700593383</v>
      </c>
    </row>
    <row r="63" spans="1:15">
      <c r="A63" s="197">
        <v>43497</v>
      </c>
      <c r="B63">
        <f t="shared" si="10"/>
        <v>2</v>
      </c>
      <c r="C63">
        <f t="shared" si="11"/>
        <v>2019</v>
      </c>
      <c r="D63" s="6">
        <f>'Monthly Data (longer 09-23)'!X123</f>
        <v>2804290</v>
      </c>
      <c r="E63" s="229">
        <f t="shared" ca="1" si="12"/>
        <v>482.71355229914104</v>
      </c>
      <c r="F63" s="229">
        <f t="shared" ca="1" si="12"/>
        <v>0</v>
      </c>
      <c r="G63">
        <f>'Monthly Data (14-23) Used'!BZ63</f>
        <v>0</v>
      </c>
      <c r="H63">
        <f>'Monthly Data (14-23) Used'!AR63</f>
        <v>173.5</v>
      </c>
      <c r="J63" s="6">
        <f t="shared" si="13"/>
        <v>788660.63968622696</v>
      </c>
      <c r="K63" s="6">
        <f t="shared" ca="1" si="15"/>
        <v>433812.97793300339</v>
      </c>
      <c r="L63" s="6">
        <f t="shared" ca="1" si="16"/>
        <v>0</v>
      </c>
      <c r="M63" s="6">
        <f t="shared" si="17"/>
        <v>0</v>
      </c>
      <c r="N63" s="6">
        <f t="shared" si="18"/>
        <v>1467908.0994950032</v>
      </c>
      <c r="O63" s="6">
        <f t="shared" ca="1" si="14"/>
        <v>2690381.7171142334</v>
      </c>
    </row>
    <row r="64" spans="1:15">
      <c r="A64" s="197">
        <v>43525</v>
      </c>
      <c r="B64">
        <f t="shared" si="10"/>
        <v>3</v>
      </c>
      <c r="C64">
        <f t="shared" si="11"/>
        <v>2019</v>
      </c>
      <c r="D64" s="6">
        <f>'Monthly Data (longer 09-23)'!X124</f>
        <v>2876384</v>
      </c>
      <c r="E64" s="229">
        <f t="shared" ca="1" si="12"/>
        <v>372.63355229914106</v>
      </c>
      <c r="F64" s="229">
        <f t="shared" ca="1" si="12"/>
        <v>0</v>
      </c>
      <c r="G64">
        <f>'Monthly Data (14-23) Used'!BZ64</f>
        <v>0</v>
      </c>
      <c r="H64">
        <f>'Monthly Data (14-23) Used'!AR64</f>
        <v>175.2</v>
      </c>
      <c r="J64" s="6">
        <f t="shared" si="13"/>
        <v>788660.63968622696</v>
      </c>
      <c r="K64" s="6">
        <f t="shared" ca="1" si="15"/>
        <v>334884.4676738354</v>
      </c>
      <c r="L64" s="6">
        <f t="shared" ca="1" si="16"/>
        <v>0</v>
      </c>
      <c r="M64" s="6">
        <f t="shared" si="17"/>
        <v>0</v>
      </c>
      <c r="N64" s="6">
        <f t="shared" si="18"/>
        <v>1482291.0607004296</v>
      </c>
      <c r="O64" s="6">
        <f t="shared" ca="1" si="14"/>
        <v>2605836.1680604918</v>
      </c>
    </row>
    <row r="65" spans="1:15">
      <c r="A65" s="197">
        <v>43556</v>
      </c>
      <c r="B65">
        <f t="shared" si="10"/>
        <v>4</v>
      </c>
      <c r="C65">
        <f t="shared" si="11"/>
        <v>2019</v>
      </c>
      <c r="D65" s="6">
        <f>'Monthly Data (longer 09-23)'!X125</f>
        <v>2696906</v>
      </c>
      <c r="E65" s="229">
        <f t="shared" ca="1" si="12"/>
        <v>184.31</v>
      </c>
      <c r="F65" s="229">
        <f t="shared" ca="1" si="12"/>
        <v>3.0799999999999996</v>
      </c>
      <c r="G65">
        <f>'Monthly Data (14-23) Used'!BZ65</f>
        <v>0</v>
      </c>
      <c r="H65">
        <f>'Monthly Data (14-23) Used'!AR65</f>
        <v>175.5</v>
      </c>
      <c r="J65" s="6">
        <f t="shared" si="13"/>
        <v>788660.63968622696</v>
      </c>
      <c r="K65" s="6">
        <f t="shared" ca="1" si="15"/>
        <v>165638.75114341622</v>
      </c>
      <c r="L65" s="6">
        <f t="shared" ca="1" si="16"/>
        <v>11443.839130596609</v>
      </c>
      <c r="M65" s="6">
        <f t="shared" si="17"/>
        <v>0</v>
      </c>
      <c r="N65" s="6">
        <f t="shared" si="18"/>
        <v>1484829.2303249168</v>
      </c>
      <c r="O65" s="6">
        <f t="shared" ca="1" si="14"/>
        <v>2450572.4602851565</v>
      </c>
    </row>
    <row r="66" spans="1:15">
      <c r="A66" s="197">
        <v>43586</v>
      </c>
      <c r="B66">
        <f t="shared" si="10"/>
        <v>5</v>
      </c>
      <c r="C66">
        <f t="shared" si="11"/>
        <v>2019</v>
      </c>
      <c r="D66" s="6">
        <f>'Monthly Data (longer 09-23)'!X126</f>
        <v>2767778</v>
      </c>
      <c r="E66" s="229">
        <f t="shared" ca="1" si="12"/>
        <v>47.083552299140976</v>
      </c>
      <c r="F66" s="229">
        <f t="shared" ca="1" si="12"/>
        <v>53.286447700859014</v>
      </c>
      <c r="G66">
        <f>'Monthly Data (14-23) Used'!BZ66</f>
        <v>0</v>
      </c>
      <c r="H66">
        <f>'Monthly Data (14-23) Used'!AR66</f>
        <v>176.6</v>
      </c>
      <c r="J66" s="6">
        <f t="shared" si="13"/>
        <v>788660.63968622696</v>
      </c>
      <c r="K66" s="6">
        <f t="shared" ca="1" si="15"/>
        <v>42313.823461697328</v>
      </c>
      <c r="L66" s="6">
        <f t="shared" ca="1" si="16"/>
        <v>197987.51147064293</v>
      </c>
      <c r="M66" s="6">
        <f t="shared" si="17"/>
        <v>0</v>
      </c>
      <c r="N66" s="6">
        <f t="shared" si="18"/>
        <v>1494135.8522813693</v>
      </c>
      <c r="O66" s="6">
        <f t="shared" ca="1" si="14"/>
        <v>2523097.8268999364</v>
      </c>
    </row>
    <row r="67" spans="1:15">
      <c r="A67" s="197">
        <v>43617</v>
      </c>
      <c r="B67">
        <f t="shared" si="10"/>
        <v>6</v>
      </c>
      <c r="C67">
        <f t="shared" si="11"/>
        <v>2019</v>
      </c>
      <c r="D67" s="6">
        <f>'Monthly Data (longer 09-23)'!X127</f>
        <v>2804829</v>
      </c>
      <c r="E67" s="229">
        <f t="shared" ref="E67:E130" ca="1" si="19">E55</f>
        <v>0.4200000000000001</v>
      </c>
      <c r="F67" s="229">
        <f t="shared" ref="F67:G130" ca="1" si="20">F55</f>
        <v>145.07</v>
      </c>
      <c r="G67">
        <f>'Monthly Data (14-23) Used'!BZ67</f>
        <v>0</v>
      </c>
      <c r="H67">
        <f>'Monthly Data (14-23) Used'!AR67</f>
        <v>174.6</v>
      </c>
      <c r="J67" s="6">
        <f t="shared" si="13"/>
        <v>788660.63968622696</v>
      </c>
      <c r="K67" s="6">
        <f t="shared" ca="1" si="15"/>
        <v>377.45252824173855</v>
      </c>
      <c r="L67" s="6">
        <f t="shared" ca="1" si="16"/>
        <v>539012.2541154708</v>
      </c>
      <c r="M67" s="6">
        <f t="shared" si="17"/>
        <v>0</v>
      </c>
      <c r="N67" s="6">
        <f t="shared" si="18"/>
        <v>1477214.7214514557</v>
      </c>
      <c r="O67" s="6">
        <f t="shared" ca="1" si="14"/>
        <v>2805265.0677813953</v>
      </c>
    </row>
    <row r="68" spans="1:15">
      <c r="A68" s="197">
        <v>43647</v>
      </c>
      <c r="B68">
        <f t="shared" si="10"/>
        <v>7</v>
      </c>
      <c r="C68">
        <f t="shared" si="11"/>
        <v>2019</v>
      </c>
      <c r="D68" s="6">
        <f>'Monthly Data (longer 09-23)'!X128</f>
        <v>3303632</v>
      </c>
      <c r="E68" s="229">
        <f t="shared" ca="1" si="19"/>
        <v>0</v>
      </c>
      <c r="F68" s="229">
        <f t="shared" ca="1" si="20"/>
        <v>211.23289540171805</v>
      </c>
      <c r="G68">
        <f>'Monthly Data (14-23) Used'!BZ68</f>
        <v>0</v>
      </c>
      <c r="H68">
        <f>'Monthly Data (14-23) Used'!AR68</f>
        <v>171.5</v>
      </c>
      <c r="J68" s="6">
        <f t="shared" si="13"/>
        <v>788660.63968622696</v>
      </c>
      <c r="K68" s="6">
        <f t="shared" ca="1" si="15"/>
        <v>0</v>
      </c>
      <c r="L68" s="6">
        <f t="shared" ca="1" si="16"/>
        <v>784842.62145045516</v>
      </c>
      <c r="M68" s="6">
        <f t="shared" si="17"/>
        <v>0</v>
      </c>
      <c r="N68" s="6">
        <f t="shared" si="18"/>
        <v>1450986.9686650897</v>
      </c>
      <c r="O68" s="6">
        <f t="shared" ca="1" si="14"/>
        <v>3024490.2298017722</v>
      </c>
    </row>
    <row r="69" spans="1:15">
      <c r="A69" s="197">
        <v>43678</v>
      </c>
      <c r="B69">
        <f t="shared" si="10"/>
        <v>8</v>
      </c>
      <c r="C69">
        <f t="shared" si="11"/>
        <v>2019</v>
      </c>
      <c r="D69" s="6">
        <f>'Monthly Data (longer 09-23)'!X129</f>
        <v>3098231</v>
      </c>
      <c r="E69" s="229">
        <f t="shared" ca="1" si="19"/>
        <v>0</v>
      </c>
      <c r="F69" s="229">
        <f t="shared" ca="1" si="20"/>
        <v>183.87605861546231</v>
      </c>
      <c r="G69">
        <f>'Monthly Data (14-23) Used'!BZ69</f>
        <v>0</v>
      </c>
      <c r="H69">
        <f>'Monthly Data (14-23) Used'!AR69</f>
        <v>169.3</v>
      </c>
      <c r="J69" s="6">
        <f t="shared" si="13"/>
        <v>788660.63968622696</v>
      </c>
      <c r="K69" s="6">
        <f t="shared" ca="1" si="15"/>
        <v>0</v>
      </c>
      <c r="L69" s="6">
        <f t="shared" ca="1" si="16"/>
        <v>683197.41388425441</v>
      </c>
      <c r="M69" s="6">
        <f t="shared" si="17"/>
        <v>0</v>
      </c>
      <c r="N69" s="6">
        <f t="shared" si="18"/>
        <v>1432373.7247521847</v>
      </c>
      <c r="O69" s="6">
        <f t="shared" ca="1" si="14"/>
        <v>2904231.778322666</v>
      </c>
    </row>
    <row r="70" spans="1:15">
      <c r="A70" s="197">
        <v>43709</v>
      </c>
      <c r="B70">
        <f t="shared" si="10"/>
        <v>9</v>
      </c>
      <c r="C70">
        <f t="shared" si="11"/>
        <v>2019</v>
      </c>
      <c r="D70" s="6">
        <f>'Monthly Data (longer 09-23)'!X130</f>
        <v>2896036</v>
      </c>
      <c r="E70" s="229">
        <f t="shared" ca="1" si="19"/>
        <v>5.87</v>
      </c>
      <c r="F70" s="229">
        <f t="shared" ca="1" si="20"/>
        <v>90.709343102577066</v>
      </c>
      <c r="G70">
        <f>'Monthly Data (14-23) Used'!BZ70</f>
        <v>0</v>
      </c>
      <c r="H70">
        <f>'Monthly Data (14-23) Used'!AR70</f>
        <v>169.1</v>
      </c>
      <c r="J70" s="6">
        <f t="shared" si="13"/>
        <v>788660.63968622696</v>
      </c>
      <c r="K70" s="6">
        <f t="shared" ca="1" si="15"/>
        <v>5275.348430426202</v>
      </c>
      <c r="L70" s="6">
        <f t="shared" ca="1" si="16"/>
        <v>337033.48380129389</v>
      </c>
      <c r="M70" s="6">
        <f t="shared" si="17"/>
        <v>0</v>
      </c>
      <c r="N70" s="6">
        <f t="shared" si="18"/>
        <v>1430681.6116691933</v>
      </c>
      <c r="O70" s="6">
        <f t="shared" ca="1" si="14"/>
        <v>2561651.0835871403</v>
      </c>
    </row>
    <row r="71" spans="1:15">
      <c r="A71" s="197">
        <v>43739</v>
      </c>
      <c r="B71">
        <f t="shared" si="10"/>
        <v>10</v>
      </c>
      <c r="C71">
        <f t="shared" si="11"/>
        <v>2019</v>
      </c>
      <c r="D71" s="6">
        <f>'Monthly Data (longer 09-23)'!X131</f>
        <v>2797177</v>
      </c>
      <c r="E71" s="229">
        <f t="shared" ca="1" si="19"/>
        <v>99.500656897422942</v>
      </c>
      <c r="F71" s="229">
        <f t="shared" ca="1" si="20"/>
        <v>20.479999999999997</v>
      </c>
      <c r="G71">
        <f>'Monthly Data (14-23) Used'!BZ71</f>
        <v>1</v>
      </c>
      <c r="H71">
        <f>'Monthly Data (14-23) Used'!AR71</f>
        <v>170.3</v>
      </c>
      <c r="J71" s="6">
        <f t="shared" si="13"/>
        <v>788660.63968622696</v>
      </c>
      <c r="K71" s="6">
        <f t="shared" ca="1" si="15"/>
        <v>89420.891684871574</v>
      </c>
      <c r="L71" s="6">
        <f t="shared" ca="1" si="16"/>
        <v>76094.099154096926</v>
      </c>
      <c r="M71" s="6">
        <f t="shared" si="17"/>
        <v>135311.078711176</v>
      </c>
      <c r="N71" s="6">
        <f t="shared" si="18"/>
        <v>1440834.2901671415</v>
      </c>
      <c r="O71" s="6">
        <f t="shared" ca="1" si="14"/>
        <v>2530320.999403513</v>
      </c>
    </row>
    <row r="72" spans="1:15">
      <c r="A72" s="197">
        <v>43770</v>
      </c>
      <c r="B72">
        <f t="shared" si="10"/>
        <v>11</v>
      </c>
      <c r="C72">
        <f t="shared" si="11"/>
        <v>2019</v>
      </c>
      <c r="D72" s="6">
        <f>'Monthly Data (longer 09-23)'!X132</f>
        <v>2901691</v>
      </c>
      <c r="E72" s="229">
        <f t="shared" ca="1" si="19"/>
        <v>286.30065689742298</v>
      </c>
      <c r="F72" s="229">
        <f t="shared" ca="1" si="20"/>
        <v>0.6699999999999996</v>
      </c>
      <c r="G72">
        <f>'Monthly Data (14-23) Used'!BZ72</f>
        <v>1</v>
      </c>
      <c r="H72">
        <f>'Monthly Data (14-23) Used'!AR72</f>
        <v>168.5</v>
      </c>
      <c r="J72" s="6">
        <f t="shared" si="13"/>
        <v>788660.63968622696</v>
      </c>
      <c r="K72" s="6">
        <f t="shared" ca="1" si="15"/>
        <v>257297.39710286385</v>
      </c>
      <c r="L72" s="6">
        <f t="shared" ca="1" si="16"/>
        <v>2489.4065641232874</v>
      </c>
      <c r="M72" s="6">
        <f t="shared" si="17"/>
        <v>135311.078711176</v>
      </c>
      <c r="N72" s="6">
        <f t="shared" si="18"/>
        <v>1425605.2724202191</v>
      </c>
      <c r="O72" s="6">
        <f t="shared" ca="1" si="14"/>
        <v>2609363.7944846093</v>
      </c>
    </row>
    <row r="73" spans="1:15">
      <c r="A73" s="197">
        <v>43800</v>
      </c>
      <c r="B73">
        <f t="shared" si="10"/>
        <v>12</v>
      </c>
      <c r="C73">
        <f t="shared" si="11"/>
        <v>2019</v>
      </c>
      <c r="D73" s="6">
        <f>'Monthly Data (longer 09-23)'!X133</f>
        <v>2584611</v>
      </c>
      <c r="E73" s="229">
        <f t="shared" ca="1" si="19"/>
        <v>409.7700000000001</v>
      </c>
      <c r="F73" s="229">
        <f t="shared" ca="1" si="20"/>
        <v>0</v>
      </c>
      <c r="G73">
        <f>'Monthly Data (14-23) Used'!BZ73</f>
        <v>0</v>
      </c>
      <c r="H73">
        <f>'Monthly Data (14-23) Used'!AR73</f>
        <v>167.7</v>
      </c>
      <c r="J73" s="6">
        <f t="shared" si="13"/>
        <v>788660.63968622696</v>
      </c>
      <c r="K73" s="6">
        <f t="shared" ca="1" si="15"/>
        <v>368258.86308956478</v>
      </c>
      <c r="L73" s="6">
        <f t="shared" ca="1" si="16"/>
        <v>0</v>
      </c>
      <c r="M73" s="6">
        <f t="shared" si="17"/>
        <v>0</v>
      </c>
      <c r="N73" s="6">
        <f t="shared" si="18"/>
        <v>1418836.8200882538</v>
      </c>
      <c r="O73" s="6">
        <f t="shared" ca="1" si="14"/>
        <v>2575756.3228640454</v>
      </c>
    </row>
    <row r="74" spans="1:15">
      <c r="A74" s="197">
        <v>43831</v>
      </c>
      <c r="B74">
        <f t="shared" si="10"/>
        <v>1</v>
      </c>
      <c r="C74">
        <f t="shared" si="11"/>
        <v>2020</v>
      </c>
      <c r="D74" s="6">
        <f>'Monthly Data (longer 09-23)'!X134</f>
        <v>2683483</v>
      </c>
      <c r="E74" s="229">
        <f t="shared" ca="1" si="19"/>
        <v>546.99999999999989</v>
      </c>
      <c r="F74" s="229">
        <f t="shared" ca="1" si="20"/>
        <v>0</v>
      </c>
      <c r="G74">
        <f>'Monthly Data (14-23) Used'!BZ74</f>
        <v>0</v>
      </c>
      <c r="H74">
        <f>'Monthly Data (14-23) Used'!AR74</f>
        <v>166.2</v>
      </c>
      <c r="J74" s="6">
        <f t="shared" si="13"/>
        <v>788660.63968622696</v>
      </c>
      <c r="K74" s="6">
        <f t="shared" ca="1" si="15"/>
        <v>491586.98321007355</v>
      </c>
      <c r="L74" s="6">
        <f t="shared" ca="1" si="16"/>
        <v>0</v>
      </c>
      <c r="M74" s="6">
        <f t="shared" si="17"/>
        <v>0</v>
      </c>
      <c r="N74" s="6">
        <f t="shared" si="18"/>
        <v>1406145.9719658184</v>
      </c>
      <c r="O74" s="6">
        <f t="shared" ca="1" si="14"/>
        <v>2686393.5948621193</v>
      </c>
    </row>
    <row r="75" spans="1:15">
      <c r="A75" s="197">
        <v>43862</v>
      </c>
      <c r="B75">
        <f t="shared" si="10"/>
        <v>2</v>
      </c>
      <c r="C75">
        <f t="shared" si="11"/>
        <v>2020</v>
      </c>
      <c r="D75" s="6">
        <f>'Monthly Data (longer 09-23)'!X135</f>
        <v>2439682</v>
      </c>
      <c r="E75" s="229">
        <f t="shared" ca="1" si="19"/>
        <v>482.71355229914104</v>
      </c>
      <c r="F75" s="229">
        <f t="shared" ca="1" si="20"/>
        <v>0</v>
      </c>
      <c r="G75">
        <f>'Monthly Data (14-23) Used'!BZ75</f>
        <v>0</v>
      </c>
      <c r="H75">
        <f>'Monthly Data (14-23) Used'!AR75</f>
        <v>167.8</v>
      </c>
      <c r="J75" s="6">
        <f t="shared" si="13"/>
        <v>788660.63968622696</v>
      </c>
      <c r="K75" s="6">
        <f t="shared" ca="1" si="15"/>
        <v>433812.97793300339</v>
      </c>
      <c r="L75" s="6">
        <f t="shared" ca="1" si="16"/>
        <v>0</v>
      </c>
      <c r="M75" s="6">
        <f t="shared" si="17"/>
        <v>0</v>
      </c>
      <c r="N75" s="6">
        <f t="shared" si="18"/>
        <v>1419682.8766297495</v>
      </c>
      <c r="O75" s="6">
        <f t="shared" ca="1" si="14"/>
        <v>2642156.4942489797</v>
      </c>
    </row>
    <row r="76" spans="1:15">
      <c r="A76" s="197">
        <v>43891</v>
      </c>
      <c r="B76">
        <f t="shared" si="10"/>
        <v>3</v>
      </c>
      <c r="C76">
        <f t="shared" si="11"/>
        <v>2020</v>
      </c>
      <c r="D76" s="6">
        <f>'Monthly Data (longer 09-23)'!X136</f>
        <v>2394362</v>
      </c>
      <c r="E76" s="229">
        <f t="shared" ca="1" si="19"/>
        <v>372.63355229914106</v>
      </c>
      <c r="F76" s="229">
        <f t="shared" ca="1" si="20"/>
        <v>0</v>
      </c>
      <c r="G76">
        <f>'Monthly Data (14-23) Used'!BZ76</f>
        <v>0</v>
      </c>
      <c r="H76">
        <f>'Monthly Data (14-23) Used'!AR76</f>
        <v>162</v>
      </c>
      <c r="J76" s="6">
        <f t="shared" si="13"/>
        <v>788660.63968622696</v>
      </c>
      <c r="K76" s="6">
        <f t="shared" ca="1" si="15"/>
        <v>334884.4676738354</v>
      </c>
      <c r="L76" s="6">
        <f t="shared" ca="1" si="16"/>
        <v>0</v>
      </c>
      <c r="M76" s="6">
        <f t="shared" si="17"/>
        <v>0</v>
      </c>
      <c r="N76" s="6">
        <f t="shared" si="18"/>
        <v>1370611.5972230001</v>
      </c>
      <c r="O76" s="6">
        <f t="shared" ca="1" si="14"/>
        <v>2494156.7045830628</v>
      </c>
    </row>
    <row r="77" spans="1:15">
      <c r="A77" s="197">
        <v>43922</v>
      </c>
      <c r="B77">
        <f t="shared" si="10"/>
        <v>4</v>
      </c>
      <c r="C77">
        <f t="shared" si="11"/>
        <v>2020</v>
      </c>
      <c r="D77" s="6">
        <f>'Monthly Data (longer 09-23)'!X137</f>
        <v>1877577</v>
      </c>
      <c r="E77" s="229">
        <f t="shared" ca="1" si="19"/>
        <v>184.31</v>
      </c>
      <c r="F77" s="229">
        <f t="shared" ca="1" si="20"/>
        <v>3.0799999999999996</v>
      </c>
      <c r="G77">
        <f>'Monthly Data (14-23) Used'!BZ77</f>
        <v>0</v>
      </c>
      <c r="H77">
        <f>'Monthly Data (14-23) Used'!AR77</f>
        <v>149.1</v>
      </c>
      <c r="J77" s="6">
        <f t="shared" si="13"/>
        <v>788660.63968622696</v>
      </c>
      <c r="K77" s="6">
        <f t="shared" ca="1" si="15"/>
        <v>165638.75114341622</v>
      </c>
      <c r="L77" s="6">
        <f t="shared" ca="1" si="16"/>
        <v>11443.839130596609</v>
      </c>
      <c r="M77" s="6">
        <f t="shared" si="17"/>
        <v>0</v>
      </c>
      <c r="N77" s="6">
        <f t="shared" si="18"/>
        <v>1261470.3033700574</v>
      </c>
      <c r="O77" s="6">
        <f t="shared" ca="1" si="14"/>
        <v>2227213.5333302971</v>
      </c>
    </row>
    <row r="78" spans="1:15">
      <c r="A78" s="197">
        <v>43952</v>
      </c>
      <c r="B78">
        <f t="shared" si="10"/>
        <v>5</v>
      </c>
      <c r="C78">
        <f t="shared" si="11"/>
        <v>2020</v>
      </c>
      <c r="D78" s="6">
        <f>'Monthly Data (longer 09-23)'!X138</f>
        <v>2179756</v>
      </c>
      <c r="E78" s="229">
        <f t="shared" ca="1" si="19"/>
        <v>47.083552299140976</v>
      </c>
      <c r="F78" s="229">
        <f t="shared" ca="1" si="20"/>
        <v>53.286447700859014</v>
      </c>
      <c r="G78">
        <f>'Monthly Data (14-23) Used'!BZ78</f>
        <v>0</v>
      </c>
      <c r="H78">
        <f>'Monthly Data (14-23) Used'!AR78</f>
        <v>137.69999999999999</v>
      </c>
      <c r="J78" s="6">
        <f t="shared" si="13"/>
        <v>788660.63968622696</v>
      </c>
      <c r="K78" s="6">
        <f t="shared" ca="1" si="15"/>
        <v>42313.823461697328</v>
      </c>
      <c r="L78" s="6">
        <f t="shared" ca="1" si="16"/>
        <v>197987.51147064293</v>
      </c>
      <c r="M78" s="6">
        <f t="shared" si="17"/>
        <v>0</v>
      </c>
      <c r="N78" s="6">
        <f t="shared" si="18"/>
        <v>1165019.85763955</v>
      </c>
      <c r="O78" s="6">
        <f t="shared" ca="1" si="14"/>
        <v>2193981.8322581174</v>
      </c>
    </row>
    <row r="79" spans="1:15">
      <c r="A79" s="197">
        <v>43983</v>
      </c>
      <c r="B79">
        <f t="shared" si="10"/>
        <v>6</v>
      </c>
      <c r="C79">
        <f t="shared" si="11"/>
        <v>2020</v>
      </c>
      <c r="D79" s="6">
        <f>'Monthly Data (longer 09-23)'!X139</f>
        <v>2539378</v>
      </c>
      <c r="E79" s="229">
        <f t="shared" ca="1" si="19"/>
        <v>0.4200000000000001</v>
      </c>
      <c r="F79" s="229">
        <f t="shared" ca="1" si="20"/>
        <v>145.07</v>
      </c>
      <c r="G79">
        <f>'Monthly Data (14-23) Used'!BZ79</f>
        <v>0</v>
      </c>
      <c r="H79">
        <f>'Monthly Data (14-23) Used'!AR79</f>
        <v>140</v>
      </c>
      <c r="J79" s="6">
        <f t="shared" si="13"/>
        <v>788660.63968622696</v>
      </c>
      <c r="K79" s="6">
        <f t="shared" ca="1" si="15"/>
        <v>377.45252824173855</v>
      </c>
      <c r="L79" s="6">
        <f t="shared" ca="1" si="16"/>
        <v>539012.2541154708</v>
      </c>
      <c r="M79" s="6">
        <f t="shared" si="17"/>
        <v>0</v>
      </c>
      <c r="N79" s="6">
        <f t="shared" si="18"/>
        <v>1184479.1580939507</v>
      </c>
      <c r="O79" s="6">
        <f t="shared" ca="1" si="14"/>
        <v>2512529.5044238903</v>
      </c>
    </row>
    <row r="80" spans="1:15">
      <c r="A80" s="197">
        <v>44013</v>
      </c>
      <c r="B80">
        <f t="shared" si="10"/>
        <v>7</v>
      </c>
      <c r="C80">
        <f t="shared" si="11"/>
        <v>2020</v>
      </c>
      <c r="D80" s="6">
        <f>'Monthly Data (longer 09-23)'!X140</f>
        <v>2920232</v>
      </c>
      <c r="E80" s="229">
        <f t="shared" ca="1" si="19"/>
        <v>0</v>
      </c>
      <c r="F80" s="229">
        <f t="shared" ca="1" si="20"/>
        <v>211.23289540171805</v>
      </c>
      <c r="G80">
        <f>'Monthly Data (14-23) Used'!BZ80</f>
        <v>0</v>
      </c>
      <c r="H80">
        <f>'Monthly Data (14-23) Used'!AR80</f>
        <v>150.6</v>
      </c>
      <c r="J80" s="6">
        <f t="shared" si="13"/>
        <v>788660.63968622696</v>
      </c>
      <c r="K80" s="6">
        <f t="shared" ca="1" si="15"/>
        <v>0</v>
      </c>
      <c r="L80" s="6">
        <f t="shared" ca="1" si="16"/>
        <v>784842.62145045516</v>
      </c>
      <c r="M80" s="6">
        <f t="shared" si="17"/>
        <v>0</v>
      </c>
      <c r="N80" s="6">
        <f t="shared" si="18"/>
        <v>1274161.1514924928</v>
      </c>
      <c r="O80" s="6">
        <f t="shared" ca="1" si="14"/>
        <v>2847664.412629175</v>
      </c>
    </row>
    <row r="81" spans="1:15">
      <c r="A81" s="197">
        <v>44044</v>
      </c>
      <c r="B81">
        <f t="shared" si="10"/>
        <v>8</v>
      </c>
      <c r="C81">
        <f t="shared" si="11"/>
        <v>2020</v>
      </c>
      <c r="D81" s="6">
        <f>'Monthly Data (longer 09-23)'!X141</f>
        <v>2655205</v>
      </c>
      <c r="E81" s="229">
        <f t="shared" ca="1" si="19"/>
        <v>0</v>
      </c>
      <c r="F81" s="229">
        <f t="shared" ca="1" si="20"/>
        <v>183.87605861546231</v>
      </c>
      <c r="G81">
        <f>'Monthly Data (14-23) Used'!BZ81</f>
        <v>0</v>
      </c>
      <c r="H81">
        <f>'Monthly Data (14-23) Used'!AR81</f>
        <v>156.80000000000001</v>
      </c>
      <c r="J81" s="6">
        <f t="shared" si="13"/>
        <v>788660.63968622696</v>
      </c>
      <c r="K81" s="6">
        <f t="shared" ca="1" si="15"/>
        <v>0</v>
      </c>
      <c r="L81" s="6">
        <f t="shared" ca="1" si="16"/>
        <v>683197.41388425441</v>
      </c>
      <c r="M81" s="6">
        <f t="shared" si="17"/>
        <v>0</v>
      </c>
      <c r="N81" s="6">
        <f t="shared" si="18"/>
        <v>1326616.6570652248</v>
      </c>
      <c r="O81" s="6">
        <f t="shared" ca="1" si="14"/>
        <v>2798474.7106357063</v>
      </c>
    </row>
    <row r="82" spans="1:15">
      <c r="A82" s="197">
        <v>44075</v>
      </c>
      <c r="B82">
        <f t="shared" si="10"/>
        <v>9</v>
      </c>
      <c r="C82">
        <f t="shared" si="11"/>
        <v>2020</v>
      </c>
      <c r="D82" s="6">
        <f>'Monthly Data (longer 09-23)'!X142</f>
        <v>2348776</v>
      </c>
      <c r="E82" s="229">
        <f t="shared" ca="1" si="19"/>
        <v>5.87</v>
      </c>
      <c r="F82" s="229">
        <f t="shared" ca="1" si="20"/>
        <v>90.709343102577066</v>
      </c>
      <c r="G82">
        <f>'Monthly Data (14-23) Used'!BZ82</f>
        <v>0</v>
      </c>
      <c r="H82">
        <f>'Monthly Data (14-23) Used'!AR82</f>
        <v>157.4</v>
      </c>
      <c r="J82" s="6">
        <f t="shared" si="13"/>
        <v>788660.63968622696</v>
      </c>
      <c r="K82" s="6">
        <f t="shared" ca="1" si="15"/>
        <v>5275.348430426202</v>
      </c>
      <c r="L82" s="6">
        <f t="shared" ca="1" si="16"/>
        <v>337033.48380129389</v>
      </c>
      <c r="M82" s="6">
        <f t="shared" si="17"/>
        <v>0</v>
      </c>
      <c r="N82" s="6">
        <f t="shared" si="18"/>
        <v>1331692.9963141989</v>
      </c>
      <c r="O82" s="6">
        <f t="shared" ca="1" si="14"/>
        <v>2462662.468232146</v>
      </c>
    </row>
    <row r="83" spans="1:15">
      <c r="A83" s="197">
        <v>44105</v>
      </c>
      <c r="B83">
        <f t="shared" si="10"/>
        <v>10</v>
      </c>
      <c r="C83">
        <f t="shared" si="11"/>
        <v>2020</v>
      </c>
      <c r="D83" s="6">
        <f>'Monthly Data (longer 09-23)'!X143</f>
        <v>2222132</v>
      </c>
      <c r="E83" s="229">
        <f t="shared" ca="1" si="19"/>
        <v>99.500656897422942</v>
      </c>
      <c r="F83" s="229">
        <f t="shared" ca="1" si="20"/>
        <v>20.479999999999997</v>
      </c>
      <c r="G83">
        <f>'Monthly Data (14-23) Used'!BZ83</f>
        <v>1</v>
      </c>
      <c r="H83">
        <f>'Monthly Data (14-23) Used'!AR83</f>
        <v>154.69999999999999</v>
      </c>
      <c r="J83" s="6">
        <f t="shared" si="13"/>
        <v>788660.63968622696</v>
      </c>
      <c r="K83" s="6">
        <f t="shared" ca="1" si="15"/>
        <v>89420.891684871574</v>
      </c>
      <c r="L83" s="6">
        <f t="shared" ca="1" si="16"/>
        <v>76094.099154096926</v>
      </c>
      <c r="M83" s="6">
        <f t="shared" si="17"/>
        <v>135311.078711176</v>
      </c>
      <c r="N83" s="6">
        <f t="shared" si="18"/>
        <v>1308849.4696938153</v>
      </c>
      <c r="O83" s="6">
        <f t="shared" ca="1" si="14"/>
        <v>2398336.1789301867</v>
      </c>
    </row>
    <row r="84" spans="1:15">
      <c r="A84" s="197">
        <v>44136</v>
      </c>
      <c r="B84">
        <f t="shared" si="10"/>
        <v>11</v>
      </c>
      <c r="C84">
        <f t="shared" si="11"/>
        <v>2020</v>
      </c>
      <c r="D84" s="6">
        <f>'Monthly Data (longer 09-23)'!X144</f>
        <v>2529849</v>
      </c>
      <c r="E84" s="229">
        <f t="shared" ca="1" si="19"/>
        <v>286.30065689742298</v>
      </c>
      <c r="F84" s="229">
        <f t="shared" ca="1" si="20"/>
        <v>0.6699999999999996</v>
      </c>
      <c r="G84">
        <f>'Monthly Data (14-23) Used'!BZ84</f>
        <v>1</v>
      </c>
      <c r="H84">
        <f>'Monthly Data (14-23) Used'!AR84</f>
        <v>154.19999999999999</v>
      </c>
      <c r="J84" s="6">
        <f t="shared" si="13"/>
        <v>788660.63968622696</v>
      </c>
      <c r="K84" s="6">
        <f t="shared" ca="1" si="15"/>
        <v>257297.39710286385</v>
      </c>
      <c r="L84" s="6">
        <f t="shared" ca="1" si="16"/>
        <v>2489.4065641232874</v>
      </c>
      <c r="M84" s="6">
        <f t="shared" si="17"/>
        <v>135311.078711176</v>
      </c>
      <c r="N84" s="6">
        <f t="shared" si="18"/>
        <v>1304619.186986337</v>
      </c>
      <c r="O84" s="6">
        <f t="shared" ca="1" si="14"/>
        <v>2488377.7090507271</v>
      </c>
    </row>
    <row r="85" spans="1:15">
      <c r="A85" s="197">
        <v>44166</v>
      </c>
      <c r="B85">
        <f t="shared" si="10"/>
        <v>12</v>
      </c>
      <c r="C85">
        <f t="shared" si="11"/>
        <v>2020</v>
      </c>
      <c r="D85" s="6">
        <f>'Monthly Data (longer 09-23)'!X145</f>
        <v>2398255</v>
      </c>
      <c r="E85" s="229">
        <f t="shared" ca="1" si="19"/>
        <v>409.7700000000001</v>
      </c>
      <c r="F85" s="229">
        <f t="shared" ca="1" si="20"/>
        <v>0</v>
      </c>
      <c r="G85">
        <f>'Monthly Data (14-23) Used'!BZ85</f>
        <v>0</v>
      </c>
      <c r="H85">
        <f>'Monthly Data (14-23) Used'!AR85</f>
        <v>149.69999999999999</v>
      </c>
      <c r="J85" s="6">
        <f t="shared" si="13"/>
        <v>788660.63968622696</v>
      </c>
      <c r="K85" s="6">
        <f t="shared" ca="1" si="15"/>
        <v>368258.86308956478</v>
      </c>
      <c r="L85" s="6">
        <f t="shared" ca="1" si="16"/>
        <v>0</v>
      </c>
      <c r="M85" s="6">
        <f t="shared" si="17"/>
        <v>0</v>
      </c>
      <c r="N85" s="6">
        <f t="shared" si="18"/>
        <v>1266546.6426190315</v>
      </c>
      <c r="O85" s="6">
        <f t="shared" ca="1" si="14"/>
        <v>2423466.1453948235</v>
      </c>
    </row>
    <row r="86" spans="1:15">
      <c r="A86" s="197">
        <v>44197</v>
      </c>
      <c r="B86">
        <f t="shared" si="10"/>
        <v>1</v>
      </c>
      <c r="C86">
        <f t="shared" si="11"/>
        <v>2021</v>
      </c>
      <c r="D86" s="6">
        <f>'Monthly Data (longer 09-23)'!X146</f>
        <v>2476889</v>
      </c>
      <c r="E86" s="229">
        <f t="shared" ca="1" si="19"/>
        <v>546.99999999999989</v>
      </c>
      <c r="F86" s="229">
        <f t="shared" ca="1" si="20"/>
        <v>0</v>
      </c>
      <c r="G86">
        <f>'Monthly Data (14-23) Used'!BZ86</f>
        <v>0</v>
      </c>
      <c r="H86">
        <f>'Monthly Data (14-23) Used'!AR86</f>
        <v>150.80000000000001</v>
      </c>
      <c r="J86" s="6">
        <f t="shared" ref="J86:J121" si="21">$S$9</f>
        <v>788660.63968622696</v>
      </c>
      <c r="K86" s="6">
        <f t="shared" ca="1" si="15"/>
        <v>491586.98321007355</v>
      </c>
      <c r="L86" s="6">
        <f t="shared" ca="1" si="16"/>
        <v>0</v>
      </c>
      <c r="M86" s="6">
        <f t="shared" si="17"/>
        <v>0</v>
      </c>
      <c r="N86" s="6">
        <f t="shared" si="18"/>
        <v>1275853.2645754842</v>
      </c>
      <c r="O86" s="6">
        <f t="shared" ref="O86:O114" ca="1" si="22">SUM(J86:N86)</f>
        <v>2556100.8874717848</v>
      </c>
    </row>
    <row r="87" spans="1:15">
      <c r="A87" s="197">
        <v>44228</v>
      </c>
      <c r="B87">
        <f t="shared" si="10"/>
        <v>2</v>
      </c>
      <c r="C87">
        <f t="shared" si="11"/>
        <v>2021</v>
      </c>
      <c r="D87" s="6">
        <f>'Monthly Data (longer 09-23)'!X147</f>
        <v>2421447</v>
      </c>
      <c r="E87" s="229">
        <f t="shared" ca="1" si="19"/>
        <v>482.71355229914104</v>
      </c>
      <c r="F87" s="229">
        <f t="shared" ca="1" si="20"/>
        <v>0</v>
      </c>
      <c r="G87">
        <f>'Monthly Data (14-23) Used'!BZ87</f>
        <v>0</v>
      </c>
      <c r="H87">
        <f>'Monthly Data (14-23) Used'!AR87</f>
        <v>151.6</v>
      </c>
      <c r="J87" s="6">
        <f t="shared" si="21"/>
        <v>788660.63968622696</v>
      </c>
      <c r="K87" s="6">
        <f t="shared" ca="1" si="15"/>
        <v>433812.97793300339</v>
      </c>
      <c r="L87" s="6">
        <f t="shared" ca="1" si="16"/>
        <v>0</v>
      </c>
      <c r="M87" s="6">
        <f t="shared" si="17"/>
        <v>0</v>
      </c>
      <c r="N87" s="6">
        <f t="shared" si="18"/>
        <v>1282621.7169074495</v>
      </c>
      <c r="O87" s="6">
        <f t="shared" ca="1" si="22"/>
        <v>2505095.3345266799</v>
      </c>
    </row>
    <row r="88" spans="1:15">
      <c r="A88" s="197">
        <v>44256</v>
      </c>
      <c r="B88">
        <f t="shared" si="10"/>
        <v>3</v>
      </c>
      <c r="C88">
        <f t="shared" si="11"/>
        <v>2021</v>
      </c>
      <c r="D88" s="6">
        <f>'Monthly Data (longer 09-23)'!X148</f>
        <v>1798087</v>
      </c>
      <c r="E88" s="229">
        <f t="shared" ca="1" si="19"/>
        <v>372.63355229914106</v>
      </c>
      <c r="F88" s="229">
        <f t="shared" ca="1" si="20"/>
        <v>0</v>
      </c>
      <c r="G88">
        <f>'Monthly Data (14-23) Used'!BZ88</f>
        <v>0</v>
      </c>
      <c r="H88">
        <f>'Monthly Data (14-23) Used'!AR88</f>
        <v>159.5</v>
      </c>
      <c r="J88" s="6">
        <f t="shared" si="21"/>
        <v>788660.63968622696</v>
      </c>
      <c r="K88" s="6">
        <f t="shared" ca="1" si="15"/>
        <v>334884.4676738354</v>
      </c>
      <c r="L88" s="6">
        <f t="shared" ca="1" si="16"/>
        <v>0</v>
      </c>
      <c r="M88" s="6">
        <f t="shared" si="17"/>
        <v>0</v>
      </c>
      <c r="N88" s="6">
        <f t="shared" si="18"/>
        <v>1349460.1836856082</v>
      </c>
      <c r="O88" s="6">
        <f t="shared" ca="1" si="22"/>
        <v>2473005.2910456704</v>
      </c>
    </row>
    <row r="89" spans="1:15">
      <c r="A89" s="197">
        <v>44287</v>
      </c>
      <c r="B89">
        <f t="shared" si="10"/>
        <v>4</v>
      </c>
      <c r="C89">
        <f t="shared" si="11"/>
        <v>2021</v>
      </c>
      <c r="D89" s="6">
        <f>'Monthly Data (longer 09-23)'!X149</f>
        <v>1779970</v>
      </c>
      <c r="E89" s="229">
        <f t="shared" ca="1" si="19"/>
        <v>184.31</v>
      </c>
      <c r="F89" s="229">
        <f t="shared" ca="1" si="20"/>
        <v>3.0799999999999996</v>
      </c>
      <c r="G89">
        <f>'Monthly Data (14-23) Used'!BZ89</f>
        <v>0</v>
      </c>
      <c r="H89">
        <f>'Monthly Data (14-23) Used'!AR89</f>
        <v>162.30000000000001</v>
      </c>
      <c r="J89" s="6">
        <f t="shared" si="21"/>
        <v>788660.63968622696</v>
      </c>
      <c r="K89" s="6">
        <f t="shared" ca="1" si="15"/>
        <v>165638.75114341622</v>
      </c>
      <c r="L89" s="6">
        <f t="shared" ca="1" si="16"/>
        <v>11443.839130596609</v>
      </c>
      <c r="M89" s="6">
        <f t="shared" si="17"/>
        <v>0</v>
      </c>
      <c r="N89" s="6">
        <f t="shared" si="18"/>
        <v>1373149.7668474873</v>
      </c>
      <c r="O89" s="6">
        <f t="shared" ca="1" si="22"/>
        <v>2338892.996807727</v>
      </c>
    </row>
    <row r="90" spans="1:15">
      <c r="A90" s="197">
        <v>44317</v>
      </c>
      <c r="B90">
        <f t="shared" si="10"/>
        <v>5</v>
      </c>
      <c r="C90">
        <f t="shared" si="11"/>
        <v>2021</v>
      </c>
      <c r="D90" s="6">
        <f>'Monthly Data (longer 09-23)'!X150</f>
        <v>2156240</v>
      </c>
      <c r="E90" s="229">
        <f t="shared" ca="1" si="19"/>
        <v>47.083552299140976</v>
      </c>
      <c r="F90" s="229">
        <f t="shared" ca="1" si="20"/>
        <v>53.286447700859014</v>
      </c>
      <c r="G90">
        <f>'Monthly Data (14-23) Used'!BZ90</f>
        <v>0</v>
      </c>
      <c r="H90">
        <f>'Monthly Data (14-23) Used'!AR90</f>
        <v>162.9</v>
      </c>
      <c r="J90" s="6">
        <f t="shared" si="21"/>
        <v>788660.63968622696</v>
      </c>
      <c r="K90" s="6">
        <f t="shared" ca="1" si="15"/>
        <v>42313.823461697328</v>
      </c>
      <c r="L90" s="6">
        <f t="shared" ca="1" si="16"/>
        <v>197987.51147064293</v>
      </c>
      <c r="M90" s="6">
        <f t="shared" si="17"/>
        <v>0</v>
      </c>
      <c r="N90" s="6">
        <f t="shared" si="18"/>
        <v>1378226.1060964612</v>
      </c>
      <c r="O90" s="6">
        <f t="shared" ca="1" si="22"/>
        <v>2407188.0807150286</v>
      </c>
    </row>
    <row r="91" spans="1:15">
      <c r="A91" s="197">
        <v>44348</v>
      </c>
      <c r="B91">
        <f t="shared" si="10"/>
        <v>6</v>
      </c>
      <c r="C91">
        <f t="shared" si="11"/>
        <v>2021</v>
      </c>
      <c r="D91" s="6">
        <f>'Monthly Data (longer 09-23)'!X151</f>
        <v>2661577</v>
      </c>
      <c r="E91" s="229">
        <f t="shared" ca="1" si="19"/>
        <v>0.4200000000000001</v>
      </c>
      <c r="F91" s="229">
        <f t="shared" ca="1" si="20"/>
        <v>145.07</v>
      </c>
      <c r="G91">
        <f>'Monthly Data (14-23) Used'!BZ91</f>
        <v>0</v>
      </c>
      <c r="H91">
        <f>'Monthly Data (14-23) Used'!AR91</f>
        <v>163.80000000000001</v>
      </c>
      <c r="J91" s="6">
        <f t="shared" si="21"/>
        <v>788660.63968622696</v>
      </c>
      <c r="K91" s="6">
        <f t="shared" ca="1" si="15"/>
        <v>377.45252824173855</v>
      </c>
      <c r="L91" s="6">
        <f t="shared" ca="1" si="16"/>
        <v>539012.2541154708</v>
      </c>
      <c r="M91" s="6">
        <f t="shared" si="17"/>
        <v>0</v>
      </c>
      <c r="N91" s="6">
        <f t="shared" si="18"/>
        <v>1385840.6149699225</v>
      </c>
      <c r="O91" s="6">
        <f t="shared" ca="1" si="22"/>
        <v>2713890.9612998618</v>
      </c>
    </row>
    <row r="92" spans="1:15">
      <c r="A92" s="197">
        <v>44378</v>
      </c>
      <c r="B92">
        <f t="shared" si="10"/>
        <v>7</v>
      </c>
      <c r="C92">
        <f t="shared" si="11"/>
        <v>2021</v>
      </c>
      <c r="D92" s="6">
        <f>'Monthly Data (longer 09-23)'!X152</f>
        <v>2641727</v>
      </c>
      <c r="E92" s="229">
        <f t="shared" ca="1" si="19"/>
        <v>0</v>
      </c>
      <c r="F92" s="229">
        <f t="shared" ca="1" si="20"/>
        <v>211.23289540171805</v>
      </c>
      <c r="G92">
        <f>'Monthly Data (14-23) Used'!BZ92</f>
        <v>0</v>
      </c>
      <c r="H92">
        <f>'Monthly Data (14-23) Used'!AR92</f>
        <v>164.8</v>
      </c>
      <c r="J92" s="6">
        <f t="shared" si="21"/>
        <v>788660.63968622696</v>
      </c>
      <c r="K92" s="6">
        <f t="shared" ca="1" si="15"/>
        <v>0</v>
      </c>
      <c r="L92" s="6">
        <f t="shared" ca="1" si="16"/>
        <v>784842.62145045516</v>
      </c>
      <c r="M92" s="6">
        <f t="shared" si="17"/>
        <v>0</v>
      </c>
      <c r="N92" s="6">
        <f t="shared" si="18"/>
        <v>1394301.1803848792</v>
      </c>
      <c r="O92" s="6">
        <f t="shared" ca="1" si="22"/>
        <v>2967804.4415215617</v>
      </c>
    </row>
    <row r="93" spans="1:15">
      <c r="A93" s="197">
        <v>44409</v>
      </c>
      <c r="B93">
        <f t="shared" si="10"/>
        <v>8</v>
      </c>
      <c r="C93">
        <f t="shared" si="11"/>
        <v>2021</v>
      </c>
      <c r="D93" s="6">
        <f>'Monthly Data (longer 09-23)'!X153</f>
        <v>2810916</v>
      </c>
      <c r="E93" s="229">
        <f t="shared" ca="1" si="19"/>
        <v>0</v>
      </c>
      <c r="F93" s="229">
        <f t="shared" ca="1" si="20"/>
        <v>183.87605861546231</v>
      </c>
      <c r="G93">
        <f>'Monthly Data (14-23) Used'!BZ93</f>
        <v>0</v>
      </c>
      <c r="H93">
        <f>'Monthly Data (14-23) Used'!AR93</f>
        <v>167.7</v>
      </c>
      <c r="J93" s="6">
        <f t="shared" si="21"/>
        <v>788660.63968622696</v>
      </c>
      <c r="K93" s="6">
        <f t="shared" ca="1" si="15"/>
        <v>0</v>
      </c>
      <c r="L93" s="6">
        <f t="shared" ca="1" si="16"/>
        <v>683197.41388425441</v>
      </c>
      <c r="M93" s="6">
        <f t="shared" si="17"/>
        <v>0</v>
      </c>
      <c r="N93" s="6">
        <f t="shared" si="18"/>
        <v>1418836.8200882538</v>
      </c>
      <c r="O93" s="6">
        <f t="shared" ca="1" si="22"/>
        <v>2890694.8736587353</v>
      </c>
    </row>
    <row r="94" spans="1:15">
      <c r="A94" s="197">
        <v>44440</v>
      </c>
      <c r="B94">
        <f t="shared" si="10"/>
        <v>9</v>
      </c>
      <c r="C94">
        <f t="shared" si="11"/>
        <v>2021</v>
      </c>
      <c r="D94" s="6">
        <f>'Monthly Data (longer 09-23)'!X154</f>
        <v>2370134</v>
      </c>
      <c r="E94" s="229">
        <f t="shared" ca="1" si="19"/>
        <v>5.87</v>
      </c>
      <c r="F94" s="229">
        <f t="shared" ca="1" si="20"/>
        <v>90.709343102577066</v>
      </c>
      <c r="G94">
        <f>'Monthly Data (14-23) Used'!BZ94</f>
        <v>0</v>
      </c>
      <c r="H94">
        <f>'Monthly Data (14-23) Used'!AR94</f>
        <v>165.8</v>
      </c>
      <c r="J94" s="6">
        <f t="shared" si="21"/>
        <v>788660.63968622696</v>
      </c>
      <c r="K94" s="6">
        <f t="shared" ca="1" si="15"/>
        <v>5275.348430426202</v>
      </c>
      <c r="L94" s="6">
        <f t="shared" ca="1" si="16"/>
        <v>337033.48380129389</v>
      </c>
      <c r="M94" s="6">
        <f t="shared" si="17"/>
        <v>0</v>
      </c>
      <c r="N94" s="6">
        <f t="shared" si="18"/>
        <v>1402761.745799836</v>
      </c>
      <c r="O94" s="6">
        <f t="shared" ca="1" si="22"/>
        <v>2533731.2177177831</v>
      </c>
    </row>
    <row r="95" spans="1:15">
      <c r="A95" s="197">
        <v>44470</v>
      </c>
      <c r="B95">
        <f t="shared" si="10"/>
        <v>10</v>
      </c>
      <c r="C95">
        <f t="shared" si="11"/>
        <v>2021</v>
      </c>
      <c r="D95" s="6">
        <f>'Monthly Data (longer 09-23)'!X155</f>
        <v>2288392</v>
      </c>
      <c r="E95" s="229">
        <f t="shared" ca="1" si="19"/>
        <v>99.500656897422942</v>
      </c>
      <c r="F95" s="229">
        <f t="shared" ca="1" si="20"/>
        <v>20.479999999999997</v>
      </c>
      <c r="G95">
        <f>'Monthly Data (14-23) Used'!BZ95</f>
        <v>1</v>
      </c>
      <c r="H95">
        <f>'Monthly Data (14-23) Used'!AR95</f>
        <v>169.4</v>
      </c>
      <c r="J95" s="6">
        <f t="shared" si="21"/>
        <v>788660.63968622696</v>
      </c>
      <c r="K95" s="6">
        <f t="shared" ca="1" si="15"/>
        <v>89420.891684871574</v>
      </c>
      <c r="L95" s="6">
        <f t="shared" ca="1" si="16"/>
        <v>76094.099154096926</v>
      </c>
      <c r="M95" s="6">
        <f t="shared" si="17"/>
        <v>135311.078711176</v>
      </c>
      <c r="N95" s="6">
        <f t="shared" si="18"/>
        <v>1433219.7812936804</v>
      </c>
      <c r="O95" s="6">
        <f t="shared" ca="1" si="22"/>
        <v>2522706.4905300518</v>
      </c>
    </row>
    <row r="96" spans="1:15">
      <c r="A96" s="197">
        <v>44501</v>
      </c>
      <c r="B96">
        <f t="shared" si="10"/>
        <v>11</v>
      </c>
      <c r="C96">
        <f t="shared" si="11"/>
        <v>2021</v>
      </c>
      <c r="D96" s="6">
        <f>'Monthly Data (longer 09-23)'!X156</f>
        <v>2388052</v>
      </c>
      <c r="E96" s="229">
        <f t="shared" ca="1" si="19"/>
        <v>286.30065689742298</v>
      </c>
      <c r="F96" s="229">
        <f t="shared" ca="1" si="20"/>
        <v>0.6699999999999996</v>
      </c>
      <c r="G96">
        <f>'Monthly Data (14-23) Used'!BZ96</f>
        <v>1</v>
      </c>
      <c r="H96">
        <f>'Monthly Data (14-23) Used'!AR96</f>
        <v>176.5</v>
      </c>
      <c r="J96" s="6">
        <f t="shared" si="21"/>
        <v>788660.63968622696</v>
      </c>
      <c r="K96" s="6">
        <f t="shared" ca="1" si="15"/>
        <v>257297.39710286385</v>
      </c>
      <c r="L96" s="6">
        <f t="shared" ca="1" si="16"/>
        <v>2489.4065641232874</v>
      </c>
      <c r="M96" s="6">
        <f t="shared" si="17"/>
        <v>135311.078711176</v>
      </c>
      <c r="N96" s="6">
        <f t="shared" si="18"/>
        <v>1493289.7957398735</v>
      </c>
      <c r="O96" s="6">
        <f t="shared" ca="1" si="22"/>
        <v>2677048.3178042639</v>
      </c>
    </row>
    <row r="97" spans="1:15">
      <c r="A97" s="197">
        <v>44531</v>
      </c>
      <c r="B97">
        <f t="shared" si="10"/>
        <v>12</v>
      </c>
      <c r="C97">
        <f t="shared" si="11"/>
        <v>2021</v>
      </c>
      <c r="D97" s="6">
        <f>'Monthly Data (longer 09-23)'!X157</f>
        <v>2282252</v>
      </c>
      <c r="E97" s="229">
        <f t="shared" ca="1" si="19"/>
        <v>409.7700000000001</v>
      </c>
      <c r="F97" s="229">
        <f t="shared" ca="1" si="20"/>
        <v>0</v>
      </c>
      <c r="G97">
        <f>'Monthly Data (14-23) Used'!BZ97</f>
        <v>0</v>
      </c>
      <c r="H97">
        <f>'Monthly Data (14-23) Used'!AR97</f>
        <v>183.6</v>
      </c>
      <c r="J97" s="6">
        <f t="shared" si="21"/>
        <v>788660.63968622696</v>
      </c>
      <c r="K97" s="6">
        <f t="shared" ca="1" si="15"/>
        <v>368258.86308956478</v>
      </c>
      <c r="L97" s="6">
        <f t="shared" ca="1" si="16"/>
        <v>0</v>
      </c>
      <c r="M97" s="6">
        <f t="shared" si="17"/>
        <v>0</v>
      </c>
      <c r="N97" s="6">
        <f t="shared" si="18"/>
        <v>1553359.8101860667</v>
      </c>
      <c r="O97" s="6">
        <f t="shared" ca="1" si="22"/>
        <v>2710279.3129618587</v>
      </c>
    </row>
    <row r="98" spans="1:15">
      <c r="A98" s="197">
        <v>44562</v>
      </c>
      <c r="B98">
        <f t="shared" si="10"/>
        <v>1</v>
      </c>
      <c r="C98">
        <f t="shared" si="11"/>
        <v>2022</v>
      </c>
      <c r="D98" s="6">
        <f>'Monthly Data (longer 09-23)'!X158</f>
        <v>2458213</v>
      </c>
      <c r="E98" s="229">
        <f t="shared" ca="1" si="19"/>
        <v>546.99999999999989</v>
      </c>
      <c r="F98" s="229">
        <f t="shared" ca="1" si="20"/>
        <v>0</v>
      </c>
      <c r="G98">
        <f>'Monthly Data (14-23) Used'!BZ98</f>
        <v>0</v>
      </c>
      <c r="H98">
        <f>'Monthly Data (14-23) Used'!AR98</f>
        <v>184.2</v>
      </c>
      <c r="J98" s="6">
        <f t="shared" si="21"/>
        <v>788660.63968622696</v>
      </c>
      <c r="K98" s="6">
        <f t="shared" ca="1" si="15"/>
        <v>491586.98321007355</v>
      </c>
      <c r="L98" s="6">
        <f t="shared" ca="1" si="16"/>
        <v>0</v>
      </c>
      <c r="M98" s="6">
        <f t="shared" si="17"/>
        <v>0</v>
      </c>
      <c r="N98" s="6">
        <f t="shared" si="18"/>
        <v>1558436.1494350408</v>
      </c>
      <c r="O98" s="6">
        <f t="shared" ca="1" si="22"/>
        <v>2838683.7723313412</v>
      </c>
    </row>
    <row r="99" spans="1:15">
      <c r="A99" s="197">
        <v>44593</v>
      </c>
      <c r="B99">
        <f t="shared" si="10"/>
        <v>2</v>
      </c>
      <c r="C99">
        <f t="shared" si="11"/>
        <v>2022</v>
      </c>
      <c r="D99" s="6">
        <f>'Monthly Data (longer 09-23)'!X159</f>
        <v>2115178</v>
      </c>
      <c r="E99" s="229">
        <f t="shared" ca="1" si="19"/>
        <v>482.71355229914104</v>
      </c>
      <c r="F99" s="229">
        <f t="shared" ca="1" si="20"/>
        <v>0</v>
      </c>
      <c r="G99">
        <f>'Monthly Data (14-23) Used'!BZ99</f>
        <v>0</v>
      </c>
      <c r="H99">
        <f>'Monthly Data (14-23) Used'!AR99</f>
        <v>181.8</v>
      </c>
      <c r="J99" s="6">
        <f t="shared" si="21"/>
        <v>788660.63968622696</v>
      </c>
      <c r="K99" s="6">
        <f t="shared" ca="1" si="15"/>
        <v>433812.97793300339</v>
      </c>
      <c r="L99" s="6">
        <f t="shared" ca="1" si="16"/>
        <v>0</v>
      </c>
      <c r="M99" s="6">
        <f t="shared" si="17"/>
        <v>0</v>
      </c>
      <c r="N99" s="6">
        <f t="shared" si="18"/>
        <v>1538130.7924391446</v>
      </c>
      <c r="O99" s="6">
        <f t="shared" ca="1" si="22"/>
        <v>2760604.410058375</v>
      </c>
    </row>
    <row r="100" spans="1:15">
      <c r="A100" s="197">
        <v>44621</v>
      </c>
      <c r="B100">
        <f t="shared" si="10"/>
        <v>3</v>
      </c>
      <c r="C100">
        <f t="shared" si="11"/>
        <v>2022</v>
      </c>
      <c r="D100" s="6">
        <f>'Monthly Data (longer 09-23)'!X160</f>
        <v>2122133</v>
      </c>
      <c r="E100" s="229">
        <f t="shared" ca="1" si="19"/>
        <v>372.63355229914106</v>
      </c>
      <c r="F100" s="229">
        <f t="shared" ca="1" si="20"/>
        <v>0</v>
      </c>
      <c r="G100">
        <f>'Monthly Data (14-23) Used'!BZ100</f>
        <v>0</v>
      </c>
      <c r="H100">
        <f>'Monthly Data (14-23) Used'!AR100</f>
        <v>178.4</v>
      </c>
      <c r="J100" s="6">
        <f t="shared" si="21"/>
        <v>788660.63968622696</v>
      </c>
      <c r="K100" s="6">
        <f t="shared" ca="1" si="15"/>
        <v>334884.4676738354</v>
      </c>
      <c r="L100" s="6">
        <f t="shared" ca="1" si="16"/>
        <v>0</v>
      </c>
      <c r="M100" s="6">
        <f t="shared" si="17"/>
        <v>0</v>
      </c>
      <c r="N100" s="6">
        <f t="shared" si="18"/>
        <v>1509364.8700282916</v>
      </c>
      <c r="O100" s="6">
        <f t="shared" ca="1" si="22"/>
        <v>2632909.977388354</v>
      </c>
    </row>
    <row r="101" spans="1:15">
      <c r="A101" s="197">
        <v>44652</v>
      </c>
      <c r="B101">
        <f t="shared" si="10"/>
        <v>4</v>
      </c>
      <c r="C101">
        <f t="shared" si="11"/>
        <v>2022</v>
      </c>
      <c r="D101" s="6">
        <f>'Monthly Data (longer 09-23)'!X161</f>
        <v>2129088</v>
      </c>
      <c r="E101" s="229">
        <f t="shared" ca="1" si="19"/>
        <v>184.31</v>
      </c>
      <c r="F101" s="229">
        <f t="shared" ca="1" si="20"/>
        <v>3.0799999999999996</v>
      </c>
      <c r="G101">
        <f>'Monthly Data (14-23) Used'!BZ101</f>
        <v>0</v>
      </c>
      <c r="H101">
        <f>'Monthly Data (14-23) Used'!AR101</f>
        <v>177.4</v>
      </c>
      <c r="J101" s="6">
        <f t="shared" si="21"/>
        <v>788660.63968622696</v>
      </c>
      <c r="K101" s="6">
        <f t="shared" ca="1" si="15"/>
        <v>165638.75114341622</v>
      </c>
      <c r="L101" s="6">
        <f t="shared" ca="1" si="16"/>
        <v>11443.839130596609</v>
      </c>
      <c r="M101" s="6">
        <f t="shared" si="17"/>
        <v>0</v>
      </c>
      <c r="N101" s="6">
        <f t="shared" si="18"/>
        <v>1500904.3046133348</v>
      </c>
      <c r="O101" s="6">
        <f t="shared" ca="1" si="22"/>
        <v>2466647.5345735746</v>
      </c>
    </row>
    <row r="102" spans="1:15">
      <c r="A102" s="197">
        <v>44682</v>
      </c>
      <c r="B102">
        <f t="shared" si="10"/>
        <v>5</v>
      </c>
      <c r="C102">
        <f t="shared" si="11"/>
        <v>2022</v>
      </c>
      <c r="D102" s="6">
        <f>'Monthly Data (longer 09-23)'!X162</f>
        <v>2149513</v>
      </c>
      <c r="E102" s="229">
        <f t="shared" ca="1" si="19"/>
        <v>47.083552299140976</v>
      </c>
      <c r="F102" s="229">
        <f t="shared" ca="1" si="20"/>
        <v>53.286447700859014</v>
      </c>
      <c r="G102">
        <f>'Monthly Data (14-23) Used'!BZ102</f>
        <v>0</v>
      </c>
      <c r="H102">
        <f>'Monthly Data (14-23) Used'!AR102</f>
        <v>176.2</v>
      </c>
      <c r="J102" s="6">
        <f t="shared" si="21"/>
        <v>788660.63968622696</v>
      </c>
      <c r="K102" s="6">
        <f t="shared" ca="1" si="15"/>
        <v>42313.823461697328</v>
      </c>
      <c r="L102" s="6">
        <f t="shared" ca="1" si="16"/>
        <v>197987.51147064293</v>
      </c>
      <c r="M102" s="6">
        <f t="shared" si="17"/>
        <v>0</v>
      </c>
      <c r="N102" s="6">
        <f t="shared" si="18"/>
        <v>1490751.6261153864</v>
      </c>
      <c r="O102" s="6">
        <f t="shared" ca="1" si="22"/>
        <v>2519713.6007339535</v>
      </c>
    </row>
    <row r="103" spans="1:15">
      <c r="A103" s="197">
        <v>44713</v>
      </c>
      <c r="B103">
        <f t="shared" si="10"/>
        <v>6</v>
      </c>
      <c r="C103">
        <f t="shared" si="11"/>
        <v>2022</v>
      </c>
      <c r="D103" s="6">
        <f>'Monthly Data (longer 09-23)'!X163</f>
        <v>2446520</v>
      </c>
      <c r="E103" s="229">
        <f t="shared" ca="1" si="19"/>
        <v>0.4200000000000001</v>
      </c>
      <c r="F103" s="229">
        <f t="shared" ca="1" si="20"/>
        <v>145.07</v>
      </c>
      <c r="G103">
        <f>'Monthly Data (14-23) Used'!BZ103</f>
        <v>0</v>
      </c>
      <c r="H103">
        <f>'Monthly Data (14-23) Used'!AR103</f>
        <v>175.1</v>
      </c>
      <c r="J103" s="6">
        <f t="shared" si="21"/>
        <v>788660.63968622696</v>
      </c>
      <c r="K103" s="6">
        <f t="shared" ca="1" si="15"/>
        <v>377.45252824173855</v>
      </c>
      <c r="L103" s="6">
        <f t="shared" ca="1" si="16"/>
        <v>539012.2541154708</v>
      </c>
      <c r="M103" s="6">
        <f t="shared" si="17"/>
        <v>0</v>
      </c>
      <c r="N103" s="6">
        <f t="shared" si="18"/>
        <v>1481445.0041589341</v>
      </c>
      <c r="O103" s="6">
        <f t="shared" ca="1" si="22"/>
        <v>2809495.3504888737</v>
      </c>
    </row>
    <row r="104" spans="1:15">
      <c r="A104" s="197">
        <v>44743</v>
      </c>
      <c r="B104">
        <f t="shared" si="10"/>
        <v>7</v>
      </c>
      <c r="C104">
        <f t="shared" si="11"/>
        <v>2022</v>
      </c>
      <c r="D104" s="6">
        <f>'Monthly Data (longer 09-23)'!X164</f>
        <v>2691240</v>
      </c>
      <c r="E104" s="229">
        <f t="shared" ca="1" si="19"/>
        <v>0</v>
      </c>
      <c r="F104" s="229">
        <f t="shared" ca="1" si="20"/>
        <v>211.23289540171805</v>
      </c>
      <c r="G104">
        <f>'Monthly Data (14-23) Used'!BZ104</f>
        <v>0</v>
      </c>
      <c r="H104">
        <f>'Monthly Data (14-23) Used'!AR104</f>
        <v>170.6</v>
      </c>
      <c r="J104" s="6">
        <f t="shared" si="21"/>
        <v>788660.63968622696</v>
      </c>
      <c r="K104" s="6">
        <f t="shared" ca="1" si="15"/>
        <v>0</v>
      </c>
      <c r="L104" s="6">
        <f t="shared" ca="1" si="16"/>
        <v>784842.62145045516</v>
      </c>
      <c r="M104" s="6">
        <f t="shared" si="17"/>
        <v>0</v>
      </c>
      <c r="N104" s="6">
        <f t="shared" si="18"/>
        <v>1443372.4597916284</v>
      </c>
      <c r="O104" s="6">
        <f t="shared" ca="1" si="22"/>
        <v>3016875.7209283104</v>
      </c>
    </row>
    <row r="105" spans="1:15">
      <c r="A105" s="197">
        <v>44774</v>
      </c>
      <c r="B105">
        <f t="shared" si="10"/>
        <v>8</v>
      </c>
      <c r="C105">
        <f t="shared" si="11"/>
        <v>2022</v>
      </c>
      <c r="D105" s="6">
        <f>'Monthly Data (longer 09-23)'!X165</f>
        <v>2769504</v>
      </c>
      <c r="E105" s="229">
        <f t="shared" ca="1" si="19"/>
        <v>0</v>
      </c>
      <c r="F105" s="229">
        <f t="shared" ca="1" si="20"/>
        <v>183.87605861546231</v>
      </c>
      <c r="G105">
        <f>'Monthly Data (14-23) Used'!BZ105</f>
        <v>0</v>
      </c>
      <c r="H105">
        <f>'Monthly Data (14-23) Used'!AR105</f>
        <v>165.3</v>
      </c>
      <c r="J105" s="6">
        <f t="shared" si="21"/>
        <v>788660.63968622696</v>
      </c>
      <c r="K105" s="6">
        <f t="shared" ca="1" si="15"/>
        <v>0</v>
      </c>
      <c r="L105" s="6">
        <f t="shared" ca="1" si="16"/>
        <v>683197.41388425441</v>
      </c>
      <c r="M105" s="6">
        <f t="shared" si="17"/>
        <v>0</v>
      </c>
      <c r="N105" s="6">
        <f t="shared" si="18"/>
        <v>1398531.4630923576</v>
      </c>
      <c r="O105" s="6">
        <f t="shared" ca="1" si="22"/>
        <v>2870389.5166628389</v>
      </c>
    </row>
    <row r="106" spans="1:15">
      <c r="A106" s="197">
        <v>44805</v>
      </c>
      <c r="B106">
        <f t="shared" ref="B106:B111" si="23">MONTH(A106)</f>
        <v>9</v>
      </c>
      <c r="C106">
        <f t="shared" ref="C106:C111" si="24">YEAR(A106)</f>
        <v>2022</v>
      </c>
      <c r="D106" s="6">
        <f>'Monthly Data (longer 09-23)'!X166</f>
        <v>2440616</v>
      </c>
      <c r="E106" s="229">
        <f t="shared" ca="1" si="19"/>
        <v>5.87</v>
      </c>
      <c r="F106" s="229">
        <f t="shared" ca="1" si="20"/>
        <v>90.709343102577066</v>
      </c>
      <c r="G106">
        <f>'Monthly Data (14-23) Used'!BZ106</f>
        <v>0</v>
      </c>
      <c r="H106">
        <f>'Monthly Data (14-23) Used'!AR106</f>
        <v>162.30000000000001</v>
      </c>
      <c r="J106" s="6">
        <f t="shared" si="21"/>
        <v>788660.63968622696</v>
      </c>
      <c r="K106" s="6">
        <f t="shared" ca="1" si="15"/>
        <v>5275.348430426202</v>
      </c>
      <c r="L106" s="6">
        <f t="shared" ca="1" si="16"/>
        <v>337033.48380129389</v>
      </c>
      <c r="M106" s="6">
        <f t="shared" si="17"/>
        <v>0</v>
      </c>
      <c r="N106" s="6">
        <f t="shared" si="18"/>
        <v>1373149.7668474873</v>
      </c>
      <c r="O106" s="6">
        <f t="shared" ca="1" si="22"/>
        <v>2504119.2387654344</v>
      </c>
    </row>
    <row r="107" spans="1:15">
      <c r="A107" s="197">
        <v>44835</v>
      </c>
      <c r="B107">
        <f t="shared" si="23"/>
        <v>10</v>
      </c>
      <c r="C107">
        <f t="shared" si="24"/>
        <v>2022</v>
      </c>
      <c r="D107" s="6">
        <f>'Monthly Data (longer 09-23)'!X167</f>
        <v>2187893</v>
      </c>
      <c r="E107" s="229">
        <f t="shared" ca="1" si="19"/>
        <v>99.500656897422942</v>
      </c>
      <c r="F107" s="229">
        <f t="shared" ca="1" si="20"/>
        <v>20.479999999999997</v>
      </c>
      <c r="G107">
        <f>'Monthly Data (14-23) Used'!BZ107</f>
        <v>1</v>
      </c>
      <c r="H107">
        <f>'Monthly Data (14-23) Used'!AR107</f>
        <v>168.4</v>
      </c>
      <c r="J107" s="6">
        <f t="shared" si="21"/>
        <v>788660.63968622696</v>
      </c>
      <c r="K107" s="6">
        <f t="shared" ca="1" si="15"/>
        <v>89420.891684871574</v>
      </c>
      <c r="L107" s="6">
        <f t="shared" ca="1" si="16"/>
        <v>76094.099154096926</v>
      </c>
      <c r="M107" s="6">
        <f t="shared" si="17"/>
        <v>135311.078711176</v>
      </c>
      <c r="N107" s="6">
        <f t="shared" si="18"/>
        <v>1424759.2158787237</v>
      </c>
      <c r="O107" s="6">
        <f t="shared" ca="1" si="22"/>
        <v>2514245.925115095</v>
      </c>
    </row>
    <row r="108" spans="1:15">
      <c r="A108" s="197">
        <v>44866</v>
      </c>
      <c r="B108">
        <f t="shared" si="23"/>
        <v>11</v>
      </c>
      <c r="C108">
        <f t="shared" si="24"/>
        <v>2022</v>
      </c>
      <c r="D108" s="6">
        <f>'Monthly Data (longer 09-23)'!X168</f>
        <v>2451162</v>
      </c>
      <c r="E108" s="229">
        <f t="shared" ca="1" si="19"/>
        <v>286.30065689742298</v>
      </c>
      <c r="F108" s="229">
        <f t="shared" ca="1" si="20"/>
        <v>0.6699999999999996</v>
      </c>
      <c r="G108">
        <f>'Monthly Data (14-23) Used'!BZ108</f>
        <v>1</v>
      </c>
      <c r="H108">
        <f>'Monthly Data (14-23) Used'!AR108</f>
        <v>176.3</v>
      </c>
      <c r="J108" s="6">
        <f t="shared" si="21"/>
        <v>788660.63968622696</v>
      </c>
      <c r="K108" s="6">
        <f t="shared" ca="1" si="15"/>
        <v>257297.39710286385</v>
      </c>
      <c r="L108" s="6">
        <f t="shared" ca="1" si="16"/>
        <v>2489.4065641232874</v>
      </c>
      <c r="M108" s="6">
        <f t="shared" si="17"/>
        <v>135311.078711176</v>
      </c>
      <c r="N108" s="6">
        <f t="shared" si="18"/>
        <v>1491597.6826568823</v>
      </c>
      <c r="O108" s="6">
        <f t="shared" ca="1" si="22"/>
        <v>2675356.2047212725</v>
      </c>
    </row>
    <row r="109" spans="1:15">
      <c r="A109" s="197">
        <v>44896</v>
      </c>
      <c r="B109">
        <f t="shared" si="23"/>
        <v>12</v>
      </c>
      <c r="C109">
        <f t="shared" si="24"/>
        <v>2022</v>
      </c>
      <c r="D109" s="6">
        <f>'Monthly Data (longer 09-23)'!X169</f>
        <v>2831510</v>
      </c>
      <c r="E109" s="229">
        <f t="shared" ca="1" si="19"/>
        <v>409.7700000000001</v>
      </c>
      <c r="F109" s="229">
        <f t="shared" ca="1" si="20"/>
        <v>0</v>
      </c>
      <c r="G109">
        <f>'Monthly Data (14-23) Used'!BZ109</f>
        <v>0</v>
      </c>
      <c r="H109">
        <f>'Monthly Data (14-23) Used'!AR109</f>
        <v>183.1</v>
      </c>
      <c r="J109" s="6">
        <f t="shared" si="21"/>
        <v>788660.63968622696</v>
      </c>
      <c r="K109" s="6">
        <f t="shared" ca="1" si="15"/>
        <v>368258.86308956478</v>
      </c>
      <c r="L109" s="6">
        <f t="shared" ca="1" si="16"/>
        <v>0</v>
      </c>
      <c r="M109" s="6">
        <f t="shared" si="17"/>
        <v>0</v>
      </c>
      <c r="N109" s="6">
        <f t="shared" si="18"/>
        <v>1549129.5274785883</v>
      </c>
      <c r="O109" s="6">
        <f t="shared" ca="1" si="22"/>
        <v>2706049.0302543798</v>
      </c>
    </row>
    <row r="110" spans="1:15">
      <c r="A110" s="197">
        <v>44927</v>
      </c>
      <c r="B110">
        <f t="shared" si="23"/>
        <v>1</v>
      </c>
      <c r="C110">
        <f t="shared" si="24"/>
        <v>2023</v>
      </c>
      <c r="D110" s="6">
        <f>'Monthly Data (longer 09-23)'!X170</f>
        <v>3051532.49</v>
      </c>
      <c r="E110" s="229">
        <f t="shared" ca="1" si="19"/>
        <v>546.99999999999989</v>
      </c>
      <c r="F110" s="229">
        <f t="shared" ca="1" si="20"/>
        <v>0</v>
      </c>
      <c r="G110">
        <f>'Monthly Data (14-23) Used'!BZ110</f>
        <v>0</v>
      </c>
      <c r="H110">
        <f>'Monthly Data (14-23) Used'!AR110</f>
        <v>189.2</v>
      </c>
      <c r="J110" s="6">
        <f t="shared" si="21"/>
        <v>788660.63968622696</v>
      </c>
      <c r="K110" s="6">
        <f t="shared" ca="1" si="15"/>
        <v>491586.98321007355</v>
      </c>
      <c r="L110" s="6">
        <f t="shared" ca="1" si="16"/>
        <v>0</v>
      </c>
      <c r="M110" s="6">
        <f t="shared" si="17"/>
        <v>0</v>
      </c>
      <c r="N110" s="6">
        <f t="shared" si="18"/>
        <v>1600738.9765098246</v>
      </c>
      <c r="O110" s="6">
        <f t="shared" ca="1" si="22"/>
        <v>2880986.599406125</v>
      </c>
    </row>
    <row r="111" spans="1:15">
      <c r="A111" s="197">
        <v>44958</v>
      </c>
      <c r="B111">
        <f t="shared" si="23"/>
        <v>2</v>
      </c>
      <c r="C111">
        <f t="shared" si="24"/>
        <v>2023</v>
      </c>
      <c r="D111" s="6">
        <f>'Monthly Data (longer 09-23)'!X171</f>
        <v>2758376.97</v>
      </c>
      <c r="E111" s="229">
        <f t="shared" ca="1" si="19"/>
        <v>482.71355229914104</v>
      </c>
      <c r="F111" s="229">
        <f t="shared" ca="1" si="20"/>
        <v>0</v>
      </c>
      <c r="G111">
        <f>'Monthly Data (14-23) Used'!BZ111</f>
        <v>0</v>
      </c>
      <c r="H111">
        <f>'Monthly Data (14-23) Used'!AR111</f>
        <v>190</v>
      </c>
      <c r="J111" s="6">
        <f t="shared" si="21"/>
        <v>788660.63968622696</v>
      </c>
      <c r="K111" s="6">
        <f t="shared" ca="1" si="15"/>
        <v>433812.97793300339</v>
      </c>
      <c r="L111" s="6">
        <f t="shared" ca="1" si="16"/>
        <v>0</v>
      </c>
      <c r="M111" s="6">
        <f t="shared" si="17"/>
        <v>0</v>
      </c>
      <c r="N111" s="6">
        <f t="shared" si="18"/>
        <v>1607507.4288417902</v>
      </c>
      <c r="O111" s="6">
        <f t="shared" ca="1" si="22"/>
        <v>2829981.0464610206</v>
      </c>
    </row>
    <row r="112" spans="1:15">
      <c r="A112" s="197">
        <v>44986</v>
      </c>
      <c r="B112">
        <f t="shared" ref="B112:B133" si="25">MONTH(A112)</f>
        <v>3</v>
      </c>
      <c r="C112">
        <f t="shared" ref="C112:C133" si="26">YEAR(A112)</f>
        <v>2023</v>
      </c>
      <c r="D112" s="6">
        <f>'Monthly Data (longer 09-23)'!X172</f>
        <v>2464136.4899999998</v>
      </c>
      <c r="E112" s="229">
        <f t="shared" ca="1" si="19"/>
        <v>372.63355229914106</v>
      </c>
      <c r="F112" s="229">
        <f t="shared" ca="1" si="20"/>
        <v>0</v>
      </c>
      <c r="G112">
        <f>'Monthly Data (14-23) Used'!BZ112</f>
        <v>0</v>
      </c>
      <c r="H112">
        <f>'Monthly Data (14-23) Used'!AR112</f>
        <v>192</v>
      </c>
      <c r="J112" s="6">
        <f t="shared" si="21"/>
        <v>788660.63968622696</v>
      </c>
      <c r="K112" s="6">
        <f t="shared" ca="1" si="15"/>
        <v>334884.4676738354</v>
      </c>
      <c r="L112" s="6">
        <f t="shared" ca="1" si="16"/>
        <v>0</v>
      </c>
      <c r="M112" s="6">
        <f t="shared" si="17"/>
        <v>0</v>
      </c>
      <c r="N112" s="6">
        <f t="shared" si="18"/>
        <v>1624428.5596717037</v>
      </c>
      <c r="O112" s="6">
        <f t="shared" ca="1" si="22"/>
        <v>2747973.6670317659</v>
      </c>
    </row>
    <row r="113" spans="1:15">
      <c r="A113" s="197">
        <v>45017</v>
      </c>
      <c r="B113">
        <f t="shared" si="25"/>
        <v>4</v>
      </c>
      <c r="C113">
        <f t="shared" si="26"/>
        <v>2023</v>
      </c>
      <c r="D113" s="6">
        <f>'Monthly Data (longer 09-23)'!X173</f>
        <v>2549361.0900000003</v>
      </c>
      <c r="E113" s="229">
        <f t="shared" ca="1" si="19"/>
        <v>184.31</v>
      </c>
      <c r="F113" s="229">
        <f t="shared" ca="1" si="20"/>
        <v>3.0799999999999996</v>
      </c>
      <c r="G113">
        <f>'Monthly Data (14-23) Used'!BZ113</f>
        <v>0</v>
      </c>
      <c r="H113">
        <f>'Monthly Data (14-23) Used'!AR113</f>
        <v>190.9</v>
      </c>
      <c r="J113" s="6">
        <f t="shared" si="21"/>
        <v>788660.63968622696</v>
      </c>
      <c r="K113" s="6">
        <f t="shared" ca="1" si="15"/>
        <v>165638.75114341622</v>
      </c>
      <c r="L113" s="6">
        <f t="shared" ca="1" si="16"/>
        <v>11443.839130596609</v>
      </c>
      <c r="M113" s="6">
        <f t="shared" si="17"/>
        <v>0</v>
      </c>
      <c r="N113" s="6">
        <f t="shared" si="18"/>
        <v>1615121.9377152515</v>
      </c>
      <c r="O113" s="6">
        <f t="shared" ca="1" si="22"/>
        <v>2580865.1676754914</v>
      </c>
    </row>
    <row r="114" spans="1:15">
      <c r="A114" s="197">
        <v>45047</v>
      </c>
      <c r="B114">
        <f t="shared" si="25"/>
        <v>5</v>
      </c>
      <c r="C114">
        <f t="shared" si="26"/>
        <v>2023</v>
      </c>
      <c r="D114" s="6">
        <f>'Monthly Data (longer 09-23)'!X174</f>
        <v>2835930.8300000005</v>
      </c>
      <c r="E114" s="229">
        <f t="shared" ca="1" si="19"/>
        <v>47.083552299140976</v>
      </c>
      <c r="F114" s="229">
        <f t="shared" ca="1" si="20"/>
        <v>53.286447700859014</v>
      </c>
      <c r="G114">
        <f>'Monthly Data (14-23) Used'!BZ114</f>
        <v>0</v>
      </c>
      <c r="H114">
        <f>'Monthly Data (14-23) Used'!AR114</f>
        <v>191.7</v>
      </c>
      <c r="J114" s="6">
        <f t="shared" si="21"/>
        <v>788660.63968622696</v>
      </c>
      <c r="K114" s="6">
        <f t="shared" ca="1" si="15"/>
        <v>42313.823461697328</v>
      </c>
      <c r="L114" s="6">
        <f t="shared" ca="1" si="16"/>
        <v>197987.51147064293</v>
      </c>
      <c r="M114" s="6">
        <f t="shared" si="17"/>
        <v>0</v>
      </c>
      <c r="N114" s="6">
        <f t="shared" si="18"/>
        <v>1621890.3900472168</v>
      </c>
      <c r="O114" s="6">
        <f t="shared" ca="1" si="22"/>
        <v>2650852.3646657839</v>
      </c>
    </row>
    <row r="115" spans="1:15">
      <c r="A115" s="197">
        <v>45078</v>
      </c>
      <c r="B115">
        <f t="shared" si="25"/>
        <v>6</v>
      </c>
      <c r="C115">
        <f t="shared" si="26"/>
        <v>2023</v>
      </c>
      <c r="D115" s="6">
        <f>'Monthly Data (longer 09-23)'!X175</f>
        <v>3027700.49</v>
      </c>
      <c r="E115" s="229">
        <f t="shared" ca="1" si="19"/>
        <v>0.4200000000000001</v>
      </c>
      <c r="F115" s="229">
        <f t="shared" ca="1" si="20"/>
        <v>145.07</v>
      </c>
      <c r="G115">
        <f>'Monthly Data (14-23) Used'!BZ115</f>
        <v>0</v>
      </c>
      <c r="H115">
        <f>'Monthly Data (14-23) Used'!AR115</f>
        <v>192</v>
      </c>
      <c r="J115" s="6">
        <f t="shared" si="21"/>
        <v>788660.63968622696</v>
      </c>
      <c r="K115" s="6">
        <f t="shared" ref="K115:K121" ca="1" si="27">E115*$S$10</f>
        <v>377.45252824173855</v>
      </c>
      <c r="L115" s="6">
        <f t="shared" ref="L115:L121" ca="1" si="28">F115*$S$11</f>
        <v>539012.2541154708</v>
      </c>
      <c r="M115" s="6">
        <f t="shared" ref="M115:M121" si="29">G115*$S$12</f>
        <v>0</v>
      </c>
      <c r="N115" s="6">
        <f t="shared" ref="N115:N121" si="30">H115*$S$13</f>
        <v>1624428.5596717037</v>
      </c>
      <c r="O115" s="6">
        <f t="shared" ref="O115:O121" ca="1" si="31">SUM(J115:N115)</f>
        <v>2952478.9060016433</v>
      </c>
    </row>
    <row r="116" spans="1:15">
      <c r="A116" s="197">
        <v>45108</v>
      </c>
      <c r="B116">
        <f t="shared" ref="B116:B121" si="32">MONTH(A116)</f>
        <v>7</v>
      </c>
      <c r="C116">
        <f t="shared" ref="C116:C121" si="33">YEAR(A116)</f>
        <v>2023</v>
      </c>
      <c r="D116" s="6">
        <f>'Monthly Data (longer 09-23)'!X176</f>
        <v>3284416.84</v>
      </c>
      <c r="E116" s="229">
        <f t="shared" ca="1" si="19"/>
        <v>0</v>
      </c>
      <c r="F116" s="229">
        <f t="shared" ca="1" si="20"/>
        <v>211.23289540171805</v>
      </c>
      <c r="G116">
        <f>'Monthly Data (14-23) Used'!BZ116</f>
        <v>0</v>
      </c>
      <c r="H116">
        <f>'Monthly Data (14-23) Used'!AR116</f>
        <v>189.7</v>
      </c>
      <c r="J116" s="6">
        <f t="shared" si="21"/>
        <v>788660.63968622696</v>
      </c>
      <c r="K116" s="6">
        <f t="shared" ca="1" si="27"/>
        <v>0</v>
      </c>
      <c r="L116" s="6">
        <f t="shared" ca="1" si="28"/>
        <v>784842.62145045516</v>
      </c>
      <c r="M116" s="6">
        <f t="shared" si="29"/>
        <v>0</v>
      </c>
      <c r="N116" s="6">
        <f t="shared" si="30"/>
        <v>1604969.259217303</v>
      </c>
      <c r="O116" s="6">
        <f t="shared" ca="1" si="31"/>
        <v>3178472.520353985</v>
      </c>
    </row>
    <row r="117" spans="1:15">
      <c r="A117" s="197">
        <v>45139</v>
      </c>
      <c r="B117">
        <f t="shared" si="32"/>
        <v>8</v>
      </c>
      <c r="C117">
        <f t="shared" si="33"/>
        <v>2023</v>
      </c>
      <c r="D117" s="6">
        <f>'Monthly Data (longer 09-23)'!X177</f>
        <v>3286746.61</v>
      </c>
      <c r="E117" s="229">
        <f t="shared" ca="1" si="19"/>
        <v>0</v>
      </c>
      <c r="F117" s="229">
        <f t="shared" ca="1" si="20"/>
        <v>183.87605861546231</v>
      </c>
      <c r="G117">
        <f>'Monthly Data (14-23) Used'!BZ117</f>
        <v>0</v>
      </c>
      <c r="H117">
        <f>'Monthly Data (14-23) Used'!AR117</f>
        <v>190.3</v>
      </c>
      <c r="J117" s="6">
        <f t="shared" si="21"/>
        <v>788660.63968622696</v>
      </c>
      <c r="K117" s="6">
        <f t="shared" ca="1" si="27"/>
        <v>0</v>
      </c>
      <c r="L117" s="6">
        <f t="shared" ca="1" si="28"/>
        <v>683197.41388425441</v>
      </c>
      <c r="M117" s="6">
        <f t="shared" si="29"/>
        <v>0</v>
      </c>
      <c r="N117" s="6">
        <f t="shared" si="30"/>
        <v>1610045.5984662774</v>
      </c>
      <c r="O117" s="6">
        <f t="shared" ca="1" si="31"/>
        <v>3081903.6520367591</v>
      </c>
    </row>
    <row r="118" spans="1:15">
      <c r="A118" s="197">
        <v>45170</v>
      </c>
      <c r="B118">
        <f t="shared" si="32"/>
        <v>9</v>
      </c>
      <c r="C118">
        <f t="shared" si="33"/>
        <v>2023</v>
      </c>
      <c r="D118" s="6">
        <f>'Monthly Data (longer 09-23)'!X178</f>
        <v>2966546.81</v>
      </c>
      <c r="E118" s="229">
        <f t="shared" ca="1" si="19"/>
        <v>5.87</v>
      </c>
      <c r="F118" s="229">
        <f t="shared" ca="1" si="20"/>
        <v>90.709343102577066</v>
      </c>
      <c r="G118">
        <f>'Monthly Data (14-23) Used'!BZ118</f>
        <v>0</v>
      </c>
      <c r="H118">
        <f>'Monthly Data (14-23) Used'!AR118</f>
        <v>188.1</v>
      </c>
      <c r="J118" s="6">
        <f t="shared" si="21"/>
        <v>788660.63968622696</v>
      </c>
      <c r="K118" s="6">
        <f t="shared" ca="1" si="27"/>
        <v>5275.348430426202</v>
      </c>
      <c r="L118" s="6">
        <f t="shared" ca="1" si="28"/>
        <v>337033.48380129389</v>
      </c>
      <c r="M118" s="6">
        <f t="shared" si="29"/>
        <v>0</v>
      </c>
      <c r="N118" s="6">
        <f t="shared" si="30"/>
        <v>1591432.3545533724</v>
      </c>
      <c r="O118" s="6">
        <f t="shared" ca="1" si="31"/>
        <v>2722401.8264713194</v>
      </c>
    </row>
    <row r="119" spans="1:15">
      <c r="A119" s="197">
        <v>45200</v>
      </c>
      <c r="B119">
        <f t="shared" si="32"/>
        <v>10</v>
      </c>
      <c r="C119">
        <f t="shared" si="33"/>
        <v>2023</v>
      </c>
      <c r="D119" s="6">
        <f>'Monthly Data (longer 09-23)'!X179</f>
        <v>2745572.4499999997</v>
      </c>
      <c r="E119" s="229">
        <f t="shared" ca="1" si="19"/>
        <v>99.500656897422942</v>
      </c>
      <c r="F119" s="229">
        <f t="shared" ca="1" si="20"/>
        <v>20.479999999999997</v>
      </c>
      <c r="G119">
        <f>'Monthly Data (14-23) Used'!BZ119</f>
        <v>1</v>
      </c>
      <c r="H119">
        <f>'Monthly Data (14-23) Used'!AR119</f>
        <v>185.2</v>
      </c>
      <c r="J119" s="6">
        <f t="shared" si="21"/>
        <v>788660.63968622696</v>
      </c>
      <c r="K119" s="6">
        <f t="shared" ca="1" si="27"/>
        <v>89420.891684871574</v>
      </c>
      <c r="L119" s="6">
        <f t="shared" ca="1" si="28"/>
        <v>76094.099154096926</v>
      </c>
      <c r="M119" s="6">
        <f t="shared" si="29"/>
        <v>135311.078711176</v>
      </c>
      <c r="N119" s="6">
        <f t="shared" si="30"/>
        <v>1566896.7148499975</v>
      </c>
      <c r="O119" s="6">
        <f t="shared" ca="1" si="31"/>
        <v>2656383.4240863686</v>
      </c>
    </row>
    <row r="120" spans="1:15">
      <c r="A120" s="197">
        <v>45231</v>
      </c>
      <c r="B120">
        <f t="shared" si="32"/>
        <v>11</v>
      </c>
      <c r="C120">
        <f t="shared" si="33"/>
        <v>2023</v>
      </c>
      <c r="D120" s="6">
        <f>'Monthly Data (longer 09-23)'!X180</f>
        <v>2746667.53</v>
      </c>
      <c r="E120" s="229">
        <f t="shared" ca="1" si="19"/>
        <v>286.30065689742298</v>
      </c>
      <c r="F120" s="229">
        <f t="shared" ca="1" si="20"/>
        <v>0.6699999999999996</v>
      </c>
      <c r="G120">
        <f>'Monthly Data (14-23) Used'!BZ120</f>
        <v>1</v>
      </c>
      <c r="H120">
        <f>'Monthly Data (14-23) Used'!AR120</f>
        <v>184.2</v>
      </c>
      <c r="J120" s="6">
        <f t="shared" si="21"/>
        <v>788660.63968622696</v>
      </c>
      <c r="K120" s="6">
        <f t="shared" ca="1" si="27"/>
        <v>257297.39710286385</v>
      </c>
      <c r="L120" s="6">
        <f t="shared" ca="1" si="28"/>
        <v>2489.4065641232874</v>
      </c>
      <c r="M120" s="6">
        <f t="shared" si="29"/>
        <v>135311.078711176</v>
      </c>
      <c r="N120" s="6">
        <f t="shared" si="30"/>
        <v>1558436.1494350408</v>
      </c>
      <c r="O120" s="6">
        <f t="shared" ca="1" si="31"/>
        <v>2742194.6714994311</v>
      </c>
    </row>
    <row r="121" spans="1:15">
      <c r="A121" s="197">
        <v>45261</v>
      </c>
      <c r="B121">
        <f t="shared" si="32"/>
        <v>12</v>
      </c>
      <c r="C121">
        <f t="shared" si="33"/>
        <v>2023</v>
      </c>
      <c r="D121" s="6">
        <f>'Monthly Data (longer 09-23)'!X181</f>
        <v>2567239.4</v>
      </c>
      <c r="E121" s="229">
        <f t="shared" ca="1" si="19"/>
        <v>409.7700000000001</v>
      </c>
      <c r="F121" s="229">
        <f t="shared" ca="1" si="20"/>
        <v>0</v>
      </c>
      <c r="G121">
        <f>'Monthly Data (14-23) Used'!BZ121</f>
        <v>0</v>
      </c>
      <c r="H121" s="100">
        <f>'Monthly Data (14-23) Used'!AR121</f>
        <v>184</v>
      </c>
      <c r="J121" s="6">
        <f t="shared" si="21"/>
        <v>788660.63968622696</v>
      </c>
      <c r="K121" s="6">
        <f t="shared" ca="1" si="27"/>
        <v>368258.86308956478</v>
      </c>
      <c r="L121" s="6">
        <f t="shared" ca="1" si="28"/>
        <v>0</v>
      </c>
      <c r="M121" s="6">
        <f t="shared" si="29"/>
        <v>0</v>
      </c>
      <c r="N121" s="6">
        <f t="shared" si="30"/>
        <v>1556744.0363520496</v>
      </c>
      <c r="O121" s="6">
        <f t="shared" ca="1" si="31"/>
        <v>2713663.5391278416</v>
      </c>
    </row>
    <row r="122" spans="1:15">
      <c r="A122" s="197">
        <v>45292</v>
      </c>
      <c r="B122">
        <f t="shared" si="25"/>
        <v>1</v>
      </c>
      <c r="C122">
        <f t="shared" si="26"/>
        <v>2024</v>
      </c>
      <c r="D122" s="6"/>
      <c r="E122" s="229">
        <f t="shared" ca="1" si="19"/>
        <v>546.99999999999989</v>
      </c>
      <c r="F122" s="229">
        <f t="shared" ca="1" si="20"/>
        <v>0</v>
      </c>
      <c r="G122">
        <f>G110</f>
        <v>0</v>
      </c>
      <c r="H122" s="321">
        <f>'Economic Data'!F148</f>
        <v>190.9974</v>
      </c>
      <c r="J122" s="6">
        <f t="shared" ref="J122:J145" si="34">$S$9</f>
        <v>788660.63968622696</v>
      </c>
      <c r="K122" s="6">
        <f t="shared" ref="K122:K145" ca="1" si="35">E122*$S$10</f>
        <v>491586.98321007355</v>
      </c>
      <c r="L122" s="6">
        <f t="shared" ref="L122:L145" ca="1" si="36">F122*$S$11</f>
        <v>0</v>
      </c>
      <c r="M122" s="6">
        <f t="shared" ref="M122:M145" si="37">G122*$S$12</f>
        <v>0</v>
      </c>
      <c r="N122" s="6">
        <f t="shared" ref="N122:N145" si="38">H122*$S$13</f>
        <v>1615945.9967866682</v>
      </c>
      <c r="O122" s="6">
        <f t="shared" ref="O122:O145" ca="1" si="39">SUM(J122:N122)</f>
        <v>2896193.6196829686</v>
      </c>
    </row>
    <row r="123" spans="1:15">
      <c r="A123" s="197">
        <v>45323</v>
      </c>
      <c r="B123">
        <f t="shared" si="25"/>
        <v>2</v>
      </c>
      <c r="C123">
        <f t="shared" si="26"/>
        <v>2024</v>
      </c>
      <c r="D123" s="6"/>
      <c r="E123" s="229">
        <f t="shared" ca="1" si="19"/>
        <v>482.71355229914104</v>
      </c>
      <c r="F123" s="229">
        <f t="shared" ca="1" si="20"/>
        <v>0</v>
      </c>
      <c r="G123">
        <f t="shared" si="20"/>
        <v>0</v>
      </c>
      <c r="H123" s="321">
        <f>'Economic Data'!F149</f>
        <v>191.80500000000001</v>
      </c>
      <c r="J123" s="6">
        <f t="shared" si="34"/>
        <v>788660.63968622696</v>
      </c>
      <c r="K123" s="6">
        <f t="shared" ca="1" si="35"/>
        <v>433812.97793300339</v>
      </c>
      <c r="L123" s="6">
        <f t="shared" ca="1" si="36"/>
        <v>0</v>
      </c>
      <c r="M123" s="6">
        <f t="shared" si="37"/>
        <v>0</v>
      </c>
      <c r="N123" s="6">
        <f t="shared" si="38"/>
        <v>1622778.7494157874</v>
      </c>
      <c r="O123" s="6">
        <f t="shared" ca="1" si="39"/>
        <v>2845252.3670350178</v>
      </c>
    </row>
    <row r="124" spans="1:15">
      <c r="A124" s="197">
        <v>45352</v>
      </c>
      <c r="B124">
        <f t="shared" si="25"/>
        <v>3</v>
      </c>
      <c r="C124">
        <f t="shared" si="26"/>
        <v>2024</v>
      </c>
      <c r="D124" s="6"/>
      <c r="E124" s="229">
        <f t="shared" ca="1" si="19"/>
        <v>372.63355229914106</v>
      </c>
      <c r="F124" s="229">
        <f t="shared" ca="1" si="20"/>
        <v>0</v>
      </c>
      <c r="G124">
        <f t="shared" si="20"/>
        <v>0</v>
      </c>
      <c r="H124" s="321">
        <f>'Economic Data'!F150</f>
        <v>193.82400000000001</v>
      </c>
      <c r="J124" s="6">
        <f t="shared" si="34"/>
        <v>788660.63968622696</v>
      </c>
      <c r="K124" s="6">
        <f t="shared" ca="1" si="35"/>
        <v>334884.4676738354</v>
      </c>
      <c r="L124" s="6">
        <f t="shared" ca="1" si="36"/>
        <v>0</v>
      </c>
      <c r="M124" s="6">
        <f t="shared" si="37"/>
        <v>0</v>
      </c>
      <c r="N124" s="6">
        <f t="shared" si="38"/>
        <v>1639860.6309885851</v>
      </c>
      <c r="O124" s="6">
        <f t="shared" ca="1" si="39"/>
        <v>2763405.7383486475</v>
      </c>
    </row>
    <row r="125" spans="1:15">
      <c r="A125" s="197">
        <v>45383</v>
      </c>
      <c r="B125">
        <f t="shared" si="25"/>
        <v>4</v>
      </c>
      <c r="C125">
        <f t="shared" si="26"/>
        <v>2024</v>
      </c>
      <c r="D125" s="6"/>
      <c r="E125" s="229">
        <f t="shared" ca="1" si="19"/>
        <v>184.31</v>
      </c>
      <c r="F125" s="229">
        <f t="shared" ca="1" si="20"/>
        <v>3.0799999999999996</v>
      </c>
      <c r="G125">
        <f t="shared" si="20"/>
        <v>0</v>
      </c>
      <c r="H125" s="321">
        <f>'Economic Data'!F151</f>
        <v>192.71355000000003</v>
      </c>
      <c r="J125" s="6">
        <f t="shared" si="34"/>
        <v>788660.63968622696</v>
      </c>
      <c r="K125" s="6">
        <f t="shared" ca="1" si="35"/>
        <v>165638.75114341622</v>
      </c>
      <c r="L125" s="6">
        <f t="shared" ca="1" si="36"/>
        <v>11443.839130596609</v>
      </c>
      <c r="M125" s="6">
        <f t="shared" si="37"/>
        <v>0</v>
      </c>
      <c r="N125" s="6">
        <f t="shared" si="38"/>
        <v>1630465.5961235466</v>
      </c>
      <c r="O125" s="6">
        <f t="shared" ca="1" si="39"/>
        <v>2596208.8260837863</v>
      </c>
    </row>
    <row r="126" spans="1:15">
      <c r="A126" s="197">
        <v>45413</v>
      </c>
      <c r="B126">
        <f t="shared" si="25"/>
        <v>5</v>
      </c>
      <c r="C126">
        <f t="shared" si="26"/>
        <v>2024</v>
      </c>
      <c r="D126" s="6"/>
      <c r="E126" s="229">
        <f t="shared" ca="1" si="19"/>
        <v>47.083552299140976</v>
      </c>
      <c r="F126" s="229">
        <f t="shared" ca="1" si="20"/>
        <v>53.286447700859014</v>
      </c>
      <c r="G126">
        <f t="shared" si="20"/>
        <v>0</v>
      </c>
      <c r="H126" s="321">
        <f>'Economic Data'!F152</f>
        <v>193.52115000000001</v>
      </c>
      <c r="J126" s="6">
        <f t="shared" si="34"/>
        <v>788660.63968622696</v>
      </c>
      <c r="K126" s="6">
        <f t="shared" ca="1" si="35"/>
        <v>42313.823461697328</v>
      </c>
      <c r="L126" s="6">
        <f t="shared" ca="1" si="36"/>
        <v>197987.51147064293</v>
      </c>
      <c r="M126" s="6">
        <f t="shared" si="37"/>
        <v>0</v>
      </c>
      <c r="N126" s="6">
        <f t="shared" si="38"/>
        <v>1637298.3487526653</v>
      </c>
      <c r="O126" s="6">
        <f t="shared" ca="1" si="39"/>
        <v>2666260.3233712325</v>
      </c>
    </row>
    <row r="127" spans="1:15">
      <c r="A127" s="197">
        <v>45444</v>
      </c>
      <c r="B127">
        <f t="shared" si="25"/>
        <v>6</v>
      </c>
      <c r="C127">
        <f t="shared" si="26"/>
        <v>2024</v>
      </c>
      <c r="D127" s="6"/>
      <c r="E127" s="229">
        <f t="shared" ca="1" si="19"/>
        <v>0.4200000000000001</v>
      </c>
      <c r="F127" s="229">
        <f t="shared" ca="1" si="20"/>
        <v>145.07</v>
      </c>
      <c r="G127">
        <f t="shared" si="20"/>
        <v>0</v>
      </c>
      <c r="H127" s="321">
        <f>'Economic Data'!F153</f>
        <v>193.82400000000001</v>
      </c>
      <c r="J127" s="6">
        <f t="shared" si="34"/>
        <v>788660.63968622696</v>
      </c>
      <c r="K127" s="6">
        <f t="shared" ca="1" si="35"/>
        <v>377.45252824173855</v>
      </c>
      <c r="L127" s="6">
        <f t="shared" ca="1" si="36"/>
        <v>539012.2541154708</v>
      </c>
      <c r="M127" s="6">
        <f t="shared" si="37"/>
        <v>0</v>
      </c>
      <c r="N127" s="6">
        <f t="shared" si="38"/>
        <v>1639860.6309885851</v>
      </c>
      <c r="O127" s="6">
        <f t="shared" ca="1" si="39"/>
        <v>2967910.9773185244</v>
      </c>
    </row>
    <row r="128" spans="1:15">
      <c r="A128" s="197">
        <v>45474</v>
      </c>
      <c r="B128">
        <f t="shared" si="25"/>
        <v>7</v>
      </c>
      <c r="C128">
        <f t="shared" si="26"/>
        <v>2024</v>
      </c>
      <c r="D128" s="6"/>
      <c r="E128" s="229">
        <f t="shared" ca="1" si="19"/>
        <v>0</v>
      </c>
      <c r="F128" s="229">
        <f t="shared" ca="1" si="20"/>
        <v>211.23289540171805</v>
      </c>
      <c r="G128">
        <f t="shared" si="20"/>
        <v>0</v>
      </c>
      <c r="H128" s="321">
        <f>'Economic Data'!F154</f>
        <v>191.50215</v>
      </c>
      <c r="J128" s="6">
        <f t="shared" si="34"/>
        <v>788660.63968622696</v>
      </c>
      <c r="K128" s="6">
        <f t="shared" ca="1" si="35"/>
        <v>0</v>
      </c>
      <c r="L128" s="6">
        <f t="shared" ca="1" si="36"/>
        <v>784842.62145045516</v>
      </c>
      <c r="M128" s="6">
        <f t="shared" si="37"/>
        <v>0</v>
      </c>
      <c r="N128" s="6">
        <f t="shared" si="38"/>
        <v>1620216.4671798677</v>
      </c>
      <c r="O128" s="6">
        <f t="shared" ca="1" si="39"/>
        <v>3193719.7283165501</v>
      </c>
    </row>
    <row r="129" spans="1:15">
      <c r="A129" s="197">
        <v>45505</v>
      </c>
      <c r="B129">
        <f t="shared" si="25"/>
        <v>8</v>
      </c>
      <c r="C129">
        <f t="shared" si="26"/>
        <v>2024</v>
      </c>
      <c r="D129" s="6"/>
      <c r="E129" s="229">
        <f t="shared" ca="1" si="19"/>
        <v>0</v>
      </c>
      <c r="F129" s="229">
        <f t="shared" ca="1" si="20"/>
        <v>183.87605861546231</v>
      </c>
      <c r="G129">
        <f t="shared" si="20"/>
        <v>0</v>
      </c>
      <c r="H129" s="321">
        <f>'Economic Data'!F155</f>
        <v>192.10785000000001</v>
      </c>
      <c r="J129" s="6">
        <f t="shared" si="34"/>
        <v>788660.63968622696</v>
      </c>
      <c r="K129" s="6">
        <f t="shared" ca="1" si="35"/>
        <v>0</v>
      </c>
      <c r="L129" s="6">
        <f t="shared" ca="1" si="36"/>
        <v>683197.41388425441</v>
      </c>
      <c r="M129" s="6">
        <f t="shared" si="37"/>
        <v>0</v>
      </c>
      <c r="N129" s="6">
        <f t="shared" si="38"/>
        <v>1625341.0316517071</v>
      </c>
      <c r="O129" s="6">
        <f t="shared" ca="1" si="39"/>
        <v>3097199.0852221884</v>
      </c>
    </row>
    <row r="130" spans="1:15">
      <c r="A130" s="197">
        <v>45536</v>
      </c>
      <c r="B130">
        <f t="shared" si="25"/>
        <v>9</v>
      </c>
      <c r="C130">
        <f t="shared" si="26"/>
        <v>2024</v>
      </c>
      <c r="D130" s="6"/>
      <c r="E130" s="229">
        <f t="shared" ca="1" si="19"/>
        <v>5.87</v>
      </c>
      <c r="F130" s="229">
        <f t="shared" ca="1" si="20"/>
        <v>90.709343102577066</v>
      </c>
      <c r="G130">
        <f t="shared" si="20"/>
        <v>0</v>
      </c>
      <c r="H130" s="321">
        <f>'Economic Data'!F156</f>
        <v>189.88695000000001</v>
      </c>
      <c r="J130" s="6">
        <f t="shared" si="34"/>
        <v>788660.63968622696</v>
      </c>
      <c r="K130" s="6">
        <f t="shared" ca="1" si="35"/>
        <v>5275.348430426202</v>
      </c>
      <c r="L130" s="6">
        <f t="shared" ca="1" si="36"/>
        <v>337033.48380129389</v>
      </c>
      <c r="M130" s="6">
        <f t="shared" si="37"/>
        <v>0</v>
      </c>
      <c r="N130" s="6">
        <f t="shared" si="38"/>
        <v>1606550.9619216295</v>
      </c>
      <c r="O130" s="6">
        <f t="shared" ca="1" si="39"/>
        <v>2737520.4338395763</v>
      </c>
    </row>
    <row r="131" spans="1:15">
      <c r="A131" s="197">
        <v>45566</v>
      </c>
      <c r="B131">
        <f t="shared" si="25"/>
        <v>10</v>
      </c>
      <c r="C131">
        <f t="shared" si="26"/>
        <v>2024</v>
      </c>
      <c r="D131" s="6"/>
      <c r="E131" s="229">
        <f t="shared" ref="E131:E145" ca="1" si="40">E119</f>
        <v>99.500656897422942</v>
      </c>
      <c r="F131" s="229">
        <f t="shared" ref="F131:G145" ca="1" si="41">F119</f>
        <v>20.479999999999997</v>
      </c>
      <c r="G131">
        <f t="shared" si="41"/>
        <v>1</v>
      </c>
      <c r="H131" s="321">
        <f>'Economic Data'!F157</f>
        <v>186.95939999999999</v>
      </c>
      <c r="J131" s="6">
        <f t="shared" si="34"/>
        <v>788660.63968622696</v>
      </c>
      <c r="K131" s="6">
        <f t="shared" ca="1" si="35"/>
        <v>89420.891684871574</v>
      </c>
      <c r="L131" s="6">
        <f t="shared" ca="1" si="36"/>
        <v>76094.099154096926</v>
      </c>
      <c r="M131" s="6">
        <f t="shared" si="37"/>
        <v>135311.078711176</v>
      </c>
      <c r="N131" s="6">
        <f t="shared" si="38"/>
        <v>1581782.2336410726</v>
      </c>
      <c r="O131" s="6">
        <f t="shared" ca="1" si="39"/>
        <v>2671268.942877444</v>
      </c>
    </row>
    <row r="132" spans="1:15">
      <c r="A132" s="197">
        <v>45597</v>
      </c>
      <c r="B132">
        <f t="shared" si="25"/>
        <v>11</v>
      </c>
      <c r="C132">
        <f t="shared" si="26"/>
        <v>2024</v>
      </c>
      <c r="D132" s="6"/>
      <c r="E132" s="229">
        <f t="shared" ca="1" si="40"/>
        <v>286.30065689742298</v>
      </c>
      <c r="F132" s="229">
        <f t="shared" ca="1" si="41"/>
        <v>0.6699999999999996</v>
      </c>
      <c r="G132">
        <f t="shared" si="41"/>
        <v>1</v>
      </c>
      <c r="H132" s="321">
        <f>'Economic Data'!F158</f>
        <v>185.94990000000001</v>
      </c>
      <c r="J132" s="6">
        <f t="shared" si="34"/>
        <v>788660.63968622696</v>
      </c>
      <c r="K132" s="6">
        <f t="shared" ca="1" si="35"/>
        <v>257297.39710286385</v>
      </c>
      <c r="L132" s="6">
        <f t="shared" ca="1" si="36"/>
        <v>2489.4065641232874</v>
      </c>
      <c r="M132" s="6">
        <f t="shared" si="37"/>
        <v>135311.078711176</v>
      </c>
      <c r="N132" s="6">
        <f t="shared" si="38"/>
        <v>1573241.2928546739</v>
      </c>
      <c r="O132" s="6">
        <f t="shared" ca="1" si="39"/>
        <v>2756999.8149190638</v>
      </c>
    </row>
    <row r="133" spans="1:15">
      <c r="A133" s="197">
        <v>45627</v>
      </c>
      <c r="B133">
        <f t="shared" si="25"/>
        <v>12</v>
      </c>
      <c r="C133">
        <f t="shared" si="26"/>
        <v>2024</v>
      </c>
      <c r="D133" s="6"/>
      <c r="E133" s="229">
        <f t="shared" ca="1" si="40"/>
        <v>409.7700000000001</v>
      </c>
      <c r="F133" s="229">
        <f t="shared" ca="1" si="41"/>
        <v>0</v>
      </c>
      <c r="G133">
        <f t="shared" si="41"/>
        <v>0</v>
      </c>
      <c r="H133" s="321">
        <f>'Economic Data'!F159</f>
        <v>185.74800000000002</v>
      </c>
      <c r="J133" s="6">
        <f t="shared" si="34"/>
        <v>788660.63968622696</v>
      </c>
      <c r="K133" s="6">
        <f t="shared" ca="1" si="35"/>
        <v>368258.86308956478</v>
      </c>
      <c r="L133" s="6">
        <f t="shared" ca="1" si="36"/>
        <v>0</v>
      </c>
      <c r="M133" s="6">
        <f t="shared" si="37"/>
        <v>0</v>
      </c>
      <c r="N133" s="6">
        <f t="shared" si="38"/>
        <v>1571533.1046973942</v>
      </c>
      <c r="O133" s="6">
        <f t="shared" ca="1" si="39"/>
        <v>2728452.6074731862</v>
      </c>
    </row>
    <row r="134" spans="1:15">
      <c r="A134" s="197">
        <v>45658</v>
      </c>
      <c r="B134">
        <f t="shared" ref="B134:B145" si="42">MONTH(A134)</f>
        <v>1</v>
      </c>
      <c r="C134">
        <f t="shared" ref="C134:C145" si="43">YEAR(A134)</f>
        <v>2025</v>
      </c>
      <c r="D134" s="6"/>
      <c r="E134" s="229">
        <f t="shared" ca="1" si="40"/>
        <v>546.99999999999989</v>
      </c>
      <c r="F134" s="229">
        <f t="shared" ca="1" si="41"/>
        <v>0</v>
      </c>
      <c r="G134">
        <f t="shared" si="41"/>
        <v>0</v>
      </c>
      <c r="H134" s="321">
        <f>'Economic Data'!F160</f>
        <v>194.19660645000002</v>
      </c>
      <c r="J134" s="6">
        <f t="shared" si="34"/>
        <v>788660.63968622696</v>
      </c>
      <c r="K134" s="6">
        <f t="shared" ca="1" si="35"/>
        <v>491586.98321007355</v>
      </c>
      <c r="L134" s="6">
        <f t="shared" ca="1" si="36"/>
        <v>0</v>
      </c>
      <c r="M134" s="6">
        <f t="shared" si="37"/>
        <v>0</v>
      </c>
      <c r="N134" s="6">
        <f t="shared" si="38"/>
        <v>1643013.092232845</v>
      </c>
      <c r="O134" s="6">
        <f t="shared" ca="1" si="39"/>
        <v>2923260.7151291454</v>
      </c>
    </row>
    <row r="135" spans="1:15">
      <c r="A135" s="197">
        <v>45689</v>
      </c>
      <c r="B135">
        <f t="shared" si="42"/>
        <v>2</v>
      </c>
      <c r="C135">
        <f t="shared" si="43"/>
        <v>2025</v>
      </c>
      <c r="D135" s="6"/>
      <c r="E135" s="229">
        <f t="shared" ca="1" si="40"/>
        <v>482.71355229914104</v>
      </c>
      <c r="F135" s="229">
        <f t="shared" ca="1" si="41"/>
        <v>0</v>
      </c>
      <c r="G135">
        <f t="shared" si="41"/>
        <v>0</v>
      </c>
      <c r="H135" s="321">
        <f>'Economic Data'!F161</f>
        <v>195.01773375000002</v>
      </c>
      <c r="J135" s="6">
        <f t="shared" si="34"/>
        <v>788660.63968622696</v>
      </c>
      <c r="K135" s="6">
        <f t="shared" ca="1" si="35"/>
        <v>433812.97793300339</v>
      </c>
      <c r="L135" s="6">
        <f t="shared" ca="1" si="36"/>
        <v>0</v>
      </c>
      <c r="M135" s="6">
        <f t="shared" si="37"/>
        <v>0</v>
      </c>
      <c r="N135" s="6">
        <f t="shared" si="38"/>
        <v>1649960.2934685019</v>
      </c>
      <c r="O135" s="6">
        <f t="shared" ca="1" si="39"/>
        <v>2872433.9110877323</v>
      </c>
    </row>
    <row r="136" spans="1:15">
      <c r="A136" s="197">
        <v>45717</v>
      </c>
      <c r="B136">
        <f t="shared" si="42"/>
        <v>3</v>
      </c>
      <c r="C136">
        <f t="shared" si="43"/>
        <v>2025</v>
      </c>
      <c r="D136" s="6"/>
      <c r="E136" s="229">
        <f t="shared" ca="1" si="40"/>
        <v>372.63355229914106</v>
      </c>
      <c r="F136" s="229">
        <f t="shared" ca="1" si="41"/>
        <v>0</v>
      </c>
      <c r="G136">
        <f t="shared" si="41"/>
        <v>0</v>
      </c>
      <c r="H136" s="321">
        <f>'Economic Data'!F162</f>
        <v>197.07055200000002</v>
      </c>
      <c r="J136" s="6">
        <f t="shared" si="34"/>
        <v>788660.63968622696</v>
      </c>
      <c r="K136" s="6">
        <f t="shared" ca="1" si="35"/>
        <v>334884.4676738354</v>
      </c>
      <c r="L136" s="6">
        <f t="shared" ca="1" si="36"/>
        <v>0</v>
      </c>
      <c r="M136" s="6">
        <f t="shared" si="37"/>
        <v>0</v>
      </c>
      <c r="N136" s="6">
        <f t="shared" si="38"/>
        <v>1667328.2965576439</v>
      </c>
      <c r="O136" s="6">
        <f t="shared" ca="1" si="39"/>
        <v>2790873.4039177066</v>
      </c>
    </row>
    <row r="137" spans="1:15">
      <c r="A137" s="197">
        <v>45748</v>
      </c>
      <c r="B137">
        <f t="shared" si="42"/>
        <v>4</v>
      </c>
      <c r="C137">
        <f t="shared" si="43"/>
        <v>2025</v>
      </c>
      <c r="D137" s="6"/>
      <c r="E137" s="229">
        <f t="shared" ca="1" si="40"/>
        <v>184.31</v>
      </c>
      <c r="F137" s="229">
        <f t="shared" ca="1" si="41"/>
        <v>3.0799999999999996</v>
      </c>
      <c r="G137">
        <f t="shared" si="41"/>
        <v>0</v>
      </c>
      <c r="H137" s="321">
        <f>'Economic Data'!F163</f>
        <v>195.94150196250004</v>
      </c>
      <c r="J137" s="6">
        <f t="shared" si="34"/>
        <v>788660.63968622696</v>
      </c>
      <c r="K137" s="6">
        <f t="shared" ca="1" si="35"/>
        <v>165638.75114341622</v>
      </c>
      <c r="L137" s="6">
        <f t="shared" ca="1" si="36"/>
        <v>11443.839130596609</v>
      </c>
      <c r="M137" s="6">
        <f t="shared" si="37"/>
        <v>0</v>
      </c>
      <c r="N137" s="6">
        <f t="shared" si="38"/>
        <v>1657775.8948586159</v>
      </c>
      <c r="O137" s="6">
        <f t="shared" ca="1" si="39"/>
        <v>2623519.1248188559</v>
      </c>
    </row>
    <row r="138" spans="1:15">
      <c r="A138" s="197">
        <v>45778</v>
      </c>
      <c r="B138">
        <f t="shared" si="42"/>
        <v>5</v>
      </c>
      <c r="C138">
        <f t="shared" si="43"/>
        <v>2025</v>
      </c>
      <c r="D138" s="6"/>
      <c r="E138" s="229">
        <f t="shared" ca="1" si="40"/>
        <v>47.083552299140976</v>
      </c>
      <c r="F138" s="229">
        <f t="shared" ca="1" si="41"/>
        <v>53.286447700859014</v>
      </c>
      <c r="G138">
        <f t="shared" si="41"/>
        <v>0</v>
      </c>
      <c r="H138" s="321">
        <f>'Economic Data'!F164</f>
        <v>196.76262926250001</v>
      </c>
      <c r="J138" s="6">
        <f t="shared" si="34"/>
        <v>788660.63968622696</v>
      </c>
      <c r="K138" s="6">
        <f t="shared" ca="1" si="35"/>
        <v>42313.823461697328</v>
      </c>
      <c r="L138" s="6">
        <f t="shared" ca="1" si="36"/>
        <v>197987.51147064293</v>
      </c>
      <c r="M138" s="6">
        <f t="shared" si="37"/>
        <v>0</v>
      </c>
      <c r="N138" s="6">
        <f t="shared" si="38"/>
        <v>1664723.0960942726</v>
      </c>
      <c r="O138" s="6">
        <f t="shared" ca="1" si="39"/>
        <v>2693685.0707128397</v>
      </c>
    </row>
    <row r="139" spans="1:15">
      <c r="A139" s="197">
        <v>45809</v>
      </c>
      <c r="B139">
        <f t="shared" si="42"/>
        <v>6</v>
      </c>
      <c r="C139">
        <f t="shared" si="43"/>
        <v>2025</v>
      </c>
      <c r="D139" s="6"/>
      <c r="E139" s="229">
        <f t="shared" ca="1" si="40"/>
        <v>0.4200000000000001</v>
      </c>
      <c r="F139" s="229">
        <f t="shared" ca="1" si="41"/>
        <v>145.07</v>
      </c>
      <c r="G139">
        <f t="shared" si="41"/>
        <v>0</v>
      </c>
      <c r="H139" s="321">
        <f>'Economic Data'!F165</f>
        <v>197.07055200000002</v>
      </c>
      <c r="J139" s="6">
        <f t="shared" si="34"/>
        <v>788660.63968622696</v>
      </c>
      <c r="K139" s="6">
        <f t="shared" ca="1" si="35"/>
        <v>377.45252824173855</v>
      </c>
      <c r="L139" s="6">
        <f t="shared" ca="1" si="36"/>
        <v>539012.2541154708</v>
      </c>
      <c r="M139" s="6">
        <f t="shared" si="37"/>
        <v>0</v>
      </c>
      <c r="N139" s="6">
        <f t="shared" si="38"/>
        <v>1667328.2965576439</v>
      </c>
      <c r="O139" s="6">
        <f t="shared" ca="1" si="39"/>
        <v>2995378.6428875835</v>
      </c>
    </row>
    <row r="140" spans="1:15">
      <c r="A140" s="197">
        <v>45839</v>
      </c>
      <c r="B140">
        <f t="shared" si="42"/>
        <v>7</v>
      </c>
      <c r="C140">
        <f t="shared" si="43"/>
        <v>2025</v>
      </c>
      <c r="D140" s="6"/>
      <c r="E140" s="229">
        <f t="shared" ca="1" si="40"/>
        <v>0</v>
      </c>
      <c r="F140" s="229">
        <f t="shared" ca="1" si="41"/>
        <v>211.23289540171805</v>
      </c>
      <c r="G140">
        <f t="shared" si="41"/>
        <v>0</v>
      </c>
      <c r="H140" s="321">
        <f>'Economic Data'!F166</f>
        <v>194.70981101250001</v>
      </c>
      <c r="J140" s="6">
        <f t="shared" si="34"/>
        <v>788660.63968622696</v>
      </c>
      <c r="K140" s="6">
        <f t="shared" ca="1" si="35"/>
        <v>0</v>
      </c>
      <c r="L140" s="6">
        <f t="shared" ca="1" si="36"/>
        <v>784842.62145045516</v>
      </c>
      <c r="M140" s="6">
        <f t="shared" si="37"/>
        <v>0</v>
      </c>
      <c r="N140" s="6">
        <f t="shared" si="38"/>
        <v>1647355.0930051305</v>
      </c>
      <c r="O140" s="6">
        <f t="shared" ca="1" si="39"/>
        <v>3220858.3541418128</v>
      </c>
    </row>
    <row r="141" spans="1:15">
      <c r="A141" s="197">
        <v>45870</v>
      </c>
      <c r="B141">
        <f t="shared" si="42"/>
        <v>8</v>
      </c>
      <c r="C141">
        <f t="shared" si="43"/>
        <v>2025</v>
      </c>
      <c r="D141" s="6"/>
      <c r="E141" s="229">
        <f t="shared" ca="1" si="40"/>
        <v>0</v>
      </c>
      <c r="F141" s="229">
        <f t="shared" ca="1" si="41"/>
        <v>183.87605861546231</v>
      </c>
      <c r="G141">
        <f t="shared" si="41"/>
        <v>0</v>
      </c>
      <c r="H141" s="321">
        <f>'Economic Data'!F167</f>
        <v>195.32565648750003</v>
      </c>
      <c r="J141" s="6">
        <f t="shared" si="34"/>
        <v>788660.63968622696</v>
      </c>
      <c r="K141" s="6">
        <f t="shared" ca="1" si="35"/>
        <v>0</v>
      </c>
      <c r="L141" s="6">
        <f t="shared" ca="1" si="36"/>
        <v>683197.41388425441</v>
      </c>
      <c r="M141" s="6">
        <f t="shared" si="37"/>
        <v>0</v>
      </c>
      <c r="N141" s="6">
        <f t="shared" si="38"/>
        <v>1652565.4939318732</v>
      </c>
      <c r="O141" s="6">
        <f t="shared" ca="1" si="39"/>
        <v>3124423.5475023547</v>
      </c>
    </row>
    <row r="142" spans="1:15">
      <c r="A142" s="197">
        <v>45901</v>
      </c>
      <c r="B142">
        <f t="shared" si="42"/>
        <v>9</v>
      </c>
      <c r="C142">
        <f t="shared" si="43"/>
        <v>2025</v>
      </c>
      <c r="D142" s="6"/>
      <c r="E142" s="229">
        <f t="shared" ca="1" si="40"/>
        <v>5.87</v>
      </c>
      <c r="F142" s="229">
        <f t="shared" ca="1" si="41"/>
        <v>90.709343102577066</v>
      </c>
      <c r="G142">
        <f t="shared" si="41"/>
        <v>0</v>
      </c>
      <c r="H142" s="321">
        <f>'Economic Data'!F168</f>
        <v>193.06755641250001</v>
      </c>
      <c r="J142" s="6">
        <f t="shared" si="34"/>
        <v>788660.63968622696</v>
      </c>
      <c r="K142" s="6">
        <f t="shared" ca="1" si="35"/>
        <v>5275.348430426202</v>
      </c>
      <c r="L142" s="6">
        <f t="shared" ca="1" si="36"/>
        <v>337033.48380129389</v>
      </c>
      <c r="M142" s="6">
        <f t="shared" si="37"/>
        <v>0</v>
      </c>
      <c r="N142" s="6">
        <f t="shared" si="38"/>
        <v>1633460.6905338168</v>
      </c>
      <c r="O142" s="6">
        <f t="shared" ca="1" si="39"/>
        <v>2764430.1624517636</v>
      </c>
    </row>
    <row r="143" spans="1:15">
      <c r="A143" s="197">
        <v>45931</v>
      </c>
      <c r="B143">
        <f t="shared" si="42"/>
        <v>10</v>
      </c>
      <c r="C143">
        <f t="shared" si="43"/>
        <v>2025</v>
      </c>
      <c r="D143" s="6"/>
      <c r="E143" s="229">
        <f t="shared" ca="1" si="40"/>
        <v>99.500656897422942</v>
      </c>
      <c r="F143" s="229">
        <f t="shared" ca="1" si="41"/>
        <v>20.479999999999997</v>
      </c>
      <c r="G143">
        <f t="shared" si="41"/>
        <v>1</v>
      </c>
      <c r="H143" s="321">
        <f>'Economic Data'!F169</f>
        <v>190.09096994999999</v>
      </c>
      <c r="J143" s="6">
        <f t="shared" si="34"/>
        <v>788660.63968622696</v>
      </c>
      <c r="K143" s="6">
        <f t="shared" ca="1" si="35"/>
        <v>89420.891684871574</v>
      </c>
      <c r="L143" s="6">
        <f t="shared" ca="1" si="36"/>
        <v>76094.099154096926</v>
      </c>
      <c r="M143" s="6">
        <f t="shared" si="37"/>
        <v>135311.078711176</v>
      </c>
      <c r="N143" s="6">
        <f t="shared" si="38"/>
        <v>1608277.0860545605</v>
      </c>
      <c r="O143" s="6">
        <f t="shared" ca="1" si="39"/>
        <v>2697763.7952909321</v>
      </c>
    </row>
    <row r="144" spans="1:15">
      <c r="A144" s="197">
        <v>45962</v>
      </c>
      <c r="B144">
        <f t="shared" si="42"/>
        <v>11</v>
      </c>
      <c r="C144">
        <f t="shared" si="43"/>
        <v>2025</v>
      </c>
      <c r="D144" s="6"/>
      <c r="E144" s="229">
        <f t="shared" ca="1" si="40"/>
        <v>286.30065689742298</v>
      </c>
      <c r="F144" s="229">
        <f t="shared" ca="1" si="41"/>
        <v>0.6699999999999996</v>
      </c>
      <c r="G144">
        <f t="shared" si="41"/>
        <v>1</v>
      </c>
      <c r="H144" s="321">
        <f>'Economic Data'!F170</f>
        <v>189.06456082500003</v>
      </c>
      <c r="J144" s="6">
        <f t="shared" si="34"/>
        <v>788660.63968622696</v>
      </c>
      <c r="K144" s="6">
        <f t="shared" ca="1" si="35"/>
        <v>257297.39710286385</v>
      </c>
      <c r="L144" s="6">
        <f t="shared" ca="1" si="36"/>
        <v>2489.4065641232874</v>
      </c>
      <c r="M144" s="6">
        <f t="shared" si="37"/>
        <v>135311.078711176</v>
      </c>
      <c r="N144" s="6">
        <f t="shared" si="38"/>
        <v>1599593.0845099897</v>
      </c>
      <c r="O144" s="6">
        <f t="shared" ca="1" si="39"/>
        <v>2783351.6065743798</v>
      </c>
    </row>
    <row r="145" spans="1:15">
      <c r="A145" s="197">
        <v>45992</v>
      </c>
      <c r="B145">
        <f t="shared" si="42"/>
        <v>12</v>
      </c>
      <c r="C145">
        <f t="shared" si="43"/>
        <v>2025</v>
      </c>
      <c r="D145" s="6"/>
      <c r="E145" s="229">
        <f t="shared" ca="1" si="40"/>
        <v>409.7700000000001</v>
      </c>
      <c r="F145" s="229">
        <f t="shared" ca="1" si="41"/>
        <v>0</v>
      </c>
      <c r="G145">
        <f t="shared" si="41"/>
        <v>0</v>
      </c>
      <c r="H145" s="321">
        <f>'Economic Data'!F171</f>
        <v>188.85927900000002</v>
      </c>
      <c r="J145" s="6">
        <f t="shared" si="34"/>
        <v>788660.63968622696</v>
      </c>
      <c r="K145" s="6">
        <f t="shared" ca="1" si="35"/>
        <v>368258.86308956478</v>
      </c>
      <c r="L145" s="6">
        <f t="shared" ca="1" si="36"/>
        <v>0</v>
      </c>
      <c r="M145" s="6">
        <f t="shared" si="37"/>
        <v>0</v>
      </c>
      <c r="N145" s="6">
        <f t="shared" si="38"/>
        <v>1597856.2842010756</v>
      </c>
      <c r="O145" s="6">
        <f t="shared" ca="1" si="39"/>
        <v>2754775.7869768674</v>
      </c>
    </row>
    <row r="158" spans="1:15">
      <c r="A158" s="197"/>
      <c r="D158" s="6"/>
      <c r="H158" s="228"/>
      <c r="J158" s="6"/>
      <c r="K158" s="6"/>
      <c r="L158" s="6"/>
      <c r="M158" s="6"/>
      <c r="N158" s="6"/>
      <c r="O158" s="6"/>
    </row>
    <row r="159" spans="1:15">
      <c r="A159" s="197"/>
      <c r="D159" s="6"/>
      <c r="H159" s="228"/>
      <c r="J159" s="6"/>
      <c r="K159" s="6"/>
      <c r="L159" s="6"/>
      <c r="M159" s="6"/>
      <c r="N159" s="6"/>
      <c r="O159" s="6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A0FD0-8436-4BF1-A055-72DE0F5F639E}">
  <dimension ref="A1:AC159"/>
  <sheetViews>
    <sheetView topLeftCell="M1" workbookViewId="0">
      <selection activeCell="R2" sqref="R2:R145"/>
    </sheetView>
  </sheetViews>
  <sheetFormatPr defaultRowHeight="14.45"/>
  <cols>
    <col min="1" max="1" width="12.28515625" customWidth="1"/>
    <col min="4" max="4" width="16.85546875" customWidth="1"/>
    <col min="7" max="7" width="11.85546875" customWidth="1"/>
    <col min="9" max="9" width="10.140625" bestFit="1" customWidth="1"/>
    <col min="10" max="10" width="11.28515625" bestFit="1" customWidth="1"/>
    <col min="11" max="11" width="11.5703125" bestFit="1" customWidth="1"/>
    <col min="12" max="13" width="11.5703125" customWidth="1"/>
    <col min="14" max="14" width="10.5703125" bestFit="1" customWidth="1"/>
    <col min="15" max="15" width="11.5703125" bestFit="1" customWidth="1"/>
    <col min="16" max="17" width="10.5703125" customWidth="1"/>
    <col min="18" max="18" width="12.5703125" bestFit="1" customWidth="1"/>
    <col min="19" max="19" width="13.42578125" bestFit="1" customWidth="1"/>
    <col min="20" max="20" width="13.28515625" customWidth="1"/>
    <col min="21" max="21" width="14.28515625" bestFit="1" customWidth="1"/>
    <col min="22" max="22" width="12" customWidth="1"/>
    <col min="23" max="23" width="11.28515625" bestFit="1" customWidth="1"/>
    <col min="25" max="25" width="12.42578125" customWidth="1"/>
    <col min="26" max="26" width="10.710937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(14-23) Used'!DV1</f>
        <v>AvgEDMDAlt</v>
      </c>
      <c r="E1" t="str">
        <f>'Weather Data'!BP37</f>
        <v>HDD14</v>
      </c>
      <c r="F1" t="str">
        <f>'Weather Data'!BC37</f>
        <v>CDD16</v>
      </c>
      <c r="G1" s="6" t="str">
        <f>'Monthly Data (14-23) Used'!BY1</f>
        <v>Spring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Spring</v>
      </c>
      <c r="N1" t="str">
        <f>H1</f>
        <v>Adj.Windsor_FTE</v>
      </c>
      <c r="O1" t="s">
        <v>242</v>
      </c>
      <c r="P1" s="6" t="str">
        <f>'Monthly Data (14-23) Used'!DU1</f>
        <v>EDCustAlt</v>
      </c>
      <c r="Q1" t="str">
        <f>'Monthly Data (14-23) Used'!CB1</f>
        <v>Month Days</v>
      </c>
      <c r="R1" t="s">
        <v>242</v>
      </c>
    </row>
    <row r="2" spans="1:29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(14-23) Used'!DV2</f>
        <v>18763.569892473119</v>
      </c>
      <c r="E2" s="226">
        <f ca="1">'Weather Data'!BP38</f>
        <v>546.99999999999989</v>
      </c>
      <c r="F2" s="226">
        <f ca="1">'Weather Data'!BC38</f>
        <v>0</v>
      </c>
      <c r="G2" s="6">
        <f>'Monthly Data (14-23) Used'!BY2</f>
        <v>0</v>
      </c>
      <c r="H2">
        <f>'Monthly Data (14-23) Used'!AR2</f>
        <v>158.80000000000001</v>
      </c>
      <c r="J2" s="6">
        <f t="shared" ref="J2:J33" si="2">$U$9</f>
        <v>3114.0572511813202</v>
      </c>
      <c r="K2" s="6">
        <f t="shared" ref="K2:K33" ca="1" si="3">E2*$U$10</f>
        <v>2673.5706799311097</v>
      </c>
      <c r="L2" s="6">
        <f t="shared" ref="L2:L33" ca="1" si="4">F2*$U$11</f>
        <v>0</v>
      </c>
      <c r="M2" s="6">
        <f>G2*$U$12</f>
        <v>0</v>
      </c>
      <c r="N2" s="6">
        <f>H2*$U$13</f>
        <v>15203.517788678169</v>
      </c>
      <c r="O2" s="6">
        <f t="shared" ref="O2:O33" ca="1" si="5">SUM(J2:N2)</f>
        <v>20991.145719790598</v>
      </c>
      <c r="P2" s="6">
        <f>'Monthly Data (14-23) Used'!DU2</f>
        <v>6</v>
      </c>
      <c r="Q2">
        <f>'Monthly Data (14-23) Used'!CB2</f>
        <v>31</v>
      </c>
      <c r="R2" s="6">
        <f ca="1">O2*P2*Q2</f>
        <v>3904353.1038810513</v>
      </c>
    </row>
    <row r="3" spans="1:29">
      <c r="A3" s="197">
        <v>41671</v>
      </c>
      <c r="B3">
        <f t="shared" si="0"/>
        <v>2</v>
      </c>
      <c r="C3">
        <f t="shared" si="1"/>
        <v>2014</v>
      </c>
      <c r="D3" s="6">
        <f>'Monthly Data (14-23) Used'!DV3</f>
        <v>18459.75</v>
      </c>
      <c r="E3" s="226">
        <f ca="1">'Weather Data'!BP39</f>
        <v>482.71355229914104</v>
      </c>
      <c r="F3" s="226">
        <f ca="1">'Weather Data'!BC39</f>
        <v>0</v>
      </c>
      <c r="G3" s="6">
        <f>'Monthly Data (14-23) Used'!BY3</f>
        <v>0</v>
      </c>
      <c r="H3">
        <f>'Monthly Data (14-23) Used'!AR3</f>
        <v>156.6</v>
      </c>
      <c r="J3" s="6">
        <f t="shared" si="2"/>
        <v>3114.0572511813202</v>
      </c>
      <c r="K3" s="6">
        <f t="shared" ca="1" si="3"/>
        <v>2359.3579528928267</v>
      </c>
      <c r="L3" s="6">
        <f t="shared" ca="1" si="4"/>
        <v>0</v>
      </c>
      <c r="M3" s="6">
        <f t="shared" ref="M3:M66" si="6">G3*$U$12</f>
        <v>0</v>
      </c>
      <c r="N3" s="6">
        <f t="shared" ref="N3:N66" si="7">H3*$U$13</f>
        <v>14992.889708482375</v>
      </c>
      <c r="O3" s="6">
        <f t="shared" ca="1" si="5"/>
        <v>20466.304912556523</v>
      </c>
      <c r="P3" s="6">
        <f>'Monthly Data (14-23) Used'!DU3</f>
        <v>6</v>
      </c>
      <c r="Q3">
        <f>'Monthly Data (14-23) Used'!CB3</f>
        <v>28</v>
      </c>
      <c r="R3" s="6">
        <f t="shared" ref="R3:R66" ca="1" si="8">O3*P3*Q3</f>
        <v>3438339.2253094958</v>
      </c>
    </row>
    <row r="4" spans="1:29">
      <c r="A4" s="197">
        <v>41699</v>
      </c>
      <c r="B4">
        <f t="shared" si="0"/>
        <v>3</v>
      </c>
      <c r="C4">
        <f t="shared" si="1"/>
        <v>2014</v>
      </c>
      <c r="D4" s="6">
        <f>'Monthly Data (14-23) Used'!DV4</f>
        <v>17109.344086021505</v>
      </c>
      <c r="E4" s="226">
        <f ca="1">'Weather Data'!BP40</f>
        <v>372.63355229914106</v>
      </c>
      <c r="F4" s="226">
        <f ca="1">'Weather Data'!BC40</f>
        <v>0</v>
      </c>
      <c r="G4" s="6">
        <f>'Monthly Data (14-23) Used'!BY4</f>
        <v>1</v>
      </c>
      <c r="H4">
        <f>'Monthly Data (14-23) Used'!AR4</f>
        <v>154.80000000000001</v>
      </c>
      <c r="J4" s="6">
        <f t="shared" si="2"/>
        <v>3114.0572511813202</v>
      </c>
      <c r="K4" s="6">
        <f t="shared" ca="1" si="3"/>
        <v>1821.3201824233265</v>
      </c>
      <c r="L4" s="6">
        <f t="shared" ca="1" si="4"/>
        <v>0</v>
      </c>
      <c r="M4" s="6">
        <f t="shared" si="6"/>
        <v>-1472.0035230159101</v>
      </c>
      <c r="N4" s="6">
        <f t="shared" si="7"/>
        <v>14820.557642867636</v>
      </c>
      <c r="O4" s="6">
        <f t="shared" ca="1" si="5"/>
        <v>18283.931553456372</v>
      </c>
      <c r="P4" s="6">
        <f>'Monthly Data (14-23) Used'!DU4</f>
        <v>6</v>
      </c>
      <c r="Q4">
        <f>'Monthly Data (14-23) Used'!CB4</f>
        <v>31</v>
      </c>
      <c r="R4" s="6">
        <f t="shared" ca="1" si="8"/>
        <v>3400811.2689428851</v>
      </c>
      <c r="T4" t="s">
        <v>263</v>
      </c>
    </row>
    <row r="5" spans="1:29">
      <c r="A5" s="197">
        <v>41730</v>
      </c>
      <c r="B5">
        <f t="shared" si="0"/>
        <v>4</v>
      </c>
      <c r="C5">
        <f t="shared" si="1"/>
        <v>2014</v>
      </c>
      <c r="D5" s="6">
        <f>'Monthly Data (14-23) Used'!DV5</f>
        <v>16536.005555555555</v>
      </c>
      <c r="E5" s="226">
        <f ca="1">'Weather Data'!BP41</f>
        <v>184.31</v>
      </c>
      <c r="F5" s="226">
        <f ca="1">'Weather Data'!BC41</f>
        <v>3.0799999999999996</v>
      </c>
      <c r="G5" s="6">
        <f>'Monthly Data (14-23) Used'!BY5</f>
        <v>1</v>
      </c>
      <c r="H5">
        <f>'Monthly Data (14-23) Used'!AR5</f>
        <v>152.80000000000001</v>
      </c>
      <c r="J5" s="6">
        <f t="shared" si="2"/>
        <v>3114.0572511813202</v>
      </c>
      <c r="K5" s="6">
        <f t="shared" ca="1" si="3"/>
        <v>900.85157590146798</v>
      </c>
      <c r="L5" s="6">
        <f t="shared" ca="1" si="4"/>
        <v>63.230321862841052</v>
      </c>
      <c r="M5" s="6">
        <f t="shared" si="6"/>
        <v>-1472.0035230159101</v>
      </c>
      <c r="N5" s="6">
        <f t="shared" si="7"/>
        <v>14629.07756996237</v>
      </c>
      <c r="O5" s="6">
        <f t="shared" ca="1" si="5"/>
        <v>17235.213195892091</v>
      </c>
      <c r="P5" s="6">
        <f>'Monthly Data (14-23) Used'!DU5</f>
        <v>6</v>
      </c>
      <c r="Q5">
        <f>'Monthly Data (14-23) Used'!CB5</f>
        <v>30</v>
      </c>
      <c r="R5" s="6">
        <f t="shared" ca="1" si="8"/>
        <v>3102338.3752605761</v>
      </c>
      <c r="T5" t="s">
        <v>264</v>
      </c>
    </row>
    <row r="6" spans="1:29">
      <c r="A6" s="197">
        <v>41760</v>
      </c>
      <c r="B6">
        <f t="shared" si="0"/>
        <v>5</v>
      </c>
      <c r="C6">
        <f t="shared" si="1"/>
        <v>2014</v>
      </c>
      <c r="D6" s="6">
        <f>'Monthly Data (14-23) Used'!DV6</f>
        <v>16356.709677419356</v>
      </c>
      <c r="E6" s="226">
        <f ca="1">'Weather Data'!BP42</f>
        <v>47.083552299140976</v>
      </c>
      <c r="F6" s="226">
        <f ca="1">'Weather Data'!BC42</f>
        <v>53.286447700859014</v>
      </c>
      <c r="G6" s="6">
        <f>'Monthly Data (14-23) Used'!BY6</f>
        <v>1</v>
      </c>
      <c r="H6">
        <f>'Monthly Data (14-23) Used'!AR6</f>
        <v>152.30000000000001</v>
      </c>
      <c r="J6" s="6">
        <f t="shared" si="2"/>
        <v>3114.0572511813202</v>
      </c>
      <c r="K6" s="6">
        <f t="shared" ca="1" si="3"/>
        <v>230.13017355390556</v>
      </c>
      <c r="L6" s="6">
        <f t="shared" ca="1" si="4"/>
        <v>1093.9348178742734</v>
      </c>
      <c r="M6" s="6">
        <f t="shared" si="6"/>
        <v>-1472.0035230159101</v>
      </c>
      <c r="N6" s="6">
        <f t="shared" si="7"/>
        <v>14581.207551736054</v>
      </c>
      <c r="O6" s="6">
        <f t="shared" ca="1" si="5"/>
        <v>17547.326271329643</v>
      </c>
      <c r="P6" s="6">
        <f>'Monthly Data (14-23) Used'!DU6</f>
        <v>6</v>
      </c>
      <c r="Q6">
        <f>'Monthly Data (14-23) Used'!CB6</f>
        <v>31</v>
      </c>
      <c r="R6" s="6">
        <f t="shared" ca="1" si="8"/>
        <v>3263802.6864673137</v>
      </c>
      <c r="T6" t="s">
        <v>265</v>
      </c>
    </row>
    <row r="7" spans="1:29">
      <c r="A7" s="197">
        <v>41791</v>
      </c>
      <c r="B7">
        <f t="shared" si="0"/>
        <v>6</v>
      </c>
      <c r="C7">
        <f t="shared" si="1"/>
        <v>2014</v>
      </c>
      <c r="D7" s="6">
        <f>'Monthly Data (14-23) Used'!DV7</f>
        <v>18941.838888888891</v>
      </c>
      <c r="E7" s="226">
        <f ca="1">'Weather Data'!BP43</f>
        <v>0.4200000000000001</v>
      </c>
      <c r="F7" s="226">
        <f ca="1">'Weather Data'!BC43</f>
        <v>145.07</v>
      </c>
      <c r="G7" s="6">
        <f>'Monthly Data (14-23) Used'!BY7</f>
        <v>0</v>
      </c>
      <c r="H7">
        <f>'Monthly Data (14-23) Used'!AR7</f>
        <v>150.9</v>
      </c>
      <c r="J7" s="6">
        <f t="shared" si="2"/>
        <v>3114.0572511813202</v>
      </c>
      <c r="K7" s="6">
        <f t="shared" ca="1" si="3"/>
        <v>2.0528330632012186</v>
      </c>
      <c r="L7" s="6">
        <f t="shared" ca="1" si="4"/>
        <v>2978.1892183903742</v>
      </c>
      <c r="M7" s="6">
        <f t="shared" si="6"/>
        <v>0</v>
      </c>
      <c r="N7" s="6">
        <f t="shared" si="7"/>
        <v>14447.171500702367</v>
      </c>
      <c r="O7" s="6">
        <f t="shared" ca="1" si="5"/>
        <v>20541.470803337263</v>
      </c>
      <c r="P7" s="6">
        <f>'Monthly Data (14-23) Used'!DU7</f>
        <v>6</v>
      </c>
      <c r="Q7">
        <f>'Monthly Data (14-23) Used'!CB7</f>
        <v>30</v>
      </c>
      <c r="R7" s="6">
        <f t="shared" ca="1" si="8"/>
        <v>3697464.7446007077</v>
      </c>
    </row>
    <row r="8" spans="1:29">
      <c r="A8" s="197">
        <v>41821</v>
      </c>
      <c r="B8">
        <f t="shared" si="0"/>
        <v>7</v>
      </c>
      <c r="C8">
        <f t="shared" si="1"/>
        <v>2014</v>
      </c>
      <c r="D8" s="6">
        <f>'Monthly Data (14-23) Used'!DV8</f>
        <v>19212.618279569891</v>
      </c>
      <c r="E8" s="226">
        <f ca="1">'Weather Data'!BP44</f>
        <v>0</v>
      </c>
      <c r="F8" s="226">
        <f ca="1">'Weather Data'!BC44</f>
        <v>211.23289540171805</v>
      </c>
      <c r="G8" s="6">
        <f>'Monthly Data (14-23) Used'!BY8</f>
        <v>0</v>
      </c>
      <c r="H8">
        <f>'Monthly Data (14-23) Used'!AR8</f>
        <v>152.4</v>
      </c>
      <c r="J8" s="6">
        <f t="shared" si="2"/>
        <v>3114.0572511813202</v>
      </c>
      <c r="K8" s="6">
        <f t="shared" ca="1" si="3"/>
        <v>0</v>
      </c>
      <c r="L8" s="6">
        <f t="shared" ca="1" si="4"/>
        <v>4336.4688195683348</v>
      </c>
      <c r="M8" s="6">
        <f t="shared" si="6"/>
        <v>0</v>
      </c>
      <c r="N8" s="6">
        <f t="shared" si="7"/>
        <v>14590.781555381316</v>
      </c>
      <c r="O8" s="6">
        <f t="shared" ca="1" si="5"/>
        <v>22041.307626130969</v>
      </c>
      <c r="P8" s="6">
        <f>'Monthly Data (14-23) Used'!DU8</f>
        <v>6</v>
      </c>
      <c r="Q8">
        <f>'Monthly Data (14-23) Used'!CB8</f>
        <v>31</v>
      </c>
      <c r="R8" s="6">
        <f t="shared" ca="1" si="8"/>
        <v>4099683.2184603605</v>
      </c>
      <c r="U8" t="s">
        <v>217</v>
      </c>
      <c r="V8" t="s">
        <v>218</v>
      </c>
      <c r="W8" t="s">
        <v>219</v>
      </c>
      <c r="X8" t="s">
        <v>220</v>
      </c>
    </row>
    <row r="9" spans="1:29">
      <c r="A9" s="197">
        <v>41852</v>
      </c>
      <c r="B9">
        <f t="shared" si="0"/>
        <v>8</v>
      </c>
      <c r="C9">
        <f t="shared" si="1"/>
        <v>2014</v>
      </c>
      <c r="D9" s="6">
        <f>'Monthly Data (14-23) Used'!DV9</f>
        <v>14479.887096774195</v>
      </c>
      <c r="E9" s="226">
        <f ca="1">'Weather Data'!BP45</f>
        <v>0</v>
      </c>
      <c r="F9" s="226">
        <f ca="1">'Weather Data'!BC45</f>
        <v>183.87605861546231</v>
      </c>
      <c r="G9" s="6">
        <f>'Monthly Data (14-23) Used'!BY9</f>
        <v>0</v>
      </c>
      <c r="H9">
        <f>'Monthly Data (14-23) Used'!AR9</f>
        <v>153.9</v>
      </c>
      <c r="J9" s="6">
        <f t="shared" si="2"/>
        <v>3114.0572511813202</v>
      </c>
      <c r="K9" s="6">
        <f t="shared" ca="1" si="3"/>
        <v>0</v>
      </c>
      <c r="L9" s="6">
        <f t="shared" ca="1" si="4"/>
        <v>3774.8514185475037</v>
      </c>
      <c r="M9" s="6">
        <f t="shared" si="6"/>
        <v>0</v>
      </c>
      <c r="N9" s="6">
        <f t="shared" si="7"/>
        <v>14734.391610060266</v>
      </c>
      <c r="O9" s="6">
        <f t="shared" ca="1" si="5"/>
        <v>21623.300279789088</v>
      </c>
      <c r="P9" s="6">
        <f>'Monthly Data (14-23) Used'!DU9</f>
        <v>6</v>
      </c>
      <c r="Q9">
        <f>'Monthly Data (14-23) Used'!CB9</f>
        <v>31</v>
      </c>
      <c r="R9" s="6">
        <f t="shared" ca="1" si="8"/>
        <v>4021933.8520407705</v>
      </c>
      <c r="T9" t="s">
        <v>221</v>
      </c>
      <c r="U9" s="6">
        <v>3114.0572511813202</v>
      </c>
      <c r="V9" s="64">
        <v>5562.29312451032</v>
      </c>
      <c r="W9" s="75">
        <v>0.55985133855301195</v>
      </c>
      <c r="X9" s="192">
        <v>0.57666972006857498</v>
      </c>
      <c r="Z9" s="6"/>
      <c r="AA9" s="64"/>
      <c r="AB9" s="75"/>
      <c r="AC9" s="192"/>
    </row>
    <row r="10" spans="1:29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Used'!DV10</f>
        <v>17287.772222222222</v>
      </c>
      <c r="E10" s="226">
        <f ca="1">'Weather Data'!BP46</f>
        <v>5.87</v>
      </c>
      <c r="F10" s="226">
        <f ca="1">'Weather Data'!BC46</f>
        <v>90.709343102577066</v>
      </c>
      <c r="G10" s="6">
        <f>'Monthly Data (14-23) Used'!BY10</f>
        <v>0</v>
      </c>
      <c r="H10">
        <f>'Monthly Data (14-23) Used'!AR10</f>
        <v>157</v>
      </c>
      <c r="J10" s="6">
        <f t="shared" si="2"/>
        <v>3114.0572511813202</v>
      </c>
      <c r="K10" s="6">
        <f t="shared" ca="1" si="3"/>
        <v>28.690785907121789</v>
      </c>
      <c r="L10" s="6">
        <f t="shared" ca="1" si="4"/>
        <v>1862.2016105009186</v>
      </c>
      <c r="M10" s="6">
        <f t="shared" si="6"/>
        <v>0</v>
      </c>
      <c r="N10" s="6">
        <f t="shared" si="7"/>
        <v>15031.185723063429</v>
      </c>
      <c r="O10" s="6">
        <f t="shared" ca="1" si="5"/>
        <v>20036.135370652788</v>
      </c>
      <c r="P10" s="6">
        <f>'Monthly Data (14-23) Used'!DU10</f>
        <v>6</v>
      </c>
      <c r="Q10">
        <f>'Monthly Data (14-23) Used'!CB10</f>
        <v>30</v>
      </c>
      <c r="R10" s="6">
        <f t="shared" ca="1" si="8"/>
        <v>3606504.366717502</v>
      </c>
      <c r="T10" t="s">
        <v>32</v>
      </c>
      <c r="U10" s="6">
        <v>4.8876977695267101</v>
      </c>
      <c r="V10" s="64">
        <v>1.36887142561649</v>
      </c>
      <c r="W10" s="75">
        <v>3.5706039866567099</v>
      </c>
      <c r="X10" s="192">
        <v>5.2105768487223998E-4</v>
      </c>
      <c r="Z10" s="6"/>
      <c r="AA10" s="64"/>
      <c r="AB10" s="75"/>
      <c r="AC10" s="192"/>
    </row>
    <row r="11" spans="1:29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Used'!DV11</f>
        <v>15932.177419354839</v>
      </c>
      <c r="E11" s="226">
        <f ca="1">'Weather Data'!BP47</f>
        <v>99.500656897422942</v>
      </c>
      <c r="F11" s="226">
        <f ca="1">'Weather Data'!BC47</f>
        <v>20.479999999999997</v>
      </c>
      <c r="G11" s="6">
        <f>'Monthly Data (14-23) Used'!BY11</f>
        <v>0</v>
      </c>
      <c r="H11">
        <f>'Monthly Data (14-23) Used'!AR11</f>
        <v>158.5</v>
      </c>
      <c r="J11" s="6">
        <f t="shared" si="2"/>
        <v>3114.0572511813202</v>
      </c>
      <c r="K11" s="6">
        <f t="shared" ca="1" si="3"/>
        <v>486.32913878397659</v>
      </c>
      <c r="L11" s="6">
        <f t="shared" ca="1" si="4"/>
        <v>420.44058173733271</v>
      </c>
      <c r="M11" s="6">
        <f t="shared" si="6"/>
        <v>0</v>
      </c>
      <c r="N11" s="6">
        <f t="shared" si="7"/>
        <v>15174.795777742378</v>
      </c>
      <c r="O11" s="6">
        <f t="shared" ca="1" si="5"/>
        <v>19195.622749445007</v>
      </c>
      <c r="P11" s="6">
        <f>'Monthly Data (14-23) Used'!DU11</f>
        <v>6</v>
      </c>
      <c r="Q11">
        <f>'Monthly Data (14-23) Used'!CB11</f>
        <v>31</v>
      </c>
      <c r="R11" s="6">
        <f t="shared" ca="1" si="8"/>
        <v>3570385.8313967711</v>
      </c>
      <c r="T11" t="s">
        <v>31</v>
      </c>
      <c r="U11" s="6">
        <v>20.529325280143201</v>
      </c>
      <c r="V11" s="64">
        <v>3.4952879307953402</v>
      </c>
      <c r="W11" s="75">
        <v>5.8734289382196501</v>
      </c>
      <c r="X11" s="192">
        <v>4.22856546176716E-8</v>
      </c>
      <c r="Z11" s="6"/>
      <c r="AA11" s="64"/>
      <c r="AB11" s="75"/>
      <c r="AC11" s="192"/>
    </row>
    <row r="12" spans="1:29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Used'!DV12</f>
        <v>17675.405555555557</v>
      </c>
      <c r="E12" s="226">
        <f ca="1">'Weather Data'!BP48</f>
        <v>286.30065689742298</v>
      </c>
      <c r="F12" s="226">
        <f ca="1">'Weather Data'!BC48</f>
        <v>0.6699999999999996</v>
      </c>
      <c r="G12" s="6">
        <f>'Monthly Data (14-23) Used'!BY12</f>
        <v>0</v>
      </c>
      <c r="H12">
        <f>'Monthly Data (14-23) Used'!AR12</f>
        <v>159.69999999999999</v>
      </c>
      <c r="J12" s="6">
        <f t="shared" si="2"/>
        <v>3114.0572511813202</v>
      </c>
      <c r="K12" s="6">
        <f t="shared" ca="1" si="3"/>
        <v>1399.3510821315663</v>
      </c>
      <c r="L12" s="6">
        <f t="shared" ca="1" si="4"/>
        <v>13.754647937695937</v>
      </c>
      <c r="M12" s="6">
        <f t="shared" si="6"/>
        <v>0</v>
      </c>
      <c r="N12" s="6">
        <f t="shared" si="7"/>
        <v>15289.683821485538</v>
      </c>
      <c r="O12" s="6">
        <f t="shared" ca="1" si="5"/>
        <v>19816.84680273612</v>
      </c>
      <c r="P12" s="6">
        <f>'Monthly Data (14-23) Used'!DU12</f>
        <v>6</v>
      </c>
      <c r="Q12">
        <f>'Monthly Data (14-23) Used'!CB12</f>
        <v>30</v>
      </c>
      <c r="R12" s="6">
        <f t="shared" ca="1" si="8"/>
        <v>3567032.4244925012</v>
      </c>
      <c r="T12" t="s">
        <v>76</v>
      </c>
      <c r="U12" s="6">
        <v>-1472.0035230159101</v>
      </c>
      <c r="V12" s="64">
        <v>457.74552096907701</v>
      </c>
      <c r="W12" s="75">
        <v>-3.2157682720730598</v>
      </c>
      <c r="X12" s="192">
        <v>1.6894057150997699E-3</v>
      </c>
      <c r="Z12" s="6"/>
      <c r="AA12" s="64"/>
      <c r="AB12" s="75"/>
      <c r="AC12" s="192"/>
    </row>
    <row r="13" spans="1:29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Used'!DV13</f>
        <v>17921</v>
      </c>
      <c r="E13" s="226">
        <f ca="1">'Weather Data'!BP49</f>
        <v>409.7700000000001</v>
      </c>
      <c r="F13" s="226">
        <f ca="1">'Weather Data'!BC49</f>
        <v>0</v>
      </c>
      <c r="G13" s="6">
        <f>'Monthly Data (14-23) Used'!BY13</f>
        <v>0</v>
      </c>
      <c r="H13">
        <f>'Monthly Data (14-23) Used'!AR13</f>
        <v>161.4</v>
      </c>
      <c r="J13" s="6">
        <f t="shared" si="2"/>
        <v>3114.0572511813202</v>
      </c>
      <c r="K13" s="6">
        <f t="shared" ca="1" si="3"/>
        <v>2002.8319150189604</v>
      </c>
      <c r="L13" s="6">
        <f t="shared" ca="1" si="4"/>
        <v>0</v>
      </c>
      <c r="M13" s="6">
        <f t="shared" si="6"/>
        <v>0</v>
      </c>
      <c r="N13" s="6">
        <f t="shared" si="7"/>
        <v>15452.441883455016</v>
      </c>
      <c r="O13" s="6">
        <f t="shared" ca="1" si="5"/>
        <v>20569.331049655295</v>
      </c>
      <c r="P13" s="6">
        <f>'Monthly Data (14-23) Used'!DU13</f>
        <v>6</v>
      </c>
      <c r="Q13">
        <f>'Monthly Data (14-23) Used'!CB13</f>
        <v>31</v>
      </c>
      <c r="R13" s="6">
        <f t="shared" ca="1" si="8"/>
        <v>3825895.5752358846</v>
      </c>
      <c r="T13" t="s">
        <v>222</v>
      </c>
      <c r="U13" s="6">
        <v>95.740036452633305</v>
      </c>
      <c r="V13" s="64">
        <v>33.346437245493199</v>
      </c>
      <c r="W13" s="75">
        <v>2.8710724251530899</v>
      </c>
      <c r="X13" s="192">
        <v>4.8710765656151999E-3</v>
      </c>
      <c r="Z13" s="6"/>
      <c r="AA13" s="64"/>
      <c r="AB13" s="75"/>
      <c r="AC13" s="192"/>
    </row>
    <row r="14" spans="1:29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Used'!DV14</f>
        <v>20150.494623655915</v>
      </c>
      <c r="E14" s="229">
        <f t="shared" ref="E14:F33" ca="1" si="9">E2</f>
        <v>546.99999999999989</v>
      </c>
      <c r="F14" s="229">
        <f t="shared" ca="1" si="9"/>
        <v>0</v>
      </c>
      <c r="G14" s="6">
        <f>'Monthly Data (14-23) Used'!BY14</f>
        <v>0</v>
      </c>
      <c r="H14">
        <f>'Monthly Data (14-23) Used'!AR14</f>
        <v>162.19999999999999</v>
      </c>
      <c r="J14" s="6">
        <f t="shared" si="2"/>
        <v>3114.0572511813202</v>
      </c>
      <c r="K14" s="6">
        <f t="shared" ca="1" si="3"/>
        <v>2673.5706799311097</v>
      </c>
      <c r="L14" s="6">
        <f t="shared" ca="1" si="4"/>
        <v>0</v>
      </c>
      <c r="M14" s="6">
        <f t="shared" si="6"/>
        <v>0</v>
      </c>
      <c r="N14" s="6">
        <f t="shared" si="7"/>
        <v>15529.03391261712</v>
      </c>
      <c r="O14" s="6">
        <f t="shared" ca="1" si="5"/>
        <v>21316.661843729551</v>
      </c>
      <c r="P14" s="6">
        <f>'Monthly Data (14-23) Used'!DU14</f>
        <v>6</v>
      </c>
      <c r="Q14">
        <f>'Monthly Data (14-23) Used'!CB14</f>
        <v>31</v>
      </c>
      <c r="R14" s="6">
        <f t="shared" ca="1" si="8"/>
        <v>3964899.1029336965</v>
      </c>
      <c r="U14" s="6"/>
      <c r="V14" s="64"/>
      <c r="W14" s="75"/>
      <c r="X14" s="192"/>
      <c r="Z14" s="6"/>
      <c r="AA14" s="64"/>
      <c r="AB14" s="75"/>
      <c r="AC14" s="192"/>
    </row>
    <row r="15" spans="1:29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Used'!DV15</f>
        <v>21218.27976190476</v>
      </c>
      <c r="E15" s="229">
        <f t="shared" ca="1" si="9"/>
        <v>482.71355229914104</v>
      </c>
      <c r="F15" s="229">
        <f t="shared" ca="1" si="9"/>
        <v>0</v>
      </c>
      <c r="G15" s="6">
        <f>'Monthly Data (14-23) Used'!BY15</f>
        <v>0</v>
      </c>
      <c r="H15">
        <f>'Monthly Data (14-23) Used'!AR15</f>
        <v>162.80000000000001</v>
      </c>
      <c r="J15" s="6">
        <f t="shared" si="2"/>
        <v>3114.0572511813202</v>
      </c>
      <c r="K15" s="6">
        <f t="shared" ca="1" si="3"/>
        <v>2359.3579528928267</v>
      </c>
      <c r="L15" s="6">
        <f t="shared" ca="1" si="4"/>
        <v>0</v>
      </c>
      <c r="M15" s="6">
        <f t="shared" si="6"/>
        <v>0</v>
      </c>
      <c r="N15" s="6">
        <f t="shared" si="7"/>
        <v>15586.477934488703</v>
      </c>
      <c r="O15" s="6">
        <f t="shared" ca="1" si="5"/>
        <v>21059.893138562849</v>
      </c>
      <c r="P15" s="6">
        <f>'Monthly Data (14-23) Used'!DU15</f>
        <v>6</v>
      </c>
      <c r="Q15">
        <f>'Monthly Data (14-23) Used'!CB15</f>
        <v>28</v>
      </c>
      <c r="R15" s="6">
        <f t="shared" ca="1" si="8"/>
        <v>3538062.0472785584</v>
      </c>
      <c r="T15" t="s">
        <v>223</v>
      </c>
      <c r="U15" s="6"/>
      <c r="W15" s="193"/>
      <c r="X15" s="192"/>
      <c r="Z15" s="6"/>
      <c r="AA15" s="64"/>
      <c r="AB15" s="75"/>
      <c r="AC15" s="192"/>
    </row>
    <row r="16" spans="1:29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Used'!DV16</f>
        <v>18547.913978494624</v>
      </c>
      <c r="E16" s="229">
        <f t="shared" ca="1" si="9"/>
        <v>372.63355229914106</v>
      </c>
      <c r="F16" s="229">
        <f t="shared" ca="1" si="9"/>
        <v>0</v>
      </c>
      <c r="G16" s="6">
        <f>'Monthly Data (14-23) Used'!BY16</f>
        <v>1</v>
      </c>
      <c r="H16">
        <f>'Monthly Data (14-23) Used'!AR16</f>
        <v>161.30000000000001</v>
      </c>
      <c r="J16" s="6">
        <f t="shared" si="2"/>
        <v>3114.0572511813202</v>
      </c>
      <c r="K16" s="6">
        <f t="shared" ca="1" si="3"/>
        <v>1821.3201824233265</v>
      </c>
      <c r="L16" s="6">
        <f t="shared" ca="1" si="4"/>
        <v>0</v>
      </c>
      <c r="M16" s="6">
        <f t="shared" si="6"/>
        <v>-1472.0035230159101</v>
      </c>
      <c r="N16" s="6">
        <f t="shared" si="7"/>
        <v>15442.867879809754</v>
      </c>
      <c r="O16" s="6">
        <f t="shared" ca="1" si="5"/>
        <v>18906.24179039849</v>
      </c>
      <c r="P16" s="6">
        <f>'Monthly Data (14-23) Used'!DU16</f>
        <v>6</v>
      </c>
      <c r="Q16">
        <f>'Monthly Data (14-23) Used'!CB16</f>
        <v>31</v>
      </c>
      <c r="R16" s="6">
        <f t="shared" ca="1" si="8"/>
        <v>3516560.9730141191</v>
      </c>
      <c r="T16" t="s">
        <v>226</v>
      </c>
      <c r="U16" s="193">
        <v>320088830.35051799</v>
      </c>
      <c r="V16" t="s">
        <v>227</v>
      </c>
      <c r="W16" s="193">
        <v>1668.34682649705</v>
      </c>
    </row>
    <row r="17" spans="1:28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Used'!DV17</f>
        <v>16743.45</v>
      </c>
      <c r="E17" s="229">
        <f t="shared" ca="1" si="9"/>
        <v>184.31</v>
      </c>
      <c r="F17" s="229">
        <f t="shared" ca="1" si="9"/>
        <v>3.0799999999999996</v>
      </c>
      <c r="G17" s="6">
        <f>'Monthly Data (14-23) Used'!BY17</f>
        <v>1</v>
      </c>
      <c r="H17">
        <f>'Monthly Data (14-23) Used'!AR17</f>
        <v>160.69999999999999</v>
      </c>
      <c r="J17" s="6">
        <f t="shared" si="2"/>
        <v>3114.0572511813202</v>
      </c>
      <c r="K17" s="6">
        <f t="shared" ca="1" si="3"/>
        <v>900.85157590146798</v>
      </c>
      <c r="L17" s="6">
        <f t="shared" ca="1" si="4"/>
        <v>63.230321862841052</v>
      </c>
      <c r="M17" s="6">
        <f t="shared" si="6"/>
        <v>-1472.0035230159101</v>
      </c>
      <c r="N17" s="6">
        <f t="shared" si="7"/>
        <v>15385.423857938171</v>
      </c>
      <c r="O17" s="6">
        <f t="shared" ca="1" si="5"/>
        <v>17991.559483867892</v>
      </c>
      <c r="P17" s="6">
        <f>'Monthly Data (14-23) Used'!DU17</f>
        <v>6</v>
      </c>
      <c r="Q17">
        <f>'Monthly Data (14-23) Used'!CB17</f>
        <v>30</v>
      </c>
      <c r="R17" s="6">
        <f t="shared" ca="1" si="8"/>
        <v>3238480.7070962205</v>
      </c>
      <c r="T17" t="s">
        <v>228</v>
      </c>
      <c r="U17" s="193">
        <v>0.67773856578926395</v>
      </c>
      <c r="V17" t="s">
        <v>229</v>
      </c>
      <c r="W17" s="193">
        <v>0.66652947242541305</v>
      </c>
    </row>
    <row r="18" spans="1:28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Used'!DV18</f>
        <v>15916.145161290324</v>
      </c>
      <c r="E18" s="229">
        <f t="shared" ca="1" si="9"/>
        <v>47.083552299140976</v>
      </c>
      <c r="F18" s="229">
        <f t="shared" ca="1" si="9"/>
        <v>53.286447700859014</v>
      </c>
      <c r="G18" s="6">
        <f>'Monthly Data (14-23) Used'!BY18</f>
        <v>1</v>
      </c>
      <c r="H18">
        <f>'Monthly Data (14-23) Used'!AR18</f>
        <v>161.19999999999999</v>
      </c>
      <c r="J18" s="6">
        <f t="shared" si="2"/>
        <v>3114.0572511813202</v>
      </c>
      <c r="K18" s="6">
        <f t="shared" ca="1" si="3"/>
        <v>230.13017355390556</v>
      </c>
      <c r="L18" s="6">
        <f t="shared" ca="1" si="4"/>
        <v>1093.9348178742734</v>
      </c>
      <c r="M18" s="6">
        <f t="shared" si="6"/>
        <v>-1472.0035230159101</v>
      </c>
      <c r="N18" s="6">
        <f t="shared" si="7"/>
        <v>15433.293876164487</v>
      </c>
      <c r="O18" s="6">
        <f t="shared" ca="1" si="5"/>
        <v>18399.412595758076</v>
      </c>
      <c r="P18" s="6">
        <f>'Monthly Data (14-23) Used'!DU18</f>
        <v>6</v>
      </c>
      <c r="Q18">
        <f>'Monthly Data (14-23) Used'!CB18</f>
        <v>31</v>
      </c>
      <c r="R18" s="6">
        <f t="shared" ca="1" si="8"/>
        <v>3422290.7428110023</v>
      </c>
      <c r="T18" t="s">
        <v>266</v>
      </c>
      <c r="U18" s="75">
        <v>24.6302569981099</v>
      </c>
      <c r="V18" t="s">
        <v>231</v>
      </c>
      <c r="W18" s="105">
        <v>9.7076196440675402E-15</v>
      </c>
      <c r="Z18" s="6"/>
      <c r="AB18" s="6"/>
    </row>
    <row r="19" spans="1:28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Used'!DV19</f>
        <v>17897.344444444443</v>
      </c>
      <c r="E19" s="229">
        <f t="shared" ca="1" si="9"/>
        <v>0.4200000000000001</v>
      </c>
      <c r="F19" s="229">
        <f t="shared" ca="1" si="9"/>
        <v>145.07</v>
      </c>
      <c r="G19" s="6">
        <f>'Monthly Data (14-23) Used'!BY19</f>
        <v>0</v>
      </c>
      <c r="H19">
        <f>'Monthly Data (14-23) Used'!AR19</f>
        <v>162.5</v>
      </c>
      <c r="J19" s="6">
        <f t="shared" si="2"/>
        <v>3114.0572511813202</v>
      </c>
      <c r="K19" s="6">
        <f t="shared" ca="1" si="3"/>
        <v>2.0528330632012186</v>
      </c>
      <c r="L19" s="6">
        <f t="shared" ca="1" si="4"/>
        <v>2978.1892183903742</v>
      </c>
      <c r="M19" s="6">
        <f t="shared" si="6"/>
        <v>0</v>
      </c>
      <c r="N19" s="6">
        <f t="shared" si="7"/>
        <v>15557.755923552912</v>
      </c>
      <c r="O19" s="6">
        <f t="shared" ca="1" si="5"/>
        <v>21652.055226187807</v>
      </c>
      <c r="P19" s="6">
        <f>'Monthly Data (14-23) Used'!DU19</f>
        <v>6</v>
      </c>
      <c r="Q19">
        <f>'Monthly Data (14-23) Used'!CB19</f>
        <v>30</v>
      </c>
      <c r="R19" s="6">
        <f t="shared" ca="1" si="8"/>
        <v>3897369.9407138056</v>
      </c>
      <c r="T19" t="s">
        <v>232</v>
      </c>
      <c r="U19" s="75">
        <v>-0.210750263289294</v>
      </c>
      <c r="V19" t="s">
        <v>233</v>
      </c>
      <c r="W19" s="105">
        <v>2.3884880066109102</v>
      </c>
      <c r="Z19" s="193"/>
      <c r="AB19" s="6"/>
    </row>
    <row r="20" spans="1:28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Used'!DV20</f>
        <v>21895.72580645161</v>
      </c>
      <c r="E20" s="229">
        <f t="shared" ca="1" si="9"/>
        <v>0</v>
      </c>
      <c r="F20" s="229">
        <f t="shared" ca="1" si="9"/>
        <v>211.23289540171805</v>
      </c>
      <c r="G20" s="6">
        <f>'Monthly Data (14-23) Used'!BY20</f>
        <v>0</v>
      </c>
      <c r="H20">
        <f>'Monthly Data (14-23) Used'!AR20</f>
        <v>161.6</v>
      </c>
      <c r="J20" s="6">
        <f t="shared" si="2"/>
        <v>3114.0572511813202</v>
      </c>
      <c r="K20" s="6">
        <f t="shared" ca="1" si="3"/>
        <v>0</v>
      </c>
      <c r="L20" s="6">
        <f t="shared" ca="1" si="4"/>
        <v>4336.4688195683348</v>
      </c>
      <c r="M20" s="6">
        <f t="shared" si="6"/>
        <v>0</v>
      </c>
      <c r="N20" s="6">
        <f t="shared" si="7"/>
        <v>15471.589890745541</v>
      </c>
      <c r="O20" s="6">
        <f t="shared" ca="1" si="5"/>
        <v>22922.115961495198</v>
      </c>
      <c r="P20" s="6">
        <f>'Monthly Data (14-23) Used'!DU20</f>
        <v>6</v>
      </c>
      <c r="Q20">
        <f>'Monthly Data (14-23) Used'!CB20</f>
        <v>31</v>
      </c>
      <c r="R20" s="6">
        <f t="shared" ca="1" si="8"/>
        <v>4263513.5688381065</v>
      </c>
      <c r="U20" s="195"/>
      <c r="W20" s="105"/>
      <c r="Z20" s="194"/>
      <c r="AB20" s="105"/>
    </row>
    <row r="21" spans="1:28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Used'!DV21</f>
        <v>19116.586021505376</v>
      </c>
      <c r="E21" s="229">
        <f t="shared" ca="1" si="9"/>
        <v>0</v>
      </c>
      <c r="F21" s="229">
        <f t="shared" ca="1" si="9"/>
        <v>183.87605861546231</v>
      </c>
      <c r="G21" s="6">
        <f>'Monthly Data (14-23) Used'!BY21</f>
        <v>0</v>
      </c>
      <c r="H21">
        <f>'Monthly Data (14-23) Used'!AR21</f>
        <v>158.4</v>
      </c>
      <c r="J21" s="6">
        <f t="shared" si="2"/>
        <v>3114.0572511813202</v>
      </c>
      <c r="K21" s="6">
        <f t="shared" ca="1" si="3"/>
        <v>0</v>
      </c>
      <c r="L21" s="6">
        <f t="shared" ca="1" si="4"/>
        <v>3774.8514185475037</v>
      </c>
      <c r="M21" s="6">
        <f t="shared" si="6"/>
        <v>0</v>
      </c>
      <c r="N21" s="6">
        <f t="shared" si="7"/>
        <v>15165.221774097115</v>
      </c>
      <c r="O21" s="6">
        <f t="shared" ca="1" si="5"/>
        <v>22054.130443825939</v>
      </c>
      <c r="P21" s="6">
        <f>'Monthly Data (14-23) Used'!DU21</f>
        <v>6</v>
      </c>
      <c r="Q21">
        <f>'Monthly Data (14-23) Used'!CB21</f>
        <v>31</v>
      </c>
      <c r="R21" s="6">
        <f t="shared" ca="1" si="8"/>
        <v>4102068.2625516248</v>
      </c>
      <c r="T21" t="s">
        <v>247</v>
      </c>
      <c r="U21" s="196"/>
      <c r="W21" s="105"/>
      <c r="Z21" s="196"/>
      <c r="AB21" s="105"/>
    </row>
    <row r="22" spans="1:28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Used'!DV22</f>
        <v>17926.766666666666</v>
      </c>
      <c r="E22" s="229">
        <f t="shared" ca="1" si="9"/>
        <v>5.87</v>
      </c>
      <c r="F22" s="229">
        <f t="shared" ca="1" si="9"/>
        <v>90.709343102577066</v>
      </c>
      <c r="G22" s="6">
        <f>'Monthly Data (14-23) Used'!BY22</f>
        <v>0</v>
      </c>
      <c r="H22">
        <f>'Monthly Data (14-23) Used'!AR22</f>
        <v>154.69999999999999</v>
      </c>
      <c r="J22" s="6">
        <f t="shared" si="2"/>
        <v>3114.0572511813202</v>
      </c>
      <c r="K22" s="6">
        <f t="shared" ca="1" si="3"/>
        <v>28.690785907121789</v>
      </c>
      <c r="L22" s="6">
        <f t="shared" ca="1" si="4"/>
        <v>1862.2016105009186</v>
      </c>
      <c r="M22" s="6">
        <f t="shared" si="6"/>
        <v>0</v>
      </c>
      <c r="N22" s="6">
        <f t="shared" si="7"/>
        <v>14810.983639222371</v>
      </c>
      <c r="O22" s="6">
        <f t="shared" ca="1" si="5"/>
        <v>19815.933286811731</v>
      </c>
      <c r="P22" s="6">
        <f>'Monthly Data (14-23) Used'!DU22</f>
        <v>6</v>
      </c>
      <c r="Q22">
        <f>'Monthly Data (14-23) Used'!CB22</f>
        <v>30</v>
      </c>
      <c r="R22" s="6">
        <f t="shared" ca="1" si="8"/>
        <v>3566867.9916261113</v>
      </c>
      <c r="T22" t="s">
        <v>224</v>
      </c>
      <c r="U22" s="195">
        <v>20927.473591018101</v>
      </c>
      <c r="V22" t="s">
        <v>225</v>
      </c>
      <c r="W22" s="105">
        <v>2887.7364527997502</v>
      </c>
      <c r="Z22" s="195"/>
      <c r="AB22" s="105"/>
    </row>
    <row r="23" spans="1:28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Used'!DV23</f>
        <v>15433.553763440861</v>
      </c>
      <c r="E23" s="229">
        <f t="shared" ca="1" si="9"/>
        <v>99.500656897422942</v>
      </c>
      <c r="F23" s="229">
        <f t="shared" ca="1" si="9"/>
        <v>20.479999999999997</v>
      </c>
      <c r="G23" s="6">
        <f>'Monthly Data (14-23) Used'!BY23</f>
        <v>0</v>
      </c>
      <c r="H23">
        <f>'Monthly Data (14-23) Used'!AR23</f>
        <v>153.1</v>
      </c>
      <c r="J23" s="6">
        <f t="shared" si="2"/>
        <v>3114.0572511813202</v>
      </c>
      <c r="K23" s="6">
        <f t="shared" ca="1" si="3"/>
        <v>486.32913878397659</v>
      </c>
      <c r="L23" s="6">
        <f t="shared" ca="1" si="4"/>
        <v>420.44058173733271</v>
      </c>
      <c r="M23" s="6">
        <f t="shared" si="6"/>
        <v>0</v>
      </c>
      <c r="N23" s="6">
        <f t="shared" si="7"/>
        <v>14657.799580898158</v>
      </c>
      <c r="O23" s="6">
        <f t="shared" ca="1" si="5"/>
        <v>18678.626552600788</v>
      </c>
      <c r="P23" s="6">
        <f>'Monthly Data (14-23) Used'!DU23</f>
        <v>6</v>
      </c>
      <c r="Q23">
        <f>'Monthly Data (14-23) Used'!CB23</f>
        <v>31</v>
      </c>
      <c r="R23" s="6">
        <f t="shared" ca="1" si="8"/>
        <v>3474224.5387837463</v>
      </c>
    </row>
    <row r="24" spans="1:28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Used'!DV24</f>
        <v>21725.391666666666</v>
      </c>
      <c r="E24" s="229">
        <f t="shared" ca="1" si="9"/>
        <v>286.30065689742298</v>
      </c>
      <c r="F24" s="229">
        <f t="shared" ca="1" si="9"/>
        <v>0.6699999999999996</v>
      </c>
      <c r="G24" s="6">
        <f>'Monthly Data (14-23) Used'!BY24</f>
        <v>0</v>
      </c>
      <c r="H24">
        <f>'Monthly Data (14-23) Used'!AR24</f>
        <v>153.4</v>
      </c>
      <c r="J24" s="6">
        <f t="shared" si="2"/>
        <v>3114.0572511813202</v>
      </c>
      <c r="K24" s="6">
        <f t="shared" ca="1" si="3"/>
        <v>1399.3510821315663</v>
      </c>
      <c r="L24" s="6">
        <f t="shared" ca="1" si="4"/>
        <v>13.754647937695937</v>
      </c>
      <c r="M24" s="6">
        <f t="shared" si="6"/>
        <v>0</v>
      </c>
      <c r="N24" s="6">
        <f t="shared" si="7"/>
        <v>14686.521591833949</v>
      </c>
      <c r="O24" s="6">
        <f t="shared" ca="1" si="5"/>
        <v>19213.684573084531</v>
      </c>
      <c r="P24" s="6">
        <f>'Monthly Data (14-23) Used'!DU24</f>
        <v>4</v>
      </c>
      <c r="Q24">
        <f>'Monthly Data (14-23) Used'!CB24</f>
        <v>30</v>
      </c>
      <c r="R24" s="6">
        <f t="shared" ca="1" si="8"/>
        <v>2305642.1487701437</v>
      </c>
    </row>
    <row r="25" spans="1:28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Used'!DV25</f>
        <v>19068.556451612902</v>
      </c>
      <c r="E25" s="229">
        <f t="shared" ca="1" si="9"/>
        <v>409.7700000000001</v>
      </c>
      <c r="F25" s="229">
        <f t="shared" ca="1" si="9"/>
        <v>0</v>
      </c>
      <c r="G25" s="6">
        <f>'Monthly Data (14-23) Used'!BY25</f>
        <v>0</v>
      </c>
      <c r="H25">
        <f>'Monthly Data (14-23) Used'!AR25</f>
        <v>153.9</v>
      </c>
      <c r="J25" s="6">
        <f t="shared" si="2"/>
        <v>3114.0572511813202</v>
      </c>
      <c r="K25" s="6">
        <f t="shared" ca="1" si="3"/>
        <v>2002.8319150189604</v>
      </c>
      <c r="L25" s="6">
        <f t="shared" ca="1" si="4"/>
        <v>0</v>
      </c>
      <c r="M25" s="6">
        <f t="shared" si="6"/>
        <v>0</v>
      </c>
      <c r="N25" s="6">
        <f t="shared" si="7"/>
        <v>14734.391610060266</v>
      </c>
      <c r="O25" s="6">
        <f t="shared" ca="1" si="5"/>
        <v>19851.280776260544</v>
      </c>
      <c r="P25" s="6">
        <f>'Monthly Data (14-23) Used'!DU25</f>
        <v>4</v>
      </c>
      <c r="Q25">
        <f>'Monthly Data (14-23) Used'!CB25</f>
        <v>31</v>
      </c>
      <c r="R25" s="6">
        <f t="shared" ca="1" si="8"/>
        <v>2461558.8162563075</v>
      </c>
    </row>
    <row r="26" spans="1:28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Used'!DV26</f>
        <v>20811.274193548386</v>
      </c>
      <c r="E26" s="229">
        <f t="shared" ca="1" si="9"/>
        <v>546.99999999999989</v>
      </c>
      <c r="F26" s="229">
        <f t="shared" ca="1" si="9"/>
        <v>0</v>
      </c>
      <c r="G26" s="6">
        <f>'Monthly Data (14-23) Used'!BY26</f>
        <v>0</v>
      </c>
      <c r="H26">
        <f>'Monthly Data (14-23) Used'!AR26</f>
        <v>156</v>
      </c>
      <c r="J26" s="6">
        <f t="shared" si="2"/>
        <v>3114.0572511813202</v>
      </c>
      <c r="K26" s="6">
        <f t="shared" ca="1" si="3"/>
        <v>2673.5706799311097</v>
      </c>
      <c r="L26" s="6">
        <f t="shared" ca="1" si="4"/>
        <v>0</v>
      </c>
      <c r="M26" s="6">
        <f t="shared" si="6"/>
        <v>0</v>
      </c>
      <c r="N26" s="6">
        <f t="shared" si="7"/>
        <v>14935.445686610796</v>
      </c>
      <c r="O26" s="6">
        <f t="shared" ca="1" si="5"/>
        <v>20723.073617723225</v>
      </c>
      <c r="P26" s="6">
        <f>'Monthly Data (14-23) Used'!DU26</f>
        <v>4</v>
      </c>
      <c r="Q26">
        <f>'Monthly Data (14-23) Used'!CB26</f>
        <v>31</v>
      </c>
      <c r="R26" s="6">
        <f t="shared" ca="1" si="8"/>
        <v>2569661.12859768</v>
      </c>
    </row>
    <row r="27" spans="1:28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Used'!DV27</f>
        <v>21711.28448275862</v>
      </c>
      <c r="E27" s="229">
        <f t="shared" ca="1" si="9"/>
        <v>482.71355229914104</v>
      </c>
      <c r="F27" s="229">
        <f t="shared" ca="1" si="9"/>
        <v>0</v>
      </c>
      <c r="G27" s="6">
        <f>'Monthly Data (14-23) Used'!BY27</f>
        <v>0</v>
      </c>
      <c r="H27">
        <f>'Monthly Data (14-23) Used'!AR27</f>
        <v>158.4</v>
      </c>
      <c r="J27" s="6">
        <f t="shared" si="2"/>
        <v>3114.0572511813202</v>
      </c>
      <c r="K27" s="6">
        <f t="shared" ca="1" si="3"/>
        <v>2359.3579528928267</v>
      </c>
      <c r="L27" s="6">
        <f t="shared" ca="1" si="4"/>
        <v>0</v>
      </c>
      <c r="M27" s="6">
        <f t="shared" si="6"/>
        <v>0</v>
      </c>
      <c r="N27" s="6">
        <f t="shared" si="7"/>
        <v>15165.221774097115</v>
      </c>
      <c r="O27" s="6">
        <f t="shared" ca="1" si="5"/>
        <v>20638.636978171264</v>
      </c>
      <c r="P27" s="6">
        <f>'Monthly Data (14-23) Used'!DU27</f>
        <v>4</v>
      </c>
      <c r="Q27">
        <f>'Monthly Data (14-23) Used'!CB27</f>
        <v>29</v>
      </c>
      <c r="R27" s="6">
        <f t="shared" ca="1" si="8"/>
        <v>2394081.8894678666</v>
      </c>
    </row>
    <row r="28" spans="1:28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Used'!DV28</f>
        <v>20690.209677419356</v>
      </c>
      <c r="E28" s="229">
        <f t="shared" ca="1" si="9"/>
        <v>372.63355229914106</v>
      </c>
      <c r="F28" s="229">
        <f t="shared" ca="1" si="9"/>
        <v>0</v>
      </c>
      <c r="G28" s="6">
        <f>'Monthly Data (14-23) Used'!BY28</f>
        <v>1</v>
      </c>
      <c r="H28">
        <f>'Monthly Data (14-23) Used'!AR28</f>
        <v>160.69999999999999</v>
      </c>
      <c r="J28" s="6">
        <f t="shared" si="2"/>
        <v>3114.0572511813202</v>
      </c>
      <c r="K28" s="6">
        <f t="shared" ca="1" si="3"/>
        <v>1821.3201824233265</v>
      </c>
      <c r="L28" s="6">
        <f t="shared" ca="1" si="4"/>
        <v>0</v>
      </c>
      <c r="M28" s="6">
        <f t="shared" si="6"/>
        <v>-1472.0035230159101</v>
      </c>
      <c r="N28" s="6">
        <f t="shared" si="7"/>
        <v>15385.423857938171</v>
      </c>
      <c r="O28" s="6">
        <f t="shared" ca="1" si="5"/>
        <v>18848.797768526907</v>
      </c>
      <c r="P28" s="6">
        <f>'Monthly Data (14-23) Used'!DU28</f>
        <v>4</v>
      </c>
      <c r="Q28">
        <f>'Monthly Data (14-23) Used'!CB28</f>
        <v>31</v>
      </c>
      <c r="R28" s="6">
        <f t="shared" ca="1" si="8"/>
        <v>2337250.9232973363</v>
      </c>
    </row>
    <row r="29" spans="1:28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Used'!DV29</f>
        <v>19081.441666666666</v>
      </c>
      <c r="E29" s="229">
        <f t="shared" ca="1" si="9"/>
        <v>184.31</v>
      </c>
      <c r="F29" s="229">
        <f t="shared" ca="1" si="9"/>
        <v>3.0799999999999996</v>
      </c>
      <c r="G29" s="6">
        <f>'Monthly Data (14-23) Used'!BY29</f>
        <v>1</v>
      </c>
      <c r="H29">
        <f>'Monthly Data (14-23) Used'!AR29</f>
        <v>162.6</v>
      </c>
      <c r="J29" s="6">
        <f t="shared" si="2"/>
        <v>3114.0572511813202</v>
      </c>
      <c r="K29" s="6">
        <f t="shared" ca="1" si="3"/>
        <v>900.85157590146798</v>
      </c>
      <c r="L29" s="6">
        <f t="shared" ca="1" si="4"/>
        <v>63.230321862841052</v>
      </c>
      <c r="M29" s="6">
        <f t="shared" si="6"/>
        <v>-1472.0035230159101</v>
      </c>
      <c r="N29" s="6">
        <f t="shared" si="7"/>
        <v>15567.329927198174</v>
      </c>
      <c r="O29" s="6">
        <f t="shared" ca="1" si="5"/>
        <v>18173.465553127895</v>
      </c>
      <c r="P29" s="6">
        <f>'Monthly Data (14-23) Used'!DU29</f>
        <v>4</v>
      </c>
      <c r="Q29">
        <f>'Monthly Data (14-23) Used'!CB29</f>
        <v>30</v>
      </c>
      <c r="R29" s="6">
        <f t="shared" ca="1" si="8"/>
        <v>2180815.8663753476</v>
      </c>
    </row>
    <row r="30" spans="1:28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Used'!DV30</f>
        <v>18762.548387096773</v>
      </c>
      <c r="E30" s="229">
        <f t="shared" ca="1" si="9"/>
        <v>47.083552299140976</v>
      </c>
      <c r="F30" s="229">
        <f t="shared" ca="1" si="9"/>
        <v>53.286447700859014</v>
      </c>
      <c r="G30" s="6">
        <f>'Monthly Data (14-23) Used'!BY30</f>
        <v>1</v>
      </c>
      <c r="H30">
        <f>'Monthly Data (14-23) Used'!AR30</f>
        <v>164.5</v>
      </c>
      <c r="J30" s="6">
        <f t="shared" si="2"/>
        <v>3114.0572511813202</v>
      </c>
      <c r="K30" s="6">
        <f t="shared" ca="1" si="3"/>
        <v>230.13017355390556</v>
      </c>
      <c r="L30" s="6">
        <f t="shared" ca="1" si="4"/>
        <v>1093.9348178742734</v>
      </c>
      <c r="M30" s="6">
        <f t="shared" si="6"/>
        <v>-1472.0035230159101</v>
      </c>
      <c r="N30" s="6">
        <f t="shared" si="7"/>
        <v>15749.235996458179</v>
      </c>
      <c r="O30" s="6">
        <f t="shared" ca="1" si="5"/>
        <v>18715.35471605177</v>
      </c>
      <c r="P30" s="6">
        <f>'Monthly Data (14-23) Used'!DU30</f>
        <v>4</v>
      </c>
      <c r="Q30">
        <f>'Monthly Data (14-23) Used'!CB30</f>
        <v>31</v>
      </c>
      <c r="R30" s="6">
        <f t="shared" ca="1" si="8"/>
        <v>2320703.9847904197</v>
      </c>
    </row>
    <row r="31" spans="1:28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Used'!DV31</f>
        <v>22555.691666666666</v>
      </c>
      <c r="E31" s="229">
        <f t="shared" ca="1" si="9"/>
        <v>0.4200000000000001</v>
      </c>
      <c r="F31" s="229">
        <f t="shared" ca="1" si="9"/>
        <v>145.07</v>
      </c>
      <c r="G31" s="6">
        <f>'Monthly Data (14-23) Used'!BY31</f>
        <v>0</v>
      </c>
      <c r="H31">
        <f>'Monthly Data (14-23) Used'!AR31</f>
        <v>166.4</v>
      </c>
      <c r="J31" s="6">
        <f t="shared" si="2"/>
        <v>3114.0572511813202</v>
      </c>
      <c r="K31" s="6">
        <f t="shared" ca="1" si="3"/>
        <v>2.0528330632012186</v>
      </c>
      <c r="L31" s="6">
        <f t="shared" ca="1" si="4"/>
        <v>2978.1892183903742</v>
      </c>
      <c r="M31" s="6">
        <f t="shared" si="6"/>
        <v>0</v>
      </c>
      <c r="N31" s="6">
        <f t="shared" si="7"/>
        <v>15931.142065718182</v>
      </c>
      <c r="O31" s="6">
        <f t="shared" ca="1" si="5"/>
        <v>22025.44136835308</v>
      </c>
      <c r="P31" s="6">
        <f>'Monthly Data (14-23) Used'!DU31</f>
        <v>4</v>
      </c>
      <c r="Q31">
        <f>'Monthly Data (14-23) Used'!CB31</f>
        <v>30</v>
      </c>
      <c r="R31" s="6">
        <f t="shared" ca="1" si="8"/>
        <v>2643052.9642023696</v>
      </c>
    </row>
    <row r="32" spans="1:28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Used'!DV32</f>
        <v>24956.209677419356</v>
      </c>
      <c r="E32" s="229">
        <f t="shared" ca="1" si="9"/>
        <v>0</v>
      </c>
      <c r="F32" s="229">
        <f t="shared" ca="1" si="9"/>
        <v>211.23289540171805</v>
      </c>
      <c r="G32" s="6">
        <f>'Monthly Data (14-23) Used'!BY32</f>
        <v>0</v>
      </c>
      <c r="H32">
        <f>'Monthly Data (14-23) Used'!AR32</f>
        <v>167.9</v>
      </c>
      <c r="J32" s="6">
        <f t="shared" si="2"/>
        <v>3114.0572511813202</v>
      </c>
      <c r="K32" s="6">
        <f t="shared" ca="1" si="3"/>
        <v>0</v>
      </c>
      <c r="L32" s="6">
        <f t="shared" ca="1" si="4"/>
        <v>4336.4688195683348</v>
      </c>
      <c r="M32" s="6">
        <f t="shared" si="6"/>
        <v>0</v>
      </c>
      <c r="N32" s="6">
        <f t="shared" si="7"/>
        <v>16074.752120397132</v>
      </c>
      <c r="O32" s="6">
        <f t="shared" ca="1" si="5"/>
        <v>23525.278191146786</v>
      </c>
      <c r="P32" s="6">
        <f>'Monthly Data (14-23) Used'!DU32</f>
        <v>4</v>
      </c>
      <c r="Q32">
        <f>'Monthly Data (14-23) Used'!CB32</f>
        <v>31</v>
      </c>
      <c r="R32" s="6">
        <f t="shared" ca="1" si="8"/>
        <v>2917134.4957022015</v>
      </c>
    </row>
    <row r="33" spans="1:18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Used'!DV33</f>
        <v>28746.75</v>
      </c>
      <c r="E33" s="229">
        <f t="shared" ca="1" si="9"/>
        <v>0</v>
      </c>
      <c r="F33" s="229">
        <f t="shared" ca="1" si="9"/>
        <v>183.87605861546231</v>
      </c>
      <c r="G33" s="6">
        <f>'Monthly Data (14-23) Used'!BY33</f>
        <v>0</v>
      </c>
      <c r="H33">
        <f>'Monthly Data (14-23) Used'!AR33</f>
        <v>167.8</v>
      </c>
      <c r="J33" s="6">
        <f t="shared" si="2"/>
        <v>3114.0572511813202</v>
      </c>
      <c r="K33" s="6">
        <f t="shared" ca="1" si="3"/>
        <v>0</v>
      </c>
      <c r="L33" s="6">
        <f t="shared" ca="1" si="4"/>
        <v>3774.8514185475037</v>
      </c>
      <c r="M33" s="6">
        <f t="shared" si="6"/>
        <v>0</v>
      </c>
      <c r="N33" s="6">
        <f t="shared" si="7"/>
        <v>16065.178116751869</v>
      </c>
      <c r="O33" s="6">
        <f t="shared" ca="1" si="5"/>
        <v>22954.086786480693</v>
      </c>
      <c r="P33" s="6">
        <f>'Monthly Data (14-23) Used'!DU33</f>
        <v>4</v>
      </c>
      <c r="Q33">
        <f>'Monthly Data (14-23) Used'!CB33</f>
        <v>31</v>
      </c>
      <c r="R33" s="6">
        <f t="shared" ca="1" si="8"/>
        <v>2846306.7615236058</v>
      </c>
    </row>
    <row r="34" spans="1:18">
      <c r="A34" s="197">
        <v>42614</v>
      </c>
      <c r="B34">
        <f t="shared" si="0"/>
        <v>9</v>
      </c>
      <c r="C34">
        <f t="shared" si="1"/>
        <v>2016</v>
      </c>
      <c r="D34" s="6">
        <f>'Monthly Data (14-23) Used'!DV34</f>
        <v>24453.008333333335</v>
      </c>
      <c r="E34" s="229">
        <f t="shared" ref="E34:F53" ca="1" si="10">E22</f>
        <v>5.87</v>
      </c>
      <c r="F34" s="229">
        <f t="shared" ca="1" si="10"/>
        <v>90.709343102577066</v>
      </c>
      <c r="G34" s="6">
        <f>'Monthly Data (14-23) Used'!BY34</f>
        <v>0</v>
      </c>
      <c r="H34">
        <f>'Monthly Data (14-23) Used'!AR34</f>
        <v>167.6</v>
      </c>
      <c r="J34" s="6">
        <f t="shared" ref="J34:J65" si="11">$U$9</f>
        <v>3114.0572511813202</v>
      </c>
      <c r="K34" s="6">
        <f t="shared" ref="K34:K65" ca="1" si="12">E34*$U$10</f>
        <v>28.690785907121789</v>
      </c>
      <c r="L34" s="6">
        <f t="shared" ref="L34:L65" ca="1" si="13">F34*$U$11</f>
        <v>1862.2016105009186</v>
      </c>
      <c r="M34" s="6">
        <f t="shared" si="6"/>
        <v>0</v>
      </c>
      <c r="N34" s="6">
        <f t="shared" si="7"/>
        <v>16046.030109461341</v>
      </c>
      <c r="O34" s="6">
        <f t="shared" ref="O34:O65" ca="1" si="14">SUM(J34:N34)</f>
        <v>21050.9797570507</v>
      </c>
      <c r="P34" s="6">
        <f>'Monthly Data (14-23) Used'!DU34</f>
        <v>4</v>
      </c>
      <c r="Q34">
        <f>'Monthly Data (14-23) Used'!CB34</f>
        <v>30</v>
      </c>
      <c r="R34" s="6">
        <f t="shared" ca="1" si="8"/>
        <v>2526117.570846084</v>
      </c>
    </row>
    <row r="35" spans="1:18">
      <c r="A35" s="197">
        <v>42644</v>
      </c>
      <c r="B35">
        <f t="shared" si="0"/>
        <v>10</v>
      </c>
      <c r="C35">
        <f t="shared" si="1"/>
        <v>2016</v>
      </c>
      <c r="D35" s="6">
        <f>'Monthly Data (14-23) Used'!DV35</f>
        <v>21786.572580645163</v>
      </c>
      <c r="E35" s="229">
        <f t="shared" ca="1" si="10"/>
        <v>99.500656897422942</v>
      </c>
      <c r="F35" s="229">
        <f t="shared" ca="1" si="10"/>
        <v>20.479999999999997</v>
      </c>
      <c r="G35" s="6">
        <f>'Monthly Data (14-23) Used'!BY35</f>
        <v>0</v>
      </c>
      <c r="H35">
        <f>'Monthly Data (14-23) Used'!AR35</f>
        <v>166.9</v>
      </c>
      <c r="J35" s="6">
        <f t="shared" si="11"/>
        <v>3114.0572511813202</v>
      </c>
      <c r="K35" s="6">
        <f t="shared" ca="1" si="12"/>
        <v>486.32913878397659</v>
      </c>
      <c r="L35" s="6">
        <f t="shared" ca="1" si="13"/>
        <v>420.44058173733271</v>
      </c>
      <c r="M35" s="6">
        <f t="shared" si="6"/>
        <v>0</v>
      </c>
      <c r="N35" s="6">
        <f t="shared" si="7"/>
        <v>15979.012083944499</v>
      </c>
      <c r="O35" s="6">
        <f t="shared" ca="1" si="14"/>
        <v>19999.839055647128</v>
      </c>
      <c r="P35" s="6">
        <f>'Monthly Data (14-23) Used'!DU35</f>
        <v>4</v>
      </c>
      <c r="Q35">
        <f>'Monthly Data (14-23) Used'!CB35</f>
        <v>31</v>
      </c>
      <c r="R35" s="6">
        <f t="shared" ca="1" si="8"/>
        <v>2479980.0429002438</v>
      </c>
    </row>
    <row r="36" spans="1:18">
      <c r="A36" s="197">
        <v>42675</v>
      </c>
      <c r="B36">
        <f t="shared" si="0"/>
        <v>11</v>
      </c>
      <c r="C36">
        <f t="shared" si="1"/>
        <v>2016</v>
      </c>
      <c r="D36" s="6">
        <f>'Monthly Data (14-23) Used'!DV36</f>
        <v>22240.941666666666</v>
      </c>
      <c r="E36" s="229">
        <f t="shared" ca="1" si="10"/>
        <v>286.30065689742298</v>
      </c>
      <c r="F36" s="229">
        <f t="shared" ca="1" si="10"/>
        <v>0.6699999999999996</v>
      </c>
      <c r="G36" s="6">
        <f>'Monthly Data (14-23) Used'!BY36</f>
        <v>0</v>
      </c>
      <c r="H36">
        <f>'Monthly Data (14-23) Used'!AR36</f>
        <v>163.80000000000001</v>
      </c>
      <c r="J36" s="6">
        <f t="shared" si="11"/>
        <v>3114.0572511813202</v>
      </c>
      <c r="K36" s="6">
        <f t="shared" ca="1" si="12"/>
        <v>1399.3510821315663</v>
      </c>
      <c r="L36" s="6">
        <f t="shared" ca="1" si="13"/>
        <v>13.754647937695937</v>
      </c>
      <c r="M36" s="6">
        <f t="shared" si="6"/>
        <v>0</v>
      </c>
      <c r="N36" s="6">
        <f t="shared" si="7"/>
        <v>15682.217970941336</v>
      </c>
      <c r="O36" s="6">
        <f t="shared" ca="1" si="14"/>
        <v>20209.380952191917</v>
      </c>
      <c r="P36" s="6">
        <f>'Monthly Data (14-23) Used'!DU36</f>
        <v>4</v>
      </c>
      <c r="Q36">
        <f>'Monthly Data (14-23) Used'!CB36</f>
        <v>30</v>
      </c>
      <c r="R36" s="6">
        <f t="shared" ca="1" si="8"/>
        <v>2425125.7142630303</v>
      </c>
    </row>
    <row r="37" spans="1:18">
      <c r="A37" s="197">
        <v>42705</v>
      </c>
      <c r="B37">
        <f t="shared" si="0"/>
        <v>12</v>
      </c>
      <c r="C37">
        <f t="shared" si="1"/>
        <v>2016</v>
      </c>
      <c r="D37" s="6">
        <f>'Monthly Data (14-23) Used'!DV37</f>
        <v>21251.298387096773</v>
      </c>
      <c r="E37" s="229">
        <f t="shared" ca="1" si="10"/>
        <v>409.7700000000001</v>
      </c>
      <c r="F37" s="229">
        <f t="shared" ca="1" si="10"/>
        <v>0</v>
      </c>
      <c r="G37" s="6">
        <f>'Monthly Data (14-23) Used'!BY37</f>
        <v>0</v>
      </c>
      <c r="H37">
        <f>'Monthly Data (14-23) Used'!AR37</f>
        <v>161.19999999999999</v>
      </c>
      <c r="J37" s="6">
        <f t="shared" si="11"/>
        <v>3114.0572511813202</v>
      </c>
      <c r="K37" s="6">
        <f t="shared" ca="1" si="12"/>
        <v>2002.8319150189604</v>
      </c>
      <c r="L37" s="6">
        <f t="shared" ca="1" si="13"/>
        <v>0</v>
      </c>
      <c r="M37" s="6">
        <f t="shared" si="6"/>
        <v>0</v>
      </c>
      <c r="N37" s="6">
        <f t="shared" si="7"/>
        <v>15433.293876164487</v>
      </c>
      <c r="O37" s="6">
        <f t="shared" ca="1" si="14"/>
        <v>20550.18304236477</v>
      </c>
      <c r="P37" s="6">
        <f>'Monthly Data (14-23) Used'!DU37</f>
        <v>4</v>
      </c>
      <c r="Q37">
        <f>'Monthly Data (14-23) Used'!CB37</f>
        <v>31</v>
      </c>
      <c r="R37" s="6">
        <f t="shared" ca="1" si="8"/>
        <v>2548222.6972532314</v>
      </c>
    </row>
    <row r="38" spans="1:18">
      <c r="A38" s="197">
        <v>42736</v>
      </c>
      <c r="B38">
        <f t="shared" si="0"/>
        <v>1</v>
      </c>
      <c r="C38">
        <f t="shared" si="1"/>
        <v>2017</v>
      </c>
      <c r="D38" s="6">
        <f>'Monthly Data (14-23) Used'!DV38</f>
        <v>25080.467741935485</v>
      </c>
      <c r="E38" s="229">
        <f t="shared" ca="1" si="10"/>
        <v>546.99999999999989</v>
      </c>
      <c r="F38" s="229">
        <f t="shared" ca="1" si="10"/>
        <v>0</v>
      </c>
      <c r="G38" s="6">
        <f>'Monthly Data (14-23) Used'!BY38</f>
        <v>0</v>
      </c>
      <c r="H38">
        <f>'Monthly Data (14-23) Used'!AR38</f>
        <v>160.5</v>
      </c>
      <c r="J38" s="6">
        <f t="shared" si="11"/>
        <v>3114.0572511813202</v>
      </c>
      <c r="K38" s="6">
        <f t="shared" ca="1" si="12"/>
        <v>2673.5706799311097</v>
      </c>
      <c r="L38" s="6">
        <f t="shared" ca="1" si="13"/>
        <v>0</v>
      </c>
      <c r="M38" s="6">
        <f t="shared" si="6"/>
        <v>0</v>
      </c>
      <c r="N38" s="6">
        <f t="shared" si="7"/>
        <v>15366.275850647646</v>
      </c>
      <c r="O38" s="6">
        <f t="shared" ca="1" si="14"/>
        <v>21153.903781760077</v>
      </c>
      <c r="P38" s="6">
        <f>'Monthly Data (14-23) Used'!DU38</f>
        <v>4</v>
      </c>
      <c r="Q38">
        <f>'Monthly Data (14-23) Used'!CB38</f>
        <v>31</v>
      </c>
      <c r="R38" s="6">
        <f t="shared" ca="1" si="8"/>
        <v>2623084.0689382497</v>
      </c>
    </row>
    <row r="39" spans="1:18">
      <c r="A39" s="197">
        <v>42767</v>
      </c>
      <c r="B39">
        <f t="shared" si="0"/>
        <v>2</v>
      </c>
      <c r="C39">
        <f t="shared" si="1"/>
        <v>2017</v>
      </c>
      <c r="D39" s="6">
        <f>'Monthly Data (14-23) Used'!DV39</f>
        <v>24428.892857142859</v>
      </c>
      <c r="E39" s="229">
        <f t="shared" ca="1" si="10"/>
        <v>482.71355229914104</v>
      </c>
      <c r="F39" s="229">
        <f t="shared" ca="1" si="10"/>
        <v>0</v>
      </c>
      <c r="G39" s="6">
        <f>'Monthly Data (14-23) Used'!BY39</f>
        <v>0</v>
      </c>
      <c r="H39">
        <f>'Monthly Data (14-23) Used'!AR39</f>
        <v>160.6</v>
      </c>
      <c r="J39" s="6">
        <f t="shared" si="11"/>
        <v>3114.0572511813202</v>
      </c>
      <c r="K39" s="6">
        <f t="shared" ca="1" si="12"/>
        <v>2359.3579528928267</v>
      </c>
      <c r="L39" s="6">
        <f t="shared" ca="1" si="13"/>
        <v>0</v>
      </c>
      <c r="M39" s="6">
        <f t="shared" si="6"/>
        <v>0</v>
      </c>
      <c r="N39" s="6">
        <f t="shared" si="7"/>
        <v>15375.849854292908</v>
      </c>
      <c r="O39" s="6">
        <f t="shared" ca="1" si="14"/>
        <v>20849.265058367055</v>
      </c>
      <c r="P39" s="6">
        <f>'Monthly Data (14-23) Used'!DU39</f>
        <v>4</v>
      </c>
      <c r="Q39">
        <f>'Monthly Data (14-23) Used'!CB39</f>
        <v>28</v>
      </c>
      <c r="R39" s="6">
        <f t="shared" ca="1" si="8"/>
        <v>2335117.6865371102</v>
      </c>
    </row>
    <row r="40" spans="1:18">
      <c r="A40" s="197">
        <v>42795</v>
      </c>
      <c r="B40">
        <f t="shared" si="0"/>
        <v>3</v>
      </c>
      <c r="C40">
        <f t="shared" si="1"/>
        <v>2017</v>
      </c>
      <c r="D40" s="6">
        <f>'Monthly Data (14-23) Used'!DV40</f>
        <v>23843.475806451614</v>
      </c>
      <c r="E40" s="229">
        <f t="shared" ca="1" si="10"/>
        <v>372.63355229914106</v>
      </c>
      <c r="F40" s="229">
        <f t="shared" ca="1" si="10"/>
        <v>0</v>
      </c>
      <c r="G40" s="6">
        <f>'Monthly Data (14-23) Used'!BY40</f>
        <v>1</v>
      </c>
      <c r="H40">
        <f>'Monthly Data (14-23) Used'!AR40</f>
        <v>160.69999999999999</v>
      </c>
      <c r="J40" s="6">
        <f t="shared" si="11"/>
        <v>3114.0572511813202</v>
      </c>
      <c r="K40" s="6">
        <f t="shared" ca="1" si="12"/>
        <v>1821.3201824233265</v>
      </c>
      <c r="L40" s="6">
        <f t="shared" ca="1" si="13"/>
        <v>0</v>
      </c>
      <c r="M40" s="6">
        <f t="shared" si="6"/>
        <v>-1472.0035230159101</v>
      </c>
      <c r="N40" s="6">
        <f t="shared" si="7"/>
        <v>15385.423857938171</v>
      </c>
      <c r="O40" s="6">
        <f t="shared" ca="1" si="14"/>
        <v>18848.797768526907</v>
      </c>
      <c r="P40" s="6">
        <f>'Monthly Data (14-23) Used'!DU40</f>
        <v>4</v>
      </c>
      <c r="Q40">
        <f>'Monthly Data (14-23) Used'!CB40</f>
        <v>31</v>
      </c>
      <c r="R40" s="6">
        <f t="shared" ca="1" si="8"/>
        <v>2337250.9232973363</v>
      </c>
    </row>
    <row r="41" spans="1:18">
      <c r="A41" s="197">
        <v>42826</v>
      </c>
      <c r="B41">
        <f t="shared" si="0"/>
        <v>4</v>
      </c>
      <c r="C41">
        <f t="shared" si="1"/>
        <v>2017</v>
      </c>
      <c r="D41" s="6">
        <f>'Monthly Data (14-23) Used'!DV41</f>
        <v>20044.408333333333</v>
      </c>
      <c r="E41" s="229">
        <f t="shared" ca="1" si="10"/>
        <v>184.31</v>
      </c>
      <c r="F41" s="229">
        <f t="shared" ca="1" si="10"/>
        <v>3.0799999999999996</v>
      </c>
      <c r="G41" s="6">
        <f>'Monthly Data (14-23) Used'!BY41</f>
        <v>1</v>
      </c>
      <c r="H41">
        <f>'Monthly Data (14-23) Used'!AR41</f>
        <v>159.30000000000001</v>
      </c>
      <c r="J41" s="6">
        <f t="shared" si="11"/>
        <v>3114.0572511813202</v>
      </c>
      <c r="K41" s="6">
        <f t="shared" ca="1" si="12"/>
        <v>900.85157590146798</v>
      </c>
      <c r="L41" s="6">
        <f t="shared" ca="1" si="13"/>
        <v>63.230321862841052</v>
      </c>
      <c r="M41" s="6">
        <f t="shared" si="6"/>
        <v>-1472.0035230159101</v>
      </c>
      <c r="N41" s="6">
        <f t="shared" si="7"/>
        <v>15251.387806904486</v>
      </c>
      <c r="O41" s="6">
        <f t="shared" ca="1" si="14"/>
        <v>17857.523432834205</v>
      </c>
      <c r="P41" s="6">
        <f>'Monthly Data (14-23) Used'!DU41</f>
        <v>4</v>
      </c>
      <c r="Q41">
        <f>'Monthly Data (14-23) Used'!CB41</f>
        <v>30</v>
      </c>
      <c r="R41" s="6">
        <f t="shared" ca="1" si="8"/>
        <v>2142902.8119401047</v>
      </c>
    </row>
    <row r="42" spans="1:18">
      <c r="A42" s="197">
        <v>42856</v>
      </c>
      <c r="B42">
        <f t="shared" ref="B42:B105" si="15">MONTH(A42)</f>
        <v>5</v>
      </c>
      <c r="C42">
        <f t="shared" ref="C42:C105" si="16">YEAR(A42)</f>
        <v>2017</v>
      </c>
      <c r="D42" s="6">
        <f>'Monthly Data (14-23) Used'!DV42</f>
        <v>21001.258064516129</v>
      </c>
      <c r="E42" s="229">
        <f t="shared" ca="1" si="10"/>
        <v>47.083552299140976</v>
      </c>
      <c r="F42" s="229">
        <f t="shared" ca="1" si="10"/>
        <v>53.286447700859014</v>
      </c>
      <c r="G42" s="6">
        <f>'Monthly Data (14-23) Used'!BY42</f>
        <v>1</v>
      </c>
      <c r="H42">
        <f>'Monthly Data (14-23) Used'!AR42</f>
        <v>158.5</v>
      </c>
      <c r="J42" s="6">
        <f t="shared" si="11"/>
        <v>3114.0572511813202</v>
      </c>
      <c r="K42" s="6">
        <f t="shared" ca="1" si="12"/>
        <v>230.13017355390556</v>
      </c>
      <c r="L42" s="6">
        <f t="shared" ca="1" si="13"/>
        <v>1093.9348178742734</v>
      </c>
      <c r="M42" s="6">
        <f t="shared" si="6"/>
        <v>-1472.0035230159101</v>
      </c>
      <c r="N42" s="6">
        <f t="shared" si="7"/>
        <v>15174.795777742378</v>
      </c>
      <c r="O42" s="6">
        <f t="shared" ca="1" si="14"/>
        <v>18140.914497335965</v>
      </c>
      <c r="P42" s="6">
        <f>'Monthly Data (14-23) Used'!DU42</f>
        <v>4</v>
      </c>
      <c r="Q42">
        <f>'Monthly Data (14-23) Used'!CB42</f>
        <v>31</v>
      </c>
      <c r="R42" s="6">
        <f t="shared" ca="1" si="8"/>
        <v>2249473.3976696599</v>
      </c>
    </row>
    <row r="43" spans="1:18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Used'!DV43</f>
        <v>23954.366666666665</v>
      </c>
      <c r="E43" s="229">
        <f t="shared" ca="1" si="10"/>
        <v>0.4200000000000001</v>
      </c>
      <c r="F43" s="229">
        <f t="shared" ca="1" si="10"/>
        <v>145.07</v>
      </c>
      <c r="G43" s="6">
        <f>'Monthly Data (14-23) Used'!BY43</f>
        <v>0</v>
      </c>
      <c r="H43">
        <f>'Monthly Data (14-23) Used'!AR43</f>
        <v>160</v>
      </c>
      <c r="J43" s="6">
        <f t="shared" si="11"/>
        <v>3114.0572511813202</v>
      </c>
      <c r="K43" s="6">
        <f t="shared" ca="1" si="12"/>
        <v>2.0528330632012186</v>
      </c>
      <c r="L43" s="6">
        <f t="shared" ca="1" si="13"/>
        <v>2978.1892183903742</v>
      </c>
      <c r="M43" s="6">
        <f t="shared" si="6"/>
        <v>0</v>
      </c>
      <c r="N43" s="6">
        <f t="shared" si="7"/>
        <v>15318.405832421329</v>
      </c>
      <c r="O43" s="6">
        <f t="shared" ca="1" si="14"/>
        <v>21412.705135056225</v>
      </c>
      <c r="P43" s="6">
        <f>'Monthly Data (14-23) Used'!DU43</f>
        <v>4</v>
      </c>
      <c r="Q43">
        <f>'Monthly Data (14-23) Used'!CB43</f>
        <v>30</v>
      </c>
      <c r="R43" s="6">
        <f t="shared" ca="1" si="8"/>
        <v>2569524.616206747</v>
      </c>
    </row>
    <row r="44" spans="1:18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Used'!DV44</f>
        <v>23567.959677419356</v>
      </c>
      <c r="E44" s="229">
        <f t="shared" ca="1" si="10"/>
        <v>0</v>
      </c>
      <c r="F44" s="229">
        <f t="shared" ca="1" si="10"/>
        <v>211.23289540171805</v>
      </c>
      <c r="G44" s="6">
        <f>'Monthly Data (14-23) Used'!BY44</f>
        <v>0</v>
      </c>
      <c r="H44">
        <f>'Monthly Data (14-23) Used'!AR44</f>
        <v>161.1</v>
      </c>
      <c r="J44" s="6">
        <f t="shared" si="11"/>
        <v>3114.0572511813202</v>
      </c>
      <c r="K44" s="6">
        <f t="shared" ca="1" si="12"/>
        <v>0</v>
      </c>
      <c r="L44" s="6">
        <f t="shared" ca="1" si="13"/>
        <v>4336.4688195683348</v>
      </c>
      <c r="M44" s="6">
        <f t="shared" si="6"/>
        <v>0</v>
      </c>
      <c r="N44" s="6">
        <f t="shared" si="7"/>
        <v>15423.719872519225</v>
      </c>
      <c r="O44" s="6">
        <f t="shared" ca="1" si="14"/>
        <v>22874.245943268877</v>
      </c>
      <c r="P44" s="6">
        <f>'Monthly Data (14-23) Used'!DU44</f>
        <v>4</v>
      </c>
      <c r="Q44">
        <f>'Monthly Data (14-23) Used'!CB44</f>
        <v>31</v>
      </c>
      <c r="R44" s="6">
        <f t="shared" ca="1" si="8"/>
        <v>2836406.4969653408</v>
      </c>
    </row>
    <row r="45" spans="1:18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Used'!DV45</f>
        <v>24585.669354838708</v>
      </c>
      <c r="E45" s="229">
        <f t="shared" ca="1" si="10"/>
        <v>0</v>
      </c>
      <c r="F45" s="229">
        <f t="shared" ca="1" si="10"/>
        <v>183.87605861546231</v>
      </c>
      <c r="G45" s="6">
        <f>'Monthly Data (14-23) Used'!BY45</f>
        <v>0</v>
      </c>
      <c r="H45">
        <f>'Monthly Data (14-23) Used'!AR45</f>
        <v>165</v>
      </c>
      <c r="J45" s="6">
        <f t="shared" si="11"/>
        <v>3114.0572511813202</v>
      </c>
      <c r="K45" s="6">
        <f t="shared" ca="1" si="12"/>
        <v>0</v>
      </c>
      <c r="L45" s="6">
        <f t="shared" ca="1" si="13"/>
        <v>3774.8514185475037</v>
      </c>
      <c r="M45" s="6">
        <f t="shared" si="6"/>
        <v>0</v>
      </c>
      <c r="N45" s="6">
        <f t="shared" si="7"/>
        <v>15797.106014684496</v>
      </c>
      <c r="O45" s="6">
        <f t="shared" ca="1" si="14"/>
        <v>22686.01468441332</v>
      </c>
      <c r="P45" s="6">
        <f>'Monthly Data (14-23) Used'!DU45</f>
        <v>4</v>
      </c>
      <c r="Q45">
        <f>'Monthly Data (14-23) Used'!CB45</f>
        <v>31</v>
      </c>
      <c r="R45" s="6">
        <f t="shared" ca="1" si="8"/>
        <v>2813065.8208672516</v>
      </c>
    </row>
    <row r="46" spans="1:18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Used'!DV46</f>
        <v>22788.9</v>
      </c>
      <c r="E46" s="229">
        <f t="shared" ca="1" si="10"/>
        <v>5.87</v>
      </c>
      <c r="F46" s="229">
        <f t="shared" ca="1" si="10"/>
        <v>90.709343102577066</v>
      </c>
      <c r="G46" s="6">
        <f>'Monthly Data (14-23) Used'!BY46</f>
        <v>0</v>
      </c>
      <c r="H46">
        <f>'Monthly Data (14-23) Used'!AR46</f>
        <v>166</v>
      </c>
      <c r="J46" s="6">
        <f t="shared" si="11"/>
        <v>3114.0572511813202</v>
      </c>
      <c r="K46" s="6">
        <f t="shared" ca="1" si="12"/>
        <v>28.690785907121789</v>
      </c>
      <c r="L46" s="6">
        <f t="shared" ca="1" si="13"/>
        <v>1862.2016105009186</v>
      </c>
      <c r="M46" s="6">
        <f t="shared" si="6"/>
        <v>0</v>
      </c>
      <c r="N46" s="6">
        <f t="shared" si="7"/>
        <v>15892.846051137129</v>
      </c>
      <c r="O46" s="6">
        <f t="shared" ca="1" si="14"/>
        <v>20897.795698726488</v>
      </c>
      <c r="P46" s="6">
        <f>'Monthly Data (14-23) Used'!DU46</f>
        <v>4</v>
      </c>
      <c r="Q46">
        <f>'Monthly Data (14-23) Used'!CB46</f>
        <v>30</v>
      </c>
      <c r="R46" s="6">
        <f t="shared" ca="1" si="8"/>
        <v>2507735.4838471785</v>
      </c>
    </row>
    <row r="47" spans="1:18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Used'!DV47</f>
        <v>21497.959677419356</v>
      </c>
      <c r="E47" s="229">
        <f t="shared" ca="1" si="10"/>
        <v>99.500656897422942</v>
      </c>
      <c r="F47" s="229">
        <f t="shared" ca="1" si="10"/>
        <v>20.479999999999997</v>
      </c>
      <c r="G47" s="6">
        <f>'Monthly Data (14-23) Used'!BY47</f>
        <v>0</v>
      </c>
      <c r="H47">
        <f>'Monthly Data (14-23) Used'!AR47</f>
        <v>164</v>
      </c>
      <c r="J47" s="6">
        <f t="shared" si="11"/>
        <v>3114.0572511813202</v>
      </c>
      <c r="K47" s="6">
        <f t="shared" ca="1" si="12"/>
        <v>486.32913878397659</v>
      </c>
      <c r="L47" s="6">
        <f t="shared" ca="1" si="13"/>
        <v>420.44058173733271</v>
      </c>
      <c r="M47" s="6">
        <f t="shared" si="6"/>
        <v>0</v>
      </c>
      <c r="N47" s="6">
        <f t="shared" si="7"/>
        <v>15701.365978231863</v>
      </c>
      <c r="O47" s="6">
        <f t="shared" ca="1" si="14"/>
        <v>19722.192949934491</v>
      </c>
      <c r="P47" s="6">
        <f>'Monthly Data (14-23) Used'!DU47</f>
        <v>4</v>
      </c>
      <c r="Q47">
        <f>'Monthly Data (14-23) Used'!CB47</f>
        <v>31</v>
      </c>
      <c r="R47" s="6">
        <f t="shared" ca="1" si="8"/>
        <v>2445551.9257918769</v>
      </c>
    </row>
    <row r="48" spans="1:18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Used'!DV48</f>
        <v>22823.983333333334</v>
      </c>
      <c r="E48" s="229">
        <f t="shared" ca="1" si="10"/>
        <v>286.30065689742298</v>
      </c>
      <c r="F48" s="229">
        <f t="shared" ca="1" si="10"/>
        <v>0.6699999999999996</v>
      </c>
      <c r="G48" s="6">
        <f>'Monthly Data (14-23) Used'!BY48</f>
        <v>0</v>
      </c>
      <c r="H48">
        <f>'Monthly Data (14-23) Used'!AR48</f>
        <v>165.3</v>
      </c>
      <c r="J48" s="6">
        <f t="shared" si="11"/>
        <v>3114.0572511813202</v>
      </c>
      <c r="K48" s="6">
        <f t="shared" ca="1" si="12"/>
        <v>1399.3510821315663</v>
      </c>
      <c r="L48" s="6">
        <f t="shared" ca="1" si="13"/>
        <v>13.754647937695937</v>
      </c>
      <c r="M48" s="6">
        <f t="shared" si="6"/>
        <v>0</v>
      </c>
      <c r="N48" s="6">
        <f t="shared" si="7"/>
        <v>15825.828025620287</v>
      </c>
      <c r="O48" s="6">
        <f t="shared" ca="1" si="14"/>
        <v>20352.99100687087</v>
      </c>
      <c r="P48" s="6">
        <f>'Monthly Data (14-23) Used'!DU48</f>
        <v>4</v>
      </c>
      <c r="Q48">
        <f>'Monthly Data (14-23) Used'!CB48</f>
        <v>30</v>
      </c>
      <c r="R48" s="6">
        <f t="shared" ca="1" si="8"/>
        <v>2442358.9208245045</v>
      </c>
    </row>
    <row r="49" spans="1:18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Used'!DV49</f>
        <v>21153.629032258064</v>
      </c>
      <c r="E49" s="229">
        <f t="shared" ca="1" si="10"/>
        <v>409.7700000000001</v>
      </c>
      <c r="F49" s="229">
        <f t="shared" ca="1" si="10"/>
        <v>0</v>
      </c>
      <c r="G49" s="6">
        <f>'Monthly Data (14-23) Used'!BY49</f>
        <v>0</v>
      </c>
      <c r="H49">
        <f>'Monthly Data (14-23) Used'!AR49</f>
        <v>165.8</v>
      </c>
      <c r="J49" s="6">
        <f t="shared" si="11"/>
        <v>3114.0572511813202</v>
      </c>
      <c r="K49" s="6">
        <f t="shared" ca="1" si="12"/>
        <v>2002.8319150189604</v>
      </c>
      <c r="L49" s="6">
        <f t="shared" ca="1" si="13"/>
        <v>0</v>
      </c>
      <c r="M49" s="6">
        <f t="shared" si="6"/>
        <v>0</v>
      </c>
      <c r="N49" s="6">
        <f t="shared" si="7"/>
        <v>15873.698043846603</v>
      </c>
      <c r="O49" s="6">
        <f t="shared" ca="1" si="14"/>
        <v>20990.587210046884</v>
      </c>
      <c r="P49" s="6">
        <f>'Monthly Data (14-23) Used'!DU49</f>
        <v>4</v>
      </c>
      <c r="Q49">
        <f>'Monthly Data (14-23) Used'!CB49</f>
        <v>31</v>
      </c>
      <c r="R49" s="6">
        <f t="shared" ca="1" si="8"/>
        <v>2602832.8140458139</v>
      </c>
    </row>
    <row r="50" spans="1:18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Used'!DV50</f>
        <v>23757.266129032258</v>
      </c>
      <c r="E50" s="229">
        <f t="shared" ca="1" si="10"/>
        <v>546.99999999999989</v>
      </c>
      <c r="F50" s="229">
        <f t="shared" ca="1" si="10"/>
        <v>0</v>
      </c>
      <c r="G50" s="6">
        <f>'Monthly Data (14-23) Used'!BY50</f>
        <v>0</v>
      </c>
      <c r="H50">
        <f>'Monthly Data (14-23) Used'!AR50</f>
        <v>168.3</v>
      </c>
      <c r="J50" s="6">
        <f t="shared" si="11"/>
        <v>3114.0572511813202</v>
      </c>
      <c r="K50" s="6">
        <f t="shared" ca="1" si="12"/>
        <v>2673.5706799311097</v>
      </c>
      <c r="L50" s="6">
        <f t="shared" ca="1" si="13"/>
        <v>0</v>
      </c>
      <c r="M50" s="6">
        <f t="shared" si="6"/>
        <v>0</v>
      </c>
      <c r="N50" s="6">
        <f t="shared" si="7"/>
        <v>16113.048134978186</v>
      </c>
      <c r="O50" s="6">
        <f t="shared" ca="1" si="14"/>
        <v>21900.676066090615</v>
      </c>
      <c r="P50" s="6">
        <f>'Monthly Data (14-23) Used'!DU50</f>
        <v>4</v>
      </c>
      <c r="Q50">
        <f>'Monthly Data (14-23) Used'!CB50</f>
        <v>31</v>
      </c>
      <c r="R50" s="6">
        <f t="shared" ca="1" si="8"/>
        <v>2715683.8321952363</v>
      </c>
    </row>
    <row r="51" spans="1:18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Used'!DV51</f>
        <v>23588.285714285714</v>
      </c>
      <c r="E51" s="229">
        <f t="shared" ca="1" si="10"/>
        <v>482.71355229914104</v>
      </c>
      <c r="F51" s="229">
        <f t="shared" ca="1" si="10"/>
        <v>0</v>
      </c>
      <c r="G51" s="6">
        <f>'Monthly Data (14-23) Used'!BY51</f>
        <v>0</v>
      </c>
      <c r="H51">
        <f>'Monthly Data (14-23) Used'!AR51</f>
        <v>165.4</v>
      </c>
      <c r="J51" s="6">
        <f t="shared" si="11"/>
        <v>3114.0572511813202</v>
      </c>
      <c r="K51" s="6">
        <f t="shared" ca="1" si="12"/>
        <v>2359.3579528928267</v>
      </c>
      <c r="L51" s="6">
        <f t="shared" ca="1" si="13"/>
        <v>0</v>
      </c>
      <c r="M51" s="6">
        <f t="shared" si="6"/>
        <v>0</v>
      </c>
      <c r="N51" s="6">
        <f t="shared" si="7"/>
        <v>15835.40202926555</v>
      </c>
      <c r="O51" s="6">
        <f t="shared" ca="1" si="14"/>
        <v>21308.817233339694</v>
      </c>
      <c r="P51" s="6">
        <f>'Monthly Data (14-23) Used'!DU51</f>
        <v>4</v>
      </c>
      <c r="Q51">
        <f>'Monthly Data (14-23) Used'!CB51</f>
        <v>28</v>
      </c>
      <c r="R51" s="6">
        <f t="shared" ca="1" si="8"/>
        <v>2386587.5301340455</v>
      </c>
    </row>
    <row r="52" spans="1:18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Used'!DV52</f>
        <v>21831.387096774193</v>
      </c>
      <c r="E52" s="229">
        <f t="shared" ca="1" si="10"/>
        <v>372.63355229914106</v>
      </c>
      <c r="F52" s="229">
        <f t="shared" ca="1" si="10"/>
        <v>0</v>
      </c>
      <c r="G52" s="6">
        <f>'Monthly Data (14-23) Used'!BY52</f>
        <v>1</v>
      </c>
      <c r="H52">
        <f>'Monthly Data (14-23) Used'!AR52</f>
        <v>165.6</v>
      </c>
      <c r="J52" s="6">
        <f t="shared" si="11"/>
        <v>3114.0572511813202</v>
      </c>
      <c r="K52" s="6">
        <f t="shared" ca="1" si="12"/>
        <v>1821.3201824233265</v>
      </c>
      <c r="L52" s="6">
        <f t="shared" ca="1" si="13"/>
        <v>0</v>
      </c>
      <c r="M52" s="6">
        <f t="shared" si="6"/>
        <v>-1472.0035230159101</v>
      </c>
      <c r="N52" s="6">
        <f t="shared" si="7"/>
        <v>15854.550036556075</v>
      </c>
      <c r="O52" s="6">
        <f t="shared" ca="1" si="14"/>
        <v>19317.923947144809</v>
      </c>
      <c r="P52" s="6">
        <f>'Monthly Data (14-23) Used'!DU52</f>
        <v>4</v>
      </c>
      <c r="Q52">
        <f>'Monthly Data (14-23) Used'!CB52</f>
        <v>31</v>
      </c>
      <c r="R52" s="6">
        <f t="shared" ca="1" si="8"/>
        <v>2395422.5694459565</v>
      </c>
    </row>
    <row r="53" spans="1:18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Used'!DV53</f>
        <v>21218.7</v>
      </c>
      <c r="E53" s="229">
        <f t="shared" ca="1" si="10"/>
        <v>184.31</v>
      </c>
      <c r="F53" s="229">
        <f t="shared" ca="1" si="10"/>
        <v>3.0799999999999996</v>
      </c>
      <c r="G53" s="6">
        <f>'Monthly Data (14-23) Used'!BY53</f>
        <v>1</v>
      </c>
      <c r="H53">
        <f>'Monthly Data (14-23) Used'!AR53</f>
        <v>166</v>
      </c>
      <c r="J53" s="6">
        <f t="shared" si="11"/>
        <v>3114.0572511813202</v>
      </c>
      <c r="K53" s="6">
        <f t="shared" ca="1" si="12"/>
        <v>900.85157590146798</v>
      </c>
      <c r="L53" s="6">
        <f t="shared" ca="1" si="13"/>
        <v>63.230321862841052</v>
      </c>
      <c r="M53" s="6">
        <f t="shared" si="6"/>
        <v>-1472.0035230159101</v>
      </c>
      <c r="N53" s="6">
        <f t="shared" si="7"/>
        <v>15892.846051137129</v>
      </c>
      <c r="O53" s="6">
        <f t="shared" ca="1" si="14"/>
        <v>18498.981677066848</v>
      </c>
      <c r="P53" s="6">
        <f>'Monthly Data (14-23) Used'!DU53</f>
        <v>4</v>
      </c>
      <c r="Q53">
        <f>'Monthly Data (14-23) Used'!CB53</f>
        <v>30</v>
      </c>
      <c r="R53" s="6">
        <f t="shared" ca="1" si="8"/>
        <v>2219877.8012480219</v>
      </c>
    </row>
    <row r="54" spans="1:18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Used'!DV54</f>
        <v>21343.830645161292</v>
      </c>
      <c r="E54" s="229">
        <f t="shared" ref="E54:F66" ca="1" si="17">E42</f>
        <v>47.083552299140976</v>
      </c>
      <c r="F54" s="229">
        <f t="shared" ca="1" si="17"/>
        <v>53.286447700859014</v>
      </c>
      <c r="G54" s="6">
        <f>'Monthly Data (14-23) Used'!BY54</f>
        <v>1</v>
      </c>
      <c r="H54">
        <f>'Monthly Data (14-23) Used'!AR54</f>
        <v>166.1</v>
      </c>
      <c r="J54" s="6">
        <f t="shared" si="11"/>
        <v>3114.0572511813202</v>
      </c>
      <c r="K54" s="6">
        <f t="shared" ca="1" si="12"/>
        <v>230.13017355390556</v>
      </c>
      <c r="L54" s="6">
        <f t="shared" ca="1" si="13"/>
        <v>1093.9348178742734</v>
      </c>
      <c r="M54" s="6">
        <f t="shared" si="6"/>
        <v>-1472.0035230159101</v>
      </c>
      <c r="N54" s="6">
        <f t="shared" si="7"/>
        <v>15902.420054782391</v>
      </c>
      <c r="O54" s="6">
        <f t="shared" ca="1" si="14"/>
        <v>18868.538774375978</v>
      </c>
      <c r="P54" s="6">
        <f>'Monthly Data (14-23) Used'!DU54</f>
        <v>4</v>
      </c>
      <c r="Q54">
        <f>'Monthly Data (14-23) Used'!CB54</f>
        <v>31</v>
      </c>
      <c r="R54" s="6">
        <f t="shared" ca="1" si="8"/>
        <v>2339698.8080226211</v>
      </c>
    </row>
    <row r="55" spans="1:18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Used'!DV55</f>
        <v>22958.45</v>
      </c>
      <c r="E55" s="229">
        <f t="shared" ca="1" si="17"/>
        <v>0.4200000000000001</v>
      </c>
      <c r="F55" s="229">
        <f t="shared" ca="1" si="17"/>
        <v>145.07</v>
      </c>
      <c r="G55" s="6">
        <f>'Monthly Data (14-23) Used'!BY55</f>
        <v>0</v>
      </c>
      <c r="H55">
        <f>'Monthly Data (14-23) Used'!AR55</f>
        <v>164.3</v>
      </c>
      <c r="J55" s="6">
        <f t="shared" si="11"/>
        <v>3114.0572511813202</v>
      </c>
      <c r="K55" s="6">
        <f t="shared" ca="1" si="12"/>
        <v>2.0528330632012186</v>
      </c>
      <c r="L55" s="6">
        <f t="shared" ca="1" si="13"/>
        <v>2978.1892183903742</v>
      </c>
      <c r="M55" s="6">
        <f t="shared" si="6"/>
        <v>0</v>
      </c>
      <c r="N55" s="6">
        <f t="shared" si="7"/>
        <v>15730.087989167652</v>
      </c>
      <c r="O55" s="6">
        <f t="shared" ca="1" si="14"/>
        <v>21824.387291802548</v>
      </c>
      <c r="P55" s="6">
        <f>'Monthly Data (14-23) Used'!DU55</f>
        <v>4</v>
      </c>
      <c r="Q55">
        <f>'Monthly Data (14-23) Used'!CB55</f>
        <v>30</v>
      </c>
      <c r="R55" s="6">
        <f t="shared" ca="1" si="8"/>
        <v>2618926.4750163057</v>
      </c>
    </row>
    <row r="56" spans="1:18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Used'!DV56</f>
        <v>23352.467741935485</v>
      </c>
      <c r="E56" s="229">
        <f t="shared" ca="1" si="17"/>
        <v>0</v>
      </c>
      <c r="F56" s="229">
        <f t="shared" ca="1" si="17"/>
        <v>211.23289540171805</v>
      </c>
      <c r="G56" s="6">
        <f>'Monthly Data (14-23) Used'!BY56</f>
        <v>0</v>
      </c>
      <c r="H56">
        <f>'Monthly Data (14-23) Used'!AR56</f>
        <v>164.1</v>
      </c>
      <c r="J56" s="6">
        <f t="shared" si="11"/>
        <v>3114.0572511813202</v>
      </c>
      <c r="K56" s="6">
        <f t="shared" ca="1" si="12"/>
        <v>0</v>
      </c>
      <c r="L56" s="6">
        <f t="shared" ca="1" si="13"/>
        <v>4336.4688195683348</v>
      </c>
      <c r="M56" s="6">
        <f t="shared" si="6"/>
        <v>0</v>
      </c>
      <c r="N56" s="6">
        <f t="shared" si="7"/>
        <v>15710.939981877125</v>
      </c>
      <c r="O56" s="6">
        <f t="shared" ca="1" si="14"/>
        <v>23161.46605262678</v>
      </c>
      <c r="P56" s="6">
        <f>'Monthly Data (14-23) Used'!DU56</f>
        <v>4</v>
      </c>
      <c r="Q56">
        <f>'Monthly Data (14-23) Used'!CB56</f>
        <v>31</v>
      </c>
      <c r="R56" s="6">
        <f t="shared" ca="1" si="8"/>
        <v>2872021.7905257209</v>
      </c>
    </row>
    <row r="57" spans="1:18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Used'!DV57</f>
        <v>23973.120967741936</v>
      </c>
      <c r="E57" s="229">
        <f t="shared" ca="1" si="17"/>
        <v>0</v>
      </c>
      <c r="F57" s="229">
        <f t="shared" ca="1" si="17"/>
        <v>183.87605861546231</v>
      </c>
      <c r="G57" s="6">
        <f>'Monthly Data (14-23) Used'!BY57</f>
        <v>0</v>
      </c>
      <c r="H57">
        <f>'Monthly Data (14-23) Used'!AR57</f>
        <v>163.9</v>
      </c>
      <c r="J57" s="6">
        <f t="shared" si="11"/>
        <v>3114.0572511813202</v>
      </c>
      <c r="K57" s="6">
        <f t="shared" ca="1" si="12"/>
        <v>0</v>
      </c>
      <c r="L57" s="6">
        <f t="shared" ca="1" si="13"/>
        <v>3774.8514185475037</v>
      </c>
      <c r="M57" s="6">
        <f t="shared" si="6"/>
        <v>0</v>
      </c>
      <c r="N57" s="6">
        <f t="shared" si="7"/>
        <v>15691.791974586598</v>
      </c>
      <c r="O57" s="6">
        <f t="shared" ca="1" si="14"/>
        <v>22580.700644315424</v>
      </c>
      <c r="P57" s="6">
        <f>'Monthly Data (14-23) Used'!DU57</f>
        <v>4</v>
      </c>
      <c r="Q57">
        <f>'Monthly Data (14-23) Used'!CB57</f>
        <v>31</v>
      </c>
      <c r="R57" s="6">
        <f t="shared" ca="1" si="8"/>
        <v>2800006.8798951125</v>
      </c>
    </row>
    <row r="58" spans="1:18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Used'!DV58</f>
        <v>20635.991666666665</v>
      </c>
      <c r="E58" s="229">
        <f t="shared" ca="1" si="17"/>
        <v>5.87</v>
      </c>
      <c r="F58" s="229">
        <f t="shared" ca="1" si="17"/>
        <v>90.709343102577066</v>
      </c>
      <c r="G58" s="6">
        <f>'Monthly Data (14-23) Used'!BY58</f>
        <v>0</v>
      </c>
      <c r="H58">
        <f>'Monthly Data (14-23) Used'!AR58</f>
        <v>164.4</v>
      </c>
      <c r="J58" s="6">
        <f t="shared" si="11"/>
        <v>3114.0572511813202</v>
      </c>
      <c r="K58" s="6">
        <f t="shared" ca="1" si="12"/>
        <v>28.690785907121789</v>
      </c>
      <c r="L58" s="6">
        <f t="shared" ca="1" si="13"/>
        <v>1862.2016105009186</v>
      </c>
      <c r="M58" s="6">
        <f t="shared" si="6"/>
        <v>0</v>
      </c>
      <c r="N58" s="6">
        <f t="shared" si="7"/>
        <v>15739.661992812917</v>
      </c>
      <c r="O58" s="6">
        <f t="shared" ca="1" si="14"/>
        <v>20744.611640402276</v>
      </c>
      <c r="P58" s="6">
        <f>'Monthly Data (14-23) Used'!DU58</f>
        <v>4</v>
      </c>
      <c r="Q58">
        <f>'Monthly Data (14-23) Used'!CB58</f>
        <v>30</v>
      </c>
      <c r="R58" s="6">
        <f t="shared" ca="1" si="8"/>
        <v>2489353.396848273</v>
      </c>
    </row>
    <row r="59" spans="1:18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Used'!DV59</f>
        <v>18046.604838709678</v>
      </c>
      <c r="E59" s="229">
        <f t="shared" ca="1" si="17"/>
        <v>99.500656897422942</v>
      </c>
      <c r="F59" s="229">
        <f t="shared" ca="1" si="17"/>
        <v>20.479999999999997</v>
      </c>
      <c r="G59" s="6">
        <f>'Monthly Data (14-23) Used'!BY59</f>
        <v>0</v>
      </c>
      <c r="H59">
        <f>'Monthly Data (14-23) Used'!AR59</f>
        <v>164.9</v>
      </c>
      <c r="J59" s="6">
        <f t="shared" si="11"/>
        <v>3114.0572511813202</v>
      </c>
      <c r="K59" s="6">
        <f t="shared" ca="1" si="12"/>
        <v>486.32913878397659</v>
      </c>
      <c r="L59" s="6">
        <f t="shared" ca="1" si="13"/>
        <v>420.44058173733271</v>
      </c>
      <c r="M59" s="6">
        <f t="shared" si="6"/>
        <v>0</v>
      </c>
      <c r="N59" s="6">
        <f t="shared" si="7"/>
        <v>15787.532011039233</v>
      </c>
      <c r="O59" s="6">
        <f t="shared" ca="1" si="14"/>
        <v>19808.358982741862</v>
      </c>
      <c r="P59" s="6">
        <f>'Monthly Data (14-23) Used'!DU59</f>
        <v>4</v>
      </c>
      <c r="Q59">
        <f>'Monthly Data (14-23) Used'!CB59</f>
        <v>31</v>
      </c>
      <c r="R59" s="6">
        <f t="shared" ca="1" si="8"/>
        <v>2456236.513859991</v>
      </c>
    </row>
    <row r="60" spans="1:18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Used'!DV60</f>
        <v>22905.583333333332</v>
      </c>
      <c r="E60" s="229">
        <f t="shared" ca="1" si="17"/>
        <v>286.30065689742298</v>
      </c>
      <c r="F60" s="229">
        <f t="shared" ca="1" si="17"/>
        <v>0.6699999999999996</v>
      </c>
      <c r="G60" s="6">
        <f>'Monthly Data (14-23) Used'!BY60</f>
        <v>0</v>
      </c>
      <c r="H60">
        <f>'Monthly Data (14-23) Used'!AR60</f>
        <v>168.2</v>
      </c>
      <c r="J60" s="6">
        <f t="shared" si="11"/>
        <v>3114.0572511813202</v>
      </c>
      <c r="K60" s="6">
        <f t="shared" ca="1" si="12"/>
        <v>1399.3510821315663</v>
      </c>
      <c r="L60" s="6">
        <f t="shared" ca="1" si="13"/>
        <v>13.754647937695937</v>
      </c>
      <c r="M60" s="6">
        <f t="shared" si="6"/>
        <v>0</v>
      </c>
      <c r="N60" s="6">
        <f t="shared" si="7"/>
        <v>16103.474131332921</v>
      </c>
      <c r="O60" s="6">
        <f t="shared" ca="1" si="14"/>
        <v>20630.637112583503</v>
      </c>
      <c r="P60" s="6">
        <f>'Monthly Data (14-23) Used'!DU60</f>
        <v>4</v>
      </c>
      <c r="Q60">
        <f>'Monthly Data (14-23) Used'!CB60</f>
        <v>30</v>
      </c>
      <c r="R60" s="6">
        <f t="shared" ca="1" si="8"/>
        <v>2475676.4535100204</v>
      </c>
    </row>
    <row r="61" spans="1:18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Used'!DV61</f>
        <v>18946.177419354837</v>
      </c>
      <c r="E61" s="229">
        <f t="shared" ca="1" si="17"/>
        <v>409.7700000000001</v>
      </c>
      <c r="F61" s="229">
        <f t="shared" ca="1" si="17"/>
        <v>0</v>
      </c>
      <c r="G61" s="6">
        <f>'Monthly Data (14-23) Used'!BY61</f>
        <v>0</v>
      </c>
      <c r="H61">
        <f>'Monthly Data (14-23) Used'!AR61</f>
        <v>170.2</v>
      </c>
      <c r="J61" s="6">
        <f t="shared" si="11"/>
        <v>3114.0572511813202</v>
      </c>
      <c r="K61" s="6">
        <f t="shared" ca="1" si="12"/>
        <v>2002.8319150189604</v>
      </c>
      <c r="L61" s="6">
        <f t="shared" ca="1" si="13"/>
        <v>0</v>
      </c>
      <c r="M61" s="6">
        <f t="shared" si="6"/>
        <v>0</v>
      </c>
      <c r="N61" s="6">
        <f t="shared" si="7"/>
        <v>16294.954204238187</v>
      </c>
      <c r="O61" s="6">
        <f t="shared" ca="1" si="14"/>
        <v>21411.843370438466</v>
      </c>
      <c r="P61" s="6">
        <f>'Monthly Data (14-23) Used'!DU61</f>
        <v>4</v>
      </c>
      <c r="Q61">
        <f>'Monthly Data (14-23) Used'!CB61</f>
        <v>31</v>
      </c>
      <c r="R61" s="6">
        <f t="shared" ca="1" si="8"/>
        <v>2655068.5779343699</v>
      </c>
    </row>
    <row r="62" spans="1:18">
      <c r="A62" s="197">
        <v>43466</v>
      </c>
      <c r="B62">
        <f t="shared" si="15"/>
        <v>1</v>
      </c>
      <c r="C62">
        <f t="shared" si="16"/>
        <v>2019</v>
      </c>
      <c r="D62" s="6">
        <f>'Monthly Data (14-23) Used'!DV62</f>
        <v>24151.774193548386</v>
      </c>
      <c r="E62" s="229">
        <f t="shared" ca="1" si="17"/>
        <v>546.99999999999989</v>
      </c>
      <c r="F62" s="229">
        <f t="shared" ca="1" si="17"/>
        <v>0</v>
      </c>
      <c r="G62" s="6">
        <f>'Monthly Data (14-23) Used'!BY62</f>
        <v>0</v>
      </c>
      <c r="H62">
        <f>'Monthly Data (14-23) Used'!AR62</f>
        <v>172.7</v>
      </c>
      <c r="J62" s="6">
        <f t="shared" si="11"/>
        <v>3114.0572511813202</v>
      </c>
      <c r="K62" s="6">
        <f t="shared" ca="1" si="12"/>
        <v>2673.5706799311097</v>
      </c>
      <c r="L62" s="6">
        <f t="shared" ca="1" si="13"/>
        <v>0</v>
      </c>
      <c r="M62" s="6">
        <f t="shared" si="6"/>
        <v>0</v>
      </c>
      <c r="N62" s="6">
        <f t="shared" si="7"/>
        <v>16534.30429536977</v>
      </c>
      <c r="O62" s="6">
        <f t="shared" ca="1" si="14"/>
        <v>22321.9322264822</v>
      </c>
      <c r="P62" s="6">
        <f>'Monthly Data (14-23) Used'!DU62</f>
        <v>4</v>
      </c>
      <c r="Q62">
        <f>'Monthly Data (14-23) Used'!CB62</f>
        <v>31</v>
      </c>
      <c r="R62" s="6">
        <f t="shared" ca="1" si="8"/>
        <v>2767919.5960837929</v>
      </c>
    </row>
    <row r="63" spans="1:18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Used'!DV63</f>
        <v>25038.303571428572</v>
      </c>
      <c r="E63" s="229">
        <f t="shared" ca="1" si="17"/>
        <v>482.71355229914104</v>
      </c>
      <c r="F63" s="229">
        <f t="shared" ca="1" si="17"/>
        <v>0</v>
      </c>
      <c r="G63" s="6">
        <f>'Monthly Data (14-23) Used'!BY63</f>
        <v>0</v>
      </c>
      <c r="H63">
        <f>'Monthly Data (14-23) Used'!AR63</f>
        <v>173.5</v>
      </c>
      <c r="J63" s="6">
        <f t="shared" si="11"/>
        <v>3114.0572511813202</v>
      </c>
      <c r="K63" s="6">
        <f t="shared" ca="1" si="12"/>
        <v>2359.3579528928267</v>
      </c>
      <c r="L63" s="6">
        <f t="shared" ca="1" si="13"/>
        <v>0</v>
      </c>
      <c r="M63" s="6">
        <f t="shared" si="6"/>
        <v>0</v>
      </c>
      <c r="N63" s="6">
        <f t="shared" si="7"/>
        <v>16610.896324531877</v>
      </c>
      <c r="O63" s="6">
        <f t="shared" ca="1" si="14"/>
        <v>22084.311528606024</v>
      </c>
      <c r="P63" s="6">
        <f>'Monthly Data (14-23) Used'!DU63</f>
        <v>4</v>
      </c>
      <c r="Q63">
        <f>'Monthly Data (14-23) Used'!CB63</f>
        <v>28</v>
      </c>
      <c r="R63" s="6">
        <f t="shared" ca="1" si="8"/>
        <v>2473442.8912038747</v>
      </c>
    </row>
    <row r="64" spans="1:18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Used'!DV64</f>
        <v>23196.645161290322</v>
      </c>
      <c r="E64" s="229">
        <f t="shared" ca="1" si="17"/>
        <v>372.63355229914106</v>
      </c>
      <c r="F64" s="229">
        <f t="shared" ca="1" si="17"/>
        <v>0</v>
      </c>
      <c r="G64" s="6">
        <f>'Monthly Data (14-23) Used'!BY64</f>
        <v>1</v>
      </c>
      <c r="H64">
        <f>'Monthly Data (14-23) Used'!AR64</f>
        <v>175.2</v>
      </c>
      <c r="J64" s="6">
        <f t="shared" si="11"/>
        <v>3114.0572511813202</v>
      </c>
      <c r="K64" s="6">
        <f t="shared" ca="1" si="12"/>
        <v>1821.3201824233265</v>
      </c>
      <c r="L64" s="6">
        <f t="shared" ca="1" si="13"/>
        <v>0</v>
      </c>
      <c r="M64" s="6">
        <f t="shared" si="6"/>
        <v>-1472.0035230159101</v>
      </c>
      <c r="N64" s="6">
        <f t="shared" si="7"/>
        <v>16773.654386501355</v>
      </c>
      <c r="O64" s="6">
        <f t="shared" ca="1" si="14"/>
        <v>20237.028297090092</v>
      </c>
      <c r="P64" s="6">
        <f>'Monthly Data (14-23) Used'!DU64</f>
        <v>4</v>
      </c>
      <c r="Q64">
        <f>'Monthly Data (14-23) Used'!CB64</f>
        <v>31</v>
      </c>
      <c r="R64" s="6">
        <f t="shared" ca="1" si="8"/>
        <v>2509391.5088391714</v>
      </c>
    </row>
    <row r="65" spans="1:18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Used'!DV65</f>
        <v>22474.216666666667</v>
      </c>
      <c r="E65" s="229">
        <f t="shared" ca="1" si="17"/>
        <v>184.31</v>
      </c>
      <c r="F65" s="229">
        <f t="shared" ca="1" si="17"/>
        <v>3.0799999999999996</v>
      </c>
      <c r="G65" s="6">
        <f>'Monthly Data (14-23) Used'!BY65</f>
        <v>1</v>
      </c>
      <c r="H65">
        <f>'Monthly Data (14-23) Used'!AR65</f>
        <v>175.5</v>
      </c>
      <c r="J65" s="6">
        <f t="shared" si="11"/>
        <v>3114.0572511813202</v>
      </c>
      <c r="K65" s="6">
        <f t="shared" ca="1" si="12"/>
        <v>900.85157590146798</v>
      </c>
      <c r="L65" s="6">
        <f t="shared" ca="1" si="13"/>
        <v>63.230321862841052</v>
      </c>
      <c r="M65" s="6">
        <f t="shared" si="6"/>
        <v>-1472.0035230159101</v>
      </c>
      <c r="N65" s="6">
        <f t="shared" si="7"/>
        <v>16802.376397437147</v>
      </c>
      <c r="O65" s="6">
        <f t="shared" ca="1" si="14"/>
        <v>19408.512023366868</v>
      </c>
      <c r="P65" s="6">
        <f>'Monthly Data (14-23) Used'!DU65</f>
        <v>4</v>
      </c>
      <c r="Q65">
        <f>'Monthly Data (14-23) Used'!CB65</f>
        <v>30</v>
      </c>
      <c r="R65" s="6">
        <f t="shared" ca="1" si="8"/>
        <v>2329021.4428040241</v>
      </c>
    </row>
    <row r="66" spans="1:18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Used'!DV66</f>
        <v>22320.790322580644</v>
      </c>
      <c r="E66" s="229">
        <f t="shared" ca="1" si="17"/>
        <v>47.083552299140976</v>
      </c>
      <c r="F66" s="229">
        <f t="shared" ca="1" si="17"/>
        <v>53.286447700859014</v>
      </c>
      <c r="G66" s="6">
        <f>'Monthly Data (14-23) Used'!BY66</f>
        <v>1</v>
      </c>
      <c r="H66">
        <f>'Monthly Data (14-23) Used'!AR66</f>
        <v>176.6</v>
      </c>
      <c r="J66" s="6">
        <f t="shared" ref="J66:J97" si="18">$U$9</f>
        <v>3114.0572511813202</v>
      </c>
      <c r="K66" s="6">
        <f t="shared" ref="K66:K97" ca="1" si="19">E66*$U$10</f>
        <v>230.13017355390556</v>
      </c>
      <c r="L66" s="6">
        <f t="shared" ref="L66:L97" ca="1" si="20">F66*$U$11</f>
        <v>1093.9348178742734</v>
      </c>
      <c r="M66" s="6">
        <f t="shared" si="6"/>
        <v>-1472.0035230159101</v>
      </c>
      <c r="N66" s="6">
        <f t="shared" si="7"/>
        <v>16907.690437535042</v>
      </c>
      <c r="O66" s="6">
        <f t="shared" ref="O66:O97" ca="1" si="21">SUM(J66:N66)</f>
        <v>19873.809157128631</v>
      </c>
      <c r="P66" s="6">
        <f>'Monthly Data (14-23) Used'!DU66</f>
        <v>4</v>
      </c>
      <c r="Q66">
        <f>'Monthly Data (14-23) Used'!CB66</f>
        <v>31</v>
      </c>
      <c r="R66" s="6">
        <f t="shared" ca="1" si="8"/>
        <v>2464352.3354839501</v>
      </c>
    </row>
    <row r="67" spans="1:18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Used'!DV67</f>
        <v>23373.575000000001</v>
      </c>
      <c r="E67" s="229">
        <f t="shared" ref="E67:F82" ca="1" si="22">E55</f>
        <v>0.4200000000000001</v>
      </c>
      <c r="F67" s="229">
        <f t="shared" ca="1" si="22"/>
        <v>145.07</v>
      </c>
      <c r="G67" s="6">
        <f>'Monthly Data (14-23) Used'!BY67</f>
        <v>0</v>
      </c>
      <c r="H67">
        <f>'Monthly Data (14-23) Used'!AR67</f>
        <v>174.6</v>
      </c>
      <c r="J67" s="6">
        <f t="shared" si="18"/>
        <v>3114.0572511813202</v>
      </c>
      <c r="K67" s="6">
        <f t="shared" ca="1" si="19"/>
        <v>2.0528330632012186</v>
      </c>
      <c r="L67" s="6">
        <f t="shared" ca="1" si="20"/>
        <v>2978.1892183903742</v>
      </c>
      <c r="M67" s="6">
        <f t="shared" ref="M67:M130" si="23">G67*$U$12</f>
        <v>0</v>
      </c>
      <c r="N67" s="6">
        <f t="shared" ref="N67:N130" si="24">H67*$U$13</f>
        <v>16716.210364629773</v>
      </c>
      <c r="O67" s="6">
        <f t="shared" ca="1" si="21"/>
        <v>22810.509667264669</v>
      </c>
      <c r="P67" s="6">
        <f>'Monthly Data (14-23) Used'!DU67</f>
        <v>4</v>
      </c>
      <c r="Q67">
        <f>'Monthly Data (14-23) Used'!CB67</f>
        <v>30</v>
      </c>
      <c r="R67" s="6">
        <f t="shared" ref="R67:R130" ca="1" si="25">O67*P67*Q67</f>
        <v>2737261.1600717604</v>
      </c>
    </row>
    <row r="68" spans="1:18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Used'!DV68</f>
        <v>26642.193548387098</v>
      </c>
      <c r="E68" s="229">
        <f t="shared" ca="1" si="22"/>
        <v>0</v>
      </c>
      <c r="F68" s="229">
        <f t="shared" ca="1" si="22"/>
        <v>211.23289540171805</v>
      </c>
      <c r="G68" s="6">
        <f>'Monthly Data (14-23) Used'!BY68</f>
        <v>0</v>
      </c>
      <c r="H68">
        <f>'Monthly Data (14-23) Used'!AR68</f>
        <v>171.5</v>
      </c>
      <c r="J68" s="6">
        <f t="shared" si="18"/>
        <v>3114.0572511813202</v>
      </c>
      <c r="K68" s="6">
        <f t="shared" ca="1" si="19"/>
        <v>0</v>
      </c>
      <c r="L68" s="6">
        <f t="shared" ca="1" si="20"/>
        <v>4336.4688195683348</v>
      </c>
      <c r="M68" s="6">
        <f t="shared" si="23"/>
        <v>0</v>
      </c>
      <c r="N68" s="6">
        <f t="shared" si="24"/>
        <v>16419.416251626611</v>
      </c>
      <c r="O68" s="6">
        <f t="shared" ca="1" si="21"/>
        <v>23869.942322376264</v>
      </c>
      <c r="P68" s="6">
        <f>'Monthly Data (14-23) Used'!DU68</f>
        <v>4</v>
      </c>
      <c r="Q68">
        <f>'Monthly Data (14-23) Used'!CB68</f>
        <v>31</v>
      </c>
      <c r="R68" s="6">
        <f t="shared" ca="1" si="25"/>
        <v>2959872.8479746566</v>
      </c>
    </row>
    <row r="69" spans="1:18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Used'!DV69</f>
        <v>24985.733870967742</v>
      </c>
      <c r="E69" s="229">
        <f t="shared" ca="1" si="22"/>
        <v>0</v>
      </c>
      <c r="F69" s="229">
        <f t="shared" ca="1" si="22"/>
        <v>183.87605861546231</v>
      </c>
      <c r="G69" s="6">
        <f>'Monthly Data (14-23) Used'!BY69</f>
        <v>0</v>
      </c>
      <c r="H69">
        <f>'Monthly Data (14-23) Used'!AR69</f>
        <v>169.3</v>
      </c>
      <c r="J69" s="6">
        <f t="shared" si="18"/>
        <v>3114.0572511813202</v>
      </c>
      <c r="K69" s="6">
        <f t="shared" ca="1" si="19"/>
        <v>0</v>
      </c>
      <c r="L69" s="6">
        <f t="shared" ca="1" si="20"/>
        <v>3774.8514185475037</v>
      </c>
      <c r="M69" s="6">
        <f t="shared" si="23"/>
        <v>0</v>
      </c>
      <c r="N69" s="6">
        <f t="shared" si="24"/>
        <v>16208.788171430821</v>
      </c>
      <c r="O69" s="6">
        <f t="shared" ca="1" si="21"/>
        <v>23097.696841159646</v>
      </c>
      <c r="P69" s="6">
        <f>'Monthly Data (14-23) Used'!DU69</f>
        <v>4</v>
      </c>
      <c r="Q69">
        <f>'Monthly Data (14-23) Used'!CB69</f>
        <v>31</v>
      </c>
      <c r="R69" s="6">
        <f t="shared" ca="1" si="25"/>
        <v>2864114.4083037963</v>
      </c>
    </row>
    <row r="70" spans="1:18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Used'!DV70</f>
        <v>24133.633333333335</v>
      </c>
      <c r="E70" s="229">
        <f t="shared" ca="1" si="22"/>
        <v>5.87</v>
      </c>
      <c r="F70" s="229">
        <f t="shared" ca="1" si="22"/>
        <v>90.709343102577066</v>
      </c>
      <c r="G70" s="6">
        <f>'Monthly Data (14-23) Used'!BY70</f>
        <v>0</v>
      </c>
      <c r="H70">
        <f>'Monthly Data (14-23) Used'!AR70</f>
        <v>169.1</v>
      </c>
      <c r="J70" s="6">
        <f t="shared" si="18"/>
        <v>3114.0572511813202</v>
      </c>
      <c r="K70" s="6">
        <f t="shared" ca="1" si="19"/>
        <v>28.690785907121789</v>
      </c>
      <c r="L70" s="6">
        <f t="shared" ca="1" si="20"/>
        <v>1862.2016105009186</v>
      </c>
      <c r="M70" s="6">
        <f t="shared" si="23"/>
        <v>0</v>
      </c>
      <c r="N70" s="6">
        <f t="shared" si="24"/>
        <v>16189.640164140292</v>
      </c>
      <c r="O70" s="6">
        <f t="shared" ca="1" si="21"/>
        <v>21194.589811729653</v>
      </c>
      <c r="P70" s="6">
        <f>'Monthly Data (14-23) Used'!DU70</f>
        <v>4</v>
      </c>
      <c r="Q70">
        <f>'Monthly Data (14-23) Used'!CB70</f>
        <v>30</v>
      </c>
      <c r="R70" s="6">
        <f t="shared" ca="1" si="25"/>
        <v>2543350.7774075582</v>
      </c>
    </row>
    <row r="71" spans="1:18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Used'!DV71</f>
        <v>22557.879032258064</v>
      </c>
      <c r="E71" s="229">
        <f t="shared" ca="1" si="22"/>
        <v>99.500656897422942</v>
      </c>
      <c r="F71" s="229">
        <f t="shared" ca="1" si="22"/>
        <v>20.479999999999997</v>
      </c>
      <c r="G71" s="6">
        <f>'Monthly Data (14-23) Used'!BY71</f>
        <v>0</v>
      </c>
      <c r="H71">
        <f>'Monthly Data (14-23) Used'!AR71</f>
        <v>170.3</v>
      </c>
      <c r="J71" s="6">
        <f t="shared" si="18"/>
        <v>3114.0572511813202</v>
      </c>
      <c r="K71" s="6">
        <f t="shared" ca="1" si="19"/>
        <v>486.32913878397659</v>
      </c>
      <c r="L71" s="6">
        <f t="shared" ca="1" si="20"/>
        <v>420.44058173733271</v>
      </c>
      <c r="M71" s="6">
        <f t="shared" si="23"/>
        <v>0</v>
      </c>
      <c r="N71" s="6">
        <f t="shared" si="24"/>
        <v>16304.528207883453</v>
      </c>
      <c r="O71" s="6">
        <f t="shared" ca="1" si="21"/>
        <v>20325.355179586084</v>
      </c>
      <c r="P71" s="6">
        <f>'Monthly Data (14-23) Used'!DU71</f>
        <v>4</v>
      </c>
      <c r="Q71">
        <f>'Monthly Data (14-23) Used'!CB71</f>
        <v>31</v>
      </c>
      <c r="R71" s="6">
        <f t="shared" ca="1" si="25"/>
        <v>2520344.0422686744</v>
      </c>
    </row>
    <row r="72" spans="1:18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Used'!DV72</f>
        <v>24180.758333333335</v>
      </c>
      <c r="E72" s="229">
        <f t="shared" ca="1" si="22"/>
        <v>286.30065689742298</v>
      </c>
      <c r="F72" s="229">
        <f t="shared" ca="1" si="22"/>
        <v>0.6699999999999996</v>
      </c>
      <c r="G72" s="6">
        <f>'Monthly Data (14-23) Used'!BY72</f>
        <v>0</v>
      </c>
      <c r="H72">
        <f>'Monthly Data (14-23) Used'!AR72</f>
        <v>168.5</v>
      </c>
      <c r="J72" s="6">
        <f t="shared" si="18"/>
        <v>3114.0572511813202</v>
      </c>
      <c r="K72" s="6">
        <f t="shared" ca="1" si="19"/>
        <v>1399.3510821315663</v>
      </c>
      <c r="L72" s="6">
        <f t="shared" ca="1" si="20"/>
        <v>13.754647937695937</v>
      </c>
      <c r="M72" s="6">
        <f t="shared" si="23"/>
        <v>0</v>
      </c>
      <c r="N72" s="6">
        <f t="shared" si="24"/>
        <v>16132.196142268713</v>
      </c>
      <c r="O72" s="6">
        <f t="shared" ca="1" si="21"/>
        <v>20659.359123519294</v>
      </c>
      <c r="P72" s="6">
        <f>'Monthly Data (14-23) Used'!DU72</f>
        <v>4</v>
      </c>
      <c r="Q72">
        <f>'Monthly Data (14-23) Used'!CB72</f>
        <v>30</v>
      </c>
      <c r="R72" s="6">
        <f t="shared" ca="1" si="25"/>
        <v>2479123.0948223155</v>
      </c>
    </row>
    <row r="73" spans="1:18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Used'!DV73</f>
        <v>20843.637096774193</v>
      </c>
      <c r="E73" s="229">
        <f t="shared" ca="1" si="22"/>
        <v>409.7700000000001</v>
      </c>
      <c r="F73" s="229">
        <f t="shared" ca="1" si="22"/>
        <v>0</v>
      </c>
      <c r="G73" s="6">
        <f>'Monthly Data (14-23) Used'!BY73</f>
        <v>0</v>
      </c>
      <c r="H73">
        <f>'Monthly Data (14-23) Used'!AR73</f>
        <v>167.7</v>
      </c>
      <c r="J73" s="6">
        <f t="shared" si="18"/>
        <v>3114.0572511813202</v>
      </c>
      <c r="K73" s="6">
        <f t="shared" ca="1" si="19"/>
        <v>2002.8319150189604</v>
      </c>
      <c r="L73" s="6">
        <f t="shared" ca="1" si="20"/>
        <v>0</v>
      </c>
      <c r="M73" s="6">
        <f t="shared" si="23"/>
        <v>0</v>
      </c>
      <c r="N73" s="6">
        <f t="shared" si="24"/>
        <v>16055.604113106605</v>
      </c>
      <c r="O73" s="6">
        <f t="shared" ca="1" si="21"/>
        <v>21172.493279306887</v>
      </c>
      <c r="P73" s="6">
        <f>'Monthly Data (14-23) Used'!DU73</f>
        <v>4</v>
      </c>
      <c r="Q73">
        <f>'Monthly Data (14-23) Used'!CB73</f>
        <v>31</v>
      </c>
      <c r="R73" s="6">
        <f t="shared" ca="1" si="25"/>
        <v>2625389.1666340539</v>
      </c>
    </row>
    <row r="74" spans="1:18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Used'!DV74</f>
        <v>21640.991935483871</v>
      </c>
      <c r="E74" s="229">
        <f t="shared" ca="1" si="22"/>
        <v>546.99999999999989</v>
      </c>
      <c r="F74" s="229">
        <f t="shared" ca="1" si="22"/>
        <v>0</v>
      </c>
      <c r="G74" s="6">
        <f>'Monthly Data (14-23) Used'!BY74</f>
        <v>0</v>
      </c>
      <c r="H74">
        <f>'Monthly Data (14-23) Used'!AR74</f>
        <v>166.2</v>
      </c>
      <c r="J74" s="6">
        <f t="shared" si="18"/>
        <v>3114.0572511813202</v>
      </c>
      <c r="K74" s="6">
        <f t="shared" ca="1" si="19"/>
        <v>2673.5706799311097</v>
      </c>
      <c r="L74" s="6">
        <f t="shared" ca="1" si="20"/>
        <v>0</v>
      </c>
      <c r="M74" s="6">
        <f t="shared" si="23"/>
        <v>0</v>
      </c>
      <c r="N74" s="6">
        <f t="shared" si="24"/>
        <v>15911.994058427654</v>
      </c>
      <c r="O74" s="6">
        <f t="shared" ca="1" si="21"/>
        <v>21699.621989540083</v>
      </c>
      <c r="P74" s="6">
        <f>'Monthly Data (14-23) Used'!DU74</f>
        <v>4</v>
      </c>
      <c r="Q74">
        <f>'Monthly Data (14-23) Used'!CB74</f>
        <v>31</v>
      </c>
      <c r="R74" s="6">
        <f t="shared" ca="1" si="25"/>
        <v>2690753.1267029704</v>
      </c>
    </row>
    <row r="75" spans="1:18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Used'!DV75</f>
        <v>21031.741379310344</v>
      </c>
      <c r="E75" s="229">
        <f t="shared" ca="1" si="22"/>
        <v>482.71355229914104</v>
      </c>
      <c r="F75" s="229">
        <f t="shared" ca="1" si="22"/>
        <v>0</v>
      </c>
      <c r="G75" s="6">
        <f>'Monthly Data (14-23) Used'!BY75</f>
        <v>0</v>
      </c>
      <c r="H75">
        <f>'Monthly Data (14-23) Used'!AR75</f>
        <v>167.8</v>
      </c>
      <c r="J75" s="6">
        <f t="shared" si="18"/>
        <v>3114.0572511813202</v>
      </c>
      <c r="K75" s="6">
        <f t="shared" ca="1" si="19"/>
        <v>2359.3579528928267</v>
      </c>
      <c r="L75" s="6">
        <f t="shared" ca="1" si="20"/>
        <v>0</v>
      </c>
      <c r="M75" s="6">
        <f t="shared" si="23"/>
        <v>0</v>
      </c>
      <c r="N75" s="6">
        <f t="shared" si="24"/>
        <v>16065.178116751869</v>
      </c>
      <c r="O75" s="6">
        <f t="shared" ca="1" si="21"/>
        <v>21538.593320826018</v>
      </c>
      <c r="P75" s="6">
        <f>'Monthly Data (14-23) Used'!DU75</f>
        <v>4</v>
      </c>
      <c r="Q75">
        <f>'Monthly Data (14-23) Used'!CB75</f>
        <v>29</v>
      </c>
      <c r="R75" s="6">
        <f t="shared" ca="1" si="25"/>
        <v>2498476.8252158179</v>
      </c>
    </row>
    <row r="76" spans="1:18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Used'!DV76</f>
        <v>19309.370967741936</v>
      </c>
      <c r="E76" s="229">
        <f t="shared" ca="1" si="22"/>
        <v>372.63355229914106</v>
      </c>
      <c r="F76" s="229">
        <f t="shared" ca="1" si="22"/>
        <v>0</v>
      </c>
      <c r="G76" s="6">
        <f>'Monthly Data (14-23) Used'!BY76</f>
        <v>1</v>
      </c>
      <c r="H76">
        <f>'Monthly Data (14-23) Used'!AR76</f>
        <v>162</v>
      </c>
      <c r="J76" s="6">
        <f t="shared" si="18"/>
        <v>3114.0572511813202</v>
      </c>
      <c r="K76" s="6">
        <f t="shared" ca="1" si="19"/>
        <v>1821.3201824233265</v>
      </c>
      <c r="L76" s="6">
        <f t="shared" ca="1" si="20"/>
        <v>0</v>
      </c>
      <c r="M76" s="6">
        <f t="shared" si="23"/>
        <v>-1472.0035230159101</v>
      </c>
      <c r="N76" s="6">
        <f t="shared" si="24"/>
        <v>15509.885905326595</v>
      </c>
      <c r="O76" s="6">
        <f t="shared" ca="1" si="21"/>
        <v>18973.259815915331</v>
      </c>
      <c r="P76" s="6">
        <f>'Monthly Data (14-23) Used'!DU76</f>
        <v>4</v>
      </c>
      <c r="Q76">
        <f>'Monthly Data (14-23) Used'!CB76</f>
        <v>31</v>
      </c>
      <c r="R76" s="6">
        <f t="shared" ca="1" si="25"/>
        <v>2352684.2171735009</v>
      </c>
    </row>
    <row r="77" spans="1:18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Used'!DV77</f>
        <v>15646.475</v>
      </c>
      <c r="E77" s="229">
        <f t="shared" ca="1" si="22"/>
        <v>184.31</v>
      </c>
      <c r="F77" s="229">
        <f t="shared" ca="1" si="22"/>
        <v>3.0799999999999996</v>
      </c>
      <c r="G77" s="6">
        <f>'Monthly Data (14-23) Used'!BY77</f>
        <v>1</v>
      </c>
      <c r="H77">
        <f>'Monthly Data (14-23) Used'!AR77</f>
        <v>149.1</v>
      </c>
      <c r="J77" s="6">
        <f t="shared" si="18"/>
        <v>3114.0572511813202</v>
      </c>
      <c r="K77" s="6">
        <f t="shared" ca="1" si="19"/>
        <v>900.85157590146798</v>
      </c>
      <c r="L77" s="6">
        <f t="shared" ca="1" si="20"/>
        <v>63.230321862841052</v>
      </c>
      <c r="M77" s="6">
        <f t="shared" si="23"/>
        <v>-1472.0035230159101</v>
      </c>
      <c r="N77" s="6">
        <f t="shared" si="24"/>
        <v>14274.839435087626</v>
      </c>
      <c r="O77" s="6">
        <f t="shared" ca="1" si="21"/>
        <v>16880.975061017347</v>
      </c>
      <c r="P77" s="6">
        <f>'Monthly Data (14-23) Used'!DU77</f>
        <v>4</v>
      </c>
      <c r="Q77">
        <f>'Monthly Data (14-23) Used'!CB77</f>
        <v>30</v>
      </c>
      <c r="R77" s="6">
        <f t="shared" ca="1" si="25"/>
        <v>2025717.0073220816</v>
      </c>
    </row>
    <row r="78" spans="1:18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Used'!DV78</f>
        <v>17578.677419354837</v>
      </c>
      <c r="E78" s="229">
        <f t="shared" ca="1" si="22"/>
        <v>47.083552299140976</v>
      </c>
      <c r="F78" s="229">
        <f t="shared" ca="1" si="22"/>
        <v>53.286447700859014</v>
      </c>
      <c r="G78" s="6">
        <f>'Monthly Data (14-23) Used'!BY78</f>
        <v>1</v>
      </c>
      <c r="H78">
        <f>'Monthly Data (14-23) Used'!AR78</f>
        <v>137.69999999999999</v>
      </c>
      <c r="J78" s="6">
        <f t="shared" si="18"/>
        <v>3114.0572511813202</v>
      </c>
      <c r="K78" s="6">
        <f t="shared" ca="1" si="19"/>
        <v>230.13017355390556</v>
      </c>
      <c r="L78" s="6">
        <f t="shared" ca="1" si="20"/>
        <v>1093.9348178742734</v>
      </c>
      <c r="M78" s="6">
        <f t="shared" si="23"/>
        <v>-1472.0035230159101</v>
      </c>
      <c r="N78" s="6">
        <f t="shared" si="24"/>
        <v>13183.403019527605</v>
      </c>
      <c r="O78" s="6">
        <f t="shared" ca="1" si="21"/>
        <v>16149.521739121194</v>
      </c>
      <c r="P78" s="6">
        <f>'Monthly Data (14-23) Used'!DU78</f>
        <v>4</v>
      </c>
      <c r="Q78">
        <f>'Monthly Data (14-23) Used'!CB78</f>
        <v>31</v>
      </c>
      <c r="R78" s="6">
        <f t="shared" ca="1" si="25"/>
        <v>2002540.6956510281</v>
      </c>
    </row>
    <row r="79" spans="1:18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Used'!DV79</f>
        <v>21161.483333333334</v>
      </c>
      <c r="E79" s="229">
        <f t="shared" ca="1" si="22"/>
        <v>0.4200000000000001</v>
      </c>
      <c r="F79" s="229">
        <f t="shared" ca="1" si="22"/>
        <v>145.07</v>
      </c>
      <c r="G79" s="6">
        <f>'Monthly Data (14-23) Used'!BY79</f>
        <v>0</v>
      </c>
      <c r="H79">
        <f>'Monthly Data (14-23) Used'!AR79</f>
        <v>140</v>
      </c>
      <c r="J79" s="6">
        <f t="shared" si="18"/>
        <v>3114.0572511813202</v>
      </c>
      <c r="K79" s="6">
        <f t="shared" ca="1" si="19"/>
        <v>2.0528330632012186</v>
      </c>
      <c r="L79" s="6">
        <f t="shared" ca="1" si="20"/>
        <v>2978.1892183903742</v>
      </c>
      <c r="M79" s="6">
        <f t="shared" si="23"/>
        <v>0</v>
      </c>
      <c r="N79" s="6">
        <f t="shared" si="24"/>
        <v>13403.605103368664</v>
      </c>
      <c r="O79" s="6">
        <f t="shared" ca="1" si="21"/>
        <v>19497.904406003559</v>
      </c>
      <c r="P79" s="6">
        <f>'Monthly Data (14-23) Used'!DU79</f>
        <v>4</v>
      </c>
      <c r="Q79">
        <f>'Monthly Data (14-23) Used'!CB79</f>
        <v>30</v>
      </c>
      <c r="R79" s="6">
        <f t="shared" ca="1" si="25"/>
        <v>2339748.5287204273</v>
      </c>
    </row>
    <row r="80" spans="1:18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Used'!DV80</f>
        <v>23550.258064516129</v>
      </c>
      <c r="E80" s="229">
        <f t="shared" ca="1" si="22"/>
        <v>0</v>
      </c>
      <c r="F80" s="229">
        <f t="shared" ca="1" si="22"/>
        <v>211.23289540171805</v>
      </c>
      <c r="G80" s="6">
        <f>'Monthly Data (14-23) Used'!BY80</f>
        <v>0</v>
      </c>
      <c r="H80">
        <f>'Monthly Data (14-23) Used'!AR80</f>
        <v>150.6</v>
      </c>
      <c r="J80" s="6">
        <f t="shared" si="18"/>
        <v>3114.0572511813202</v>
      </c>
      <c r="K80" s="6">
        <f t="shared" ca="1" si="19"/>
        <v>0</v>
      </c>
      <c r="L80" s="6">
        <f t="shared" ca="1" si="20"/>
        <v>4336.4688195683348</v>
      </c>
      <c r="M80" s="6">
        <f t="shared" si="23"/>
        <v>0</v>
      </c>
      <c r="N80" s="6">
        <f t="shared" si="24"/>
        <v>14418.449489766575</v>
      </c>
      <c r="O80" s="6">
        <f t="shared" ca="1" si="21"/>
        <v>21868.975560516228</v>
      </c>
      <c r="P80" s="6">
        <f>'Monthly Data (14-23) Used'!DU80</f>
        <v>4</v>
      </c>
      <c r="Q80">
        <f>'Monthly Data (14-23) Used'!CB80</f>
        <v>31</v>
      </c>
      <c r="R80" s="6">
        <f t="shared" ca="1" si="25"/>
        <v>2711752.9695040123</v>
      </c>
    </row>
    <row r="81" spans="1:18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Used'!DV81</f>
        <v>21412.943548387098</v>
      </c>
      <c r="E81" s="229">
        <f t="shared" ca="1" si="22"/>
        <v>0</v>
      </c>
      <c r="F81" s="229">
        <f t="shared" ca="1" si="22"/>
        <v>183.87605861546231</v>
      </c>
      <c r="G81" s="6">
        <f>'Monthly Data (14-23) Used'!BY81</f>
        <v>0</v>
      </c>
      <c r="H81">
        <f>'Monthly Data (14-23) Used'!AR81</f>
        <v>156.80000000000001</v>
      </c>
      <c r="J81" s="6">
        <f t="shared" si="18"/>
        <v>3114.0572511813202</v>
      </c>
      <c r="K81" s="6">
        <f t="shared" ca="1" si="19"/>
        <v>0</v>
      </c>
      <c r="L81" s="6">
        <f t="shared" ca="1" si="20"/>
        <v>3774.8514185475037</v>
      </c>
      <c r="M81" s="6">
        <f t="shared" si="23"/>
        <v>0</v>
      </c>
      <c r="N81" s="6">
        <f t="shared" si="24"/>
        <v>15012.037715772904</v>
      </c>
      <c r="O81" s="6">
        <f t="shared" ca="1" si="21"/>
        <v>21900.946385501727</v>
      </c>
      <c r="P81" s="6">
        <f>'Monthly Data (14-23) Used'!DU81</f>
        <v>4</v>
      </c>
      <c r="Q81">
        <f>'Monthly Data (14-23) Used'!CB81</f>
        <v>31</v>
      </c>
      <c r="R81" s="6">
        <f t="shared" ca="1" si="25"/>
        <v>2715717.351802214</v>
      </c>
    </row>
    <row r="82" spans="1:18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Used'!DV82</f>
        <v>19573.133333333335</v>
      </c>
      <c r="E82" s="229">
        <f t="shared" ca="1" si="22"/>
        <v>5.87</v>
      </c>
      <c r="F82" s="229">
        <f t="shared" ca="1" si="22"/>
        <v>90.709343102577066</v>
      </c>
      <c r="G82" s="6">
        <f>'Monthly Data (14-23) Used'!BY82</f>
        <v>0</v>
      </c>
      <c r="H82">
        <f>'Monthly Data (14-23) Used'!AR82</f>
        <v>157.4</v>
      </c>
      <c r="J82" s="6">
        <f t="shared" si="18"/>
        <v>3114.0572511813202</v>
      </c>
      <c r="K82" s="6">
        <f t="shared" ca="1" si="19"/>
        <v>28.690785907121789</v>
      </c>
      <c r="L82" s="6">
        <f t="shared" ca="1" si="20"/>
        <v>1862.2016105009186</v>
      </c>
      <c r="M82" s="6">
        <f t="shared" si="23"/>
        <v>0</v>
      </c>
      <c r="N82" s="6">
        <f t="shared" si="24"/>
        <v>15069.481737644483</v>
      </c>
      <c r="O82" s="6">
        <f t="shared" ca="1" si="21"/>
        <v>20074.431385233842</v>
      </c>
      <c r="P82" s="6">
        <f>'Monthly Data (14-23) Used'!DU82</f>
        <v>4</v>
      </c>
      <c r="Q82">
        <f>'Monthly Data (14-23) Used'!CB82</f>
        <v>30</v>
      </c>
      <c r="R82" s="6">
        <f t="shared" ca="1" si="25"/>
        <v>2408931.7662280612</v>
      </c>
    </row>
    <row r="83" spans="1:18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Used'!DV83</f>
        <v>17920.419354838708</v>
      </c>
      <c r="E83" s="229">
        <f t="shared" ref="E83:F98" ca="1" si="26">E71</f>
        <v>99.500656897422942</v>
      </c>
      <c r="F83" s="229">
        <f t="shared" ca="1" si="26"/>
        <v>20.479999999999997</v>
      </c>
      <c r="G83" s="6">
        <f>'Monthly Data (14-23) Used'!BY83</f>
        <v>0</v>
      </c>
      <c r="H83">
        <f>'Monthly Data (14-23) Used'!AR83</f>
        <v>154.69999999999999</v>
      </c>
      <c r="J83" s="6">
        <f t="shared" si="18"/>
        <v>3114.0572511813202</v>
      </c>
      <c r="K83" s="6">
        <f t="shared" ca="1" si="19"/>
        <v>486.32913878397659</v>
      </c>
      <c r="L83" s="6">
        <f t="shared" ca="1" si="20"/>
        <v>420.44058173733271</v>
      </c>
      <c r="M83" s="6">
        <f t="shared" si="23"/>
        <v>0</v>
      </c>
      <c r="N83" s="6">
        <f t="shared" si="24"/>
        <v>14810.983639222371</v>
      </c>
      <c r="O83" s="6">
        <f t="shared" ca="1" si="21"/>
        <v>18831.810610925</v>
      </c>
      <c r="P83" s="6">
        <f>'Monthly Data (14-23) Used'!DU83</f>
        <v>4</v>
      </c>
      <c r="Q83">
        <f>'Monthly Data (14-23) Used'!CB83</f>
        <v>31</v>
      </c>
      <c r="R83" s="6">
        <f t="shared" ca="1" si="25"/>
        <v>2335144.5157547002</v>
      </c>
    </row>
    <row r="84" spans="1:18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Used'!DV84</f>
        <v>21082.075000000001</v>
      </c>
      <c r="E84" s="229">
        <f t="shared" ca="1" si="26"/>
        <v>286.30065689742298</v>
      </c>
      <c r="F84" s="229">
        <f t="shared" ca="1" si="26"/>
        <v>0.6699999999999996</v>
      </c>
      <c r="G84" s="6">
        <f>'Monthly Data (14-23) Used'!BY84</f>
        <v>0</v>
      </c>
      <c r="H84">
        <f>'Monthly Data (14-23) Used'!AR84</f>
        <v>154.19999999999999</v>
      </c>
      <c r="J84" s="6">
        <f t="shared" si="18"/>
        <v>3114.0572511813202</v>
      </c>
      <c r="K84" s="6">
        <f t="shared" ca="1" si="19"/>
        <v>1399.3510821315663</v>
      </c>
      <c r="L84" s="6">
        <f t="shared" ca="1" si="20"/>
        <v>13.754647937695937</v>
      </c>
      <c r="M84" s="6">
        <f t="shared" si="23"/>
        <v>0</v>
      </c>
      <c r="N84" s="6">
        <f t="shared" si="24"/>
        <v>14763.113620996055</v>
      </c>
      <c r="O84" s="6">
        <f t="shared" ca="1" si="21"/>
        <v>19290.276602246639</v>
      </c>
      <c r="P84" s="6">
        <f>'Monthly Data (14-23) Used'!DU84</f>
        <v>4</v>
      </c>
      <c r="Q84">
        <f>'Monthly Data (14-23) Used'!CB84</f>
        <v>30</v>
      </c>
      <c r="R84" s="6">
        <f t="shared" ca="1" si="25"/>
        <v>2314833.1922695967</v>
      </c>
    </row>
    <row r="85" spans="1:18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Used'!DV85</f>
        <v>19340.766129032258</v>
      </c>
      <c r="E85" s="229">
        <f t="shared" ca="1" si="26"/>
        <v>409.7700000000001</v>
      </c>
      <c r="F85" s="229">
        <f t="shared" ca="1" si="26"/>
        <v>0</v>
      </c>
      <c r="G85" s="6">
        <f>'Monthly Data (14-23) Used'!BY85</f>
        <v>0</v>
      </c>
      <c r="H85">
        <f>'Monthly Data (14-23) Used'!AR85</f>
        <v>149.69999999999999</v>
      </c>
      <c r="J85" s="6">
        <f t="shared" si="18"/>
        <v>3114.0572511813202</v>
      </c>
      <c r="K85" s="6">
        <f t="shared" ca="1" si="19"/>
        <v>2002.8319150189604</v>
      </c>
      <c r="L85" s="6">
        <f t="shared" ca="1" si="20"/>
        <v>0</v>
      </c>
      <c r="M85" s="6">
        <f t="shared" si="23"/>
        <v>0</v>
      </c>
      <c r="N85" s="6">
        <f t="shared" si="24"/>
        <v>14332.283456959205</v>
      </c>
      <c r="O85" s="6">
        <f t="shared" ca="1" si="21"/>
        <v>19449.172623159488</v>
      </c>
      <c r="P85" s="6">
        <f>'Monthly Data (14-23) Used'!DU85</f>
        <v>4</v>
      </c>
      <c r="Q85">
        <f>'Monthly Data (14-23) Used'!CB85</f>
        <v>31</v>
      </c>
      <c r="R85" s="6">
        <f t="shared" ca="1" si="25"/>
        <v>2411697.4052717765</v>
      </c>
    </row>
    <row r="86" spans="1:18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Used'!DV86</f>
        <v>19974.91129032258</v>
      </c>
      <c r="E86" s="229">
        <f t="shared" ca="1" si="26"/>
        <v>546.99999999999989</v>
      </c>
      <c r="F86" s="229">
        <f t="shared" ca="1" si="26"/>
        <v>0</v>
      </c>
      <c r="G86" s="6">
        <f>'Monthly Data (14-23) Used'!BY86</f>
        <v>0</v>
      </c>
      <c r="H86">
        <f>'Monthly Data (14-23) Used'!AR86</f>
        <v>150.80000000000001</v>
      </c>
      <c r="J86" s="6">
        <f t="shared" si="18"/>
        <v>3114.0572511813202</v>
      </c>
      <c r="K86" s="6">
        <f t="shared" ca="1" si="19"/>
        <v>2673.5706799311097</v>
      </c>
      <c r="L86" s="6">
        <f t="shared" ca="1" si="20"/>
        <v>0</v>
      </c>
      <c r="M86" s="6">
        <f t="shared" si="23"/>
        <v>0</v>
      </c>
      <c r="N86" s="6">
        <f t="shared" si="24"/>
        <v>14437.597497057104</v>
      </c>
      <c r="O86" s="6">
        <f t="shared" ca="1" si="21"/>
        <v>20225.225428169535</v>
      </c>
      <c r="P86" s="6">
        <f>'Monthly Data (14-23) Used'!DU86</f>
        <v>4</v>
      </c>
      <c r="Q86">
        <f>'Monthly Data (14-23) Used'!CB86</f>
        <v>31</v>
      </c>
      <c r="R86" s="6">
        <f t="shared" ca="1" si="25"/>
        <v>2507927.9530930221</v>
      </c>
    </row>
    <row r="87" spans="1:18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Used'!DV87</f>
        <v>21620.0625</v>
      </c>
      <c r="E87" s="229">
        <f t="shared" ca="1" si="26"/>
        <v>482.71355229914104</v>
      </c>
      <c r="F87" s="229">
        <f t="shared" ca="1" si="26"/>
        <v>0</v>
      </c>
      <c r="G87" s="6">
        <f>'Monthly Data (14-23) Used'!BY87</f>
        <v>0</v>
      </c>
      <c r="H87">
        <f>'Monthly Data (14-23) Used'!AR87</f>
        <v>151.6</v>
      </c>
      <c r="J87" s="6">
        <f t="shared" si="18"/>
        <v>3114.0572511813202</v>
      </c>
      <c r="K87" s="6">
        <f t="shared" ca="1" si="19"/>
        <v>2359.3579528928267</v>
      </c>
      <c r="L87" s="6">
        <f t="shared" ca="1" si="20"/>
        <v>0</v>
      </c>
      <c r="M87" s="6">
        <f t="shared" si="23"/>
        <v>0</v>
      </c>
      <c r="N87" s="6">
        <f t="shared" si="24"/>
        <v>14514.189526219208</v>
      </c>
      <c r="O87" s="6">
        <f t="shared" ca="1" si="21"/>
        <v>19987.604730293355</v>
      </c>
      <c r="P87" s="6">
        <f>'Monthly Data (14-23) Used'!DU87</f>
        <v>4</v>
      </c>
      <c r="Q87">
        <f>'Monthly Data (14-23) Used'!CB87</f>
        <v>28</v>
      </c>
      <c r="R87" s="6">
        <f t="shared" ca="1" si="25"/>
        <v>2238611.7297928557</v>
      </c>
    </row>
    <row r="88" spans="1:18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Used'!DV88</f>
        <v>14500.701612903225</v>
      </c>
      <c r="E88" s="229">
        <f t="shared" ca="1" si="26"/>
        <v>372.63355229914106</v>
      </c>
      <c r="F88" s="229">
        <f t="shared" ca="1" si="26"/>
        <v>0</v>
      </c>
      <c r="G88" s="6">
        <f>'Monthly Data (14-23) Used'!BY88</f>
        <v>1</v>
      </c>
      <c r="H88">
        <f>'Monthly Data (14-23) Used'!AR88</f>
        <v>159.5</v>
      </c>
      <c r="J88" s="6">
        <f t="shared" si="18"/>
        <v>3114.0572511813202</v>
      </c>
      <c r="K88" s="6">
        <f t="shared" ca="1" si="19"/>
        <v>1821.3201824233265</v>
      </c>
      <c r="L88" s="6">
        <f t="shared" ca="1" si="20"/>
        <v>0</v>
      </c>
      <c r="M88" s="6">
        <f t="shared" si="23"/>
        <v>-1472.0035230159101</v>
      </c>
      <c r="N88" s="6">
        <f t="shared" si="24"/>
        <v>15270.535814195013</v>
      </c>
      <c r="O88" s="6">
        <f t="shared" ca="1" si="21"/>
        <v>18733.909724783749</v>
      </c>
      <c r="P88" s="6">
        <f>'Monthly Data (14-23) Used'!DU88</f>
        <v>4</v>
      </c>
      <c r="Q88">
        <f>'Monthly Data (14-23) Used'!CB88</f>
        <v>31</v>
      </c>
      <c r="R88" s="6">
        <f t="shared" ca="1" si="25"/>
        <v>2323004.8058731849</v>
      </c>
    </row>
    <row r="89" spans="1:18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Used'!DV89</f>
        <v>14833.083333333334</v>
      </c>
      <c r="E89" s="229">
        <f t="shared" ca="1" si="26"/>
        <v>184.31</v>
      </c>
      <c r="F89" s="229">
        <f t="shared" ca="1" si="26"/>
        <v>3.0799999999999996</v>
      </c>
      <c r="G89" s="6">
        <f>'Monthly Data (14-23) Used'!BY89</f>
        <v>1</v>
      </c>
      <c r="H89">
        <f>'Monthly Data (14-23) Used'!AR89</f>
        <v>162.30000000000001</v>
      </c>
      <c r="J89" s="6">
        <f t="shared" si="18"/>
        <v>3114.0572511813202</v>
      </c>
      <c r="K89" s="6">
        <f t="shared" ca="1" si="19"/>
        <v>900.85157590146798</v>
      </c>
      <c r="L89" s="6">
        <f t="shared" ca="1" si="20"/>
        <v>63.230321862841052</v>
      </c>
      <c r="M89" s="6">
        <f t="shared" si="23"/>
        <v>-1472.0035230159101</v>
      </c>
      <c r="N89" s="6">
        <f t="shared" si="24"/>
        <v>15538.607916262386</v>
      </c>
      <c r="O89" s="6">
        <f t="shared" ca="1" si="21"/>
        <v>18144.743542192107</v>
      </c>
      <c r="P89" s="6">
        <f>'Monthly Data (14-23) Used'!DU89</f>
        <v>4</v>
      </c>
      <c r="Q89">
        <f>'Monthly Data (14-23) Used'!CB89</f>
        <v>30</v>
      </c>
      <c r="R89" s="6">
        <f t="shared" ca="1" si="25"/>
        <v>2177369.225063053</v>
      </c>
    </row>
    <row r="90" spans="1:18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Used'!DV90</f>
        <v>17389.032258064515</v>
      </c>
      <c r="E90" s="229">
        <f t="shared" ca="1" si="26"/>
        <v>47.083552299140976</v>
      </c>
      <c r="F90" s="229">
        <f t="shared" ca="1" si="26"/>
        <v>53.286447700859014</v>
      </c>
      <c r="G90" s="6">
        <f>'Monthly Data (14-23) Used'!BY90</f>
        <v>1</v>
      </c>
      <c r="H90">
        <f>'Monthly Data (14-23) Used'!AR90</f>
        <v>162.9</v>
      </c>
      <c r="J90" s="6">
        <f t="shared" si="18"/>
        <v>3114.0572511813202</v>
      </c>
      <c r="K90" s="6">
        <f t="shared" ca="1" si="19"/>
        <v>230.13017355390556</v>
      </c>
      <c r="L90" s="6">
        <f t="shared" ca="1" si="20"/>
        <v>1093.9348178742734</v>
      </c>
      <c r="M90" s="6">
        <f t="shared" si="23"/>
        <v>-1472.0035230159101</v>
      </c>
      <c r="N90" s="6">
        <f t="shared" si="24"/>
        <v>15596.051938133965</v>
      </c>
      <c r="O90" s="6">
        <f t="shared" ca="1" si="21"/>
        <v>18562.170657727554</v>
      </c>
      <c r="P90" s="6">
        <f>'Monthly Data (14-23) Used'!DU90</f>
        <v>4</v>
      </c>
      <c r="Q90">
        <f>'Monthly Data (14-23) Used'!CB90</f>
        <v>31</v>
      </c>
      <c r="R90" s="6">
        <f t="shared" ca="1" si="25"/>
        <v>2301709.1615582169</v>
      </c>
    </row>
    <row r="91" spans="1:18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Used'!DV91</f>
        <v>22179.808333333334</v>
      </c>
      <c r="E91" s="229">
        <f t="shared" ca="1" si="26"/>
        <v>0.4200000000000001</v>
      </c>
      <c r="F91" s="229">
        <f t="shared" ca="1" si="26"/>
        <v>145.07</v>
      </c>
      <c r="G91" s="6">
        <f>'Monthly Data (14-23) Used'!BY91</f>
        <v>0</v>
      </c>
      <c r="H91">
        <f>'Monthly Data (14-23) Used'!AR91</f>
        <v>163.80000000000001</v>
      </c>
      <c r="J91" s="6">
        <f t="shared" si="18"/>
        <v>3114.0572511813202</v>
      </c>
      <c r="K91" s="6">
        <f t="shared" ca="1" si="19"/>
        <v>2.0528330632012186</v>
      </c>
      <c r="L91" s="6">
        <f t="shared" ca="1" si="20"/>
        <v>2978.1892183903742</v>
      </c>
      <c r="M91" s="6">
        <f t="shared" si="23"/>
        <v>0</v>
      </c>
      <c r="N91" s="6">
        <f t="shared" si="24"/>
        <v>15682.217970941336</v>
      </c>
      <c r="O91" s="6">
        <f t="shared" ca="1" si="21"/>
        <v>21776.517273576232</v>
      </c>
      <c r="P91" s="6">
        <f>'Monthly Data (14-23) Used'!DU91</f>
        <v>4</v>
      </c>
      <c r="Q91">
        <f>'Monthly Data (14-23) Used'!CB91</f>
        <v>30</v>
      </c>
      <c r="R91" s="6">
        <f t="shared" ca="1" si="25"/>
        <v>2613182.0728291478</v>
      </c>
    </row>
    <row r="92" spans="1:18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Used'!DV92</f>
        <v>21304.25</v>
      </c>
      <c r="E92" s="229">
        <f t="shared" ca="1" si="26"/>
        <v>0</v>
      </c>
      <c r="F92" s="229">
        <f t="shared" ca="1" si="26"/>
        <v>211.23289540171805</v>
      </c>
      <c r="G92" s="6">
        <f>'Monthly Data (14-23) Used'!BY92</f>
        <v>0</v>
      </c>
      <c r="H92">
        <f>'Monthly Data (14-23) Used'!AR92</f>
        <v>164.8</v>
      </c>
      <c r="J92" s="6">
        <f t="shared" si="18"/>
        <v>3114.0572511813202</v>
      </c>
      <c r="K92" s="6">
        <f t="shared" ca="1" si="19"/>
        <v>0</v>
      </c>
      <c r="L92" s="6">
        <f t="shared" ca="1" si="20"/>
        <v>4336.4688195683348</v>
      </c>
      <c r="M92" s="6">
        <f t="shared" si="23"/>
        <v>0</v>
      </c>
      <c r="N92" s="6">
        <f t="shared" si="24"/>
        <v>15777.958007393971</v>
      </c>
      <c r="O92" s="6">
        <f t="shared" ca="1" si="21"/>
        <v>23228.484078143625</v>
      </c>
      <c r="P92" s="6">
        <f>'Monthly Data (14-23) Used'!DU92</f>
        <v>4</v>
      </c>
      <c r="Q92">
        <f>'Monthly Data (14-23) Used'!CB92</f>
        <v>31</v>
      </c>
      <c r="R92" s="6">
        <f t="shared" ca="1" si="25"/>
        <v>2880332.0256898096</v>
      </c>
    </row>
    <row r="93" spans="1:18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Used'!DV93</f>
        <v>22668.677419354837</v>
      </c>
      <c r="E93" s="229">
        <f t="shared" ca="1" si="26"/>
        <v>0</v>
      </c>
      <c r="F93" s="229">
        <f t="shared" ca="1" si="26"/>
        <v>183.87605861546231</v>
      </c>
      <c r="G93" s="6">
        <f>'Monthly Data (14-23) Used'!BY93</f>
        <v>0</v>
      </c>
      <c r="H93">
        <f>'Monthly Data (14-23) Used'!AR93</f>
        <v>167.7</v>
      </c>
      <c r="J93" s="6">
        <f t="shared" si="18"/>
        <v>3114.0572511813202</v>
      </c>
      <c r="K93" s="6">
        <f t="shared" ca="1" si="19"/>
        <v>0</v>
      </c>
      <c r="L93" s="6">
        <f t="shared" ca="1" si="20"/>
        <v>3774.8514185475037</v>
      </c>
      <c r="M93" s="6">
        <f t="shared" si="23"/>
        <v>0</v>
      </c>
      <c r="N93" s="6">
        <f t="shared" si="24"/>
        <v>16055.604113106605</v>
      </c>
      <c r="O93" s="6">
        <f t="shared" ca="1" si="21"/>
        <v>22944.512782835431</v>
      </c>
      <c r="P93" s="6">
        <f>'Monthly Data (14-23) Used'!DU93</f>
        <v>4</v>
      </c>
      <c r="Q93">
        <f>'Monthly Data (14-23) Used'!CB93</f>
        <v>31</v>
      </c>
      <c r="R93" s="6">
        <f t="shared" ca="1" si="25"/>
        <v>2845119.5850715935</v>
      </c>
    </row>
    <row r="94" spans="1:18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Used'!DV94</f>
        <v>19751.116666666665</v>
      </c>
      <c r="E94" s="229">
        <f t="shared" ca="1" si="26"/>
        <v>5.87</v>
      </c>
      <c r="F94" s="229">
        <f t="shared" ca="1" si="26"/>
        <v>90.709343102577066</v>
      </c>
      <c r="G94" s="6">
        <f>'Monthly Data (14-23) Used'!BY94</f>
        <v>0</v>
      </c>
      <c r="H94">
        <f>'Monthly Data (14-23) Used'!AR94</f>
        <v>165.8</v>
      </c>
      <c r="J94" s="6">
        <f t="shared" si="18"/>
        <v>3114.0572511813202</v>
      </c>
      <c r="K94" s="6">
        <f t="shared" ca="1" si="19"/>
        <v>28.690785907121789</v>
      </c>
      <c r="L94" s="6">
        <f t="shared" ca="1" si="20"/>
        <v>1862.2016105009186</v>
      </c>
      <c r="M94" s="6">
        <f t="shared" si="23"/>
        <v>0</v>
      </c>
      <c r="N94" s="6">
        <f t="shared" si="24"/>
        <v>15873.698043846603</v>
      </c>
      <c r="O94" s="6">
        <f t="shared" ca="1" si="21"/>
        <v>20878.647691435963</v>
      </c>
      <c r="P94" s="6">
        <f>'Monthly Data (14-23) Used'!DU94</f>
        <v>4</v>
      </c>
      <c r="Q94">
        <f>'Monthly Data (14-23) Used'!CB94</f>
        <v>30</v>
      </c>
      <c r="R94" s="6">
        <f t="shared" ca="1" si="25"/>
        <v>2505437.7229723157</v>
      </c>
    </row>
    <row r="95" spans="1:18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Used'!DV95</f>
        <v>18454.774193548386</v>
      </c>
      <c r="E95" s="229">
        <f t="shared" ca="1" si="26"/>
        <v>99.500656897422942</v>
      </c>
      <c r="F95" s="229">
        <f t="shared" ca="1" si="26"/>
        <v>20.479999999999997</v>
      </c>
      <c r="G95" s="6">
        <f>'Monthly Data (14-23) Used'!BY95</f>
        <v>0</v>
      </c>
      <c r="H95">
        <f>'Monthly Data (14-23) Used'!AR95</f>
        <v>169.4</v>
      </c>
      <c r="J95" s="6">
        <f t="shared" si="18"/>
        <v>3114.0572511813202</v>
      </c>
      <c r="K95" s="6">
        <f t="shared" ca="1" si="19"/>
        <v>486.32913878397659</v>
      </c>
      <c r="L95" s="6">
        <f t="shared" ca="1" si="20"/>
        <v>420.44058173733271</v>
      </c>
      <c r="M95" s="6">
        <f t="shared" si="23"/>
        <v>0</v>
      </c>
      <c r="N95" s="6">
        <f t="shared" si="24"/>
        <v>16218.362175076083</v>
      </c>
      <c r="O95" s="6">
        <f t="shared" ca="1" si="21"/>
        <v>20239.189146778714</v>
      </c>
      <c r="P95" s="6">
        <f>'Monthly Data (14-23) Used'!DU95</f>
        <v>4</v>
      </c>
      <c r="Q95">
        <f>'Monthly Data (14-23) Used'!CB95</f>
        <v>31</v>
      </c>
      <c r="R95" s="6">
        <f t="shared" ca="1" si="25"/>
        <v>2509659.4542005607</v>
      </c>
    </row>
    <row r="96" spans="1:18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Used'!DV96</f>
        <v>19900.433333333334</v>
      </c>
      <c r="E96" s="229">
        <f t="shared" ca="1" si="26"/>
        <v>286.30065689742298</v>
      </c>
      <c r="F96" s="229">
        <f t="shared" ca="1" si="26"/>
        <v>0.6699999999999996</v>
      </c>
      <c r="G96" s="6">
        <f>'Monthly Data (14-23) Used'!BY96</f>
        <v>0</v>
      </c>
      <c r="H96">
        <f>'Monthly Data (14-23) Used'!AR96</f>
        <v>176.5</v>
      </c>
      <c r="J96" s="6">
        <f t="shared" si="18"/>
        <v>3114.0572511813202</v>
      </c>
      <c r="K96" s="6">
        <f t="shared" ca="1" si="19"/>
        <v>1399.3510821315663</v>
      </c>
      <c r="L96" s="6">
        <f t="shared" ca="1" si="20"/>
        <v>13.754647937695937</v>
      </c>
      <c r="M96" s="6">
        <f t="shared" si="23"/>
        <v>0</v>
      </c>
      <c r="N96" s="6">
        <f t="shared" si="24"/>
        <v>16898.11643388978</v>
      </c>
      <c r="O96" s="6">
        <f t="shared" ca="1" si="21"/>
        <v>21425.279415140361</v>
      </c>
      <c r="P96" s="6">
        <f>'Monthly Data (14-23) Used'!DU96</f>
        <v>4</v>
      </c>
      <c r="Q96">
        <f>'Monthly Data (14-23) Used'!CB96</f>
        <v>30</v>
      </c>
      <c r="R96" s="6">
        <f t="shared" ca="1" si="25"/>
        <v>2571033.5298168436</v>
      </c>
    </row>
    <row r="97" spans="1:18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Used'!DV97</f>
        <v>18405.258064516129</v>
      </c>
      <c r="E97" s="229">
        <f t="shared" ca="1" si="26"/>
        <v>409.7700000000001</v>
      </c>
      <c r="F97" s="229">
        <f t="shared" ca="1" si="26"/>
        <v>0</v>
      </c>
      <c r="G97" s="6">
        <f>'Monthly Data (14-23) Used'!BY97</f>
        <v>0</v>
      </c>
      <c r="H97">
        <f>'Monthly Data (14-23) Used'!AR97</f>
        <v>183.6</v>
      </c>
      <c r="J97" s="6">
        <f t="shared" si="18"/>
        <v>3114.0572511813202</v>
      </c>
      <c r="K97" s="6">
        <f t="shared" ca="1" si="19"/>
        <v>2002.8319150189604</v>
      </c>
      <c r="L97" s="6">
        <f t="shared" ca="1" si="20"/>
        <v>0</v>
      </c>
      <c r="M97" s="6">
        <f t="shared" si="23"/>
        <v>0</v>
      </c>
      <c r="N97" s="6">
        <f t="shared" si="24"/>
        <v>17577.870692703473</v>
      </c>
      <c r="O97" s="6">
        <f t="shared" ca="1" si="21"/>
        <v>22694.759858903752</v>
      </c>
      <c r="P97" s="6">
        <f>'Monthly Data (14-23) Used'!DU97</f>
        <v>4</v>
      </c>
      <c r="Q97">
        <f>'Monthly Data (14-23) Used'!CB97</f>
        <v>31</v>
      </c>
      <c r="R97" s="6">
        <f t="shared" ca="1" si="25"/>
        <v>2814150.2225040654</v>
      </c>
    </row>
    <row r="98" spans="1:18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Used'!DV98</f>
        <v>19824.298387096773</v>
      </c>
      <c r="E98" s="229">
        <f t="shared" ca="1" si="26"/>
        <v>546.99999999999989</v>
      </c>
      <c r="F98" s="229">
        <f t="shared" ca="1" si="26"/>
        <v>0</v>
      </c>
      <c r="G98" s="6">
        <f>'Monthly Data (14-23) Used'!BY98</f>
        <v>0</v>
      </c>
      <c r="H98">
        <f>'Monthly Data (14-23) Used'!AR98</f>
        <v>184.2</v>
      </c>
      <c r="J98" s="6">
        <f t="shared" ref="J98:J129" si="27">$U$9</f>
        <v>3114.0572511813202</v>
      </c>
      <c r="K98" s="6">
        <f t="shared" ref="K98:K129" ca="1" si="28">E98*$U$10</f>
        <v>2673.5706799311097</v>
      </c>
      <c r="L98" s="6">
        <f t="shared" ref="L98:L129" ca="1" si="29">F98*$U$11</f>
        <v>0</v>
      </c>
      <c r="M98" s="6">
        <f t="shared" si="23"/>
        <v>0</v>
      </c>
      <c r="N98" s="6">
        <f t="shared" si="24"/>
        <v>17635.314714575055</v>
      </c>
      <c r="O98" s="6">
        <f t="shared" ref="O98:O129" ca="1" si="30">SUM(J98:N98)</f>
        <v>23422.942645687486</v>
      </c>
      <c r="P98" s="6">
        <f>'Monthly Data (14-23) Used'!DU98</f>
        <v>4</v>
      </c>
      <c r="Q98">
        <f>'Monthly Data (14-23) Used'!CB98</f>
        <v>31</v>
      </c>
      <c r="R98" s="6">
        <f t="shared" ca="1" si="25"/>
        <v>2904444.8880652483</v>
      </c>
    </row>
    <row r="99" spans="1:18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Used'!DV99</f>
        <v>18885.517857142859</v>
      </c>
      <c r="E99" s="229">
        <f t="shared" ref="E99:F114" ca="1" si="31">E87</f>
        <v>482.71355229914104</v>
      </c>
      <c r="F99" s="229">
        <f t="shared" ca="1" si="31"/>
        <v>0</v>
      </c>
      <c r="G99" s="6">
        <f>'Monthly Data (14-23) Used'!BY99</f>
        <v>0</v>
      </c>
      <c r="H99">
        <f>'Monthly Data (14-23) Used'!AR99</f>
        <v>181.8</v>
      </c>
      <c r="J99" s="6">
        <f t="shared" si="27"/>
        <v>3114.0572511813202</v>
      </c>
      <c r="K99" s="6">
        <f t="shared" ca="1" si="28"/>
        <v>2359.3579528928267</v>
      </c>
      <c r="L99" s="6">
        <f t="shared" ca="1" si="29"/>
        <v>0</v>
      </c>
      <c r="M99" s="6">
        <f t="shared" si="23"/>
        <v>0</v>
      </c>
      <c r="N99" s="6">
        <f t="shared" si="24"/>
        <v>17405.538627088736</v>
      </c>
      <c r="O99" s="6">
        <f t="shared" ca="1" si="30"/>
        <v>22878.953831162882</v>
      </c>
      <c r="P99" s="6">
        <f>'Monthly Data (14-23) Used'!DU99</f>
        <v>4</v>
      </c>
      <c r="Q99">
        <f>'Monthly Data (14-23) Used'!CB99</f>
        <v>28</v>
      </c>
      <c r="R99" s="6">
        <f t="shared" ca="1" si="25"/>
        <v>2562442.8290902427</v>
      </c>
    </row>
    <row r="100" spans="1:18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Used'!DV100</f>
        <v>17113.975806451614</v>
      </c>
      <c r="E100" s="229">
        <f t="shared" ca="1" si="31"/>
        <v>372.63355229914106</v>
      </c>
      <c r="F100" s="229">
        <f t="shared" ca="1" si="31"/>
        <v>0</v>
      </c>
      <c r="G100" s="6">
        <f>'Monthly Data (14-23) Used'!BY100</f>
        <v>1</v>
      </c>
      <c r="H100">
        <f>'Monthly Data (14-23) Used'!AR100</f>
        <v>178.4</v>
      </c>
      <c r="J100" s="6">
        <f t="shared" si="27"/>
        <v>3114.0572511813202</v>
      </c>
      <c r="K100" s="6">
        <f t="shared" ca="1" si="28"/>
        <v>1821.3201824233265</v>
      </c>
      <c r="L100" s="6">
        <f t="shared" ca="1" si="29"/>
        <v>0</v>
      </c>
      <c r="M100" s="6">
        <f t="shared" si="23"/>
        <v>-1472.0035230159101</v>
      </c>
      <c r="N100" s="6">
        <f t="shared" si="24"/>
        <v>17080.022503149783</v>
      </c>
      <c r="O100" s="6">
        <f t="shared" ca="1" si="30"/>
        <v>20543.396413738519</v>
      </c>
      <c r="P100" s="6">
        <f>'Monthly Data (14-23) Used'!DU100</f>
        <v>4</v>
      </c>
      <c r="Q100">
        <f>'Monthly Data (14-23) Used'!CB100</f>
        <v>31</v>
      </c>
      <c r="R100" s="6">
        <f t="shared" ca="1" si="25"/>
        <v>2547381.1553035765</v>
      </c>
    </row>
    <row r="101" spans="1:18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Used'!DV101</f>
        <v>17742.400000000001</v>
      </c>
      <c r="E101" s="229">
        <f t="shared" ca="1" si="31"/>
        <v>184.31</v>
      </c>
      <c r="F101" s="229">
        <f t="shared" ca="1" si="31"/>
        <v>3.0799999999999996</v>
      </c>
      <c r="G101" s="6">
        <f>'Monthly Data (14-23) Used'!BY101</f>
        <v>1</v>
      </c>
      <c r="H101">
        <f>'Monthly Data (14-23) Used'!AR101</f>
        <v>177.4</v>
      </c>
      <c r="J101" s="6">
        <f t="shared" si="27"/>
        <v>3114.0572511813202</v>
      </c>
      <c r="K101" s="6">
        <f t="shared" ca="1" si="28"/>
        <v>900.85157590146798</v>
      </c>
      <c r="L101" s="6">
        <f t="shared" ca="1" si="29"/>
        <v>63.230321862841052</v>
      </c>
      <c r="M101" s="6">
        <f t="shared" si="23"/>
        <v>-1472.0035230159101</v>
      </c>
      <c r="N101" s="6">
        <f t="shared" si="24"/>
        <v>16984.28246669715</v>
      </c>
      <c r="O101" s="6">
        <f t="shared" ca="1" si="30"/>
        <v>19590.418092626871</v>
      </c>
      <c r="P101" s="6">
        <f>'Monthly Data (14-23) Used'!DU101</f>
        <v>4</v>
      </c>
      <c r="Q101">
        <f>'Monthly Data (14-23) Used'!CB101</f>
        <v>30</v>
      </c>
      <c r="R101" s="6">
        <f t="shared" ca="1" si="25"/>
        <v>2350850.1711152247</v>
      </c>
    </row>
    <row r="102" spans="1:18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Used'!DV102</f>
        <v>17334.782258064515</v>
      </c>
      <c r="E102" s="229">
        <f t="shared" ca="1" si="31"/>
        <v>47.083552299140976</v>
      </c>
      <c r="F102" s="229">
        <f t="shared" ca="1" si="31"/>
        <v>53.286447700859014</v>
      </c>
      <c r="G102" s="6">
        <f>'Monthly Data (14-23) Used'!BY102</f>
        <v>1</v>
      </c>
      <c r="H102">
        <f>'Monthly Data (14-23) Used'!AR102</f>
        <v>176.2</v>
      </c>
      <c r="J102" s="6">
        <f t="shared" si="27"/>
        <v>3114.0572511813202</v>
      </c>
      <c r="K102" s="6">
        <f t="shared" ca="1" si="28"/>
        <v>230.13017355390556</v>
      </c>
      <c r="L102" s="6">
        <f t="shared" ca="1" si="29"/>
        <v>1093.9348178742734</v>
      </c>
      <c r="M102" s="6">
        <f t="shared" si="23"/>
        <v>-1472.0035230159101</v>
      </c>
      <c r="N102" s="6">
        <f t="shared" si="24"/>
        <v>16869.394422953988</v>
      </c>
      <c r="O102" s="6">
        <f t="shared" ca="1" si="30"/>
        <v>19835.513142547577</v>
      </c>
      <c r="P102" s="6">
        <f>'Monthly Data (14-23) Used'!DU102</f>
        <v>4</v>
      </c>
      <c r="Q102">
        <f>'Monthly Data (14-23) Used'!CB102</f>
        <v>31</v>
      </c>
      <c r="R102" s="6">
        <f t="shared" ca="1" si="25"/>
        <v>2459603.6296758996</v>
      </c>
    </row>
    <row r="103" spans="1:18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Used'!DV103</f>
        <v>20387.666666666668</v>
      </c>
      <c r="E103" s="229">
        <f t="shared" ca="1" si="31"/>
        <v>0.4200000000000001</v>
      </c>
      <c r="F103" s="229">
        <f t="shared" ca="1" si="31"/>
        <v>145.07</v>
      </c>
      <c r="G103" s="6">
        <f>'Monthly Data (14-23) Used'!BY103</f>
        <v>0</v>
      </c>
      <c r="H103">
        <f>'Monthly Data (14-23) Used'!AR103</f>
        <v>175.1</v>
      </c>
      <c r="J103" s="6">
        <f t="shared" si="27"/>
        <v>3114.0572511813202</v>
      </c>
      <c r="K103" s="6">
        <f t="shared" ca="1" si="28"/>
        <v>2.0528330632012186</v>
      </c>
      <c r="L103" s="6">
        <f t="shared" ca="1" si="29"/>
        <v>2978.1892183903742</v>
      </c>
      <c r="M103" s="6">
        <f t="shared" si="23"/>
        <v>0</v>
      </c>
      <c r="N103" s="6">
        <f t="shared" si="24"/>
        <v>16764.080382856093</v>
      </c>
      <c r="O103" s="6">
        <f t="shared" ca="1" si="30"/>
        <v>22858.379685490989</v>
      </c>
      <c r="P103" s="6">
        <f>'Monthly Data (14-23) Used'!DU103</f>
        <v>4</v>
      </c>
      <c r="Q103">
        <f>'Monthly Data (14-23) Used'!CB103</f>
        <v>30</v>
      </c>
      <c r="R103" s="6">
        <f t="shared" ca="1" si="25"/>
        <v>2743005.5622589188</v>
      </c>
    </row>
    <row r="104" spans="1:18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Used'!DV104</f>
        <v>21703.548387096773</v>
      </c>
      <c r="E104" s="229">
        <f t="shared" ca="1" si="31"/>
        <v>0</v>
      </c>
      <c r="F104" s="229">
        <f t="shared" ca="1" si="31"/>
        <v>211.23289540171805</v>
      </c>
      <c r="G104" s="6">
        <f>'Monthly Data (14-23) Used'!BY104</f>
        <v>0</v>
      </c>
      <c r="H104">
        <f>'Monthly Data (14-23) Used'!AR104</f>
        <v>170.6</v>
      </c>
      <c r="J104" s="6">
        <f t="shared" si="27"/>
        <v>3114.0572511813202</v>
      </c>
      <c r="K104" s="6">
        <f t="shared" ca="1" si="28"/>
        <v>0</v>
      </c>
      <c r="L104" s="6">
        <f t="shared" ca="1" si="29"/>
        <v>4336.4688195683348</v>
      </c>
      <c r="M104" s="6">
        <f t="shared" si="23"/>
        <v>0</v>
      </c>
      <c r="N104" s="6">
        <f t="shared" si="24"/>
        <v>16333.250218819241</v>
      </c>
      <c r="O104" s="6">
        <f t="shared" ca="1" si="30"/>
        <v>23783.776289568894</v>
      </c>
      <c r="P104" s="6">
        <f>'Monthly Data (14-23) Used'!DU104</f>
        <v>4</v>
      </c>
      <c r="Q104">
        <f>'Monthly Data (14-23) Used'!CB104</f>
        <v>31</v>
      </c>
      <c r="R104" s="6">
        <f t="shared" ca="1" si="25"/>
        <v>2949188.259906543</v>
      </c>
    </row>
    <row r="105" spans="1:18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Used'!DV105</f>
        <v>22334.709677419356</v>
      </c>
      <c r="E105" s="229">
        <f t="shared" ca="1" si="31"/>
        <v>0</v>
      </c>
      <c r="F105" s="229">
        <f t="shared" ca="1" si="31"/>
        <v>183.87605861546231</v>
      </c>
      <c r="G105" s="6">
        <f>'Monthly Data (14-23) Used'!BY105</f>
        <v>0</v>
      </c>
      <c r="H105">
        <f>'Monthly Data (14-23) Used'!AR105</f>
        <v>165.3</v>
      </c>
      <c r="J105" s="6">
        <f t="shared" si="27"/>
        <v>3114.0572511813202</v>
      </c>
      <c r="K105" s="6">
        <f t="shared" ca="1" si="28"/>
        <v>0</v>
      </c>
      <c r="L105" s="6">
        <f t="shared" ca="1" si="29"/>
        <v>3774.8514185475037</v>
      </c>
      <c r="M105" s="6">
        <f t="shared" si="23"/>
        <v>0</v>
      </c>
      <c r="N105" s="6">
        <f t="shared" si="24"/>
        <v>15825.828025620287</v>
      </c>
      <c r="O105" s="6">
        <f t="shared" ca="1" si="30"/>
        <v>22714.736695349111</v>
      </c>
      <c r="P105" s="6">
        <f>'Monthly Data (14-23) Used'!DU105</f>
        <v>4</v>
      </c>
      <c r="Q105">
        <f>'Monthly Data (14-23) Used'!CB105</f>
        <v>31</v>
      </c>
      <c r="R105" s="6">
        <f t="shared" ca="1" si="25"/>
        <v>2816627.3502232898</v>
      </c>
    </row>
    <row r="106" spans="1:18">
      <c r="A106" s="197">
        <v>44805</v>
      </c>
      <c r="B106">
        <f t="shared" ref="B106:B145" si="32">MONTH(A106)</f>
        <v>9</v>
      </c>
      <c r="C106">
        <f t="shared" ref="C106:C145" si="33">YEAR(A106)</f>
        <v>2022</v>
      </c>
      <c r="D106" s="6">
        <f>'Monthly Data (14-23) Used'!DV106</f>
        <v>20338.466666666667</v>
      </c>
      <c r="E106" s="229">
        <f t="shared" ca="1" si="31"/>
        <v>5.87</v>
      </c>
      <c r="F106" s="229">
        <f t="shared" ca="1" si="31"/>
        <v>90.709343102577066</v>
      </c>
      <c r="G106" s="6">
        <f>'Monthly Data (14-23) Used'!BY106</f>
        <v>0</v>
      </c>
      <c r="H106">
        <f>'Monthly Data (14-23) Used'!AR106</f>
        <v>162.30000000000001</v>
      </c>
      <c r="J106" s="6">
        <f t="shared" si="27"/>
        <v>3114.0572511813202</v>
      </c>
      <c r="K106" s="6">
        <f t="shared" ca="1" si="28"/>
        <v>28.690785907121789</v>
      </c>
      <c r="L106" s="6">
        <f t="shared" ca="1" si="29"/>
        <v>1862.2016105009186</v>
      </c>
      <c r="M106" s="6">
        <f t="shared" si="23"/>
        <v>0</v>
      </c>
      <c r="N106" s="6">
        <f t="shared" si="24"/>
        <v>15538.607916262386</v>
      </c>
      <c r="O106" s="6">
        <f t="shared" ca="1" si="30"/>
        <v>20543.557563851748</v>
      </c>
      <c r="P106" s="6">
        <f>'Monthly Data (14-23) Used'!DU106</f>
        <v>4</v>
      </c>
      <c r="Q106">
        <f>'Monthly Data (14-23) Used'!CB106</f>
        <v>30</v>
      </c>
      <c r="R106" s="6">
        <f t="shared" ca="1" si="25"/>
        <v>2465226.9076622096</v>
      </c>
    </row>
    <row r="107" spans="1:18">
      <c r="A107" s="197">
        <v>44835</v>
      </c>
      <c r="B107">
        <f t="shared" si="32"/>
        <v>10</v>
      </c>
      <c r="C107">
        <f t="shared" si="33"/>
        <v>2022</v>
      </c>
      <c r="D107" s="6">
        <f>'Monthly Data (14-23) Used'!DV107</f>
        <v>17644.298387096773</v>
      </c>
      <c r="E107" s="229">
        <f t="shared" ca="1" si="31"/>
        <v>99.500656897422942</v>
      </c>
      <c r="F107" s="229">
        <f t="shared" ca="1" si="31"/>
        <v>20.479999999999997</v>
      </c>
      <c r="G107" s="6">
        <f>'Monthly Data (14-23) Used'!BY107</f>
        <v>0</v>
      </c>
      <c r="H107">
        <f>'Monthly Data (14-23) Used'!AR107</f>
        <v>168.4</v>
      </c>
      <c r="J107" s="6">
        <f t="shared" si="27"/>
        <v>3114.0572511813202</v>
      </c>
      <c r="K107" s="6">
        <f t="shared" ca="1" si="28"/>
        <v>486.32913878397659</v>
      </c>
      <c r="L107" s="6">
        <f t="shared" ca="1" si="29"/>
        <v>420.44058173733271</v>
      </c>
      <c r="M107" s="6">
        <f t="shared" si="23"/>
        <v>0</v>
      </c>
      <c r="N107" s="6">
        <f t="shared" si="24"/>
        <v>16122.622138623448</v>
      </c>
      <c r="O107" s="6">
        <f t="shared" ca="1" si="30"/>
        <v>20143.449110326077</v>
      </c>
      <c r="P107" s="6">
        <f>'Monthly Data (14-23) Used'!DU107</f>
        <v>4</v>
      </c>
      <c r="Q107">
        <f>'Monthly Data (14-23) Used'!CB107</f>
        <v>31</v>
      </c>
      <c r="R107" s="6">
        <f t="shared" ca="1" si="25"/>
        <v>2497787.6896804334</v>
      </c>
    </row>
    <row r="108" spans="1:18">
      <c r="A108" s="197">
        <v>44866</v>
      </c>
      <c r="B108">
        <f t="shared" si="32"/>
        <v>11</v>
      </c>
      <c r="C108">
        <f t="shared" si="33"/>
        <v>2022</v>
      </c>
      <c r="D108" s="6">
        <f>'Monthly Data (14-23) Used'!DV108</f>
        <v>20426.349999999999</v>
      </c>
      <c r="E108" s="229">
        <f t="shared" ca="1" si="31"/>
        <v>286.30065689742298</v>
      </c>
      <c r="F108" s="229">
        <f t="shared" ca="1" si="31"/>
        <v>0.6699999999999996</v>
      </c>
      <c r="G108" s="6">
        <f>'Monthly Data (14-23) Used'!BY108</f>
        <v>0</v>
      </c>
      <c r="H108">
        <f>'Monthly Data (14-23) Used'!AR108</f>
        <v>176.3</v>
      </c>
      <c r="J108" s="6">
        <f t="shared" si="27"/>
        <v>3114.0572511813202</v>
      </c>
      <c r="K108" s="6">
        <f t="shared" ca="1" si="28"/>
        <v>1399.3510821315663</v>
      </c>
      <c r="L108" s="6">
        <f t="shared" ca="1" si="29"/>
        <v>13.754647937695937</v>
      </c>
      <c r="M108" s="6">
        <f t="shared" si="23"/>
        <v>0</v>
      </c>
      <c r="N108" s="6">
        <f t="shared" si="24"/>
        <v>16878.968426599251</v>
      </c>
      <c r="O108" s="6">
        <f t="shared" ca="1" si="30"/>
        <v>21406.131407849833</v>
      </c>
      <c r="P108" s="6">
        <f>'Monthly Data (14-23) Used'!DU108</f>
        <v>4</v>
      </c>
      <c r="Q108">
        <f>'Monthly Data (14-23) Used'!CB108</f>
        <v>30</v>
      </c>
      <c r="R108" s="6">
        <f t="shared" ca="1" si="25"/>
        <v>2568735.7689419799</v>
      </c>
    </row>
    <row r="109" spans="1:18">
      <c r="A109" s="197">
        <v>44896</v>
      </c>
      <c r="B109">
        <f t="shared" si="32"/>
        <v>12</v>
      </c>
      <c r="C109">
        <f t="shared" si="33"/>
        <v>2022</v>
      </c>
      <c r="D109" s="6">
        <f>'Monthly Data (14-23) Used'!DV109</f>
        <v>22834.758064516129</v>
      </c>
      <c r="E109" s="229">
        <f t="shared" ca="1" si="31"/>
        <v>409.7700000000001</v>
      </c>
      <c r="F109" s="229">
        <f t="shared" ca="1" si="31"/>
        <v>0</v>
      </c>
      <c r="G109" s="6">
        <f>'Monthly Data (14-23) Used'!BY109</f>
        <v>0</v>
      </c>
      <c r="H109">
        <f>'Monthly Data (14-23) Used'!AR109</f>
        <v>183.1</v>
      </c>
      <c r="J109" s="6">
        <f t="shared" si="27"/>
        <v>3114.0572511813202</v>
      </c>
      <c r="K109" s="6">
        <f t="shared" ca="1" si="28"/>
        <v>2002.8319150189604</v>
      </c>
      <c r="L109" s="6">
        <f t="shared" ca="1" si="29"/>
        <v>0</v>
      </c>
      <c r="M109" s="6">
        <f t="shared" si="23"/>
        <v>0</v>
      </c>
      <c r="N109" s="6">
        <f t="shared" si="24"/>
        <v>17530.000674477156</v>
      </c>
      <c r="O109" s="6">
        <f t="shared" ca="1" si="30"/>
        <v>22646.889840677439</v>
      </c>
      <c r="P109" s="6">
        <f>'Monthly Data (14-23) Used'!DU109</f>
        <v>4</v>
      </c>
      <c r="Q109">
        <f>'Monthly Data (14-23) Used'!CB109</f>
        <v>31</v>
      </c>
      <c r="R109" s="6">
        <f t="shared" ca="1" si="25"/>
        <v>2808214.3402440026</v>
      </c>
    </row>
    <row r="110" spans="1:18">
      <c r="A110" s="197">
        <v>44927</v>
      </c>
      <c r="B110">
        <f t="shared" si="32"/>
        <v>1</v>
      </c>
      <c r="C110">
        <f t="shared" si="33"/>
        <v>2023</v>
      </c>
      <c r="D110" s="6">
        <f>'Monthly Data (14-23) Used'!DV110</f>
        <v>24609.132983870968</v>
      </c>
      <c r="E110" s="229">
        <f t="shared" ca="1" si="31"/>
        <v>546.99999999999989</v>
      </c>
      <c r="F110" s="229">
        <f t="shared" ca="1" si="31"/>
        <v>0</v>
      </c>
      <c r="G110" s="6">
        <f>'Monthly Data (14-23) Used'!BY110</f>
        <v>0</v>
      </c>
      <c r="H110">
        <f>'Monthly Data (14-23) Used'!AR110</f>
        <v>189.2</v>
      </c>
      <c r="J110" s="6">
        <f t="shared" si="27"/>
        <v>3114.0572511813202</v>
      </c>
      <c r="K110" s="6">
        <f t="shared" ca="1" si="28"/>
        <v>2673.5706799311097</v>
      </c>
      <c r="L110" s="6">
        <f t="shared" ca="1" si="29"/>
        <v>0</v>
      </c>
      <c r="M110" s="6">
        <f t="shared" si="23"/>
        <v>0</v>
      </c>
      <c r="N110" s="6">
        <f t="shared" si="24"/>
        <v>18114.01489683822</v>
      </c>
      <c r="O110" s="6">
        <f t="shared" ca="1" si="30"/>
        <v>23901.642827950651</v>
      </c>
      <c r="P110" s="6">
        <f>'Monthly Data (14-23) Used'!DU110</f>
        <v>4</v>
      </c>
      <c r="Q110">
        <f>'Monthly Data (14-23) Used'!CB110</f>
        <v>31</v>
      </c>
      <c r="R110" s="6">
        <f t="shared" ca="1" si="25"/>
        <v>2963803.7106658807</v>
      </c>
    </row>
    <row r="111" spans="1:18">
      <c r="A111" s="197">
        <v>44958</v>
      </c>
      <c r="B111">
        <f t="shared" si="32"/>
        <v>2</v>
      </c>
      <c r="C111">
        <f t="shared" si="33"/>
        <v>2023</v>
      </c>
      <c r="D111" s="6">
        <f>'Monthly Data (14-23) Used'!DV111</f>
        <v>24628.365803571429</v>
      </c>
      <c r="E111" s="229">
        <f t="shared" ca="1" si="31"/>
        <v>482.71355229914104</v>
      </c>
      <c r="F111" s="229">
        <f t="shared" ca="1" si="31"/>
        <v>0</v>
      </c>
      <c r="G111" s="6">
        <f>'Monthly Data (14-23) Used'!BY111</f>
        <v>0</v>
      </c>
      <c r="H111">
        <f>'Monthly Data (14-23) Used'!AR111</f>
        <v>190</v>
      </c>
      <c r="J111" s="6">
        <f t="shared" si="27"/>
        <v>3114.0572511813202</v>
      </c>
      <c r="K111" s="6">
        <f t="shared" ca="1" si="28"/>
        <v>2359.3579528928267</v>
      </c>
      <c r="L111" s="6">
        <f t="shared" ca="1" si="29"/>
        <v>0</v>
      </c>
      <c r="M111" s="6">
        <f t="shared" si="23"/>
        <v>0</v>
      </c>
      <c r="N111" s="6">
        <f t="shared" si="24"/>
        <v>18190.606926000328</v>
      </c>
      <c r="O111" s="6">
        <f t="shared" ca="1" si="30"/>
        <v>23664.022130074474</v>
      </c>
      <c r="P111" s="6">
        <f>'Monthly Data (14-23) Used'!DU111</f>
        <v>4</v>
      </c>
      <c r="Q111">
        <f>'Monthly Data (14-23) Used'!CB111</f>
        <v>28</v>
      </c>
      <c r="R111" s="6">
        <f t="shared" ca="1" si="25"/>
        <v>2650370.4785683411</v>
      </c>
    </row>
    <row r="112" spans="1:18">
      <c r="A112" s="197">
        <v>44986</v>
      </c>
      <c r="B112">
        <f t="shared" si="32"/>
        <v>3</v>
      </c>
      <c r="C112">
        <f t="shared" si="33"/>
        <v>2023</v>
      </c>
      <c r="D112" s="6">
        <f>'Monthly Data (14-23) Used'!DV112</f>
        <v>19872.068467741934</v>
      </c>
      <c r="E112" s="229">
        <f t="shared" ca="1" si="31"/>
        <v>372.63355229914106</v>
      </c>
      <c r="F112" s="229">
        <f t="shared" ca="1" si="31"/>
        <v>0</v>
      </c>
      <c r="G112" s="6">
        <f>'Monthly Data (14-23) Used'!BY112</f>
        <v>1</v>
      </c>
      <c r="H112">
        <f>'Monthly Data (14-23) Used'!AR112</f>
        <v>192</v>
      </c>
      <c r="J112" s="6">
        <f t="shared" si="27"/>
        <v>3114.0572511813202</v>
      </c>
      <c r="K112" s="6">
        <f t="shared" ca="1" si="28"/>
        <v>1821.3201824233265</v>
      </c>
      <c r="L112" s="6">
        <f t="shared" ca="1" si="29"/>
        <v>0</v>
      </c>
      <c r="M112" s="6">
        <f t="shared" si="23"/>
        <v>-1472.0035230159101</v>
      </c>
      <c r="N112" s="6">
        <f t="shared" si="24"/>
        <v>18382.086998905594</v>
      </c>
      <c r="O112" s="6">
        <f t="shared" ca="1" si="30"/>
        <v>21845.46090949433</v>
      </c>
      <c r="P112" s="6">
        <f>'Monthly Data (14-23) Used'!DU112</f>
        <v>4</v>
      </c>
      <c r="Q112">
        <f>'Monthly Data (14-23) Used'!CB112</f>
        <v>31</v>
      </c>
      <c r="R112" s="6">
        <f t="shared" ca="1" si="25"/>
        <v>2708837.152777297</v>
      </c>
    </row>
    <row r="113" spans="1:18">
      <c r="A113" s="197">
        <v>45017</v>
      </c>
      <c r="B113">
        <f t="shared" si="32"/>
        <v>4</v>
      </c>
      <c r="C113">
        <f t="shared" si="33"/>
        <v>2023</v>
      </c>
      <c r="D113" s="6">
        <f>'Monthly Data (14-23) Used'!DV113</f>
        <v>21244.675750000002</v>
      </c>
      <c r="E113" s="229">
        <f t="shared" ca="1" si="31"/>
        <v>184.31</v>
      </c>
      <c r="F113" s="229">
        <f t="shared" ca="1" si="31"/>
        <v>3.0799999999999996</v>
      </c>
      <c r="G113" s="6">
        <f>'Monthly Data (14-23) Used'!BY113</f>
        <v>1</v>
      </c>
      <c r="H113">
        <f>'Monthly Data (14-23) Used'!AR113</f>
        <v>190.9</v>
      </c>
      <c r="J113" s="6">
        <f t="shared" si="27"/>
        <v>3114.0572511813202</v>
      </c>
      <c r="K113" s="6">
        <f t="shared" ca="1" si="28"/>
        <v>900.85157590146798</v>
      </c>
      <c r="L113" s="6">
        <f t="shared" ca="1" si="29"/>
        <v>63.230321862841052</v>
      </c>
      <c r="M113" s="6">
        <f t="shared" si="23"/>
        <v>-1472.0035230159101</v>
      </c>
      <c r="N113" s="6">
        <f t="shared" si="24"/>
        <v>18276.772958807698</v>
      </c>
      <c r="O113" s="6">
        <f t="shared" ca="1" si="30"/>
        <v>20882.908584737419</v>
      </c>
      <c r="P113" s="6">
        <f>'Monthly Data (14-23) Used'!DU113</f>
        <v>4</v>
      </c>
      <c r="Q113">
        <f>'Monthly Data (14-23) Used'!CB113</f>
        <v>30</v>
      </c>
      <c r="R113" s="6">
        <f t="shared" ca="1" si="25"/>
        <v>2505949.0301684905</v>
      </c>
    </row>
    <row r="114" spans="1:18">
      <c r="A114" s="197">
        <v>45047</v>
      </c>
      <c r="B114">
        <f t="shared" si="32"/>
        <v>5</v>
      </c>
      <c r="C114">
        <f t="shared" si="33"/>
        <v>2023</v>
      </c>
      <c r="D114" s="6">
        <f>'Monthly Data (14-23) Used'!DV114</f>
        <v>22870.409919354843</v>
      </c>
      <c r="E114" s="229">
        <f t="shared" ca="1" si="31"/>
        <v>47.083552299140976</v>
      </c>
      <c r="F114" s="229">
        <f t="shared" ca="1" si="31"/>
        <v>53.286447700859014</v>
      </c>
      <c r="G114" s="6">
        <f>'Monthly Data (14-23) Used'!BY114</f>
        <v>1</v>
      </c>
      <c r="H114">
        <f>'Monthly Data (14-23) Used'!AR114</f>
        <v>191.7</v>
      </c>
      <c r="J114" s="6">
        <f t="shared" si="27"/>
        <v>3114.0572511813202</v>
      </c>
      <c r="K114" s="6">
        <f t="shared" ca="1" si="28"/>
        <v>230.13017355390556</v>
      </c>
      <c r="L114" s="6">
        <f t="shared" ca="1" si="29"/>
        <v>1093.9348178742734</v>
      </c>
      <c r="M114" s="6">
        <f t="shared" si="23"/>
        <v>-1472.0035230159101</v>
      </c>
      <c r="N114" s="6">
        <f t="shared" si="24"/>
        <v>18353.364987969802</v>
      </c>
      <c r="O114" s="6">
        <f t="shared" ca="1" si="30"/>
        <v>21319.483707563391</v>
      </c>
      <c r="P114" s="6">
        <f>'Monthly Data (14-23) Used'!DU114</f>
        <v>4</v>
      </c>
      <c r="Q114">
        <f>'Monthly Data (14-23) Used'!CB114</f>
        <v>31</v>
      </c>
      <c r="R114" s="6">
        <f t="shared" ca="1" si="25"/>
        <v>2643615.9797378606</v>
      </c>
    </row>
    <row r="115" spans="1:18">
      <c r="A115" s="197">
        <v>45078</v>
      </c>
      <c r="B115">
        <f t="shared" si="32"/>
        <v>6</v>
      </c>
      <c r="C115">
        <f t="shared" si="33"/>
        <v>2023</v>
      </c>
      <c r="D115" s="6">
        <f>'Monthly Data (14-23) Used'!DV115</f>
        <v>25230.837416666669</v>
      </c>
      <c r="E115" s="229">
        <f t="shared" ref="E115:G130" ca="1" si="34">E103</f>
        <v>0.4200000000000001</v>
      </c>
      <c r="F115" s="229">
        <f t="shared" ca="1" si="34"/>
        <v>145.07</v>
      </c>
      <c r="G115" s="6">
        <f>'Monthly Data (14-23) Used'!BY115</f>
        <v>0</v>
      </c>
      <c r="H115">
        <f>'Monthly Data (14-23) Used'!AR115</f>
        <v>192</v>
      </c>
      <c r="J115" s="6">
        <f t="shared" si="27"/>
        <v>3114.0572511813202</v>
      </c>
      <c r="K115" s="6">
        <f t="shared" ca="1" si="28"/>
        <v>2.0528330632012186</v>
      </c>
      <c r="L115" s="6">
        <f t="shared" ca="1" si="29"/>
        <v>2978.1892183903742</v>
      </c>
      <c r="M115" s="6">
        <f t="shared" si="23"/>
        <v>0</v>
      </c>
      <c r="N115" s="6">
        <f t="shared" si="24"/>
        <v>18382.086998905594</v>
      </c>
      <c r="O115" s="6">
        <f t="shared" ca="1" si="30"/>
        <v>24476.38630154049</v>
      </c>
      <c r="P115" s="6">
        <f>'Monthly Data (14-23) Used'!DU115</f>
        <v>4</v>
      </c>
      <c r="Q115">
        <f>'Monthly Data (14-23) Used'!CB115</f>
        <v>30</v>
      </c>
      <c r="R115" s="6">
        <f t="shared" ca="1" si="25"/>
        <v>2937166.3561848588</v>
      </c>
    </row>
    <row r="116" spans="1:18">
      <c r="A116" s="197">
        <v>45108</v>
      </c>
      <c r="B116">
        <f t="shared" si="32"/>
        <v>7</v>
      </c>
      <c r="C116">
        <f t="shared" si="33"/>
        <v>2023</v>
      </c>
      <c r="D116" s="6">
        <f>'Monthly Data (14-23) Used'!DV116</f>
        <v>26487.232580645159</v>
      </c>
      <c r="E116" s="229">
        <f t="shared" ca="1" si="34"/>
        <v>0</v>
      </c>
      <c r="F116" s="229">
        <f t="shared" ca="1" si="34"/>
        <v>211.23289540171805</v>
      </c>
      <c r="G116" s="6">
        <f>'Monthly Data (14-23) Used'!BY116</f>
        <v>0</v>
      </c>
      <c r="H116">
        <f>'Monthly Data (14-23) Used'!AR116</f>
        <v>189.7</v>
      </c>
      <c r="J116" s="6">
        <f t="shared" si="27"/>
        <v>3114.0572511813202</v>
      </c>
      <c r="K116" s="6">
        <f t="shared" ca="1" si="28"/>
        <v>0</v>
      </c>
      <c r="L116" s="6">
        <f t="shared" ca="1" si="29"/>
        <v>4336.4688195683348</v>
      </c>
      <c r="M116" s="6">
        <f t="shared" si="23"/>
        <v>0</v>
      </c>
      <c r="N116" s="6">
        <f t="shared" si="24"/>
        <v>18161.884915064536</v>
      </c>
      <c r="O116" s="6">
        <f t="shared" ca="1" si="30"/>
        <v>25612.410985814189</v>
      </c>
      <c r="P116" s="6">
        <f>'Monthly Data (14-23) Used'!DU116</f>
        <v>4</v>
      </c>
      <c r="Q116">
        <f>'Monthly Data (14-23) Used'!CB116</f>
        <v>31</v>
      </c>
      <c r="R116" s="6">
        <f t="shared" ca="1" si="25"/>
        <v>3175938.9622409595</v>
      </c>
    </row>
    <row r="117" spans="1:18">
      <c r="A117" s="197">
        <v>45139</v>
      </c>
      <c r="B117">
        <f t="shared" si="32"/>
        <v>8</v>
      </c>
      <c r="C117">
        <f t="shared" si="33"/>
        <v>2023</v>
      </c>
      <c r="D117" s="6">
        <f>'Monthly Data (14-23) Used'!DV117</f>
        <v>26506.021048387094</v>
      </c>
      <c r="E117" s="229">
        <f t="shared" ca="1" si="34"/>
        <v>0</v>
      </c>
      <c r="F117" s="229">
        <f t="shared" ca="1" si="34"/>
        <v>183.87605861546231</v>
      </c>
      <c r="G117" s="6">
        <f>'Monthly Data (14-23) Used'!BY117</f>
        <v>0</v>
      </c>
      <c r="H117">
        <f>'Monthly Data (14-23) Used'!AR117</f>
        <v>190.3</v>
      </c>
      <c r="J117" s="6">
        <f t="shared" si="27"/>
        <v>3114.0572511813202</v>
      </c>
      <c r="K117" s="6">
        <f t="shared" ca="1" si="28"/>
        <v>0</v>
      </c>
      <c r="L117" s="6">
        <f t="shared" ca="1" si="29"/>
        <v>3774.8514185475037</v>
      </c>
      <c r="M117" s="6">
        <f t="shared" si="23"/>
        <v>0</v>
      </c>
      <c r="N117" s="6">
        <f t="shared" si="24"/>
        <v>18219.328936936119</v>
      </c>
      <c r="O117" s="6">
        <f t="shared" ca="1" si="30"/>
        <v>25108.237606664945</v>
      </c>
      <c r="P117" s="6">
        <f>'Monthly Data (14-23) Used'!DU117</f>
        <v>4</v>
      </c>
      <c r="Q117">
        <f>'Monthly Data (14-23) Used'!CB117</f>
        <v>31</v>
      </c>
      <c r="R117" s="6">
        <f t="shared" ca="1" si="25"/>
        <v>3113421.4632264534</v>
      </c>
    </row>
    <row r="118" spans="1:18">
      <c r="A118" s="197">
        <v>45170</v>
      </c>
      <c r="B118">
        <f t="shared" si="32"/>
        <v>9</v>
      </c>
      <c r="C118">
        <f t="shared" si="33"/>
        <v>2023</v>
      </c>
      <c r="D118" s="6">
        <f>'Monthly Data (14-23) Used'!DV118</f>
        <v>24721.223416666668</v>
      </c>
      <c r="E118" s="229">
        <f t="shared" ca="1" si="34"/>
        <v>5.87</v>
      </c>
      <c r="F118" s="229">
        <f t="shared" ca="1" si="34"/>
        <v>90.709343102577066</v>
      </c>
      <c r="G118" s="6">
        <f>'Monthly Data (14-23) Used'!BY118</f>
        <v>0</v>
      </c>
      <c r="H118">
        <f>'Monthly Data (14-23) Used'!AR118</f>
        <v>188.1</v>
      </c>
      <c r="J118" s="6">
        <f t="shared" si="27"/>
        <v>3114.0572511813202</v>
      </c>
      <c r="K118" s="6">
        <f t="shared" ca="1" si="28"/>
        <v>28.690785907121789</v>
      </c>
      <c r="L118" s="6">
        <f t="shared" ca="1" si="29"/>
        <v>1862.2016105009186</v>
      </c>
      <c r="M118" s="6">
        <f t="shared" si="23"/>
        <v>0</v>
      </c>
      <c r="N118" s="6">
        <f t="shared" si="24"/>
        <v>18008.700856740325</v>
      </c>
      <c r="O118" s="6">
        <f t="shared" ca="1" si="30"/>
        <v>23013.650504329686</v>
      </c>
      <c r="P118" s="6">
        <f>'Monthly Data (14-23) Used'!DU118</f>
        <v>4</v>
      </c>
      <c r="Q118">
        <f>'Monthly Data (14-23) Used'!CB118</f>
        <v>30</v>
      </c>
      <c r="R118" s="6">
        <f t="shared" ca="1" si="25"/>
        <v>2761638.0605195621</v>
      </c>
    </row>
    <row r="119" spans="1:18">
      <c r="A119" s="197">
        <v>45200</v>
      </c>
      <c r="B119">
        <f t="shared" si="32"/>
        <v>10</v>
      </c>
      <c r="C119">
        <f t="shared" si="33"/>
        <v>2023</v>
      </c>
      <c r="D119" s="6">
        <f>'Monthly Data (14-23) Used'!DV119</f>
        <v>22141.713306451609</v>
      </c>
      <c r="E119" s="229">
        <f t="shared" ca="1" si="34"/>
        <v>99.500656897422942</v>
      </c>
      <c r="F119" s="229">
        <f t="shared" ca="1" si="34"/>
        <v>20.479999999999997</v>
      </c>
      <c r="G119" s="6">
        <f>'Monthly Data (14-23) Used'!BY119</f>
        <v>0</v>
      </c>
      <c r="H119">
        <f>'Monthly Data (14-23) Used'!AR119</f>
        <v>185.2</v>
      </c>
      <c r="J119" s="6">
        <f t="shared" si="27"/>
        <v>3114.0572511813202</v>
      </c>
      <c r="K119" s="6">
        <f t="shared" ca="1" si="28"/>
        <v>486.32913878397659</v>
      </c>
      <c r="L119" s="6">
        <f t="shared" ca="1" si="29"/>
        <v>420.44058173733271</v>
      </c>
      <c r="M119" s="6">
        <f t="shared" si="23"/>
        <v>0</v>
      </c>
      <c r="N119" s="6">
        <f t="shared" si="24"/>
        <v>17731.054751027688</v>
      </c>
      <c r="O119" s="6">
        <f t="shared" ca="1" si="30"/>
        <v>21751.881722730319</v>
      </c>
      <c r="P119" s="6">
        <f>'Monthly Data (14-23) Used'!DU119</f>
        <v>4</v>
      </c>
      <c r="Q119">
        <f>'Monthly Data (14-23) Used'!CB119</f>
        <v>31</v>
      </c>
      <c r="R119" s="6">
        <f t="shared" ca="1" si="25"/>
        <v>2697233.3336185594</v>
      </c>
    </row>
    <row r="120" spans="1:18">
      <c r="A120" s="197">
        <v>45231</v>
      </c>
      <c r="B120">
        <f t="shared" si="32"/>
        <v>11</v>
      </c>
      <c r="C120">
        <f t="shared" si="33"/>
        <v>2023</v>
      </c>
      <c r="D120" s="6">
        <f>'Monthly Data (14-23) Used'!DV120</f>
        <v>22888.896083333333</v>
      </c>
      <c r="E120" s="229">
        <f t="shared" ca="1" si="34"/>
        <v>286.30065689742298</v>
      </c>
      <c r="F120" s="229">
        <f t="shared" ca="1" si="34"/>
        <v>0.6699999999999996</v>
      </c>
      <c r="G120" s="6">
        <f>'Monthly Data (14-23) Used'!BY120</f>
        <v>0</v>
      </c>
      <c r="H120">
        <f>'Monthly Data (14-23) Used'!AR120</f>
        <v>184.2</v>
      </c>
      <c r="J120" s="6">
        <f t="shared" si="27"/>
        <v>3114.0572511813202</v>
      </c>
      <c r="K120" s="6">
        <f t="shared" ca="1" si="28"/>
        <v>1399.3510821315663</v>
      </c>
      <c r="L120" s="6">
        <f t="shared" ca="1" si="29"/>
        <v>13.754647937695937</v>
      </c>
      <c r="M120" s="6">
        <f t="shared" si="23"/>
        <v>0</v>
      </c>
      <c r="N120" s="6">
        <f t="shared" si="24"/>
        <v>17635.314714575055</v>
      </c>
      <c r="O120" s="6">
        <f t="shared" ca="1" si="30"/>
        <v>22162.477695825637</v>
      </c>
      <c r="P120" s="6">
        <f>'Monthly Data (14-23) Used'!DU120</f>
        <v>4</v>
      </c>
      <c r="Q120">
        <f>'Monthly Data (14-23) Used'!CB120</f>
        <v>30</v>
      </c>
      <c r="R120" s="6">
        <f t="shared" ca="1" si="25"/>
        <v>2659497.3234990765</v>
      </c>
    </row>
    <row r="121" spans="1:18">
      <c r="A121" s="197">
        <v>45261</v>
      </c>
      <c r="B121">
        <f t="shared" si="32"/>
        <v>12</v>
      </c>
      <c r="C121">
        <f t="shared" si="33"/>
        <v>2023</v>
      </c>
      <c r="D121" s="6">
        <f>'Monthly Data (14-23) Used'!DV121</f>
        <v>20703.543548387097</v>
      </c>
      <c r="E121" s="229">
        <f t="shared" ca="1" si="34"/>
        <v>409.7700000000001</v>
      </c>
      <c r="F121" s="229">
        <f t="shared" ca="1" si="34"/>
        <v>0</v>
      </c>
      <c r="G121" s="6">
        <f>'Monthly Data (14-23) Used'!BY121</f>
        <v>0</v>
      </c>
      <c r="H121">
        <f>'Monthly Data (14-23) Used'!AR121</f>
        <v>184</v>
      </c>
      <c r="J121" s="6">
        <f t="shared" si="27"/>
        <v>3114.0572511813202</v>
      </c>
      <c r="K121" s="6">
        <f t="shared" ca="1" si="28"/>
        <v>2002.8319150189604</v>
      </c>
      <c r="L121" s="6">
        <f t="shared" ca="1" si="29"/>
        <v>0</v>
      </c>
      <c r="M121" s="6">
        <f t="shared" si="23"/>
        <v>0</v>
      </c>
      <c r="N121" s="6">
        <f t="shared" si="24"/>
        <v>17616.166707284527</v>
      </c>
      <c r="O121" s="6">
        <f t="shared" ca="1" si="30"/>
        <v>22733.055873484809</v>
      </c>
      <c r="P121" s="6">
        <f>'Monthly Data (14-23) Used'!DU121</f>
        <v>4</v>
      </c>
      <c r="Q121">
        <f>'Monthly Data (14-23) Used'!CB121</f>
        <v>31</v>
      </c>
      <c r="R121" s="6">
        <f t="shared" ca="1" si="25"/>
        <v>2818898.9283121163</v>
      </c>
    </row>
    <row r="122" spans="1:18">
      <c r="A122" s="197">
        <v>45292</v>
      </c>
      <c r="B122">
        <f t="shared" si="32"/>
        <v>1</v>
      </c>
      <c r="C122">
        <f t="shared" si="33"/>
        <v>2024</v>
      </c>
      <c r="D122" s="6"/>
      <c r="E122" s="229">
        <f t="shared" ca="1" si="34"/>
        <v>546.99999999999989</v>
      </c>
      <c r="F122" s="229">
        <f t="shared" ca="1" si="34"/>
        <v>0</v>
      </c>
      <c r="G122" s="6">
        <f>G110</f>
        <v>0</v>
      </c>
      <c r="H122" s="101">
        <f>'Economic Data'!F148</f>
        <v>190.9974</v>
      </c>
      <c r="J122" s="6">
        <f t="shared" si="27"/>
        <v>3114.0572511813202</v>
      </c>
      <c r="K122" s="6">
        <f t="shared" ca="1" si="28"/>
        <v>2673.5706799311097</v>
      </c>
      <c r="L122" s="6">
        <f t="shared" ca="1" si="29"/>
        <v>0</v>
      </c>
      <c r="M122" s="6">
        <f t="shared" si="23"/>
        <v>0</v>
      </c>
      <c r="N122" s="6">
        <f t="shared" si="24"/>
        <v>18286.098038358185</v>
      </c>
      <c r="O122" s="6">
        <f t="shared" ca="1" si="30"/>
        <v>24073.725969470615</v>
      </c>
      <c r="P122" s="6">
        <f>'Monthly Data (14-23) Used'!DU122</f>
        <v>0</v>
      </c>
      <c r="Q122">
        <f>'Monthly Data (14-23) Used'!CB122</f>
        <v>0</v>
      </c>
      <c r="R122" s="6">
        <f t="shared" ca="1" si="25"/>
        <v>0</v>
      </c>
    </row>
    <row r="123" spans="1:18">
      <c r="A123" s="197">
        <v>45323</v>
      </c>
      <c r="B123">
        <f t="shared" si="32"/>
        <v>2</v>
      </c>
      <c r="C123">
        <f t="shared" si="33"/>
        <v>2024</v>
      </c>
      <c r="D123" s="6"/>
      <c r="E123" s="229">
        <f t="shared" ca="1" si="34"/>
        <v>482.71355229914104</v>
      </c>
      <c r="F123" s="229">
        <f t="shared" ca="1" si="34"/>
        <v>0</v>
      </c>
      <c r="G123" s="6">
        <f t="shared" si="34"/>
        <v>0</v>
      </c>
      <c r="H123" s="101">
        <f>'Economic Data'!F149</f>
        <v>191.80500000000001</v>
      </c>
      <c r="J123" s="6">
        <f t="shared" si="27"/>
        <v>3114.0572511813202</v>
      </c>
      <c r="K123" s="6">
        <f t="shared" ca="1" si="28"/>
        <v>2359.3579528928267</v>
      </c>
      <c r="L123" s="6">
        <f t="shared" ca="1" si="29"/>
        <v>0</v>
      </c>
      <c r="M123" s="6">
        <f t="shared" si="23"/>
        <v>0</v>
      </c>
      <c r="N123" s="6">
        <f t="shared" si="24"/>
        <v>18363.417691797331</v>
      </c>
      <c r="O123" s="6">
        <f t="shared" ca="1" si="30"/>
        <v>23836.832895871477</v>
      </c>
      <c r="P123" s="6">
        <f>'Monthly Data (14-23) Used'!DU123</f>
        <v>0</v>
      </c>
      <c r="Q123">
        <f>'Monthly Data (14-23) Used'!CB123</f>
        <v>0</v>
      </c>
      <c r="R123" s="6">
        <f t="shared" ca="1" si="25"/>
        <v>0</v>
      </c>
    </row>
    <row r="124" spans="1:18">
      <c r="A124" s="197">
        <v>45352</v>
      </c>
      <c r="B124">
        <f t="shared" si="32"/>
        <v>3</v>
      </c>
      <c r="C124">
        <f t="shared" si="33"/>
        <v>2024</v>
      </c>
      <c r="D124" s="6"/>
      <c r="E124" s="229">
        <f t="shared" ca="1" si="34"/>
        <v>372.63355229914106</v>
      </c>
      <c r="F124" s="229">
        <f t="shared" ca="1" si="34"/>
        <v>0</v>
      </c>
      <c r="G124" s="6">
        <f t="shared" si="34"/>
        <v>1</v>
      </c>
      <c r="H124" s="101">
        <f>'Economic Data'!F150</f>
        <v>193.82400000000001</v>
      </c>
      <c r="J124" s="6">
        <f t="shared" si="27"/>
        <v>3114.0572511813202</v>
      </c>
      <c r="K124" s="6">
        <f t="shared" ca="1" si="28"/>
        <v>1821.3201824233265</v>
      </c>
      <c r="L124" s="6">
        <f t="shared" ca="1" si="29"/>
        <v>0</v>
      </c>
      <c r="M124" s="6">
        <f t="shared" si="23"/>
        <v>-1472.0035230159101</v>
      </c>
      <c r="N124" s="6">
        <f t="shared" si="24"/>
        <v>18556.7168253952</v>
      </c>
      <c r="O124" s="6">
        <f t="shared" ca="1" si="30"/>
        <v>22020.090735983937</v>
      </c>
      <c r="P124" s="6">
        <f>'Monthly Data (14-23) Used'!DU124</f>
        <v>0</v>
      </c>
      <c r="Q124">
        <f>'Monthly Data (14-23) Used'!CB124</f>
        <v>0</v>
      </c>
      <c r="R124" s="6">
        <f t="shared" ca="1" si="25"/>
        <v>0</v>
      </c>
    </row>
    <row r="125" spans="1:18">
      <c r="A125" s="197">
        <v>45383</v>
      </c>
      <c r="B125">
        <f t="shared" si="32"/>
        <v>4</v>
      </c>
      <c r="C125">
        <f t="shared" si="33"/>
        <v>2024</v>
      </c>
      <c r="D125" s="6"/>
      <c r="E125" s="229">
        <f t="shared" ca="1" si="34"/>
        <v>184.31</v>
      </c>
      <c r="F125" s="229">
        <f t="shared" ca="1" si="34"/>
        <v>3.0799999999999996</v>
      </c>
      <c r="G125" s="6">
        <f t="shared" si="34"/>
        <v>1</v>
      </c>
      <c r="H125" s="101">
        <f>'Economic Data'!F151</f>
        <v>192.71355000000003</v>
      </c>
      <c r="J125" s="6">
        <f t="shared" si="27"/>
        <v>3114.0572511813202</v>
      </c>
      <c r="K125" s="6">
        <f t="shared" ca="1" si="28"/>
        <v>900.85157590146798</v>
      </c>
      <c r="L125" s="6">
        <f t="shared" ca="1" si="29"/>
        <v>63.230321862841052</v>
      </c>
      <c r="M125" s="6">
        <f t="shared" si="23"/>
        <v>-1472.0035230159101</v>
      </c>
      <c r="N125" s="6">
        <f t="shared" si="24"/>
        <v>18450.402301916372</v>
      </c>
      <c r="O125" s="6">
        <f t="shared" ca="1" si="30"/>
        <v>21056.537927846093</v>
      </c>
      <c r="P125" s="6">
        <f>'Monthly Data (14-23) Used'!DU125</f>
        <v>0</v>
      </c>
      <c r="Q125">
        <f>'Monthly Data (14-23) Used'!CB125</f>
        <v>0</v>
      </c>
      <c r="R125" s="6">
        <f t="shared" ca="1" si="25"/>
        <v>0</v>
      </c>
    </row>
    <row r="126" spans="1:18">
      <c r="A126" s="197">
        <v>45413</v>
      </c>
      <c r="B126">
        <f t="shared" si="32"/>
        <v>5</v>
      </c>
      <c r="C126">
        <f t="shared" si="33"/>
        <v>2024</v>
      </c>
      <c r="D126" s="6"/>
      <c r="E126" s="229">
        <f t="shared" ca="1" si="34"/>
        <v>47.083552299140976</v>
      </c>
      <c r="F126" s="229">
        <f t="shared" ca="1" si="34"/>
        <v>53.286447700859014</v>
      </c>
      <c r="G126" s="6">
        <f t="shared" si="34"/>
        <v>1</v>
      </c>
      <c r="H126" s="101">
        <f>'Economic Data'!F152</f>
        <v>193.52115000000001</v>
      </c>
      <c r="J126" s="6">
        <f t="shared" si="27"/>
        <v>3114.0572511813202</v>
      </c>
      <c r="K126" s="6">
        <f t="shared" ca="1" si="28"/>
        <v>230.13017355390556</v>
      </c>
      <c r="L126" s="6">
        <f t="shared" ca="1" si="29"/>
        <v>1093.9348178742734</v>
      </c>
      <c r="M126" s="6">
        <f t="shared" si="23"/>
        <v>-1472.0035230159101</v>
      </c>
      <c r="N126" s="6">
        <f t="shared" si="24"/>
        <v>18527.721955355519</v>
      </c>
      <c r="O126" s="6">
        <f t="shared" ca="1" si="30"/>
        <v>21493.840674949108</v>
      </c>
      <c r="P126" s="6">
        <f>'Monthly Data (14-23) Used'!DU126</f>
        <v>0</v>
      </c>
      <c r="Q126">
        <f>'Monthly Data (14-23) Used'!CB126</f>
        <v>0</v>
      </c>
      <c r="R126" s="6">
        <f t="shared" ca="1" si="25"/>
        <v>0</v>
      </c>
    </row>
    <row r="127" spans="1:18">
      <c r="A127" s="197">
        <v>45444</v>
      </c>
      <c r="B127">
        <f t="shared" si="32"/>
        <v>6</v>
      </c>
      <c r="C127">
        <f t="shared" si="33"/>
        <v>2024</v>
      </c>
      <c r="D127" s="6"/>
      <c r="E127" s="229">
        <f t="shared" ca="1" si="34"/>
        <v>0.4200000000000001</v>
      </c>
      <c r="F127" s="229">
        <f t="shared" ca="1" si="34"/>
        <v>145.07</v>
      </c>
      <c r="G127" s="6">
        <f t="shared" si="34"/>
        <v>0</v>
      </c>
      <c r="H127" s="101">
        <f>'Economic Data'!F153</f>
        <v>193.82400000000001</v>
      </c>
      <c r="J127" s="6">
        <f t="shared" si="27"/>
        <v>3114.0572511813202</v>
      </c>
      <c r="K127" s="6">
        <f t="shared" ca="1" si="28"/>
        <v>2.0528330632012186</v>
      </c>
      <c r="L127" s="6">
        <f t="shared" ca="1" si="29"/>
        <v>2978.1892183903742</v>
      </c>
      <c r="M127" s="6">
        <f t="shared" si="23"/>
        <v>0</v>
      </c>
      <c r="N127" s="6">
        <f t="shared" si="24"/>
        <v>18556.7168253952</v>
      </c>
      <c r="O127" s="6">
        <f t="shared" ca="1" si="30"/>
        <v>24651.016128030096</v>
      </c>
      <c r="P127" s="6">
        <f>'Monthly Data (14-23) Used'!DU127</f>
        <v>0</v>
      </c>
      <c r="Q127">
        <f>'Monthly Data (14-23) Used'!CB127</f>
        <v>0</v>
      </c>
      <c r="R127" s="6">
        <f t="shared" ca="1" si="25"/>
        <v>0</v>
      </c>
    </row>
    <row r="128" spans="1:18">
      <c r="A128" s="197">
        <v>45474</v>
      </c>
      <c r="B128">
        <f t="shared" si="32"/>
        <v>7</v>
      </c>
      <c r="C128">
        <f t="shared" si="33"/>
        <v>2024</v>
      </c>
      <c r="D128" s="6"/>
      <c r="E128" s="229">
        <f t="shared" ca="1" si="34"/>
        <v>0</v>
      </c>
      <c r="F128" s="229">
        <f t="shared" ca="1" si="34"/>
        <v>211.23289540171805</v>
      </c>
      <c r="G128" s="6">
        <f t="shared" si="34"/>
        <v>0</v>
      </c>
      <c r="H128" s="101">
        <f>'Economic Data'!F154</f>
        <v>191.50215</v>
      </c>
      <c r="J128" s="6">
        <f t="shared" si="27"/>
        <v>3114.0572511813202</v>
      </c>
      <c r="K128" s="6">
        <f t="shared" ca="1" si="28"/>
        <v>0</v>
      </c>
      <c r="L128" s="6">
        <f t="shared" ca="1" si="29"/>
        <v>4336.4688195683348</v>
      </c>
      <c r="M128" s="6">
        <f t="shared" si="23"/>
        <v>0</v>
      </c>
      <c r="N128" s="6">
        <f t="shared" si="24"/>
        <v>18334.422821757653</v>
      </c>
      <c r="O128" s="6">
        <f t="shared" ca="1" si="30"/>
        <v>25784.948892507309</v>
      </c>
      <c r="P128" s="6">
        <f>'Monthly Data (14-23) Used'!DU128</f>
        <v>0</v>
      </c>
      <c r="Q128">
        <f>'Monthly Data (14-23) Used'!CB128</f>
        <v>0</v>
      </c>
      <c r="R128" s="6">
        <f t="shared" ca="1" si="25"/>
        <v>0</v>
      </c>
    </row>
    <row r="129" spans="1:18">
      <c r="A129" s="197">
        <v>45505</v>
      </c>
      <c r="B129">
        <f t="shared" si="32"/>
        <v>8</v>
      </c>
      <c r="C129">
        <f t="shared" si="33"/>
        <v>2024</v>
      </c>
      <c r="D129" s="6"/>
      <c r="E129" s="229">
        <f t="shared" ca="1" si="34"/>
        <v>0</v>
      </c>
      <c r="F129" s="229">
        <f t="shared" ca="1" si="34"/>
        <v>183.87605861546231</v>
      </c>
      <c r="G129" s="6">
        <f t="shared" si="34"/>
        <v>0</v>
      </c>
      <c r="H129" s="101">
        <f>'Economic Data'!F155</f>
        <v>192.10785000000001</v>
      </c>
      <c r="J129" s="6">
        <f t="shared" si="27"/>
        <v>3114.0572511813202</v>
      </c>
      <c r="K129" s="6">
        <f t="shared" ca="1" si="28"/>
        <v>0</v>
      </c>
      <c r="L129" s="6">
        <f t="shared" ca="1" si="29"/>
        <v>3774.8514185475037</v>
      </c>
      <c r="M129" s="6">
        <f t="shared" si="23"/>
        <v>0</v>
      </c>
      <c r="N129" s="6">
        <f t="shared" si="24"/>
        <v>18392.412561837013</v>
      </c>
      <c r="O129" s="6">
        <f t="shared" ca="1" si="30"/>
        <v>25281.321231565838</v>
      </c>
      <c r="P129" s="6">
        <f>'Monthly Data (14-23) Used'!DU129</f>
        <v>0</v>
      </c>
      <c r="Q129">
        <f>'Monthly Data (14-23) Used'!CB129</f>
        <v>0</v>
      </c>
      <c r="R129" s="6">
        <f t="shared" ca="1" si="25"/>
        <v>0</v>
      </c>
    </row>
    <row r="130" spans="1:18">
      <c r="A130" s="197">
        <v>45536</v>
      </c>
      <c r="B130">
        <f t="shared" si="32"/>
        <v>9</v>
      </c>
      <c r="C130">
        <f t="shared" si="33"/>
        <v>2024</v>
      </c>
      <c r="D130" s="6"/>
      <c r="E130" s="229">
        <f t="shared" ca="1" si="34"/>
        <v>5.87</v>
      </c>
      <c r="F130" s="229">
        <f t="shared" ca="1" si="34"/>
        <v>90.709343102577066</v>
      </c>
      <c r="G130" s="6">
        <f t="shared" si="34"/>
        <v>0</v>
      </c>
      <c r="H130" s="101">
        <f>'Economic Data'!F156</f>
        <v>189.88695000000001</v>
      </c>
      <c r="J130" s="6">
        <f t="shared" ref="J130:J145" si="35">$U$9</f>
        <v>3114.0572511813202</v>
      </c>
      <c r="K130" s="6">
        <f t="shared" ref="K130:K145" ca="1" si="36">E130*$U$10</f>
        <v>28.690785907121789</v>
      </c>
      <c r="L130" s="6">
        <f t="shared" ref="L130:L145" ca="1" si="37">F130*$U$11</f>
        <v>1862.2016105009186</v>
      </c>
      <c r="M130" s="6">
        <f t="shared" si="23"/>
        <v>0</v>
      </c>
      <c r="N130" s="6">
        <f t="shared" si="24"/>
        <v>18179.78351487936</v>
      </c>
      <c r="O130" s="6">
        <f t="shared" ref="O130:O145" ca="1" si="38">SUM(J130:N130)</f>
        <v>23184.733162468721</v>
      </c>
      <c r="P130" s="6">
        <f>'Monthly Data (14-23) Used'!DU130</f>
        <v>0</v>
      </c>
      <c r="Q130">
        <f>'Monthly Data (14-23) Used'!CB130</f>
        <v>0</v>
      </c>
      <c r="R130" s="6">
        <f t="shared" ca="1" si="25"/>
        <v>0</v>
      </c>
    </row>
    <row r="131" spans="1:18">
      <c r="A131" s="197">
        <v>45566</v>
      </c>
      <c r="B131">
        <f t="shared" si="32"/>
        <v>10</v>
      </c>
      <c r="C131">
        <f t="shared" si="33"/>
        <v>2024</v>
      </c>
      <c r="D131" s="6"/>
      <c r="E131" s="229">
        <f t="shared" ref="E131:G145" ca="1" si="39">E119</f>
        <v>99.500656897422942</v>
      </c>
      <c r="F131" s="229">
        <f t="shared" ca="1" si="39"/>
        <v>20.479999999999997</v>
      </c>
      <c r="G131" s="6">
        <f t="shared" si="39"/>
        <v>0</v>
      </c>
      <c r="H131" s="101">
        <f>'Economic Data'!F157</f>
        <v>186.95939999999999</v>
      </c>
      <c r="J131" s="6">
        <f t="shared" si="35"/>
        <v>3114.0572511813202</v>
      </c>
      <c r="K131" s="6">
        <f t="shared" ca="1" si="36"/>
        <v>486.32913878397659</v>
      </c>
      <c r="L131" s="6">
        <f t="shared" ca="1" si="37"/>
        <v>420.44058173733271</v>
      </c>
      <c r="M131" s="6">
        <f t="shared" ref="M131:M145" si="40">G131*$U$12</f>
        <v>0</v>
      </c>
      <c r="N131" s="6">
        <f t="shared" ref="N131:N145" si="41">H131*$U$13</f>
        <v>17899.499771162449</v>
      </c>
      <c r="O131" s="6">
        <f t="shared" ca="1" si="38"/>
        <v>21920.32674286508</v>
      </c>
      <c r="P131" s="6">
        <f>'Monthly Data (14-23) Used'!DU131</f>
        <v>0</v>
      </c>
      <c r="Q131">
        <f>'Monthly Data (14-23) Used'!CB131</f>
        <v>0</v>
      </c>
      <c r="R131" s="6">
        <f t="shared" ref="R131:R145" ca="1" si="42">O131*P131*Q131</f>
        <v>0</v>
      </c>
    </row>
    <row r="132" spans="1:18">
      <c r="A132" s="197">
        <v>45597</v>
      </c>
      <c r="B132">
        <f t="shared" si="32"/>
        <v>11</v>
      </c>
      <c r="C132">
        <f t="shared" si="33"/>
        <v>2024</v>
      </c>
      <c r="D132" s="6"/>
      <c r="E132" s="229">
        <f t="shared" ca="1" si="39"/>
        <v>286.30065689742298</v>
      </c>
      <c r="F132" s="229">
        <f t="shared" ca="1" si="39"/>
        <v>0.6699999999999996</v>
      </c>
      <c r="G132" s="6">
        <f t="shared" si="39"/>
        <v>0</v>
      </c>
      <c r="H132" s="101">
        <f>'Economic Data'!F158</f>
        <v>185.94990000000001</v>
      </c>
      <c r="J132" s="6">
        <f t="shared" si="35"/>
        <v>3114.0572511813202</v>
      </c>
      <c r="K132" s="6">
        <f t="shared" ca="1" si="36"/>
        <v>1399.3510821315663</v>
      </c>
      <c r="L132" s="6">
        <f t="shared" ca="1" si="37"/>
        <v>13.754647937695937</v>
      </c>
      <c r="M132" s="6">
        <f t="shared" si="40"/>
        <v>0</v>
      </c>
      <c r="N132" s="6">
        <f t="shared" si="41"/>
        <v>17802.85020436352</v>
      </c>
      <c r="O132" s="6">
        <f t="shared" ca="1" si="38"/>
        <v>22330.013185614102</v>
      </c>
      <c r="P132" s="6">
        <f>'Monthly Data (14-23) Used'!DU132</f>
        <v>0</v>
      </c>
      <c r="Q132">
        <f>'Monthly Data (14-23) Used'!CB132</f>
        <v>0</v>
      </c>
      <c r="R132" s="6">
        <f t="shared" ca="1" si="42"/>
        <v>0</v>
      </c>
    </row>
    <row r="133" spans="1:18">
      <c r="A133" s="197">
        <v>45627</v>
      </c>
      <c r="B133">
        <f t="shared" si="32"/>
        <v>12</v>
      </c>
      <c r="C133">
        <f t="shared" si="33"/>
        <v>2024</v>
      </c>
      <c r="D133" s="6"/>
      <c r="E133" s="229">
        <f t="shared" ca="1" si="39"/>
        <v>409.7700000000001</v>
      </c>
      <c r="F133" s="229">
        <f t="shared" ca="1" si="39"/>
        <v>0</v>
      </c>
      <c r="G133" s="6">
        <f t="shared" si="39"/>
        <v>0</v>
      </c>
      <c r="H133" s="101">
        <f>'Economic Data'!F159</f>
        <v>185.74800000000002</v>
      </c>
      <c r="J133" s="6">
        <f t="shared" si="35"/>
        <v>3114.0572511813202</v>
      </c>
      <c r="K133" s="6">
        <f t="shared" ca="1" si="36"/>
        <v>2002.8319150189604</v>
      </c>
      <c r="L133" s="6">
        <f t="shared" ca="1" si="37"/>
        <v>0</v>
      </c>
      <c r="M133" s="6">
        <f t="shared" si="40"/>
        <v>0</v>
      </c>
      <c r="N133" s="6">
        <f t="shared" si="41"/>
        <v>17783.520291003733</v>
      </c>
      <c r="O133" s="6">
        <f t="shared" ca="1" si="38"/>
        <v>22900.409457204012</v>
      </c>
      <c r="P133" s="6">
        <f>'Monthly Data (14-23) Used'!DU133</f>
        <v>0</v>
      </c>
      <c r="Q133">
        <f>'Monthly Data (14-23) Used'!CB133</f>
        <v>0</v>
      </c>
      <c r="R133" s="6">
        <f t="shared" ca="1" si="42"/>
        <v>0</v>
      </c>
    </row>
    <row r="134" spans="1:18">
      <c r="A134" s="197">
        <v>45658</v>
      </c>
      <c r="B134">
        <f t="shared" si="32"/>
        <v>1</v>
      </c>
      <c r="C134">
        <f t="shared" si="33"/>
        <v>2025</v>
      </c>
      <c r="D134" s="6"/>
      <c r="E134" s="229">
        <f t="shared" ca="1" si="39"/>
        <v>546.99999999999989</v>
      </c>
      <c r="F134" s="229">
        <f t="shared" ca="1" si="39"/>
        <v>0</v>
      </c>
      <c r="G134" s="6">
        <f t="shared" si="39"/>
        <v>0</v>
      </c>
      <c r="H134" s="101">
        <f>'Economic Data'!F160</f>
        <v>194.19660645000002</v>
      </c>
      <c r="J134" s="6">
        <f t="shared" si="35"/>
        <v>3114.0572511813202</v>
      </c>
      <c r="K134" s="6">
        <f t="shared" ca="1" si="36"/>
        <v>2673.5706799311097</v>
      </c>
      <c r="L134" s="6">
        <f t="shared" ca="1" si="37"/>
        <v>0</v>
      </c>
      <c r="M134" s="6">
        <f t="shared" si="40"/>
        <v>0</v>
      </c>
      <c r="N134" s="6">
        <f t="shared" si="41"/>
        <v>18592.390180500686</v>
      </c>
      <c r="O134" s="6">
        <f t="shared" ca="1" si="38"/>
        <v>24380.018111613117</v>
      </c>
      <c r="P134" s="6">
        <f>'Monthly Data (14-23) Used'!DU134</f>
        <v>0</v>
      </c>
      <c r="Q134">
        <f>'Monthly Data (14-23) Used'!CB134</f>
        <v>0</v>
      </c>
      <c r="R134" s="6">
        <f t="shared" ca="1" si="42"/>
        <v>0</v>
      </c>
    </row>
    <row r="135" spans="1:18">
      <c r="A135" s="197">
        <v>45689</v>
      </c>
      <c r="B135">
        <f t="shared" si="32"/>
        <v>2</v>
      </c>
      <c r="C135">
        <f t="shared" si="33"/>
        <v>2025</v>
      </c>
      <c r="D135" s="6"/>
      <c r="E135" s="229">
        <f t="shared" ca="1" si="39"/>
        <v>482.71355229914104</v>
      </c>
      <c r="F135" s="229">
        <f t="shared" ca="1" si="39"/>
        <v>0</v>
      </c>
      <c r="G135" s="6">
        <f t="shared" si="39"/>
        <v>0</v>
      </c>
      <c r="H135" s="101">
        <f>'Economic Data'!F161</f>
        <v>195.01773375000002</v>
      </c>
      <c r="J135" s="6">
        <f t="shared" si="35"/>
        <v>3114.0572511813202</v>
      </c>
      <c r="K135" s="6">
        <f t="shared" ca="1" si="36"/>
        <v>2359.3579528928267</v>
      </c>
      <c r="L135" s="6">
        <f t="shared" ca="1" si="37"/>
        <v>0</v>
      </c>
      <c r="M135" s="6">
        <f t="shared" si="40"/>
        <v>0</v>
      </c>
      <c r="N135" s="6">
        <f t="shared" si="41"/>
        <v>18671.004938134938</v>
      </c>
      <c r="O135" s="6">
        <f t="shared" ca="1" si="38"/>
        <v>24144.420142209085</v>
      </c>
      <c r="P135" s="6">
        <f>'Monthly Data (14-23) Used'!DU135</f>
        <v>0</v>
      </c>
      <c r="Q135">
        <f>'Monthly Data (14-23) Used'!CB135</f>
        <v>0</v>
      </c>
      <c r="R135" s="6">
        <f t="shared" ca="1" si="42"/>
        <v>0</v>
      </c>
    </row>
    <row r="136" spans="1:18">
      <c r="A136" s="197">
        <v>45717</v>
      </c>
      <c r="B136">
        <f t="shared" si="32"/>
        <v>3</v>
      </c>
      <c r="C136">
        <f t="shared" si="33"/>
        <v>2025</v>
      </c>
      <c r="D136" s="6"/>
      <c r="E136" s="229">
        <f t="shared" ca="1" si="39"/>
        <v>372.63355229914106</v>
      </c>
      <c r="F136" s="229">
        <f t="shared" ca="1" si="39"/>
        <v>0</v>
      </c>
      <c r="G136" s="6">
        <f t="shared" si="39"/>
        <v>1</v>
      </c>
      <c r="H136" s="101">
        <f>'Economic Data'!F162</f>
        <v>197.07055200000002</v>
      </c>
      <c r="J136" s="6">
        <f t="shared" si="35"/>
        <v>3114.0572511813202</v>
      </c>
      <c r="K136" s="6">
        <f t="shared" ca="1" si="36"/>
        <v>1821.3201824233265</v>
      </c>
      <c r="L136" s="6">
        <f t="shared" ca="1" si="37"/>
        <v>0</v>
      </c>
      <c r="M136" s="6">
        <f t="shared" si="40"/>
        <v>-1472.0035230159101</v>
      </c>
      <c r="N136" s="6">
        <f t="shared" si="41"/>
        <v>18867.54183222057</v>
      </c>
      <c r="O136" s="6">
        <f t="shared" ca="1" si="38"/>
        <v>22330.915742809306</v>
      </c>
      <c r="P136" s="6">
        <f>'Monthly Data (14-23) Used'!DU136</f>
        <v>0</v>
      </c>
      <c r="Q136">
        <f>'Monthly Data (14-23) Used'!CB136</f>
        <v>0</v>
      </c>
      <c r="R136" s="6">
        <f t="shared" ca="1" si="42"/>
        <v>0</v>
      </c>
    </row>
    <row r="137" spans="1:18">
      <c r="A137" s="197">
        <v>45748</v>
      </c>
      <c r="B137">
        <f t="shared" si="32"/>
        <v>4</v>
      </c>
      <c r="C137">
        <f t="shared" si="33"/>
        <v>2025</v>
      </c>
      <c r="D137" s="6"/>
      <c r="E137" s="229">
        <f t="shared" ca="1" si="39"/>
        <v>184.31</v>
      </c>
      <c r="F137" s="229">
        <f t="shared" ca="1" si="39"/>
        <v>3.0799999999999996</v>
      </c>
      <c r="G137" s="6">
        <f t="shared" si="39"/>
        <v>1</v>
      </c>
      <c r="H137" s="101">
        <f>'Economic Data'!F163</f>
        <v>195.94150196250004</v>
      </c>
      <c r="J137" s="6">
        <f t="shared" si="35"/>
        <v>3114.0572511813202</v>
      </c>
      <c r="K137" s="6">
        <f t="shared" ca="1" si="36"/>
        <v>900.85157590146798</v>
      </c>
      <c r="L137" s="6">
        <f t="shared" ca="1" si="37"/>
        <v>63.230321862841052</v>
      </c>
      <c r="M137" s="6">
        <f t="shared" si="40"/>
        <v>-1472.0035230159101</v>
      </c>
      <c r="N137" s="6">
        <f t="shared" si="41"/>
        <v>18759.446540473473</v>
      </c>
      <c r="O137" s="6">
        <f t="shared" ca="1" si="38"/>
        <v>21365.582166403194</v>
      </c>
      <c r="P137" s="6">
        <f>'Monthly Data (14-23) Used'!DU137</f>
        <v>0</v>
      </c>
      <c r="Q137">
        <f>'Monthly Data (14-23) Used'!CB137</f>
        <v>0</v>
      </c>
      <c r="R137" s="6">
        <f t="shared" ca="1" si="42"/>
        <v>0</v>
      </c>
    </row>
    <row r="138" spans="1:18">
      <c r="A138" s="197">
        <v>45778</v>
      </c>
      <c r="B138">
        <f t="shared" si="32"/>
        <v>5</v>
      </c>
      <c r="C138">
        <f t="shared" si="33"/>
        <v>2025</v>
      </c>
      <c r="D138" s="6"/>
      <c r="E138" s="229">
        <f t="shared" ca="1" si="39"/>
        <v>47.083552299140976</v>
      </c>
      <c r="F138" s="229">
        <f t="shared" ca="1" si="39"/>
        <v>53.286447700859014</v>
      </c>
      <c r="G138" s="6">
        <f t="shared" si="39"/>
        <v>1</v>
      </c>
      <c r="H138" s="101">
        <f>'Economic Data'!F164</f>
        <v>196.76262926250001</v>
      </c>
      <c r="J138" s="6">
        <f t="shared" si="35"/>
        <v>3114.0572511813202</v>
      </c>
      <c r="K138" s="6">
        <f t="shared" ca="1" si="36"/>
        <v>230.13017355390556</v>
      </c>
      <c r="L138" s="6">
        <f t="shared" ca="1" si="37"/>
        <v>1093.9348178742734</v>
      </c>
      <c r="M138" s="6">
        <f t="shared" si="40"/>
        <v>-1472.0035230159101</v>
      </c>
      <c r="N138" s="6">
        <f t="shared" si="41"/>
        <v>18838.061298107725</v>
      </c>
      <c r="O138" s="6">
        <f t="shared" ca="1" si="38"/>
        <v>21804.180017701314</v>
      </c>
      <c r="P138" s="6">
        <f>'Monthly Data (14-23) Used'!DU138</f>
        <v>0</v>
      </c>
      <c r="Q138">
        <f>'Monthly Data (14-23) Used'!CB138</f>
        <v>0</v>
      </c>
      <c r="R138" s="6">
        <f t="shared" ca="1" si="42"/>
        <v>0</v>
      </c>
    </row>
    <row r="139" spans="1:18">
      <c r="A139" s="197">
        <v>45809</v>
      </c>
      <c r="B139">
        <f t="shared" si="32"/>
        <v>6</v>
      </c>
      <c r="C139">
        <f t="shared" si="33"/>
        <v>2025</v>
      </c>
      <c r="D139" s="6"/>
      <c r="E139" s="229">
        <f t="shared" ca="1" si="39"/>
        <v>0.4200000000000001</v>
      </c>
      <c r="F139" s="229">
        <f t="shared" ca="1" si="39"/>
        <v>145.07</v>
      </c>
      <c r="G139" s="6">
        <f t="shared" si="39"/>
        <v>0</v>
      </c>
      <c r="H139" s="101">
        <f>'Economic Data'!F165</f>
        <v>197.07055200000002</v>
      </c>
      <c r="J139" s="6">
        <f t="shared" si="35"/>
        <v>3114.0572511813202</v>
      </c>
      <c r="K139" s="6">
        <f t="shared" ca="1" si="36"/>
        <v>2.0528330632012186</v>
      </c>
      <c r="L139" s="6">
        <f t="shared" ca="1" si="37"/>
        <v>2978.1892183903742</v>
      </c>
      <c r="M139" s="6">
        <f t="shared" si="40"/>
        <v>0</v>
      </c>
      <c r="N139" s="6">
        <f t="shared" si="41"/>
        <v>18867.54183222057</v>
      </c>
      <c r="O139" s="6">
        <f t="shared" ca="1" si="38"/>
        <v>24961.841134855465</v>
      </c>
      <c r="P139" s="6">
        <f>'Monthly Data (14-23) Used'!DU139</f>
        <v>0</v>
      </c>
      <c r="Q139">
        <f>'Monthly Data (14-23) Used'!CB139</f>
        <v>0</v>
      </c>
      <c r="R139" s="6">
        <f t="shared" ca="1" si="42"/>
        <v>0</v>
      </c>
    </row>
    <row r="140" spans="1:18">
      <c r="A140" s="197">
        <v>45839</v>
      </c>
      <c r="B140">
        <f t="shared" si="32"/>
        <v>7</v>
      </c>
      <c r="C140">
        <f t="shared" si="33"/>
        <v>2025</v>
      </c>
      <c r="D140" s="6"/>
      <c r="E140" s="229">
        <f t="shared" ca="1" si="39"/>
        <v>0</v>
      </c>
      <c r="F140" s="229">
        <f t="shared" ca="1" si="39"/>
        <v>211.23289540171805</v>
      </c>
      <c r="G140" s="6">
        <f t="shared" si="39"/>
        <v>0</v>
      </c>
      <c r="H140" s="101">
        <f>'Economic Data'!F166</f>
        <v>194.70981101250001</v>
      </c>
      <c r="J140" s="6">
        <f t="shared" si="35"/>
        <v>3114.0572511813202</v>
      </c>
      <c r="K140" s="6">
        <f t="shared" ca="1" si="36"/>
        <v>0</v>
      </c>
      <c r="L140" s="6">
        <f t="shared" ca="1" si="37"/>
        <v>4336.4688195683348</v>
      </c>
      <c r="M140" s="6">
        <f t="shared" si="40"/>
        <v>0</v>
      </c>
      <c r="N140" s="6">
        <f t="shared" si="41"/>
        <v>18641.524404022093</v>
      </c>
      <c r="O140" s="6">
        <f t="shared" ca="1" si="38"/>
        <v>26092.05047477175</v>
      </c>
      <c r="P140" s="6">
        <f>'Monthly Data (14-23) Used'!DU140</f>
        <v>0</v>
      </c>
      <c r="Q140">
        <f>'Monthly Data (14-23) Used'!CB140</f>
        <v>0</v>
      </c>
      <c r="R140" s="6">
        <f t="shared" ca="1" si="42"/>
        <v>0</v>
      </c>
    </row>
    <row r="141" spans="1:18">
      <c r="A141" s="197">
        <v>45870</v>
      </c>
      <c r="B141">
        <f t="shared" si="32"/>
        <v>8</v>
      </c>
      <c r="C141">
        <f t="shared" si="33"/>
        <v>2025</v>
      </c>
      <c r="D141" s="6"/>
      <c r="E141" s="229">
        <f t="shared" ca="1" si="39"/>
        <v>0</v>
      </c>
      <c r="F141" s="229">
        <f t="shared" ca="1" si="39"/>
        <v>183.87605861546231</v>
      </c>
      <c r="G141" s="6">
        <f t="shared" si="39"/>
        <v>0</v>
      </c>
      <c r="H141" s="101">
        <f>'Economic Data'!F167</f>
        <v>195.32565648750003</v>
      </c>
      <c r="J141" s="6">
        <f t="shared" si="35"/>
        <v>3114.0572511813202</v>
      </c>
      <c r="K141" s="6">
        <f t="shared" ca="1" si="36"/>
        <v>0</v>
      </c>
      <c r="L141" s="6">
        <f t="shared" ca="1" si="37"/>
        <v>3774.8514185475037</v>
      </c>
      <c r="M141" s="6">
        <f t="shared" si="40"/>
        <v>0</v>
      </c>
      <c r="N141" s="6">
        <f t="shared" si="41"/>
        <v>18700.485472247783</v>
      </c>
      <c r="O141" s="6">
        <f t="shared" ca="1" si="38"/>
        <v>25589.394141976605</v>
      </c>
      <c r="P141" s="6">
        <f>'Monthly Data (14-23) Used'!DU141</f>
        <v>0</v>
      </c>
      <c r="Q141">
        <f>'Monthly Data (14-23) Used'!CB141</f>
        <v>0</v>
      </c>
      <c r="R141" s="6">
        <f t="shared" ca="1" si="42"/>
        <v>0</v>
      </c>
    </row>
    <row r="142" spans="1:18">
      <c r="A142" s="197">
        <v>45901</v>
      </c>
      <c r="B142">
        <f t="shared" si="32"/>
        <v>9</v>
      </c>
      <c r="C142">
        <f t="shared" si="33"/>
        <v>2025</v>
      </c>
      <c r="D142" s="6"/>
      <c r="E142" s="229">
        <f t="shared" ca="1" si="39"/>
        <v>5.87</v>
      </c>
      <c r="F142" s="229">
        <f t="shared" ca="1" si="39"/>
        <v>90.709343102577066</v>
      </c>
      <c r="G142" s="6">
        <f t="shared" si="39"/>
        <v>0</v>
      </c>
      <c r="H142" s="101">
        <f>'Economic Data'!F168</f>
        <v>193.06755641250001</v>
      </c>
      <c r="J142" s="6">
        <f t="shared" si="35"/>
        <v>3114.0572511813202</v>
      </c>
      <c r="K142" s="6">
        <f t="shared" ca="1" si="36"/>
        <v>28.690785907121789</v>
      </c>
      <c r="L142" s="6">
        <f t="shared" ca="1" si="37"/>
        <v>1862.2016105009186</v>
      </c>
      <c r="M142" s="6">
        <f t="shared" si="40"/>
        <v>0</v>
      </c>
      <c r="N142" s="6">
        <f t="shared" si="41"/>
        <v>18484.294888753589</v>
      </c>
      <c r="O142" s="6">
        <f t="shared" ca="1" si="38"/>
        <v>23489.244536342951</v>
      </c>
      <c r="P142" s="6">
        <f>'Monthly Data (14-23) Used'!DU142</f>
        <v>0</v>
      </c>
      <c r="Q142">
        <f>'Monthly Data (14-23) Used'!CB142</f>
        <v>0</v>
      </c>
      <c r="R142" s="6">
        <f t="shared" ca="1" si="42"/>
        <v>0</v>
      </c>
    </row>
    <row r="143" spans="1:18">
      <c r="A143" s="197">
        <v>45931</v>
      </c>
      <c r="B143">
        <f t="shared" si="32"/>
        <v>10</v>
      </c>
      <c r="C143">
        <f t="shared" si="33"/>
        <v>2025</v>
      </c>
      <c r="D143" s="6"/>
      <c r="E143" s="229">
        <f t="shared" ca="1" si="39"/>
        <v>99.500656897422942</v>
      </c>
      <c r="F143" s="229">
        <f t="shared" ca="1" si="39"/>
        <v>20.479999999999997</v>
      </c>
      <c r="G143" s="6">
        <f t="shared" si="39"/>
        <v>0</v>
      </c>
      <c r="H143" s="101">
        <f>'Economic Data'!F169</f>
        <v>190.09096994999999</v>
      </c>
      <c r="J143" s="6">
        <f t="shared" si="35"/>
        <v>3114.0572511813202</v>
      </c>
      <c r="K143" s="6">
        <f t="shared" ca="1" si="36"/>
        <v>486.32913878397659</v>
      </c>
      <c r="L143" s="6">
        <f t="shared" ca="1" si="37"/>
        <v>420.44058173733271</v>
      </c>
      <c r="M143" s="6">
        <f t="shared" si="40"/>
        <v>0</v>
      </c>
      <c r="N143" s="6">
        <f t="shared" si="41"/>
        <v>18199.31639232942</v>
      </c>
      <c r="O143" s="6">
        <f t="shared" ca="1" si="38"/>
        <v>22220.14336403205</v>
      </c>
      <c r="P143" s="6">
        <f>'Monthly Data (14-23) Used'!DU143</f>
        <v>0</v>
      </c>
      <c r="Q143">
        <f>'Monthly Data (14-23) Used'!CB143</f>
        <v>0</v>
      </c>
      <c r="R143" s="6">
        <f t="shared" ca="1" si="42"/>
        <v>0</v>
      </c>
    </row>
    <row r="144" spans="1:18">
      <c r="A144" s="197">
        <v>45962</v>
      </c>
      <c r="B144">
        <f t="shared" si="32"/>
        <v>11</v>
      </c>
      <c r="C144">
        <f t="shared" si="33"/>
        <v>2025</v>
      </c>
      <c r="D144" s="6"/>
      <c r="E144" s="229">
        <f t="shared" ca="1" si="39"/>
        <v>286.30065689742298</v>
      </c>
      <c r="F144" s="229">
        <f t="shared" ca="1" si="39"/>
        <v>0.6699999999999996</v>
      </c>
      <c r="G144" s="6">
        <f t="shared" si="39"/>
        <v>0</v>
      </c>
      <c r="H144" s="101">
        <f>'Economic Data'!F170</f>
        <v>189.06456082500003</v>
      </c>
      <c r="J144" s="6">
        <f t="shared" si="35"/>
        <v>3114.0572511813202</v>
      </c>
      <c r="K144" s="6">
        <f t="shared" ca="1" si="36"/>
        <v>1399.3510821315663</v>
      </c>
      <c r="L144" s="6">
        <f t="shared" ca="1" si="37"/>
        <v>13.754647937695937</v>
      </c>
      <c r="M144" s="6">
        <f t="shared" si="40"/>
        <v>0</v>
      </c>
      <c r="N144" s="6">
        <f t="shared" si="41"/>
        <v>18101.047945286609</v>
      </c>
      <c r="O144" s="6">
        <f t="shared" ca="1" si="38"/>
        <v>22628.210926537191</v>
      </c>
      <c r="P144" s="6">
        <f>'Monthly Data (14-23) Used'!DU144</f>
        <v>0</v>
      </c>
      <c r="Q144">
        <f>'Monthly Data (14-23) Used'!CB144</f>
        <v>0</v>
      </c>
      <c r="R144" s="6">
        <f t="shared" ca="1" si="42"/>
        <v>0</v>
      </c>
    </row>
    <row r="145" spans="1:18">
      <c r="A145" s="197">
        <v>45992</v>
      </c>
      <c r="B145">
        <f t="shared" si="32"/>
        <v>12</v>
      </c>
      <c r="C145">
        <f t="shared" si="33"/>
        <v>2025</v>
      </c>
      <c r="D145" s="6"/>
      <c r="E145" s="229">
        <f t="shared" ca="1" si="39"/>
        <v>409.7700000000001</v>
      </c>
      <c r="F145" s="229">
        <f t="shared" ca="1" si="39"/>
        <v>0</v>
      </c>
      <c r="G145" s="6">
        <f t="shared" si="39"/>
        <v>0</v>
      </c>
      <c r="H145" s="101">
        <f>'Economic Data'!F171</f>
        <v>188.85927900000002</v>
      </c>
      <c r="J145" s="6">
        <f t="shared" si="35"/>
        <v>3114.0572511813202</v>
      </c>
      <c r="K145" s="6">
        <f t="shared" ca="1" si="36"/>
        <v>2002.8319150189604</v>
      </c>
      <c r="L145" s="6">
        <f t="shared" ca="1" si="37"/>
        <v>0</v>
      </c>
      <c r="M145" s="6">
        <f t="shared" si="40"/>
        <v>0</v>
      </c>
      <c r="N145" s="6">
        <f t="shared" si="41"/>
        <v>18081.394255878044</v>
      </c>
      <c r="O145" s="6">
        <f t="shared" ca="1" si="38"/>
        <v>23198.283422078326</v>
      </c>
      <c r="P145" s="6">
        <f>'Monthly Data (14-23) Used'!DU145</f>
        <v>0</v>
      </c>
      <c r="Q145">
        <f>'Monthly Data (14-23) Used'!CB145</f>
        <v>0</v>
      </c>
      <c r="R145" s="6">
        <f t="shared" ca="1" si="42"/>
        <v>0</v>
      </c>
    </row>
    <row r="158" spans="1:18">
      <c r="A158" s="197"/>
      <c r="D158" s="6"/>
      <c r="G158" s="228"/>
      <c r="J158" s="6"/>
      <c r="K158" s="6"/>
      <c r="L158" s="6"/>
      <c r="M158" s="6"/>
      <c r="N158" s="6"/>
      <c r="O158" s="6"/>
      <c r="P158" s="6"/>
      <c r="Q158" s="6"/>
    </row>
    <row r="159" spans="1:18">
      <c r="A159" s="197"/>
      <c r="D159" s="6"/>
      <c r="G159" s="228"/>
      <c r="J159" s="6"/>
      <c r="K159" s="6"/>
      <c r="L159" s="6"/>
      <c r="M159" s="6"/>
      <c r="N159" s="6"/>
      <c r="O159" s="6"/>
      <c r="P159" s="6"/>
      <c r="Q159" s="6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A8329-B9A3-42E1-80F0-56D7D1CBB796}">
  <sheetPr>
    <tabColor theme="2" tint="-9.9978637043366805E-2"/>
  </sheetPr>
  <dimension ref="B1:AZ86"/>
  <sheetViews>
    <sheetView tabSelected="1" topLeftCell="X5" workbookViewId="0">
      <selection activeCell="AJ36" sqref="AJ36"/>
    </sheetView>
  </sheetViews>
  <sheetFormatPr defaultRowHeight="14.45"/>
  <cols>
    <col min="2" max="3" width="11.7109375" customWidth="1"/>
    <col min="4" max="4" width="7.7109375" bestFit="1" customWidth="1"/>
    <col min="5" max="6" width="11.42578125" customWidth="1"/>
    <col min="7" max="7" width="12.7109375" customWidth="1"/>
    <col min="8" max="10" width="11.42578125" customWidth="1"/>
    <col min="13" max="13" width="10.5703125" bestFit="1" customWidth="1"/>
    <col min="16" max="16" width="10.28515625" customWidth="1"/>
    <col min="17" max="17" width="11.85546875" customWidth="1"/>
    <col min="18" max="18" width="13.5703125" customWidth="1"/>
    <col min="19" max="19" width="10.28515625" customWidth="1"/>
    <col min="20" max="20" width="12.42578125" customWidth="1"/>
    <col min="21" max="21" width="12.85546875" customWidth="1"/>
    <col min="22" max="22" width="8.7109375" customWidth="1"/>
    <col min="24" max="24" width="11.85546875" customWidth="1"/>
    <col min="25" max="25" width="13.140625" customWidth="1"/>
    <col min="27" max="27" width="10" customWidth="1"/>
    <col min="28" max="28" width="11.7109375" customWidth="1"/>
    <col min="33" max="33" width="13.7109375" customWidth="1"/>
    <col min="34" max="34" width="10.5703125" bestFit="1" customWidth="1"/>
    <col min="36" max="36" width="12.7109375" customWidth="1"/>
    <col min="37" max="37" width="13.5703125" customWidth="1"/>
    <col min="38" max="38" width="13.85546875" bestFit="1" customWidth="1"/>
    <col min="39" max="39" width="17.140625" customWidth="1"/>
    <col min="40" max="40" width="9.28515625" customWidth="1"/>
  </cols>
  <sheetData>
    <row r="1" spans="2:52">
      <c r="B1" s="151" t="s">
        <v>277</v>
      </c>
      <c r="C1" s="152"/>
      <c r="D1" s="152"/>
      <c r="E1" s="152"/>
      <c r="F1" s="152"/>
      <c r="G1" s="152"/>
      <c r="H1" s="152"/>
      <c r="I1" s="170"/>
      <c r="L1" s="151"/>
      <c r="M1" s="152"/>
      <c r="N1" s="170"/>
      <c r="O1" s="523" t="s">
        <v>278</v>
      </c>
      <c r="P1" s="524"/>
      <c r="Q1" s="524"/>
      <c r="R1" s="524"/>
      <c r="S1" s="524"/>
      <c r="T1" s="524"/>
      <c r="U1" s="525"/>
      <c r="V1" s="520" t="s">
        <v>279</v>
      </c>
      <c r="W1" s="521"/>
      <c r="X1" s="521"/>
      <c r="Y1" s="521"/>
      <c r="Z1" s="521"/>
      <c r="AA1" s="521"/>
      <c r="AB1" s="522"/>
      <c r="AE1" t="s">
        <v>280</v>
      </c>
    </row>
    <row r="2" spans="2:52" s="43" customFormat="1" ht="29.1">
      <c r="B2" s="299" t="s">
        <v>281</v>
      </c>
      <c r="C2" s="300"/>
      <c r="D2" s="291" t="s">
        <v>172</v>
      </c>
      <c r="E2" s="291" t="s">
        <v>282</v>
      </c>
      <c r="F2" s="291" t="s">
        <v>283</v>
      </c>
      <c r="G2" s="291" t="s">
        <v>284</v>
      </c>
      <c r="H2" s="291" t="s">
        <v>285</v>
      </c>
      <c r="I2" s="301" t="s">
        <v>286</v>
      </c>
      <c r="J2" s="292" t="s">
        <v>287</v>
      </c>
      <c r="L2" s="277"/>
      <c r="N2" s="278"/>
      <c r="O2" s="290" t="s">
        <v>172</v>
      </c>
      <c r="P2" s="291" t="s">
        <v>282</v>
      </c>
      <c r="Q2" s="291" t="s">
        <v>283</v>
      </c>
      <c r="R2" s="291" t="s">
        <v>284</v>
      </c>
      <c r="S2" s="291" t="s">
        <v>285</v>
      </c>
      <c r="T2" s="291" t="s">
        <v>286</v>
      </c>
      <c r="U2" s="292" t="s">
        <v>287</v>
      </c>
      <c r="V2" s="277" t="str">
        <f>O2</f>
        <v>Ontario</v>
      </c>
      <c r="W2" s="43" t="str">
        <f t="shared" ref="W2:AB2" si="0">P2</f>
        <v>Windsor, Ontario</v>
      </c>
      <c r="X2" s="43" t="str">
        <f t="shared" si="0"/>
        <v>Leamington, Ontario</v>
      </c>
      <c r="Y2" s="43" t="str">
        <f t="shared" si="0"/>
        <v>Amherstburg</v>
      </c>
      <c r="Z2" s="43" t="str">
        <f t="shared" si="0"/>
        <v>LaSalle</v>
      </c>
      <c r="AA2" s="43" t="str">
        <f t="shared" si="0"/>
        <v>Tecumseh</v>
      </c>
      <c r="AB2" s="278" t="str">
        <f t="shared" si="0"/>
        <v>Essex Total (Calc)</v>
      </c>
      <c r="AD2"/>
      <c r="AE2" t="s">
        <v>288</v>
      </c>
      <c r="AF2"/>
      <c r="AG2" s="514" t="s">
        <v>289</v>
      </c>
      <c r="AH2" s="514"/>
      <c r="AI2" s="514"/>
      <c r="AJ2" s="514"/>
      <c r="AK2" s="514"/>
      <c r="AL2" s="514" t="s">
        <v>290</v>
      </c>
      <c r="AM2" s="514"/>
      <c r="AN2" s="514"/>
      <c r="AO2" s="514"/>
      <c r="AP2" s="514"/>
      <c r="AQ2" s="514" t="s">
        <v>291</v>
      </c>
      <c r="AR2" s="514"/>
      <c r="AS2" s="514"/>
      <c r="AT2" s="514"/>
      <c r="AU2" s="514"/>
      <c r="AV2" s="514" t="s">
        <v>292</v>
      </c>
      <c r="AW2" s="514"/>
      <c r="AX2" s="514"/>
      <c r="AY2" s="514"/>
      <c r="AZ2" s="514"/>
    </row>
    <row r="3" spans="2:52">
      <c r="B3" s="155" t="s">
        <v>293</v>
      </c>
      <c r="C3">
        <f>VALUE(RIGHT(B3,4))</f>
        <v>2017</v>
      </c>
      <c r="D3" s="4">
        <v>1319</v>
      </c>
      <c r="E3">
        <v>27</v>
      </c>
      <c r="F3">
        <v>0</v>
      </c>
      <c r="G3">
        <v>2</v>
      </c>
      <c r="H3">
        <v>7</v>
      </c>
      <c r="I3" s="162">
        <v>1</v>
      </c>
      <c r="J3" s="162">
        <f>F3+G3+H3+I3</f>
        <v>10</v>
      </c>
      <c r="L3" s="279">
        <f>'Monthly Data (longer 09-23)'!A98</f>
        <v>42736</v>
      </c>
      <c r="M3" s="229">
        <f>YEAR(L3)</f>
        <v>2017</v>
      </c>
      <c r="N3" s="280" t="str">
        <f>'Economic Data'!C64&amp;" "&amp;'Economic Data'!B64</f>
        <v>Q1 2017</v>
      </c>
      <c r="O3" s="155">
        <f>SUMIFS(D:D,B:B,N3)</f>
        <v>1319</v>
      </c>
      <c r="P3">
        <f>SUMIFS(E:E,B:B,N3)</f>
        <v>27</v>
      </c>
      <c r="Q3">
        <f>SUMIFS(F:F,B:B,N3)</f>
        <v>0</v>
      </c>
      <c r="R3">
        <f>SUMIFS(G:G,B:B,N3)</f>
        <v>2</v>
      </c>
      <c r="S3">
        <f>SUMIFS(H:H,B:B,N3)</f>
        <v>7</v>
      </c>
      <c r="T3">
        <f>SUMIFS(I:I,B:B,N3)</f>
        <v>1</v>
      </c>
      <c r="U3" s="162">
        <f>Q3+R3+S3+T3</f>
        <v>10</v>
      </c>
      <c r="V3" s="283">
        <f>O3/3</f>
        <v>439.66666666666669</v>
      </c>
      <c r="W3" s="112">
        <f t="shared" ref="W3:AB3" si="1">P3/3</f>
        <v>9</v>
      </c>
      <c r="X3" s="112">
        <f t="shared" si="1"/>
        <v>0</v>
      </c>
      <c r="Y3" s="112">
        <f t="shared" si="1"/>
        <v>0.66666666666666663</v>
      </c>
      <c r="Z3" s="112">
        <f t="shared" si="1"/>
        <v>2.3333333333333335</v>
      </c>
      <c r="AA3" s="112">
        <f t="shared" si="1"/>
        <v>0.33333333333333331</v>
      </c>
      <c r="AB3" s="284">
        <f t="shared" si="1"/>
        <v>3.3333333333333335</v>
      </c>
      <c r="AE3" t="s">
        <v>294</v>
      </c>
      <c r="AG3" t="s">
        <v>295</v>
      </c>
      <c r="AH3" t="s">
        <v>296</v>
      </c>
      <c r="AI3" t="s">
        <v>297</v>
      </c>
      <c r="AJ3" t="s">
        <v>298</v>
      </c>
      <c r="AK3" t="s">
        <v>299</v>
      </c>
      <c r="AL3" t="s">
        <v>295</v>
      </c>
      <c r="AM3" t="s">
        <v>296</v>
      </c>
      <c r="AN3" t="s">
        <v>297</v>
      </c>
      <c r="AO3" t="s">
        <v>298</v>
      </c>
      <c r="AP3" t="s">
        <v>299</v>
      </c>
      <c r="AQ3" t="s">
        <v>295</v>
      </c>
      <c r="AR3" t="s">
        <v>296</v>
      </c>
      <c r="AS3" t="s">
        <v>297</v>
      </c>
      <c r="AT3" t="s">
        <v>298</v>
      </c>
      <c r="AU3" t="s">
        <v>299</v>
      </c>
      <c r="AV3" t="s">
        <v>295</v>
      </c>
      <c r="AW3" t="s">
        <v>296</v>
      </c>
      <c r="AX3" t="s">
        <v>297</v>
      </c>
      <c r="AY3" t="s">
        <v>298</v>
      </c>
      <c r="AZ3" t="s">
        <v>299</v>
      </c>
    </row>
    <row r="4" spans="2:52">
      <c r="B4" s="155" t="s">
        <v>300</v>
      </c>
      <c r="C4">
        <f t="shared" ref="C4:C29" si="2">VALUE(RIGHT(B4,4))</f>
        <v>2017</v>
      </c>
      <c r="D4" s="4">
        <v>2089</v>
      </c>
      <c r="E4">
        <v>41</v>
      </c>
      <c r="F4">
        <v>0</v>
      </c>
      <c r="G4">
        <v>0</v>
      </c>
      <c r="H4">
        <v>5</v>
      </c>
      <c r="I4" s="162">
        <v>5</v>
      </c>
      <c r="J4" s="162">
        <f t="shared" ref="J4:J30" si="3">F4+G4+H4+I4</f>
        <v>10</v>
      </c>
      <c r="L4" s="279">
        <f>'Monthly Data (longer 09-23)'!A99</f>
        <v>42767</v>
      </c>
      <c r="M4" s="229">
        <f t="shared" ref="M4:M67" si="4">YEAR(L4)</f>
        <v>2017</v>
      </c>
      <c r="N4" s="280" t="str">
        <f>'Economic Data'!C65&amp;" "&amp;'Economic Data'!B65</f>
        <v>Q1 2017</v>
      </c>
      <c r="O4" s="155">
        <f t="shared" ref="O4:O34" si="5">SUMIFS(D:D,B:B,N4)</f>
        <v>1319</v>
      </c>
      <c r="P4">
        <f t="shared" ref="P4:P67" si="6">SUMIFS(E:E,B:B,N4)</f>
        <v>27</v>
      </c>
      <c r="Q4">
        <f>SUMIFS(F:F,B:B,N4)</f>
        <v>0</v>
      </c>
      <c r="R4">
        <f t="shared" ref="R4:R67" si="7">SUMIFS(G:G,B:B,N4)</f>
        <v>2</v>
      </c>
      <c r="S4">
        <f t="shared" ref="S4:S67" si="8">SUMIFS(H:H,B:B,N4)</f>
        <v>7</v>
      </c>
      <c r="T4">
        <f t="shared" ref="T4:T67" si="9">SUMIFS(I:I,B:B,N4)</f>
        <v>1</v>
      </c>
      <c r="U4" s="162">
        <f t="shared" ref="U4:U67" si="10">Q4+R4+S4+T4</f>
        <v>10</v>
      </c>
      <c r="V4" s="283">
        <f>O4/3+V3</f>
        <v>879.33333333333337</v>
      </c>
      <c r="W4" s="112">
        <f t="shared" ref="W4:AB5" si="11">P4/3+W3</f>
        <v>18</v>
      </c>
      <c r="X4" s="112">
        <f t="shared" si="11"/>
        <v>0</v>
      </c>
      <c r="Y4" s="112">
        <f t="shared" si="11"/>
        <v>1.3333333333333333</v>
      </c>
      <c r="Z4" s="112">
        <f t="shared" si="11"/>
        <v>4.666666666666667</v>
      </c>
      <c r="AA4" s="112">
        <f t="shared" si="11"/>
        <v>0.66666666666666663</v>
      </c>
      <c r="AB4" s="284">
        <f t="shared" si="11"/>
        <v>6.666666666666667</v>
      </c>
      <c r="AD4" t="s">
        <v>281</v>
      </c>
      <c r="AE4" t="s">
        <v>301</v>
      </c>
    </row>
    <row r="5" spans="2:52">
      <c r="B5" s="155" t="s">
        <v>302</v>
      </c>
      <c r="C5">
        <f t="shared" si="2"/>
        <v>2017</v>
      </c>
      <c r="D5" s="4">
        <v>2130</v>
      </c>
      <c r="E5">
        <v>50</v>
      </c>
      <c r="F5">
        <v>1</v>
      </c>
      <c r="G5">
        <v>2</v>
      </c>
      <c r="H5">
        <v>11</v>
      </c>
      <c r="I5" s="162">
        <v>3</v>
      </c>
      <c r="J5" s="162">
        <f t="shared" si="3"/>
        <v>17</v>
      </c>
      <c r="L5" s="279">
        <f>'Monthly Data (longer 09-23)'!A100</f>
        <v>42795</v>
      </c>
      <c r="M5" s="229">
        <f t="shared" si="4"/>
        <v>2017</v>
      </c>
      <c r="N5" s="280" t="str">
        <f>'Economic Data'!C66&amp;" "&amp;'Economic Data'!B66</f>
        <v>Q1 2017</v>
      </c>
      <c r="O5" s="155">
        <f t="shared" si="5"/>
        <v>1319</v>
      </c>
      <c r="P5">
        <f t="shared" si="6"/>
        <v>27</v>
      </c>
      <c r="Q5">
        <f>SUMIFS(F:F,B:B,N5)</f>
        <v>0</v>
      </c>
      <c r="R5">
        <f t="shared" si="7"/>
        <v>2</v>
      </c>
      <c r="S5">
        <f t="shared" si="8"/>
        <v>7</v>
      </c>
      <c r="T5">
        <f t="shared" si="9"/>
        <v>1</v>
      </c>
      <c r="U5" s="162">
        <f t="shared" si="10"/>
        <v>10</v>
      </c>
      <c r="V5" s="283">
        <f>O5/3+V4</f>
        <v>1319</v>
      </c>
      <c r="W5" s="112">
        <f t="shared" si="11"/>
        <v>27</v>
      </c>
      <c r="X5" s="112">
        <f t="shared" si="11"/>
        <v>0</v>
      </c>
      <c r="Y5" s="112">
        <f t="shared" si="11"/>
        <v>2</v>
      </c>
      <c r="Z5" s="112">
        <f t="shared" si="11"/>
        <v>7</v>
      </c>
      <c r="AA5" s="112">
        <f t="shared" si="11"/>
        <v>1</v>
      </c>
      <c r="AB5" s="284">
        <f t="shared" si="11"/>
        <v>10</v>
      </c>
      <c r="AG5" t="s">
        <v>303</v>
      </c>
    </row>
    <row r="6" spans="2:52">
      <c r="B6" s="155" t="s">
        <v>304</v>
      </c>
      <c r="C6">
        <f t="shared" si="2"/>
        <v>2017</v>
      </c>
      <c r="D6" s="4">
        <v>2642</v>
      </c>
      <c r="E6">
        <v>67</v>
      </c>
      <c r="F6">
        <v>0</v>
      </c>
      <c r="G6">
        <v>3</v>
      </c>
      <c r="H6">
        <v>7</v>
      </c>
      <c r="I6" s="162">
        <v>5</v>
      </c>
      <c r="J6" s="162">
        <f t="shared" si="3"/>
        <v>15</v>
      </c>
      <c r="L6" s="279">
        <f>'Monthly Data (longer 09-23)'!A101</f>
        <v>42826</v>
      </c>
      <c r="M6" s="229">
        <f t="shared" si="4"/>
        <v>2017</v>
      </c>
      <c r="N6" s="280" t="str">
        <f>'Economic Data'!C67&amp;" "&amp;'Economic Data'!B67</f>
        <v>Q2 2017</v>
      </c>
      <c r="O6" s="155">
        <f t="shared" si="5"/>
        <v>2089</v>
      </c>
      <c r="P6">
        <f>SUMIFS(E:E,B:B,N6)</f>
        <v>41</v>
      </c>
      <c r="Q6">
        <f t="shared" ref="Q6:Q67" si="12">SUMIFS(F:F,B:B,N6)</f>
        <v>0</v>
      </c>
      <c r="R6">
        <f t="shared" si="7"/>
        <v>0</v>
      </c>
      <c r="S6">
        <f t="shared" si="8"/>
        <v>5</v>
      </c>
      <c r="T6">
        <f t="shared" si="9"/>
        <v>5</v>
      </c>
      <c r="U6" s="162">
        <f t="shared" si="10"/>
        <v>10</v>
      </c>
      <c r="V6" s="283">
        <f t="shared" ref="V6:V69" si="13">O6/3+V5</f>
        <v>2015.3333333333335</v>
      </c>
      <c r="W6" s="112">
        <f t="shared" ref="W6:W69" si="14">P6/3+W5</f>
        <v>40.666666666666664</v>
      </c>
      <c r="X6" s="112">
        <f t="shared" ref="X6:X69" si="15">Q6/3+X5</f>
        <v>0</v>
      </c>
      <c r="Y6" s="112">
        <f t="shared" ref="Y6:Y69" si="16">R6/3+Y5</f>
        <v>2</v>
      </c>
      <c r="Z6" s="112">
        <f t="shared" ref="Z6:Z69" si="17">S6/3+Z5</f>
        <v>8.6666666666666661</v>
      </c>
      <c r="AA6" s="112">
        <f t="shared" ref="AA6:AA69" si="18">T6/3+AA5</f>
        <v>2.666666666666667</v>
      </c>
      <c r="AB6" s="284">
        <f t="shared" ref="AB6:AB69" si="19">U6/3+AB5</f>
        <v>13.333333333333334</v>
      </c>
      <c r="AD6" t="s">
        <v>172</v>
      </c>
      <c r="AE6" t="s">
        <v>293</v>
      </c>
      <c r="AF6">
        <f>VALUE(RIGHT(AE6,4))</f>
        <v>2017</v>
      </c>
      <c r="AG6" s="4">
        <v>168231</v>
      </c>
      <c r="AH6" s="4">
        <v>53466</v>
      </c>
      <c r="AI6" s="4">
        <v>31137</v>
      </c>
      <c r="AJ6" s="4">
        <v>70807</v>
      </c>
      <c r="AK6" s="4">
        <v>12821</v>
      </c>
      <c r="AL6">
        <v>595</v>
      </c>
      <c r="AM6">
        <v>414</v>
      </c>
      <c r="AN6">
        <v>0</v>
      </c>
      <c r="AO6">
        <v>181</v>
      </c>
      <c r="AP6">
        <v>0</v>
      </c>
      <c r="AQ6" s="4">
        <v>1633</v>
      </c>
      <c r="AR6">
        <v>918</v>
      </c>
      <c r="AS6">
        <v>0</v>
      </c>
      <c r="AT6">
        <v>715</v>
      </c>
      <c r="AU6">
        <v>0</v>
      </c>
      <c r="AV6">
        <v>724</v>
      </c>
      <c r="AW6">
        <v>627</v>
      </c>
      <c r="AX6">
        <v>0</v>
      </c>
      <c r="AY6">
        <v>88</v>
      </c>
      <c r="AZ6">
        <v>9</v>
      </c>
    </row>
    <row r="7" spans="2:52">
      <c r="B7" s="155" t="s">
        <v>305</v>
      </c>
      <c r="C7">
        <f t="shared" si="2"/>
        <v>2018</v>
      </c>
      <c r="D7" s="4">
        <v>2748</v>
      </c>
      <c r="E7">
        <v>50</v>
      </c>
      <c r="F7">
        <v>2</v>
      </c>
      <c r="G7">
        <v>4</v>
      </c>
      <c r="H7">
        <v>3</v>
      </c>
      <c r="I7" s="162">
        <v>2</v>
      </c>
      <c r="J7" s="162">
        <f t="shared" si="3"/>
        <v>11</v>
      </c>
      <c r="L7" s="279">
        <f>'Monthly Data (longer 09-23)'!A102</f>
        <v>42856</v>
      </c>
      <c r="M7" s="229">
        <f t="shared" si="4"/>
        <v>2017</v>
      </c>
      <c r="N7" s="280" t="str">
        <f>'Economic Data'!C68&amp;" "&amp;'Economic Data'!B68</f>
        <v>Q2 2017</v>
      </c>
      <c r="O7" s="155">
        <f t="shared" si="5"/>
        <v>2089</v>
      </c>
      <c r="P7">
        <f t="shared" si="6"/>
        <v>41</v>
      </c>
      <c r="Q7">
        <f t="shared" si="12"/>
        <v>0</v>
      </c>
      <c r="R7">
        <f t="shared" si="7"/>
        <v>0</v>
      </c>
      <c r="S7">
        <f t="shared" si="8"/>
        <v>5</v>
      </c>
      <c r="T7">
        <f t="shared" si="9"/>
        <v>5</v>
      </c>
      <c r="U7" s="162">
        <f t="shared" si="10"/>
        <v>10</v>
      </c>
      <c r="V7" s="283">
        <f t="shared" si="13"/>
        <v>2711.666666666667</v>
      </c>
      <c r="W7" s="112">
        <f t="shared" si="14"/>
        <v>54.333333333333329</v>
      </c>
      <c r="X7" s="112">
        <f t="shared" si="15"/>
        <v>0</v>
      </c>
      <c r="Y7" s="112">
        <f t="shared" si="16"/>
        <v>2</v>
      </c>
      <c r="Z7" s="112">
        <f t="shared" si="17"/>
        <v>10.333333333333332</v>
      </c>
      <c r="AA7" s="112">
        <f t="shared" si="18"/>
        <v>4.3333333333333339</v>
      </c>
      <c r="AB7" s="284">
        <f t="shared" si="19"/>
        <v>16.666666666666668</v>
      </c>
      <c r="AE7" t="s">
        <v>300</v>
      </c>
      <c r="AF7">
        <f t="shared" ref="AF7:AF32" si="20">VALUE(RIGHT(AE7,4))</f>
        <v>2017</v>
      </c>
      <c r="AG7" s="4">
        <v>234023</v>
      </c>
      <c r="AH7" s="4">
        <v>78186</v>
      </c>
      <c r="AI7" s="4">
        <v>43864</v>
      </c>
      <c r="AJ7" s="4">
        <v>94987</v>
      </c>
      <c r="AK7" s="4">
        <v>16986</v>
      </c>
      <c r="AL7">
        <v>831</v>
      </c>
      <c r="AM7">
        <v>604</v>
      </c>
      <c r="AN7">
        <v>0</v>
      </c>
      <c r="AO7">
        <v>227</v>
      </c>
      <c r="AP7">
        <v>0</v>
      </c>
      <c r="AQ7" s="4">
        <v>2412</v>
      </c>
      <c r="AR7" s="4">
        <v>1385</v>
      </c>
      <c r="AS7">
        <v>0</v>
      </c>
      <c r="AT7" s="4">
        <v>1027</v>
      </c>
      <c r="AU7">
        <v>0</v>
      </c>
      <c r="AV7" s="4">
        <v>1258</v>
      </c>
      <c r="AW7">
        <v>938</v>
      </c>
      <c r="AX7">
        <v>0</v>
      </c>
      <c r="AY7">
        <v>153</v>
      </c>
      <c r="AZ7">
        <v>167</v>
      </c>
    </row>
    <row r="8" spans="2:52">
      <c r="B8" s="155" t="s">
        <v>306</v>
      </c>
      <c r="C8">
        <f t="shared" si="2"/>
        <v>2018</v>
      </c>
      <c r="D8" s="4">
        <v>6946</v>
      </c>
      <c r="E8">
        <v>89</v>
      </c>
      <c r="F8">
        <v>3</v>
      </c>
      <c r="G8">
        <v>7</v>
      </c>
      <c r="H8">
        <v>6</v>
      </c>
      <c r="I8" s="162">
        <v>15</v>
      </c>
      <c r="J8" s="162">
        <f t="shared" si="3"/>
        <v>31</v>
      </c>
      <c r="L8" s="279">
        <f>'Monthly Data (longer 09-23)'!A103</f>
        <v>42887</v>
      </c>
      <c r="M8" s="229">
        <f t="shared" si="4"/>
        <v>2017</v>
      </c>
      <c r="N8" s="280" t="str">
        <f>'Economic Data'!C69&amp;" "&amp;'Economic Data'!B69</f>
        <v>Q2 2017</v>
      </c>
      <c r="O8" s="155">
        <f t="shared" si="5"/>
        <v>2089</v>
      </c>
      <c r="P8">
        <f t="shared" si="6"/>
        <v>41</v>
      </c>
      <c r="Q8">
        <f t="shared" si="12"/>
        <v>0</v>
      </c>
      <c r="R8">
        <f t="shared" si="7"/>
        <v>0</v>
      </c>
      <c r="S8">
        <f t="shared" si="8"/>
        <v>5</v>
      </c>
      <c r="T8">
        <f t="shared" si="9"/>
        <v>5</v>
      </c>
      <c r="U8" s="162">
        <f t="shared" si="10"/>
        <v>10</v>
      </c>
      <c r="V8" s="283">
        <f t="shared" si="13"/>
        <v>3408.0000000000005</v>
      </c>
      <c r="W8" s="112">
        <f t="shared" si="14"/>
        <v>68</v>
      </c>
      <c r="X8" s="112">
        <f t="shared" si="15"/>
        <v>0</v>
      </c>
      <c r="Y8" s="112">
        <f t="shared" si="16"/>
        <v>2</v>
      </c>
      <c r="Z8" s="112">
        <f t="shared" si="17"/>
        <v>11.999999999999998</v>
      </c>
      <c r="AA8" s="112">
        <f t="shared" si="18"/>
        <v>6.0000000000000009</v>
      </c>
      <c r="AB8" s="284">
        <f t="shared" si="19"/>
        <v>20</v>
      </c>
      <c r="AE8" t="s">
        <v>302</v>
      </c>
      <c r="AF8">
        <f t="shared" si="20"/>
        <v>2017</v>
      </c>
      <c r="AG8" s="4">
        <v>219646</v>
      </c>
      <c r="AH8" s="4">
        <v>70145</v>
      </c>
      <c r="AI8" s="4">
        <v>38983</v>
      </c>
      <c r="AJ8" s="4">
        <v>94541</v>
      </c>
      <c r="AK8" s="4">
        <v>15977</v>
      </c>
      <c r="AL8">
        <v>950</v>
      </c>
      <c r="AM8">
        <v>685</v>
      </c>
      <c r="AN8">
        <v>0</v>
      </c>
      <c r="AO8">
        <v>265</v>
      </c>
      <c r="AP8">
        <v>0</v>
      </c>
      <c r="AQ8" s="4">
        <v>2540</v>
      </c>
      <c r="AR8" s="4">
        <v>1504</v>
      </c>
      <c r="AS8">
        <v>0</v>
      </c>
      <c r="AT8" s="4">
        <v>1036</v>
      </c>
      <c r="AU8">
        <v>0</v>
      </c>
      <c r="AV8" s="4">
        <v>1180</v>
      </c>
      <c r="AW8">
        <v>985</v>
      </c>
      <c r="AX8">
        <v>0</v>
      </c>
      <c r="AY8">
        <v>98</v>
      </c>
      <c r="AZ8">
        <v>97</v>
      </c>
    </row>
    <row r="9" spans="2:52">
      <c r="B9" s="155" t="s">
        <v>307</v>
      </c>
      <c r="C9">
        <f t="shared" si="2"/>
        <v>2018</v>
      </c>
      <c r="D9" s="4">
        <v>5258</v>
      </c>
      <c r="E9">
        <v>57</v>
      </c>
      <c r="F9">
        <v>3</v>
      </c>
      <c r="G9">
        <v>1</v>
      </c>
      <c r="H9">
        <v>7</v>
      </c>
      <c r="I9" s="162">
        <v>5</v>
      </c>
      <c r="J9" s="162">
        <f t="shared" si="3"/>
        <v>16</v>
      </c>
      <c r="L9" s="279">
        <f>'Monthly Data (longer 09-23)'!A104</f>
        <v>42917</v>
      </c>
      <c r="M9" s="229">
        <f t="shared" si="4"/>
        <v>2017</v>
      </c>
      <c r="N9" s="280" t="str">
        <f>'Economic Data'!C70&amp;" "&amp;'Economic Data'!B70</f>
        <v>Q3 2017</v>
      </c>
      <c r="O9" s="155">
        <f t="shared" si="5"/>
        <v>2130</v>
      </c>
      <c r="P9">
        <f t="shared" si="6"/>
        <v>50</v>
      </c>
      <c r="Q9">
        <f t="shared" si="12"/>
        <v>1</v>
      </c>
      <c r="R9">
        <f t="shared" si="7"/>
        <v>2</v>
      </c>
      <c r="S9">
        <f t="shared" si="8"/>
        <v>11</v>
      </c>
      <c r="T9">
        <f t="shared" si="9"/>
        <v>3</v>
      </c>
      <c r="U9" s="162">
        <f t="shared" si="10"/>
        <v>17</v>
      </c>
      <c r="V9" s="283">
        <f t="shared" si="13"/>
        <v>4118</v>
      </c>
      <c r="W9" s="112">
        <f t="shared" si="14"/>
        <v>84.666666666666671</v>
      </c>
      <c r="X9" s="112">
        <f t="shared" si="15"/>
        <v>0.33333333333333331</v>
      </c>
      <c r="Y9" s="112">
        <f t="shared" si="16"/>
        <v>2.6666666666666665</v>
      </c>
      <c r="Z9" s="112">
        <f t="shared" si="17"/>
        <v>15.666666666666664</v>
      </c>
      <c r="AA9" s="112">
        <f t="shared" si="18"/>
        <v>7.0000000000000009</v>
      </c>
      <c r="AB9" s="284">
        <f t="shared" si="19"/>
        <v>25.666666666666668</v>
      </c>
      <c r="AE9" t="s">
        <v>304</v>
      </c>
      <c r="AF9">
        <f t="shared" si="20"/>
        <v>2017</v>
      </c>
      <c r="AG9" s="4">
        <v>179532</v>
      </c>
      <c r="AH9" s="4">
        <v>51455</v>
      </c>
      <c r="AI9" s="4">
        <v>30080</v>
      </c>
      <c r="AJ9" s="4">
        <v>84930</v>
      </c>
      <c r="AK9" s="4">
        <v>13067</v>
      </c>
      <c r="AL9" s="4">
        <v>1187</v>
      </c>
      <c r="AM9">
        <v>829</v>
      </c>
      <c r="AN9">
        <v>0</v>
      </c>
      <c r="AO9">
        <v>358</v>
      </c>
      <c r="AP9">
        <v>0</v>
      </c>
      <c r="AQ9" s="4">
        <v>1998</v>
      </c>
      <c r="AR9" s="4">
        <v>1115</v>
      </c>
      <c r="AS9">
        <v>0</v>
      </c>
      <c r="AT9">
        <v>883</v>
      </c>
      <c r="AU9">
        <v>0</v>
      </c>
      <c r="AV9" s="4">
        <v>1455</v>
      </c>
      <c r="AW9" s="4">
        <v>1109</v>
      </c>
      <c r="AX9">
        <v>0</v>
      </c>
      <c r="AY9">
        <v>97</v>
      </c>
      <c r="AZ9">
        <v>249</v>
      </c>
    </row>
    <row r="10" spans="2:52">
      <c r="B10" s="155" t="s">
        <v>308</v>
      </c>
      <c r="C10">
        <f t="shared" si="2"/>
        <v>2018</v>
      </c>
      <c r="D10" s="4">
        <v>1806</v>
      </c>
      <c r="E10">
        <v>32</v>
      </c>
      <c r="F10">
        <v>0</v>
      </c>
      <c r="G10">
        <v>3</v>
      </c>
      <c r="H10">
        <v>7</v>
      </c>
      <c r="I10" s="162">
        <v>1</v>
      </c>
      <c r="J10" s="162">
        <f t="shared" si="3"/>
        <v>11</v>
      </c>
      <c r="L10" s="279">
        <f>'Monthly Data (longer 09-23)'!A105</f>
        <v>42948</v>
      </c>
      <c r="M10" s="229">
        <f t="shared" si="4"/>
        <v>2017</v>
      </c>
      <c r="N10" s="280" t="str">
        <f>'Economic Data'!C71&amp;" "&amp;'Economic Data'!B71</f>
        <v>Q3 2017</v>
      </c>
      <c r="O10" s="155">
        <f t="shared" si="5"/>
        <v>2130</v>
      </c>
      <c r="P10">
        <f t="shared" si="6"/>
        <v>50</v>
      </c>
      <c r="Q10">
        <f t="shared" si="12"/>
        <v>1</v>
      </c>
      <c r="R10">
        <f t="shared" si="7"/>
        <v>2</v>
      </c>
      <c r="S10">
        <f t="shared" si="8"/>
        <v>11</v>
      </c>
      <c r="T10">
        <f t="shared" si="9"/>
        <v>3</v>
      </c>
      <c r="U10" s="162">
        <f t="shared" si="10"/>
        <v>17</v>
      </c>
      <c r="V10" s="283">
        <f t="shared" si="13"/>
        <v>4828</v>
      </c>
      <c r="W10" s="112">
        <f t="shared" si="14"/>
        <v>101.33333333333334</v>
      </c>
      <c r="X10" s="112">
        <f>Q10/3+X9</f>
        <v>0.66666666666666663</v>
      </c>
      <c r="Y10" s="112">
        <f t="shared" si="16"/>
        <v>3.333333333333333</v>
      </c>
      <c r="Z10" s="112">
        <f t="shared" si="17"/>
        <v>19.333333333333332</v>
      </c>
      <c r="AA10" s="112">
        <f t="shared" si="18"/>
        <v>8</v>
      </c>
      <c r="AB10" s="284">
        <f t="shared" si="19"/>
        <v>31.333333333333336</v>
      </c>
      <c r="AE10" t="s">
        <v>305</v>
      </c>
      <c r="AF10">
        <f t="shared" si="20"/>
        <v>2018</v>
      </c>
      <c r="AG10" s="4">
        <v>165401</v>
      </c>
      <c r="AH10" s="4">
        <v>47845</v>
      </c>
      <c r="AI10" s="4">
        <v>28028</v>
      </c>
      <c r="AJ10" s="4">
        <v>76236</v>
      </c>
      <c r="AK10" s="4">
        <v>13292</v>
      </c>
      <c r="AL10">
        <v>928</v>
      </c>
      <c r="AM10">
        <v>754</v>
      </c>
      <c r="AN10">
        <v>0</v>
      </c>
      <c r="AO10">
        <v>174</v>
      </c>
      <c r="AP10">
        <v>0</v>
      </c>
      <c r="AQ10" s="4">
        <v>1522</v>
      </c>
      <c r="AR10">
        <v>749</v>
      </c>
      <c r="AS10">
        <v>0</v>
      </c>
      <c r="AT10">
        <v>773</v>
      </c>
      <c r="AU10">
        <v>0</v>
      </c>
      <c r="AV10" s="4">
        <v>1820</v>
      </c>
      <c r="AW10" s="4">
        <v>1252</v>
      </c>
      <c r="AX10">
        <v>0</v>
      </c>
      <c r="AY10">
        <v>359</v>
      </c>
      <c r="AZ10">
        <v>209</v>
      </c>
    </row>
    <row r="11" spans="2:52">
      <c r="B11" s="155" t="s">
        <v>309</v>
      </c>
      <c r="C11">
        <f t="shared" si="2"/>
        <v>2019</v>
      </c>
      <c r="D11" s="4">
        <v>1342</v>
      </c>
      <c r="E11">
        <v>17</v>
      </c>
      <c r="F11">
        <v>0</v>
      </c>
      <c r="G11">
        <v>1</v>
      </c>
      <c r="H11">
        <v>2</v>
      </c>
      <c r="I11" s="162">
        <v>1</v>
      </c>
      <c r="J11" s="162">
        <f t="shared" si="3"/>
        <v>4</v>
      </c>
      <c r="L11" s="279">
        <f>'Monthly Data (longer 09-23)'!A106</f>
        <v>42979</v>
      </c>
      <c r="M11" s="229">
        <f t="shared" si="4"/>
        <v>2017</v>
      </c>
      <c r="N11" s="280" t="str">
        <f>'Economic Data'!C72&amp;" "&amp;'Economic Data'!B72</f>
        <v>Q3 2017</v>
      </c>
      <c r="O11" s="155">
        <f t="shared" si="5"/>
        <v>2130</v>
      </c>
      <c r="P11">
        <f t="shared" si="6"/>
        <v>50</v>
      </c>
      <c r="Q11">
        <f t="shared" si="12"/>
        <v>1</v>
      </c>
      <c r="R11">
        <f t="shared" si="7"/>
        <v>2</v>
      </c>
      <c r="S11">
        <f t="shared" si="8"/>
        <v>11</v>
      </c>
      <c r="T11">
        <f t="shared" si="9"/>
        <v>3</v>
      </c>
      <c r="U11" s="162">
        <f t="shared" si="10"/>
        <v>17</v>
      </c>
      <c r="V11" s="283">
        <f t="shared" si="13"/>
        <v>5538</v>
      </c>
      <c r="W11" s="112">
        <f t="shared" si="14"/>
        <v>118.00000000000001</v>
      </c>
      <c r="X11" s="112">
        <f>Q11/3+X10</f>
        <v>1</v>
      </c>
      <c r="Y11" s="112">
        <f t="shared" si="16"/>
        <v>3.9999999999999996</v>
      </c>
      <c r="Z11" s="112">
        <f t="shared" si="17"/>
        <v>23</v>
      </c>
      <c r="AA11" s="112">
        <f t="shared" si="18"/>
        <v>9</v>
      </c>
      <c r="AB11" s="284">
        <f t="shared" si="19"/>
        <v>37</v>
      </c>
      <c r="AE11" t="s">
        <v>306</v>
      </c>
      <c r="AF11">
        <f t="shared" si="20"/>
        <v>2018</v>
      </c>
      <c r="AG11" s="4">
        <v>239898</v>
      </c>
      <c r="AH11" s="4">
        <v>77454</v>
      </c>
      <c r="AI11" s="4">
        <v>41155</v>
      </c>
      <c r="AJ11" s="4">
        <v>105166</v>
      </c>
      <c r="AK11" s="4">
        <v>16123</v>
      </c>
      <c r="AL11" s="4">
        <v>3615</v>
      </c>
      <c r="AM11" s="4">
        <v>3303</v>
      </c>
      <c r="AN11">
        <v>0</v>
      </c>
      <c r="AO11">
        <v>312</v>
      </c>
      <c r="AP11">
        <v>0</v>
      </c>
      <c r="AQ11" s="4">
        <v>2759</v>
      </c>
      <c r="AR11" s="4">
        <v>1464</v>
      </c>
      <c r="AS11">
        <v>0</v>
      </c>
      <c r="AT11" s="4">
        <v>1295</v>
      </c>
      <c r="AU11">
        <v>0</v>
      </c>
      <c r="AV11" s="4">
        <v>3331</v>
      </c>
      <c r="AW11" s="4">
        <v>2216</v>
      </c>
      <c r="AX11">
        <v>0</v>
      </c>
      <c r="AY11">
        <v>707</v>
      </c>
      <c r="AZ11">
        <v>408</v>
      </c>
    </row>
    <row r="12" spans="2:52">
      <c r="B12" s="155" t="s">
        <v>310</v>
      </c>
      <c r="C12">
        <f t="shared" si="2"/>
        <v>2019</v>
      </c>
      <c r="D12" s="4">
        <v>2878</v>
      </c>
      <c r="E12">
        <v>36</v>
      </c>
      <c r="F12">
        <v>1</v>
      </c>
      <c r="G12">
        <v>2</v>
      </c>
      <c r="H12">
        <v>7</v>
      </c>
      <c r="I12" s="162">
        <v>2</v>
      </c>
      <c r="J12" s="162">
        <f t="shared" si="3"/>
        <v>12</v>
      </c>
      <c r="L12" s="279">
        <f>'Monthly Data (longer 09-23)'!A107</f>
        <v>43009</v>
      </c>
      <c r="M12" s="229">
        <f t="shared" si="4"/>
        <v>2017</v>
      </c>
      <c r="N12" s="280" t="str">
        <f>'Economic Data'!C73&amp;" "&amp;'Economic Data'!B73</f>
        <v>Q4 2017</v>
      </c>
      <c r="O12" s="155">
        <f t="shared" si="5"/>
        <v>2642</v>
      </c>
      <c r="P12">
        <f t="shared" si="6"/>
        <v>67</v>
      </c>
      <c r="Q12">
        <f t="shared" si="12"/>
        <v>0</v>
      </c>
      <c r="R12">
        <f t="shared" si="7"/>
        <v>3</v>
      </c>
      <c r="S12">
        <f t="shared" si="8"/>
        <v>7</v>
      </c>
      <c r="T12">
        <f t="shared" si="9"/>
        <v>5</v>
      </c>
      <c r="U12" s="162">
        <f t="shared" si="10"/>
        <v>15</v>
      </c>
      <c r="V12" s="283">
        <f t="shared" si="13"/>
        <v>6418.666666666667</v>
      </c>
      <c r="W12" s="112">
        <f t="shared" si="14"/>
        <v>140.33333333333334</v>
      </c>
      <c r="X12" s="112">
        <f>Q12/3+X11</f>
        <v>1</v>
      </c>
      <c r="Y12" s="112">
        <f t="shared" si="16"/>
        <v>5</v>
      </c>
      <c r="Z12" s="112">
        <f t="shared" si="17"/>
        <v>25.333333333333332</v>
      </c>
      <c r="AA12" s="112">
        <f t="shared" si="18"/>
        <v>10.666666666666666</v>
      </c>
      <c r="AB12" s="284">
        <f t="shared" si="19"/>
        <v>42</v>
      </c>
      <c r="AE12" t="s">
        <v>307</v>
      </c>
      <c r="AF12">
        <f t="shared" si="20"/>
        <v>2018</v>
      </c>
      <c r="AG12" s="4">
        <v>218772</v>
      </c>
      <c r="AH12" s="4">
        <v>65753</v>
      </c>
      <c r="AI12" s="4">
        <v>36873</v>
      </c>
      <c r="AJ12" s="4">
        <v>101715</v>
      </c>
      <c r="AK12" s="4">
        <v>14431</v>
      </c>
      <c r="AL12" s="4">
        <v>2476</v>
      </c>
      <c r="AM12" s="4">
        <v>2212</v>
      </c>
      <c r="AN12">
        <v>0</v>
      </c>
      <c r="AO12">
        <v>264</v>
      </c>
      <c r="AP12">
        <v>0</v>
      </c>
      <c r="AQ12" s="4">
        <v>2598</v>
      </c>
      <c r="AR12" s="4">
        <v>1342</v>
      </c>
      <c r="AS12">
        <v>0</v>
      </c>
      <c r="AT12" s="4">
        <v>1256</v>
      </c>
      <c r="AU12">
        <v>0</v>
      </c>
      <c r="AV12" s="4">
        <v>2782</v>
      </c>
      <c r="AW12" s="4">
        <v>1679</v>
      </c>
      <c r="AX12">
        <v>0</v>
      </c>
      <c r="AY12">
        <v>890</v>
      </c>
      <c r="AZ12">
        <v>213</v>
      </c>
    </row>
    <row r="13" spans="2:52">
      <c r="B13" s="155" t="s">
        <v>311</v>
      </c>
      <c r="C13">
        <f t="shared" si="2"/>
        <v>2019</v>
      </c>
      <c r="D13" s="4">
        <v>3148</v>
      </c>
      <c r="E13">
        <v>37</v>
      </c>
      <c r="F13">
        <v>1</v>
      </c>
      <c r="G13">
        <v>1</v>
      </c>
      <c r="H13">
        <v>5</v>
      </c>
      <c r="I13" s="162">
        <v>3</v>
      </c>
      <c r="J13" s="162">
        <f t="shared" si="3"/>
        <v>10</v>
      </c>
      <c r="L13" s="279">
        <f>'Monthly Data (longer 09-23)'!A108</f>
        <v>43040</v>
      </c>
      <c r="M13" s="229">
        <f t="shared" si="4"/>
        <v>2017</v>
      </c>
      <c r="N13" s="280" t="str">
        <f>'Economic Data'!C74&amp;" "&amp;'Economic Data'!B74</f>
        <v>Q4 2017</v>
      </c>
      <c r="O13" s="155">
        <f t="shared" si="5"/>
        <v>2642</v>
      </c>
      <c r="P13">
        <f t="shared" si="6"/>
        <v>67</v>
      </c>
      <c r="Q13">
        <f t="shared" si="12"/>
        <v>0</v>
      </c>
      <c r="R13">
        <f t="shared" si="7"/>
        <v>3</v>
      </c>
      <c r="S13">
        <f t="shared" si="8"/>
        <v>7</v>
      </c>
      <c r="T13">
        <f t="shared" si="9"/>
        <v>5</v>
      </c>
      <c r="U13" s="162">
        <f t="shared" si="10"/>
        <v>15</v>
      </c>
      <c r="V13" s="283">
        <f t="shared" si="13"/>
        <v>7299.3333333333339</v>
      </c>
      <c r="W13" s="112">
        <f t="shared" si="14"/>
        <v>162.66666666666669</v>
      </c>
      <c r="X13" s="112">
        <f t="shared" si="15"/>
        <v>1</v>
      </c>
      <c r="Y13" s="112">
        <f t="shared" si="16"/>
        <v>6</v>
      </c>
      <c r="Z13" s="112">
        <f t="shared" si="17"/>
        <v>27.666666666666664</v>
      </c>
      <c r="AA13" s="112">
        <f t="shared" si="18"/>
        <v>12.333333333333332</v>
      </c>
      <c r="AB13" s="284">
        <f t="shared" si="19"/>
        <v>47</v>
      </c>
      <c r="AE13" t="s">
        <v>308</v>
      </c>
      <c r="AF13">
        <f t="shared" si="20"/>
        <v>2018</v>
      </c>
      <c r="AG13" s="4">
        <v>174495</v>
      </c>
      <c r="AH13" s="4">
        <v>49473</v>
      </c>
      <c r="AI13" s="4">
        <v>29305</v>
      </c>
      <c r="AJ13" s="4">
        <v>85107</v>
      </c>
      <c r="AK13" s="4">
        <v>10610</v>
      </c>
      <c r="AL13" s="4">
        <v>1195</v>
      </c>
      <c r="AM13" s="4">
        <v>1042</v>
      </c>
      <c r="AN13">
        <v>0</v>
      </c>
      <c r="AO13">
        <v>153</v>
      </c>
      <c r="AP13">
        <v>0</v>
      </c>
      <c r="AQ13" s="4">
        <v>2393</v>
      </c>
      <c r="AR13" s="4">
        <v>1176</v>
      </c>
      <c r="AS13">
        <v>0</v>
      </c>
      <c r="AT13" s="4">
        <v>1217</v>
      </c>
      <c r="AU13">
        <v>0</v>
      </c>
      <c r="AV13">
        <v>611</v>
      </c>
      <c r="AW13">
        <v>370</v>
      </c>
      <c r="AX13">
        <v>0</v>
      </c>
      <c r="AY13">
        <v>196</v>
      </c>
      <c r="AZ13">
        <v>45</v>
      </c>
    </row>
    <row r="14" spans="2:52">
      <c r="B14" s="155" t="s">
        <v>312</v>
      </c>
      <c r="C14">
        <f t="shared" si="2"/>
        <v>2019</v>
      </c>
      <c r="D14" s="4">
        <v>2394</v>
      </c>
      <c r="E14">
        <v>27</v>
      </c>
      <c r="F14">
        <v>3</v>
      </c>
      <c r="G14">
        <v>1</v>
      </c>
      <c r="H14">
        <v>5</v>
      </c>
      <c r="I14" s="162">
        <v>1</v>
      </c>
      <c r="J14" s="162">
        <f t="shared" si="3"/>
        <v>10</v>
      </c>
      <c r="L14" s="279">
        <f>'Monthly Data (longer 09-23)'!A109</f>
        <v>43070</v>
      </c>
      <c r="M14" s="229">
        <f t="shared" si="4"/>
        <v>2017</v>
      </c>
      <c r="N14" s="280" t="str">
        <f>'Economic Data'!C75&amp;" "&amp;'Economic Data'!B75</f>
        <v>Q4 2017</v>
      </c>
      <c r="O14" s="155">
        <f t="shared" si="5"/>
        <v>2642</v>
      </c>
      <c r="P14">
        <f t="shared" si="6"/>
        <v>67</v>
      </c>
      <c r="Q14">
        <f t="shared" si="12"/>
        <v>0</v>
      </c>
      <c r="R14">
        <f t="shared" si="7"/>
        <v>3</v>
      </c>
      <c r="S14">
        <f t="shared" si="8"/>
        <v>7</v>
      </c>
      <c r="T14">
        <f t="shared" si="9"/>
        <v>5</v>
      </c>
      <c r="U14" s="162">
        <f t="shared" si="10"/>
        <v>15</v>
      </c>
      <c r="V14" s="283">
        <f t="shared" si="13"/>
        <v>8180.0000000000009</v>
      </c>
      <c r="W14" s="112">
        <f t="shared" si="14"/>
        <v>185.00000000000003</v>
      </c>
      <c r="X14" s="112">
        <f t="shared" si="15"/>
        <v>1</v>
      </c>
      <c r="Y14" s="112">
        <f t="shared" si="16"/>
        <v>7</v>
      </c>
      <c r="Z14" s="112">
        <f t="shared" si="17"/>
        <v>29.999999999999996</v>
      </c>
      <c r="AA14" s="112">
        <f t="shared" si="18"/>
        <v>13.999999999999998</v>
      </c>
      <c r="AB14" s="284">
        <f t="shared" si="19"/>
        <v>52</v>
      </c>
      <c r="AE14" t="s">
        <v>309</v>
      </c>
      <c r="AF14">
        <f t="shared" si="20"/>
        <v>2019</v>
      </c>
      <c r="AG14" s="4">
        <v>168957</v>
      </c>
      <c r="AH14" s="4">
        <v>44428</v>
      </c>
      <c r="AI14" s="4">
        <v>28460</v>
      </c>
      <c r="AJ14" s="4">
        <v>83778</v>
      </c>
      <c r="AK14" s="4">
        <v>12291</v>
      </c>
      <c r="AL14">
        <v>849</v>
      </c>
      <c r="AM14">
        <v>564</v>
      </c>
      <c r="AN14">
        <v>0</v>
      </c>
      <c r="AO14">
        <v>285</v>
      </c>
      <c r="AP14">
        <v>0</v>
      </c>
      <c r="AQ14" s="4">
        <v>2648</v>
      </c>
      <c r="AR14" s="4">
        <v>1907</v>
      </c>
      <c r="AS14">
        <v>0</v>
      </c>
      <c r="AT14">
        <v>741</v>
      </c>
      <c r="AU14">
        <v>0</v>
      </c>
      <c r="AV14">
        <v>493</v>
      </c>
      <c r="AW14">
        <v>280</v>
      </c>
      <c r="AX14">
        <v>0</v>
      </c>
      <c r="AY14">
        <v>189</v>
      </c>
      <c r="AZ14">
        <v>24</v>
      </c>
    </row>
    <row r="15" spans="2:52">
      <c r="B15" s="155" t="s">
        <v>313</v>
      </c>
      <c r="C15">
        <f t="shared" si="2"/>
        <v>2020</v>
      </c>
      <c r="D15" s="4">
        <v>2102</v>
      </c>
      <c r="E15">
        <v>27</v>
      </c>
      <c r="F15">
        <v>1</v>
      </c>
      <c r="G15">
        <v>1</v>
      </c>
      <c r="H15">
        <v>7</v>
      </c>
      <c r="I15" s="162">
        <v>7</v>
      </c>
      <c r="J15" s="162">
        <f t="shared" si="3"/>
        <v>16</v>
      </c>
      <c r="L15" s="279">
        <f>'Monthly Data (longer 09-23)'!A110</f>
        <v>43101</v>
      </c>
      <c r="M15" s="229">
        <f t="shared" si="4"/>
        <v>2018</v>
      </c>
      <c r="N15" s="280" t="str">
        <f>'Economic Data'!C76&amp;" "&amp;'Economic Data'!B76</f>
        <v>Q1 2018</v>
      </c>
      <c r="O15" s="155">
        <f t="shared" si="5"/>
        <v>2748</v>
      </c>
      <c r="P15">
        <f t="shared" si="6"/>
        <v>50</v>
      </c>
      <c r="Q15">
        <f t="shared" si="12"/>
        <v>2</v>
      </c>
      <c r="R15">
        <f t="shared" si="7"/>
        <v>4</v>
      </c>
      <c r="S15">
        <f t="shared" si="8"/>
        <v>3</v>
      </c>
      <c r="T15">
        <f t="shared" si="9"/>
        <v>2</v>
      </c>
      <c r="U15" s="162">
        <f t="shared" si="10"/>
        <v>11</v>
      </c>
      <c r="V15" s="283">
        <f t="shared" si="13"/>
        <v>9096</v>
      </c>
      <c r="W15" s="112">
        <f t="shared" si="14"/>
        <v>201.66666666666669</v>
      </c>
      <c r="X15" s="112">
        <f t="shared" si="15"/>
        <v>1.6666666666666665</v>
      </c>
      <c r="Y15" s="112">
        <f t="shared" si="16"/>
        <v>8.3333333333333339</v>
      </c>
      <c r="Z15" s="112">
        <f t="shared" si="17"/>
        <v>30.999999999999996</v>
      </c>
      <c r="AA15" s="112">
        <f t="shared" si="18"/>
        <v>14.666666666666664</v>
      </c>
      <c r="AB15" s="284">
        <f t="shared" si="19"/>
        <v>55.666666666666664</v>
      </c>
      <c r="AE15" t="s">
        <v>310</v>
      </c>
      <c r="AF15">
        <f t="shared" si="20"/>
        <v>2019</v>
      </c>
      <c r="AG15" s="4">
        <v>222798</v>
      </c>
      <c r="AH15" s="4">
        <v>62600</v>
      </c>
      <c r="AI15" s="4">
        <v>40636</v>
      </c>
      <c r="AJ15" s="4">
        <v>105628</v>
      </c>
      <c r="AK15" s="4">
        <v>13934</v>
      </c>
      <c r="AL15" s="4">
        <v>1994</v>
      </c>
      <c r="AM15" s="4">
        <v>1658</v>
      </c>
      <c r="AN15">
        <v>0</v>
      </c>
      <c r="AO15">
        <v>336</v>
      </c>
      <c r="AP15">
        <v>0</v>
      </c>
      <c r="AQ15" s="4">
        <v>4327</v>
      </c>
      <c r="AR15" s="4">
        <v>1862</v>
      </c>
      <c r="AS15">
        <v>0</v>
      </c>
      <c r="AT15" s="4">
        <v>2465</v>
      </c>
      <c r="AU15">
        <v>0</v>
      </c>
      <c r="AV15">
        <v>884</v>
      </c>
      <c r="AW15">
        <v>498</v>
      </c>
      <c r="AX15">
        <v>0</v>
      </c>
      <c r="AY15">
        <v>349</v>
      </c>
      <c r="AZ15">
        <v>37</v>
      </c>
    </row>
    <row r="16" spans="2:52">
      <c r="B16" s="155" t="s">
        <v>314</v>
      </c>
      <c r="C16">
        <f t="shared" si="2"/>
        <v>2020</v>
      </c>
      <c r="D16" s="4">
        <v>1640</v>
      </c>
      <c r="E16">
        <v>20</v>
      </c>
      <c r="F16">
        <v>1</v>
      </c>
      <c r="G16">
        <v>0</v>
      </c>
      <c r="H16">
        <v>2</v>
      </c>
      <c r="I16" s="162">
        <v>3</v>
      </c>
      <c r="J16" s="162">
        <f t="shared" si="3"/>
        <v>6</v>
      </c>
      <c r="L16" s="279">
        <f>'Monthly Data (longer 09-23)'!A111</f>
        <v>43132</v>
      </c>
      <c r="M16" s="229">
        <f t="shared" si="4"/>
        <v>2018</v>
      </c>
      <c r="N16" s="280" t="str">
        <f>'Economic Data'!C77&amp;" "&amp;'Economic Data'!B77</f>
        <v>Q1 2018</v>
      </c>
      <c r="O16" s="155">
        <f t="shared" si="5"/>
        <v>2748</v>
      </c>
      <c r="P16">
        <f t="shared" si="6"/>
        <v>50</v>
      </c>
      <c r="Q16">
        <f t="shared" si="12"/>
        <v>2</v>
      </c>
      <c r="R16">
        <f t="shared" si="7"/>
        <v>4</v>
      </c>
      <c r="S16">
        <f t="shared" si="8"/>
        <v>3</v>
      </c>
      <c r="T16">
        <f t="shared" si="9"/>
        <v>2</v>
      </c>
      <c r="U16" s="162">
        <f t="shared" si="10"/>
        <v>11</v>
      </c>
      <c r="V16" s="283">
        <f t="shared" si="13"/>
        <v>10012</v>
      </c>
      <c r="W16" s="112">
        <f t="shared" si="14"/>
        <v>218.33333333333334</v>
      </c>
      <c r="X16" s="112">
        <f t="shared" si="15"/>
        <v>2.333333333333333</v>
      </c>
      <c r="Y16" s="112">
        <f t="shared" si="16"/>
        <v>9.6666666666666679</v>
      </c>
      <c r="Z16" s="112">
        <f t="shared" si="17"/>
        <v>31.999999999999996</v>
      </c>
      <c r="AA16" s="112">
        <f t="shared" si="18"/>
        <v>15.33333333333333</v>
      </c>
      <c r="AB16" s="284">
        <f t="shared" si="19"/>
        <v>59.333333333333329</v>
      </c>
      <c r="AE16" t="s">
        <v>311</v>
      </c>
      <c r="AF16">
        <f t="shared" si="20"/>
        <v>2019</v>
      </c>
      <c r="AG16" s="4">
        <v>219577</v>
      </c>
      <c r="AH16" s="4">
        <v>56213</v>
      </c>
      <c r="AI16" s="4">
        <v>42340</v>
      </c>
      <c r="AJ16" s="4">
        <v>108105</v>
      </c>
      <c r="AK16" s="4">
        <v>12919</v>
      </c>
      <c r="AL16" s="4">
        <v>2180</v>
      </c>
      <c r="AM16" s="4">
        <v>1844</v>
      </c>
      <c r="AN16">
        <v>0</v>
      </c>
      <c r="AO16">
        <v>336</v>
      </c>
      <c r="AP16">
        <v>0</v>
      </c>
      <c r="AQ16" s="4">
        <v>3982</v>
      </c>
      <c r="AR16" s="4">
        <v>2150</v>
      </c>
      <c r="AS16">
        <v>0</v>
      </c>
      <c r="AT16" s="4">
        <v>1832</v>
      </c>
      <c r="AU16">
        <v>0</v>
      </c>
      <c r="AV16">
        <v>968</v>
      </c>
      <c r="AW16">
        <v>644</v>
      </c>
      <c r="AX16">
        <v>0</v>
      </c>
      <c r="AY16">
        <v>306</v>
      </c>
      <c r="AZ16">
        <v>18</v>
      </c>
    </row>
    <row r="17" spans="2:52">
      <c r="B17" s="155" t="s">
        <v>315</v>
      </c>
      <c r="C17">
        <f t="shared" si="2"/>
        <v>2020</v>
      </c>
      <c r="D17" s="4">
        <v>3296</v>
      </c>
      <c r="E17">
        <v>43</v>
      </c>
      <c r="F17">
        <v>3</v>
      </c>
      <c r="G17">
        <v>1</v>
      </c>
      <c r="H17">
        <v>5</v>
      </c>
      <c r="I17" s="162">
        <v>7</v>
      </c>
      <c r="J17" s="162">
        <f t="shared" si="3"/>
        <v>16</v>
      </c>
      <c r="L17" s="279">
        <f>'Monthly Data (longer 09-23)'!A112</f>
        <v>43160</v>
      </c>
      <c r="M17" s="229">
        <f t="shared" si="4"/>
        <v>2018</v>
      </c>
      <c r="N17" s="280" t="str">
        <f>'Economic Data'!C78&amp;" "&amp;'Economic Data'!B78</f>
        <v>Q1 2018</v>
      </c>
      <c r="O17" s="155">
        <f t="shared" si="5"/>
        <v>2748</v>
      </c>
      <c r="P17">
        <f t="shared" si="6"/>
        <v>50</v>
      </c>
      <c r="Q17">
        <f t="shared" si="12"/>
        <v>2</v>
      </c>
      <c r="R17">
        <f t="shared" si="7"/>
        <v>4</v>
      </c>
      <c r="S17">
        <f t="shared" si="8"/>
        <v>3</v>
      </c>
      <c r="T17">
        <f t="shared" si="9"/>
        <v>2</v>
      </c>
      <c r="U17" s="162">
        <f t="shared" si="10"/>
        <v>11</v>
      </c>
      <c r="V17" s="283">
        <f t="shared" si="13"/>
        <v>10928</v>
      </c>
      <c r="W17" s="112">
        <f t="shared" si="14"/>
        <v>235</v>
      </c>
      <c r="X17" s="112">
        <f t="shared" si="15"/>
        <v>2.9999999999999996</v>
      </c>
      <c r="Y17" s="112">
        <f t="shared" si="16"/>
        <v>11.000000000000002</v>
      </c>
      <c r="Z17" s="112">
        <f t="shared" si="17"/>
        <v>33</v>
      </c>
      <c r="AA17" s="112">
        <f t="shared" si="18"/>
        <v>15.999999999999996</v>
      </c>
      <c r="AB17" s="284">
        <f t="shared" si="19"/>
        <v>62.999999999999993</v>
      </c>
      <c r="AE17" t="s">
        <v>312</v>
      </c>
      <c r="AF17">
        <f t="shared" si="20"/>
        <v>2019</v>
      </c>
      <c r="AG17" s="4">
        <v>184747</v>
      </c>
      <c r="AH17" s="4">
        <v>42523</v>
      </c>
      <c r="AI17" s="4">
        <v>33225</v>
      </c>
      <c r="AJ17" s="4">
        <v>98451</v>
      </c>
      <c r="AK17" s="4">
        <v>10548</v>
      </c>
      <c r="AL17" s="4">
        <v>1538</v>
      </c>
      <c r="AM17" s="4">
        <v>1194</v>
      </c>
      <c r="AN17">
        <v>0</v>
      </c>
      <c r="AO17">
        <v>344</v>
      </c>
      <c r="AP17">
        <v>0</v>
      </c>
      <c r="AQ17" s="4">
        <v>3507</v>
      </c>
      <c r="AR17" s="4">
        <v>1792</v>
      </c>
      <c r="AS17">
        <v>0</v>
      </c>
      <c r="AT17" s="4">
        <v>1715</v>
      </c>
      <c r="AU17">
        <v>0</v>
      </c>
      <c r="AV17">
        <v>856</v>
      </c>
      <c r="AW17">
        <v>442</v>
      </c>
      <c r="AX17">
        <v>0</v>
      </c>
      <c r="AY17">
        <v>401</v>
      </c>
      <c r="AZ17">
        <v>13</v>
      </c>
    </row>
    <row r="18" spans="2:52">
      <c r="B18" s="155" t="s">
        <v>316</v>
      </c>
      <c r="C18">
        <f t="shared" si="2"/>
        <v>2020</v>
      </c>
      <c r="D18" s="4">
        <v>3477</v>
      </c>
      <c r="E18">
        <v>39</v>
      </c>
      <c r="F18">
        <v>1</v>
      </c>
      <c r="G18">
        <v>1</v>
      </c>
      <c r="H18">
        <v>5</v>
      </c>
      <c r="I18" s="162">
        <v>7</v>
      </c>
      <c r="J18" s="162">
        <f t="shared" si="3"/>
        <v>14</v>
      </c>
      <c r="L18" s="279">
        <f>'Monthly Data (longer 09-23)'!A113</f>
        <v>43191</v>
      </c>
      <c r="M18" s="229">
        <f t="shared" si="4"/>
        <v>2018</v>
      </c>
      <c r="N18" s="280" t="str">
        <f>'Economic Data'!C79&amp;" "&amp;'Economic Data'!B79</f>
        <v>Q2 2018</v>
      </c>
      <c r="O18" s="155">
        <f t="shared" si="5"/>
        <v>6946</v>
      </c>
      <c r="P18">
        <f t="shared" si="6"/>
        <v>89</v>
      </c>
      <c r="Q18">
        <f t="shared" si="12"/>
        <v>3</v>
      </c>
      <c r="R18">
        <f t="shared" si="7"/>
        <v>7</v>
      </c>
      <c r="S18">
        <f t="shared" si="8"/>
        <v>6</v>
      </c>
      <c r="T18">
        <f t="shared" si="9"/>
        <v>15</v>
      </c>
      <c r="U18" s="162">
        <f t="shared" si="10"/>
        <v>31</v>
      </c>
      <c r="V18" s="283">
        <f t="shared" si="13"/>
        <v>13243.333333333334</v>
      </c>
      <c r="W18" s="112">
        <f t="shared" si="14"/>
        <v>264.66666666666669</v>
      </c>
      <c r="X18" s="112">
        <f t="shared" si="15"/>
        <v>3.9999999999999996</v>
      </c>
      <c r="Y18" s="112">
        <f t="shared" si="16"/>
        <v>13.333333333333336</v>
      </c>
      <c r="Z18" s="112">
        <f t="shared" si="17"/>
        <v>35</v>
      </c>
      <c r="AA18" s="112">
        <f t="shared" si="18"/>
        <v>20.999999999999996</v>
      </c>
      <c r="AB18" s="284">
        <f t="shared" si="19"/>
        <v>73.333333333333329</v>
      </c>
      <c r="AE18" t="s">
        <v>313</v>
      </c>
      <c r="AF18">
        <f t="shared" si="20"/>
        <v>2020</v>
      </c>
      <c r="AG18" s="4">
        <v>139116</v>
      </c>
      <c r="AH18" s="4">
        <v>30723</v>
      </c>
      <c r="AI18" s="4">
        <v>30242</v>
      </c>
      <c r="AJ18" s="4">
        <v>69100</v>
      </c>
      <c r="AK18" s="4">
        <v>9051</v>
      </c>
      <c r="AL18" s="4">
        <v>1554</v>
      </c>
      <c r="AM18" s="4">
        <v>1259</v>
      </c>
      <c r="AN18">
        <v>0</v>
      </c>
      <c r="AO18">
        <v>295</v>
      </c>
      <c r="AP18">
        <v>0</v>
      </c>
      <c r="AQ18" s="4">
        <v>3365</v>
      </c>
      <c r="AR18" s="4">
        <v>1523</v>
      </c>
      <c r="AS18">
        <v>0</v>
      </c>
      <c r="AT18" s="4">
        <v>1842</v>
      </c>
      <c r="AU18">
        <v>0</v>
      </c>
      <c r="AV18">
        <v>548</v>
      </c>
      <c r="AW18">
        <v>280</v>
      </c>
      <c r="AX18">
        <v>0</v>
      </c>
      <c r="AY18">
        <v>228</v>
      </c>
      <c r="AZ18">
        <v>40</v>
      </c>
    </row>
    <row r="19" spans="2:52">
      <c r="B19" s="155" t="s">
        <v>317</v>
      </c>
      <c r="C19">
        <f t="shared" si="2"/>
        <v>2021</v>
      </c>
      <c r="D19" s="4">
        <v>3329</v>
      </c>
      <c r="E19">
        <v>55</v>
      </c>
      <c r="F19">
        <v>2</v>
      </c>
      <c r="G19">
        <v>4</v>
      </c>
      <c r="H19">
        <v>6</v>
      </c>
      <c r="I19" s="162">
        <v>5</v>
      </c>
      <c r="J19" s="162">
        <f t="shared" si="3"/>
        <v>17</v>
      </c>
      <c r="L19" s="279">
        <f>'Monthly Data (longer 09-23)'!A114</f>
        <v>43221</v>
      </c>
      <c r="M19" s="229">
        <f t="shared" si="4"/>
        <v>2018</v>
      </c>
      <c r="N19" s="280" t="str">
        <f>'Economic Data'!C80&amp;" "&amp;'Economic Data'!B80</f>
        <v>Q2 2018</v>
      </c>
      <c r="O19" s="155">
        <f t="shared" si="5"/>
        <v>6946</v>
      </c>
      <c r="P19">
        <f t="shared" si="6"/>
        <v>89</v>
      </c>
      <c r="Q19">
        <f t="shared" si="12"/>
        <v>3</v>
      </c>
      <c r="R19">
        <f t="shared" si="7"/>
        <v>7</v>
      </c>
      <c r="S19">
        <f t="shared" si="8"/>
        <v>6</v>
      </c>
      <c r="T19">
        <f t="shared" si="9"/>
        <v>15</v>
      </c>
      <c r="U19" s="162">
        <f t="shared" si="10"/>
        <v>31</v>
      </c>
      <c r="V19" s="283">
        <f t="shared" si="13"/>
        <v>15558.666666666668</v>
      </c>
      <c r="W19" s="112">
        <f t="shared" si="14"/>
        <v>294.33333333333337</v>
      </c>
      <c r="X19" s="112">
        <f t="shared" si="15"/>
        <v>5</v>
      </c>
      <c r="Y19" s="112">
        <f t="shared" si="16"/>
        <v>15.66666666666667</v>
      </c>
      <c r="Z19" s="112">
        <f t="shared" si="17"/>
        <v>37</v>
      </c>
      <c r="AA19" s="112">
        <f t="shared" si="18"/>
        <v>25.999999999999996</v>
      </c>
      <c r="AB19" s="284">
        <f t="shared" si="19"/>
        <v>83.666666666666657</v>
      </c>
      <c r="AE19" t="s">
        <v>314</v>
      </c>
      <c r="AF19">
        <f t="shared" si="20"/>
        <v>2020</v>
      </c>
      <c r="AG19" s="4">
        <v>109197</v>
      </c>
      <c r="AH19" s="4">
        <v>23550</v>
      </c>
      <c r="AI19" s="4">
        <v>25679</v>
      </c>
      <c r="AJ19" s="4">
        <v>53780</v>
      </c>
      <c r="AK19" s="4">
        <v>6188</v>
      </c>
      <c r="AL19" s="4">
        <v>1217</v>
      </c>
      <c r="AM19">
        <v>819</v>
      </c>
      <c r="AN19">
        <v>0</v>
      </c>
      <c r="AO19">
        <v>398</v>
      </c>
      <c r="AP19">
        <v>0</v>
      </c>
      <c r="AQ19" s="4">
        <v>2612</v>
      </c>
      <c r="AR19">
        <v>978</v>
      </c>
      <c r="AS19">
        <v>0</v>
      </c>
      <c r="AT19" s="4">
        <v>1634</v>
      </c>
      <c r="AU19">
        <v>0</v>
      </c>
      <c r="AV19">
        <v>423</v>
      </c>
      <c r="AW19">
        <v>191</v>
      </c>
      <c r="AX19">
        <v>0</v>
      </c>
      <c r="AY19">
        <v>211</v>
      </c>
      <c r="AZ19">
        <v>21</v>
      </c>
    </row>
    <row r="20" spans="2:52">
      <c r="B20" s="155" t="s">
        <v>318</v>
      </c>
      <c r="C20">
        <f t="shared" si="2"/>
        <v>2021</v>
      </c>
      <c r="D20" s="4">
        <v>5096</v>
      </c>
      <c r="E20">
        <v>76</v>
      </c>
      <c r="F20">
        <v>5</v>
      </c>
      <c r="G20">
        <v>5</v>
      </c>
      <c r="H20">
        <v>11</v>
      </c>
      <c r="I20" s="162">
        <v>13</v>
      </c>
      <c r="J20" s="162">
        <f t="shared" si="3"/>
        <v>34</v>
      </c>
      <c r="L20" s="279">
        <f>'Monthly Data (longer 09-23)'!A115</f>
        <v>43252</v>
      </c>
      <c r="M20" s="229">
        <f t="shared" si="4"/>
        <v>2018</v>
      </c>
      <c r="N20" s="280" t="str">
        <f>'Economic Data'!C81&amp;" "&amp;'Economic Data'!B81</f>
        <v>Q2 2018</v>
      </c>
      <c r="O20" s="155">
        <f t="shared" si="5"/>
        <v>6946</v>
      </c>
      <c r="P20">
        <f t="shared" si="6"/>
        <v>89</v>
      </c>
      <c r="Q20">
        <f t="shared" si="12"/>
        <v>3</v>
      </c>
      <c r="R20">
        <f t="shared" si="7"/>
        <v>7</v>
      </c>
      <c r="S20">
        <f t="shared" si="8"/>
        <v>6</v>
      </c>
      <c r="T20">
        <f t="shared" si="9"/>
        <v>15</v>
      </c>
      <c r="U20" s="162">
        <f t="shared" si="10"/>
        <v>31</v>
      </c>
      <c r="V20" s="283">
        <f t="shared" si="13"/>
        <v>17874</v>
      </c>
      <c r="W20" s="112">
        <f t="shared" si="14"/>
        <v>324.00000000000006</v>
      </c>
      <c r="X20" s="112">
        <f t="shared" si="15"/>
        <v>6</v>
      </c>
      <c r="Y20" s="112">
        <f t="shared" si="16"/>
        <v>18.000000000000004</v>
      </c>
      <c r="Z20" s="112">
        <f t="shared" si="17"/>
        <v>39</v>
      </c>
      <c r="AA20" s="112">
        <f t="shared" si="18"/>
        <v>30.999999999999996</v>
      </c>
      <c r="AB20" s="284">
        <f t="shared" si="19"/>
        <v>93.999999999999986</v>
      </c>
      <c r="AE20" t="s">
        <v>315</v>
      </c>
      <c r="AF20">
        <f t="shared" si="20"/>
        <v>2020</v>
      </c>
      <c r="AG20" s="4">
        <v>198406</v>
      </c>
      <c r="AH20" s="4">
        <v>41219</v>
      </c>
      <c r="AI20" s="4">
        <v>41892</v>
      </c>
      <c r="AJ20" s="4">
        <v>103833</v>
      </c>
      <c r="AK20" s="4">
        <v>11462</v>
      </c>
      <c r="AL20" s="4">
        <v>2554</v>
      </c>
      <c r="AM20" s="4">
        <v>1258</v>
      </c>
      <c r="AN20">
        <v>0</v>
      </c>
      <c r="AO20" s="4">
        <v>1296</v>
      </c>
      <c r="AP20">
        <v>0</v>
      </c>
      <c r="AQ20" s="4">
        <v>5663</v>
      </c>
      <c r="AR20" s="4">
        <v>1468</v>
      </c>
      <c r="AS20">
        <v>0</v>
      </c>
      <c r="AT20" s="4">
        <v>4195</v>
      </c>
      <c r="AU20">
        <v>0</v>
      </c>
      <c r="AV20">
        <v>742</v>
      </c>
      <c r="AW20">
        <v>316</v>
      </c>
      <c r="AX20">
        <v>0</v>
      </c>
      <c r="AY20">
        <v>392</v>
      </c>
      <c r="AZ20">
        <v>34</v>
      </c>
    </row>
    <row r="21" spans="2:52">
      <c r="B21" s="155" t="s">
        <v>319</v>
      </c>
      <c r="C21">
        <f t="shared" si="2"/>
        <v>2021</v>
      </c>
      <c r="D21" s="4">
        <v>5162</v>
      </c>
      <c r="E21">
        <v>97</v>
      </c>
      <c r="F21">
        <v>5</v>
      </c>
      <c r="G21">
        <v>6</v>
      </c>
      <c r="H21">
        <v>20</v>
      </c>
      <c r="I21" s="162">
        <v>9</v>
      </c>
      <c r="J21" s="162">
        <f t="shared" si="3"/>
        <v>40</v>
      </c>
      <c r="L21" s="279">
        <f>'Monthly Data (longer 09-23)'!A116</f>
        <v>43282</v>
      </c>
      <c r="M21" s="229">
        <f t="shared" si="4"/>
        <v>2018</v>
      </c>
      <c r="N21" s="280" t="str">
        <f>'Economic Data'!C82&amp;" "&amp;'Economic Data'!B82</f>
        <v>Q3 2018</v>
      </c>
      <c r="O21" s="155">
        <f t="shared" si="5"/>
        <v>5258</v>
      </c>
      <c r="P21">
        <f t="shared" si="6"/>
        <v>57</v>
      </c>
      <c r="Q21">
        <f t="shared" si="12"/>
        <v>3</v>
      </c>
      <c r="R21">
        <f t="shared" si="7"/>
        <v>1</v>
      </c>
      <c r="S21">
        <f t="shared" si="8"/>
        <v>7</v>
      </c>
      <c r="T21">
        <f t="shared" si="9"/>
        <v>5</v>
      </c>
      <c r="U21" s="162">
        <f t="shared" si="10"/>
        <v>16</v>
      </c>
      <c r="V21" s="283">
        <f t="shared" si="13"/>
        <v>19626.666666666668</v>
      </c>
      <c r="W21" s="112">
        <f t="shared" si="14"/>
        <v>343.00000000000006</v>
      </c>
      <c r="X21" s="112">
        <f t="shared" si="15"/>
        <v>7</v>
      </c>
      <c r="Y21" s="112">
        <f t="shared" si="16"/>
        <v>18.333333333333336</v>
      </c>
      <c r="Z21" s="112">
        <f t="shared" si="17"/>
        <v>41.333333333333336</v>
      </c>
      <c r="AA21" s="112">
        <f t="shared" si="18"/>
        <v>32.666666666666664</v>
      </c>
      <c r="AB21" s="284">
        <f t="shared" si="19"/>
        <v>99.333333333333314</v>
      </c>
      <c r="AE21" t="s">
        <v>316</v>
      </c>
      <c r="AF21">
        <f t="shared" si="20"/>
        <v>2020</v>
      </c>
      <c r="AG21" s="4">
        <v>153907</v>
      </c>
      <c r="AH21" s="4">
        <v>29160</v>
      </c>
      <c r="AI21" s="4">
        <v>29957</v>
      </c>
      <c r="AJ21" s="4">
        <v>86256</v>
      </c>
      <c r="AK21" s="4">
        <v>8534</v>
      </c>
      <c r="AL21" s="4">
        <v>2833</v>
      </c>
      <c r="AM21" s="4">
        <v>1357</v>
      </c>
      <c r="AN21">
        <v>0</v>
      </c>
      <c r="AO21" s="4">
        <v>1476</v>
      </c>
      <c r="AP21">
        <v>0</v>
      </c>
      <c r="AQ21" s="4">
        <v>5167</v>
      </c>
      <c r="AR21" s="4">
        <v>1196</v>
      </c>
      <c r="AS21">
        <v>10</v>
      </c>
      <c r="AT21" s="4">
        <v>3961</v>
      </c>
      <c r="AU21">
        <v>0</v>
      </c>
      <c r="AV21">
        <v>644</v>
      </c>
      <c r="AW21">
        <v>219</v>
      </c>
      <c r="AX21">
        <v>0</v>
      </c>
      <c r="AY21">
        <v>385</v>
      </c>
      <c r="AZ21">
        <v>40</v>
      </c>
    </row>
    <row r="22" spans="2:52">
      <c r="B22" s="155" t="s">
        <v>320</v>
      </c>
      <c r="C22">
        <f t="shared" si="2"/>
        <v>2021</v>
      </c>
      <c r="D22" s="4">
        <v>6139</v>
      </c>
      <c r="E22">
        <v>62</v>
      </c>
      <c r="F22">
        <v>3</v>
      </c>
      <c r="G22">
        <v>4</v>
      </c>
      <c r="H22">
        <v>6</v>
      </c>
      <c r="I22" s="162">
        <v>6</v>
      </c>
      <c r="J22" s="162">
        <f t="shared" si="3"/>
        <v>19</v>
      </c>
      <c r="L22" s="279">
        <f>'Monthly Data (longer 09-23)'!A117</f>
        <v>43313</v>
      </c>
      <c r="M22" s="229">
        <f t="shared" si="4"/>
        <v>2018</v>
      </c>
      <c r="N22" s="280" t="str">
        <f>'Economic Data'!C83&amp;" "&amp;'Economic Data'!B83</f>
        <v>Q3 2018</v>
      </c>
      <c r="O22" s="155">
        <f t="shared" si="5"/>
        <v>5258</v>
      </c>
      <c r="P22">
        <f t="shared" si="6"/>
        <v>57</v>
      </c>
      <c r="Q22">
        <f t="shared" si="12"/>
        <v>3</v>
      </c>
      <c r="R22">
        <f t="shared" si="7"/>
        <v>1</v>
      </c>
      <c r="S22">
        <f t="shared" si="8"/>
        <v>7</v>
      </c>
      <c r="T22">
        <f t="shared" si="9"/>
        <v>5</v>
      </c>
      <c r="U22" s="162">
        <f t="shared" si="10"/>
        <v>16</v>
      </c>
      <c r="V22" s="283">
        <f t="shared" si="13"/>
        <v>21379.333333333336</v>
      </c>
      <c r="W22" s="112">
        <f t="shared" si="14"/>
        <v>362.00000000000006</v>
      </c>
      <c r="X22" s="112">
        <f t="shared" si="15"/>
        <v>8</v>
      </c>
      <c r="Y22" s="112">
        <f t="shared" si="16"/>
        <v>18.666666666666668</v>
      </c>
      <c r="Z22" s="112">
        <f t="shared" si="17"/>
        <v>43.666666666666671</v>
      </c>
      <c r="AA22" s="112">
        <f t="shared" si="18"/>
        <v>34.333333333333329</v>
      </c>
      <c r="AB22" s="284">
        <f t="shared" si="19"/>
        <v>104.66666666666664</v>
      </c>
      <c r="AE22" t="s">
        <v>317</v>
      </c>
      <c r="AF22">
        <f t="shared" si="20"/>
        <v>2021</v>
      </c>
      <c r="AG22" s="4">
        <v>141788</v>
      </c>
      <c r="AH22" s="4">
        <v>24678</v>
      </c>
      <c r="AI22" s="4">
        <v>31358</v>
      </c>
      <c r="AJ22" s="4">
        <v>77953</v>
      </c>
      <c r="AK22" s="4">
        <v>7799</v>
      </c>
      <c r="AL22" s="4">
        <v>2568</v>
      </c>
      <c r="AM22">
        <v>989</v>
      </c>
      <c r="AN22">
        <v>0</v>
      </c>
      <c r="AO22" s="4">
        <v>1579</v>
      </c>
      <c r="AP22">
        <v>0</v>
      </c>
      <c r="AQ22" s="4">
        <v>5850</v>
      </c>
      <c r="AR22" s="4">
        <v>1277</v>
      </c>
      <c r="AS22">
        <v>468</v>
      </c>
      <c r="AT22" s="4">
        <v>3291</v>
      </c>
      <c r="AU22">
        <v>814</v>
      </c>
      <c r="AV22">
        <v>761</v>
      </c>
      <c r="AW22">
        <v>182</v>
      </c>
      <c r="AX22">
        <v>0</v>
      </c>
      <c r="AY22">
        <v>512</v>
      </c>
      <c r="AZ22">
        <v>67</v>
      </c>
    </row>
    <row r="23" spans="2:52">
      <c r="B23" s="155" t="s">
        <v>321</v>
      </c>
      <c r="C23">
        <f t="shared" si="2"/>
        <v>2022</v>
      </c>
      <c r="D23" s="4">
        <v>7123</v>
      </c>
      <c r="E23">
        <v>112</v>
      </c>
      <c r="F23">
        <v>7</v>
      </c>
      <c r="G23">
        <v>5</v>
      </c>
      <c r="H23">
        <v>19</v>
      </c>
      <c r="I23" s="162">
        <v>9</v>
      </c>
      <c r="J23" s="162">
        <f t="shared" si="3"/>
        <v>40</v>
      </c>
      <c r="L23" s="279">
        <f>'Monthly Data (longer 09-23)'!A118</f>
        <v>43344</v>
      </c>
      <c r="M23" s="229">
        <f t="shared" si="4"/>
        <v>2018</v>
      </c>
      <c r="N23" s="280" t="str">
        <f>'Economic Data'!C84&amp;" "&amp;'Economic Data'!B84</f>
        <v>Q3 2018</v>
      </c>
      <c r="O23" s="155">
        <f t="shared" si="5"/>
        <v>5258</v>
      </c>
      <c r="P23">
        <f t="shared" si="6"/>
        <v>57</v>
      </c>
      <c r="Q23">
        <f t="shared" si="12"/>
        <v>3</v>
      </c>
      <c r="R23">
        <f t="shared" si="7"/>
        <v>1</v>
      </c>
      <c r="S23">
        <f t="shared" si="8"/>
        <v>7</v>
      </c>
      <c r="T23">
        <f t="shared" si="9"/>
        <v>5</v>
      </c>
      <c r="U23" s="162">
        <f t="shared" si="10"/>
        <v>16</v>
      </c>
      <c r="V23" s="283">
        <f t="shared" si="13"/>
        <v>23132.000000000004</v>
      </c>
      <c r="W23" s="112">
        <f t="shared" si="14"/>
        <v>381.00000000000006</v>
      </c>
      <c r="X23" s="112">
        <f t="shared" si="15"/>
        <v>9</v>
      </c>
      <c r="Y23" s="112">
        <f t="shared" si="16"/>
        <v>19</v>
      </c>
      <c r="Z23" s="112">
        <f t="shared" si="17"/>
        <v>46.000000000000007</v>
      </c>
      <c r="AA23" s="112">
        <f t="shared" si="18"/>
        <v>35.999999999999993</v>
      </c>
      <c r="AB23" s="284">
        <f t="shared" si="19"/>
        <v>109.99999999999997</v>
      </c>
      <c r="AE23" t="s">
        <v>318</v>
      </c>
      <c r="AF23">
        <f t="shared" si="20"/>
        <v>2021</v>
      </c>
      <c r="AG23" s="4">
        <v>180118</v>
      </c>
      <c r="AH23" s="4">
        <v>38742</v>
      </c>
      <c r="AI23" s="4">
        <v>30651</v>
      </c>
      <c r="AJ23" s="4">
        <v>102427</v>
      </c>
      <c r="AK23" s="4">
        <v>8298</v>
      </c>
      <c r="AL23" s="4">
        <v>3710</v>
      </c>
      <c r="AM23" s="4">
        <v>1648</v>
      </c>
      <c r="AN23">
        <v>0</v>
      </c>
      <c r="AO23" s="4">
        <v>2062</v>
      </c>
      <c r="AP23">
        <v>0</v>
      </c>
      <c r="AQ23" s="4">
        <v>11078</v>
      </c>
      <c r="AR23" s="4">
        <v>2150</v>
      </c>
      <c r="AS23">
        <v>546</v>
      </c>
      <c r="AT23" s="4">
        <v>6774</v>
      </c>
      <c r="AU23" s="4">
        <v>1608</v>
      </c>
      <c r="AV23" s="4">
        <v>1386</v>
      </c>
      <c r="AW23">
        <v>267</v>
      </c>
      <c r="AX23">
        <v>0</v>
      </c>
      <c r="AY23" s="4">
        <v>1063</v>
      </c>
      <c r="AZ23">
        <v>56</v>
      </c>
    </row>
    <row r="24" spans="2:52">
      <c r="B24" s="155" t="s">
        <v>322</v>
      </c>
      <c r="C24">
        <f t="shared" si="2"/>
        <v>2022</v>
      </c>
      <c r="D24" s="4">
        <v>9533</v>
      </c>
      <c r="E24">
        <v>131</v>
      </c>
      <c r="F24">
        <v>5</v>
      </c>
      <c r="G24">
        <v>12</v>
      </c>
      <c r="H24">
        <v>13</v>
      </c>
      <c r="I24" s="162">
        <v>12</v>
      </c>
      <c r="J24" s="162">
        <f t="shared" si="3"/>
        <v>42</v>
      </c>
      <c r="L24" s="279">
        <f>'Monthly Data (longer 09-23)'!A119</f>
        <v>43374</v>
      </c>
      <c r="M24" s="229">
        <f t="shared" si="4"/>
        <v>2018</v>
      </c>
      <c r="N24" s="280" t="str">
        <f>'Economic Data'!C85&amp;" "&amp;'Economic Data'!B85</f>
        <v>Q4 2018</v>
      </c>
      <c r="O24" s="155">
        <f t="shared" si="5"/>
        <v>1806</v>
      </c>
      <c r="P24">
        <f t="shared" si="6"/>
        <v>32</v>
      </c>
      <c r="Q24">
        <f t="shared" si="12"/>
        <v>0</v>
      </c>
      <c r="R24">
        <f t="shared" si="7"/>
        <v>3</v>
      </c>
      <c r="S24">
        <f t="shared" si="8"/>
        <v>7</v>
      </c>
      <c r="T24">
        <f t="shared" si="9"/>
        <v>1</v>
      </c>
      <c r="U24" s="162">
        <f t="shared" si="10"/>
        <v>11</v>
      </c>
      <c r="V24" s="283">
        <f t="shared" si="13"/>
        <v>23734.000000000004</v>
      </c>
      <c r="W24" s="112">
        <f t="shared" si="14"/>
        <v>391.66666666666674</v>
      </c>
      <c r="X24" s="112">
        <f t="shared" si="15"/>
        <v>9</v>
      </c>
      <c r="Y24" s="112">
        <f t="shared" si="16"/>
        <v>20</v>
      </c>
      <c r="Z24" s="112">
        <f t="shared" si="17"/>
        <v>48.333333333333343</v>
      </c>
      <c r="AA24" s="112">
        <f t="shared" si="18"/>
        <v>36.333333333333329</v>
      </c>
      <c r="AB24" s="284">
        <f t="shared" si="19"/>
        <v>113.66666666666664</v>
      </c>
      <c r="AE24" t="s">
        <v>319</v>
      </c>
      <c r="AF24">
        <f t="shared" si="20"/>
        <v>2021</v>
      </c>
      <c r="AG24" s="4">
        <v>174623</v>
      </c>
      <c r="AH24" s="4">
        <v>39861</v>
      </c>
      <c r="AI24" s="4">
        <v>27990</v>
      </c>
      <c r="AJ24" s="4">
        <v>99057</v>
      </c>
      <c r="AK24" s="4">
        <v>7715</v>
      </c>
      <c r="AL24" s="4">
        <v>3671</v>
      </c>
      <c r="AM24" s="4">
        <v>2019</v>
      </c>
      <c r="AN24">
        <v>0</v>
      </c>
      <c r="AO24" s="4">
        <v>1652</v>
      </c>
      <c r="AP24">
        <v>0</v>
      </c>
      <c r="AQ24" s="4">
        <v>10252</v>
      </c>
      <c r="AR24" s="4">
        <v>2571</v>
      </c>
      <c r="AS24">
        <v>653</v>
      </c>
      <c r="AT24" s="4">
        <v>5495</v>
      </c>
      <c r="AU24" s="4">
        <v>1533</v>
      </c>
      <c r="AV24" s="4">
        <v>1491</v>
      </c>
      <c r="AW24">
        <v>382</v>
      </c>
      <c r="AX24">
        <v>0</v>
      </c>
      <c r="AY24">
        <v>979</v>
      </c>
      <c r="AZ24">
        <v>130</v>
      </c>
    </row>
    <row r="25" spans="2:52">
      <c r="B25" s="155" t="s">
        <v>323</v>
      </c>
      <c r="C25">
        <f t="shared" si="2"/>
        <v>2022</v>
      </c>
      <c r="D25" s="4">
        <v>11017</v>
      </c>
      <c r="E25">
        <v>206</v>
      </c>
      <c r="F25">
        <v>9</v>
      </c>
      <c r="G25">
        <v>14</v>
      </c>
      <c r="H25">
        <v>38</v>
      </c>
      <c r="I25" s="162">
        <v>26</v>
      </c>
      <c r="J25" s="162">
        <f t="shared" si="3"/>
        <v>87</v>
      </c>
      <c r="L25" s="279">
        <f>'Monthly Data (longer 09-23)'!A120</f>
        <v>43405</v>
      </c>
      <c r="M25" s="229">
        <f t="shared" si="4"/>
        <v>2018</v>
      </c>
      <c r="N25" s="280" t="str">
        <f>'Economic Data'!C86&amp;" "&amp;'Economic Data'!B86</f>
        <v>Q4 2018</v>
      </c>
      <c r="O25" s="155">
        <f t="shared" si="5"/>
        <v>1806</v>
      </c>
      <c r="P25">
        <f t="shared" si="6"/>
        <v>32</v>
      </c>
      <c r="Q25">
        <f t="shared" si="12"/>
        <v>0</v>
      </c>
      <c r="R25">
        <f t="shared" si="7"/>
        <v>3</v>
      </c>
      <c r="S25">
        <f t="shared" si="8"/>
        <v>7</v>
      </c>
      <c r="T25">
        <f t="shared" si="9"/>
        <v>1</v>
      </c>
      <c r="U25" s="162">
        <f t="shared" si="10"/>
        <v>11</v>
      </c>
      <c r="V25" s="283">
        <f t="shared" si="13"/>
        <v>24336.000000000004</v>
      </c>
      <c r="W25" s="112">
        <f t="shared" si="14"/>
        <v>402.33333333333343</v>
      </c>
      <c r="X25" s="112">
        <f t="shared" si="15"/>
        <v>9</v>
      </c>
      <c r="Y25" s="112">
        <f t="shared" si="16"/>
        <v>21</v>
      </c>
      <c r="Z25" s="112">
        <f t="shared" si="17"/>
        <v>50.666666666666679</v>
      </c>
      <c r="AA25" s="112">
        <f t="shared" si="18"/>
        <v>36.666666666666664</v>
      </c>
      <c r="AB25" s="284">
        <f t="shared" si="19"/>
        <v>117.33333333333331</v>
      </c>
      <c r="AE25" t="s">
        <v>320</v>
      </c>
      <c r="AF25">
        <f t="shared" si="20"/>
        <v>2021</v>
      </c>
      <c r="AG25" s="4">
        <v>130605</v>
      </c>
      <c r="AH25" s="4">
        <v>25552</v>
      </c>
      <c r="AI25" s="4">
        <v>27895</v>
      </c>
      <c r="AJ25" s="4">
        <v>72981</v>
      </c>
      <c r="AK25" s="4">
        <v>4177</v>
      </c>
      <c r="AL25" s="4">
        <v>4799</v>
      </c>
      <c r="AM25" s="4">
        <v>2350</v>
      </c>
      <c r="AN25">
        <v>0</v>
      </c>
      <c r="AO25" s="4">
        <v>2449</v>
      </c>
      <c r="AP25">
        <v>0</v>
      </c>
      <c r="AQ25" s="4">
        <v>6163</v>
      </c>
      <c r="AR25" s="4">
        <v>1131</v>
      </c>
      <c r="AS25">
        <v>661</v>
      </c>
      <c r="AT25" s="4">
        <v>3297</v>
      </c>
      <c r="AU25" s="4">
        <v>1074</v>
      </c>
      <c r="AV25" s="4">
        <v>1340</v>
      </c>
      <c r="AW25">
        <v>198</v>
      </c>
      <c r="AX25">
        <v>0</v>
      </c>
      <c r="AY25" s="4">
        <v>1114</v>
      </c>
      <c r="AZ25">
        <v>28</v>
      </c>
    </row>
    <row r="26" spans="2:52">
      <c r="B26" s="155" t="s">
        <v>324</v>
      </c>
      <c r="C26">
        <f t="shared" si="2"/>
        <v>2022</v>
      </c>
      <c r="D26" s="4">
        <v>10982</v>
      </c>
      <c r="E26">
        <v>128</v>
      </c>
      <c r="F26">
        <v>8</v>
      </c>
      <c r="G26">
        <v>8</v>
      </c>
      <c r="H26">
        <v>17</v>
      </c>
      <c r="I26" s="162">
        <v>9</v>
      </c>
      <c r="J26" s="162">
        <f t="shared" si="3"/>
        <v>42</v>
      </c>
      <c r="L26" s="279">
        <f>'Monthly Data (longer 09-23)'!A121</f>
        <v>43435</v>
      </c>
      <c r="M26" s="229">
        <f t="shared" si="4"/>
        <v>2018</v>
      </c>
      <c r="N26" s="280" t="str">
        <f>'Economic Data'!C87&amp;" "&amp;'Economic Data'!B87</f>
        <v>Q4 2018</v>
      </c>
      <c r="O26" s="155">
        <f t="shared" si="5"/>
        <v>1806</v>
      </c>
      <c r="P26">
        <f t="shared" si="6"/>
        <v>32</v>
      </c>
      <c r="Q26">
        <f t="shared" si="12"/>
        <v>0</v>
      </c>
      <c r="R26">
        <f t="shared" si="7"/>
        <v>3</v>
      </c>
      <c r="S26">
        <f t="shared" si="8"/>
        <v>7</v>
      </c>
      <c r="T26">
        <f t="shared" si="9"/>
        <v>1</v>
      </c>
      <c r="U26" s="162">
        <f t="shared" si="10"/>
        <v>11</v>
      </c>
      <c r="V26" s="283">
        <f t="shared" si="13"/>
        <v>24938.000000000004</v>
      </c>
      <c r="W26" s="112">
        <f t="shared" si="14"/>
        <v>413.00000000000011</v>
      </c>
      <c r="X26" s="112">
        <f t="shared" si="15"/>
        <v>9</v>
      </c>
      <c r="Y26" s="112">
        <f t="shared" si="16"/>
        <v>22</v>
      </c>
      <c r="Z26" s="112">
        <f t="shared" si="17"/>
        <v>53.000000000000014</v>
      </c>
      <c r="AA26" s="112">
        <f t="shared" si="18"/>
        <v>37</v>
      </c>
      <c r="AB26" s="284">
        <f t="shared" si="19"/>
        <v>120.99999999999999</v>
      </c>
      <c r="AE26" t="s">
        <v>321</v>
      </c>
      <c r="AF26">
        <f t="shared" si="20"/>
        <v>2022</v>
      </c>
      <c r="AG26" s="4">
        <v>135121</v>
      </c>
      <c r="AH26" s="4">
        <v>24106</v>
      </c>
      <c r="AI26" s="4">
        <v>26220</v>
      </c>
      <c r="AJ26" s="4">
        <v>79256</v>
      </c>
      <c r="AK26" s="4">
        <v>5539</v>
      </c>
      <c r="AL26" s="4">
        <v>5688</v>
      </c>
      <c r="AM26" s="4">
        <v>2870</v>
      </c>
      <c r="AN26">
        <v>0</v>
      </c>
      <c r="AO26" s="4">
        <v>2814</v>
      </c>
      <c r="AP26">
        <v>4</v>
      </c>
      <c r="AQ26" s="4">
        <v>7048</v>
      </c>
      <c r="AR26" s="4">
        <v>1845</v>
      </c>
      <c r="AS26">
        <v>561</v>
      </c>
      <c r="AT26" s="4">
        <v>3757</v>
      </c>
      <c r="AU26">
        <v>885</v>
      </c>
      <c r="AV26" s="4">
        <v>1435</v>
      </c>
      <c r="AW26">
        <v>151</v>
      </c>
      <c r="AX26">
        <v>0</v>
      </c>
      <c r="AY26" s="4">
        <v>1043</v>
      </c>
      <c r="AZ26">
        <v>241</v>
      </c>
    </row>
    <row r="27" spans="2:52">
      <c r="B27" s="155" t="s">
        <v>325</v>
      </c>
      <c r="C27">
        <f t="shared" si="2"/>
        <v>2023</v>
      </c>
      <c r="D27" s="4">
        <v>8453</v>
      </c>
      <c r="E27">
        <v>131</v>
      </c>
      <c r="F27">
        <v>6</v>
      </c>
      <c r="G27">
        <v>4</v>
      </c>
      <c r="H27">
        <v>17</v>
      </c>
      <c r="I27" s="162">
        <v>15</v>
      </c>
      <c r="J27" s="162">
        <f t="shared" si="3"/>
        <v>42</v>
      </c>
      <c r="L27" s="279">
        <f>'Monthly Data (longer 09-23)'!A122</f>
        <v>43466</v>
      </c>
      <c r="M27" s="229">
        <f t="shared" si="4"/>
        <v>2019</v>
      </c>
      <c r="N27" s="280" t="str">
        <f>'Economic Data'!C88&amp;" "&amp;'Economic Data'!B88</f>
        <v>Q1 2019</v>
      </c>
      <c r="O27" s="155">
        <f t="shared" si="5"/>
        <v>1342</v>
      </c>
      <c r="P27">
        <f t="shared" si="6"/>
        <v>17</v>
      </c>
      <c r="Q27">
        <f t="shared" si="12"/>
        <v>0</v>
      </c>
      <c r="R27">
        <f t="shared" si="7"/>
        <v>1</v>
      </c>
      <c r="S27">
        <f t="shared" si="8"/>
        <v>2</v>
      </c>
      <c r="T27">
        <f t="shared" si="9"/>
        <v>1</v>
      </c>
      <c r="U27" s="162">
        <f t="shared" si="10"/>
        <v>4</v>
      </c>
      <c r="V27" s="283">
        <f t="shared" si="13"/>
        <v>25385.333333333336</v>
      </c>
      <c r="W27" s="112">
        <f t="shared" si="14"/>
        <v>418.6666666666668</v>
      </c>
      <c r="X27" s="112">
        <f t="shared" si="15"/>
        <v>9</v>
      </c>
      <c r="Y27" s="112">
        <f t="shared" si="16"/>
        <v>22.333333333333332</v>
      </c>
      <c r="Z27" s="112">
        <f t="shared" si="17"/>
        <v>53.666666666666679</v>
      </c>
      <c r="AA27" s="112">
        <f t="shared" si="18"/>
        <v>37.333333333333336</v>
      </c>
      <c r="AB27" s="284">
        <f t="shared" si="19"/>
        <v>122.33333333333331</v>
      </c>
      <c r="AE27" t="s">
        <v>322</v>
      </c>
      <c r="AF27">
        <f t="shared" si="20"/>
        <v>2022</v>
      </c>
      <c r="AG27" s="4">
        <v>169211</v>
      </c>
      <c r="AH27" s="4">
        <v>32482</v>
      </c>
      <c r="AI27" s="4">
        <v>34808</v>
      </c>
      <c r="AJ27" s="4">
        <v>96317</v>
      </c>
      <c r="AK27" s="4">
        <v>5604</v>
      </c>
      <c r="AL27" s="4">
        <v>7877</v>
      </c>
      <c r="AM27" s="4">
        <v>2905</v>
      </c>
      <c r="AN27">
        <v>59</v>
      </c>
      <c r="AO27" s="4">
        <v>4869</v>
      </c>
      <c r="AP27">
        <v>44</v>
      </c>
      <c r="AQ27" s="4">
        <v>11650</v>
      </c>
      <c r="AR27" s="4">
        <v>2285</v>
      </c>
      <c r="AS27" s="4">
        <v>1510</v>
      </c>
      <c r="AT27" s="4">
        <v>7089</v>
      </c>
      <c r="AU27">
        <v>766</v>
      </c>
      <c r="AV27" s="4">
        <v>1656</v>
      </c>
      <c r="AW27">
        <v>270</v>
      </c>
      <c r="AX27">
        <v>0</v>
      </c>
      <c r="AY27" s="4">
        <v>1269</v>
      </c>
      <c r="AZ27">
        <v>117</v>
      </c>
    </row>
    <row r="28" spans="2:52">
      <c r="B28" s="155" t="s">
        <v>326</v>
      </c>
      <c r="C28">
        <f t="shared" si="2"/>
        <v>2023</v>
      </c>
      <c r="D28" s="4">
        <v>12751</v>
      </c>
      <c r="E28">
        <v>189</v>
      </c>
      <c r="F28">
        <v>10</v>
      </c>
      <c r="G28">
        <v>7</v>
      </c>
      <c r="H28">
        <v>30</v>
      </c>
      <c r="I28" s="162">
        <v>16</v>
      </c>
      <c r="J28" s="162">
        <f t="shared" si="3"/>
        <v>63</v>
      </c>
      <c r="L28" s="279">
        <f>'Monthly Data (longer 09-23)'!A123</f>
        <v>43497</v>
      </c>
      <c r="M28" s="229">
        <f t="shared" si="4"/>
        <v>2019</v>
      </c>
      <c r="N28" s="280" t="str">
        <f>'Economic Data'!C89&amp;" "&amp;'Economic Data'!B89</f>
        <v>Q1 2019</v>
      </c>
      <c r="O28" s="155">
        <f t="shared" si="5"/>
        <v>1342</v>
      </c>
      <c r="P28">
        <f t="shared" si="6"/>
        <v>17</v>
      </c>
      <c r="Q28">
        <f t="shared" si="12"/>
        <v>0</v>
      </c>
      <c r="R28">
        <f t="shared" si="7"/>
        <v>1</v>
      </c>
      <c r="S28">
        <f t="shared" si="8"/>
        <v>2</v>
      </c>
      <c r="T28">
        <f t="shared" si="9"/>
        <v>1</v>
      </c>
      <c r="U28" s="162">
        <f t="shared" si="10"/>
        <v>4</v>
      </c>
      <c r="V28" s="283">
        <f t="shared" si="13"/>
        <v>25832.666666666668</v>
      </c>
      <c r="W28" s="112">
        <f t="shared" si="14"/>
        <v>424.33333333333348</v>
      </c>
      <c r="X28" s="112">
        <f t="shared" si="15"/>
        <v>9</v>
      </c>
      <c r="Y28" s="112">
        <f t="shared" si="16"/>
        <v>22.666666666666664</v>
      </c>
      <c r="Z28" s="112">
        <f t="shared" si="17"/>
        <v>54.333333333333343</v>
      </c>
      <c r="AA28" s="112">
        <f t="shared" si="18"/>
        <v>37.666666666666671</v>
      </c>
      <c r="AB28" s="284">
        <f t="shared" si="19"/>
        <v>123.66666666666664</v>
      </c>
      <c r="AE28" t="s">
        <v>323</v>
      </c>
      <c r="AF28">
        <f t="shared" si="20"/>
        <v>2022</v>
      </c>
      <c r="AG28" s="4">
        <v>153734</v>
      </c>
      <c r="AH28" s="4">
        <v>30643</v>
      </c>
      <c r="AI28" s="4">
        <v>32026</v>
      </c>
      <c r="AJ28" s="4">
        <v>86566</v>
      </c>
      <c r="AK28" s="4">
        <v>4499</v>
      </c>
      <c r="AL28" s="4">
        <v>9720</v>
      </c>
      <c r="AM28" s="4">
        <v>3998</v>
      </c>
      <c r="AN28">
        <v>470</v>
      </c>
      <c r="AO28" s="4">
        <v>5206</v>
      </c>
      <c r="AP28">
        <v>46</v>
      </c>
      <c r="AQ28" s="4">
        <v>9386</v>
      </c>
      <c r="AR28" s="4">
        <v>1530</v>
      </c>
      <c r="AS28" s="4">
        <v>1418</v>
      </c>
      <c r="AT28" s="4">
        <v>5939</v>
      </c>
      <c r="AU28">
        <v>499</v>
      </c>
      <c r="AV28" s="4">
        <v>1297</v>
      </c>
      <c r="AW28">
        <v>201</v>
      </c>
      <c r="AX28">
        <v>0</v>
      </c>
      <c r="AY28" s="4">
        <v>1001</v>
      </c>
      <c r="AZ28">
        <v>95</v>
      </c>
    </row>
    <row r="29" spans="2:52">
      <c r="B29" s="155" t="s">
        <v>327</v>
      </c>
      <c r="C29">
        <f t="shared" si="2"/>
        <v>2023</v>
      </c>
      <c r="D29" s="4">
        <v>14624</v>
      </c>
      <c r="E29">
        <v>218</v>
      </c>
      <c r="F29">
        <v>5</v>
      </c>
      <c r="G29">
        <v>23</v>
      </c>
      <c r="H29">
        <v>32</v>
      </c>
      <c r="I29" s="162">
        <v>14</v>
      </c>
      <c r="J29" s="162">
        <f t="shared" si="3"/>
        <v>74</v>
      </c>
      <c r="L29" s="279">
        <f>'Monthly Data (longer 09-23)'!A124</f>
        <v>43525</v>
      </c>
      <c r="M29" s="229">
        <f t="shared" si="4"/>
        <v>2019</v>
      </c>
      <c r="N29" s="280" t="str">
        <f>'Economic Data'!C90&amp;" "&amp;'Economic Data'!B90</f>
        <v>Q1 2019</v>
      </c>
      <c r="O29" s="155">
        <f t="shared" si="5"/>
        <v>1342</v>
      </c>
      <c r="P29">
        <f t="shared" si="6"/>
        <v>17</v>
      </c>
      <c r="Q29">
        <f t="shared" si="12"/>
        <v>0</v>
      </c>
      <c r="R29">
        <f t="shared" si="7"/>
        <v>1</v>
      </c>
      <c r="S29">
        <f t="shared" si="8"/>
        <v>2</v>
      </c>
      <c r="T29">
        <f t="shared" si="9"/>
        <v>1</v>
      </c>
      <c r="U29" s="162">
        <f t="shared" si="10"/>
        <v>4</v>
      </c>
      <c r="V29" s="283">
        <f t="shared" si="13"/>
        <v>26280</v>
      </c>
      <c r="W29" s="112">
        <f t="shared" si="14"/>
        <v>430.00000000000017</v>
      </c>
      <c r="X29" s="112">
        <f t="shared" si="15"/>
        <v>9</v>
      </c>
      <c r="Y29" s="112">
        <f t="shared" si="16"/>
        <v>22.999999999999996</v>
      </c>
      <c r="Z29" s="112">
        <f t="shared" si="17"/>
        <v>55.000000000000007</v>
      </c>
      <c r="AA29" s="112">
        <f t="shared" si="18"/>
        <v>38.000000000000007</v>
      </c>
      <c r="AB29" s="284">
        <f t="shared" si="19"/>
        <v>124.99999999999997</v>
      </c>
      <c r="AE29" t="s">
        <v>324</v>
      </c>
      <c r="AF29">
        <f t="shared" si="20"/>
        <v>2022</v>
      </c>
      <c r="AG29" s="4">
        <v>136349</v>
      </c>
      <c r="AH29" s="4">
        <v>22723</v>
      </c>
      <c r="AI29" s="4">
        <v>29713</v>
      </c>
      <c r="AJ29" s="4">
        <v>79348</v>
      </c>
      <c r="AK29" s="4">
        <v>4565</v>
      </c>
      <c r="AL29" s="4">
        <v>9498</v>
      </c>
      <c r="AM29" s="4">
        <v>2594</v>
      </c>
      <c r="AN29">
        <v>344</v>
      </c>
      <c r="AO29" s="4">
        <v>6478</v>
      </c>
      <c r="AP29">
        <v>82</v>
      </c>
      <c r="AQ29" s="4">
        <v>7391</v>
      </c>
      <c r="AR29">
        <v>998</v>
      </c>
      <c r="AS29" s="4">
        <v>1274</v>
      </c>
      <c r="AT29" s="4">
        <v>4685</v>
      </c>
      <c r="AU29">
        <v>434</v>
      </c>
      <c r="AV29" s="4">
        <v>1484</v>
      </c>
      <c r="AW29">
        <v>171</v>
      </c>
      <c r="AX29">
        <v>0</v>
      </c>
      <c r="AY29" s="4">
        <v>1247</v>
      </c>
      <c r="AZ29">
        <v>66</v>
      </c>
    </row>
    <row r="30" spans="2:52">
      <c r="B30" s="165" t="s">
        <v>328</v>
      </c>
      <c r="C30" s="174">
        <f t="shared" ref="C30" si="21">VALUE(RIGHT(B30,4))</f>
        <v>2023</v>
      </c>
      <c r="D30" s="174">
        <v>13975</v>
      </c>
      <c r="E30" s="174">
        <v>230</v>
      </c>
      <c r="F30" s="174">
        <v>16</v>
      </c>
      <c r="G30" s="174">
        <v>22</v>
      </c>
      <c r="H30" s="174">
        <v>39</v>
      </c>
      <c r="I30" s="175">
        <v>20</v>
      </c>
      <c r="J30" s="175">
        <f t="shared" si="3"/>
        <v>97</v>
      </c>
      <c r="L30" s="279">
        <f>'Monthly Data (longer 09-23)'!A125</f>
        <v>43556</v>
      </c>
      <c r="M30" s="229">
        <f t="shared" si="4"/>
        <v>2019</v>
      </c>
      <c r="N30" s="280" t="str">
        <f>'Economic Data'!C91&amp;" "&amp;'Economic Data'!B91</f>
        <v>Q2 2019</v>
      </c>
      <c r="O30" s="155">
        <f t="shared" si="5"/>
        <v>2878</v>
      </c>
      <c r="P30">
        <f t="shared" si="6"/>
        <v>36</v>
      </c>
      <c r="Q30">
        <f t="shared" si="12"/>
        <v>1</v>
      </c>
      <c r="R30">
        <f t="shared" si="7"/>
        <v>2</v>
      </c>
      <c r="S30">
        <f t="shared" si="8"/>
        <v>7</v>
      </c>
      <c r="T30">
        <f t="shared" si="9"/>
        <v>2</v>
      </c>
      <c r="U30" s="162">
        <f t="shared" si="10"/>
        <v>12</v>
      </c>
      <c r="V30" s="283">
        <f t="shared" si="13"/>
        <v>27239.333333333332</v>
      </c>
      <c r="W30" s="112">
        <f t="shared" si="14"/>
        <v>442.00000000000017</v>
      </c>
      <c r="X30" s="112">
        <f t="shared" si="15"/>
        <v>9.3333333333333339</v>
      </c>
      <c r="Y30" s="112">
        <f t="shared" si="16"/>
        <v>23.666666666666664</v>
      </c>
      <c r="Z30" s="112">
        <f t="shared" si="17"/>
        <v>57.333333333333343</v>
      </c>
      <c r="AA30" s="112">
        <f t="shared" si="18"/>
        <v>38.666666666666671</v>
      </c>
      <c r="AB30" s="284">
        <f t="shared" si="19"/>
        <v>128.99999999999997</v>
      </c>
      <c r="AE30" t="s">
        <v>325</v>
      </c>
      <c r="AF30">
        <f t="shared" si="20"/>
        <v>2023</v>
      </c>
      <c r="AG30" s="4">
        <v>143609</v>
      </c>
      <c r="AH30" s="4">
        <v>22724</v>
      </c>
      <c r="AI30" s="4">
        <v>31182</v>
      </c>
      <c r="AJ30" s="4">
        <v>83568</v>
      </c>
      <c r="AK30" s="4">
        <v>6135</v>
      </c>
      <c r="AL30" s="4">
        <v>6695</v>
      </c>
      <c r="AM30" s="4">
        <v>2359</v>
      </c>
      <c r="AN30">
        <v>353</v>
      </c>
      <c r="AO30" s="4">
        <v>3881</v>
      </c>
      <c r="AP30">
        <v>102</v>
      </c>
      <c r="AQ30" s="4">
        <v>11132</v>
      </c>
      <c r="AR30" s="4">
        <v>1792</v>
      </c>
      <c r="AS30" s="4">
        <v>1183</v>
      </c>
      <c r="AT30" s="4">
        <v>7888</v>
      </c>
      <c r="AU30">
        <v>269</v>
      </c>
      <c r="AV30" s="4">
        <v>1758</v>
      </c>
      <c r="AW30">
        <v>84</v>
      </c>
      <c r="AX30">
        <v>0</v>
      </c>
      <c r="AY30" s="4">
        <v>1479</v>
      </c>
      <c r="AZ30">
        <v>195</v>
      </c>
    </row>
    <row r="31" spans="2:52">
      <c r="L31" s="279">
        <f>'Monthly Data (longer 09-23)'!A126</f>
        <v>43586</v>
      </c>
      <c r="M31" s="229">
        <f t="shared" si="4"/>
        <v>2019</v>
      </c>
      <c r="N31" s="280" t="str">
        <f>'Economic Data'!C92&amp;" "&amp;'Economic Data'!B92</f>
        <v>Q2 2019</v>
      </c>
      <c r="O31" s="155">
        <f t="shared" si="5"/>
        <v>2878</v>
      </c>
      <c r="P31">
        <f t="shared" si="6"/>
        <v>36</v>
      </c>
      <c r="Q31">
        <f t="shared" si="12"/>
        <v>1</v>
      </c>
      <c r="R31">
        <f t="shared" si="7"/>
        <v>2</v>
      </c>
      <c r="S31">
        <f t="shared" si="8"/>
        <v>7</v>
      </c>
      <c r="T31">
        <f t="shared" si="9"/>
        <v>2</v>
      </c>
      <c r="U31" s="162">
        <f t="shared" si="10"/>
        <v>12</v>
      </c>
      <c r="V31" s="283">
        <f t="shared" si="13"/>
        <v>28198.666666666664</v>
      </c>
      <c r="W31" s="112">
        <f t="shared" si="14"/>
        <v>454.00000000000017</v>
      </c>
      <c r="X31" s="112">
        <f t="shared" si="15"/>
        <v>9.6666666666666679</v>
      </c>
      <c r="Y31" s="112">
        <f t="shared" si="16"/>
        <v>24.333333333333332</v>
      </c>
      <c r="Z31" s="112">
        <f t="shared" si="17"/>
        <v>59.666666666666679</v>
      </c>
      <c r="AA31" s="112">
        <f t="shared" si="18"/>
        <v>39.333333333333336</v>
      </c>
      <c r="AB31" s="284">
        <f t="shared" si="19"/>
        <v>132.99999999999997</v>
      </c>
      <c r="AE31" t="s">
        <v>326</v>
      </c>
      <c r="AF31">
        <f t="shared" si="20"/>
        <v>2023</v>
      </c>
      <c r="AG31" s="4">
        <v>183660</v>
      </c>
      <c r="AH31" s="4">
        <v>31870</v>
      </c>
      <c r="AI31" s="4">
        <v>32566</v>
      </c>
      <c r="AJ31" s="4">
        <v>111720</v>
      </c>
      <c r="AK31" s="4">
        <v>7504</v>
      </c>
      <c r="AL31" s="4">
        <v>9440</v>
      </c>
      <c r="AM31" s="4">
        <v>2191</v>
      </c>
      <c r="AN31">
        <v>382</v>
      </c>
      <c r="AO31" s="4">
        <v>6698</v>
      </c>
      <c r="AP31">
        <v>169</v>
      </c>
      <c r="AQ31" s="4">
        <v>17544</v>
      </c>
      <c r="AR31" s="4">
        <v>2957</v>
      </c>
      <c r="AS31" s="4">
        <v>1189</v>
      </c>
      <c r="AT31" s="4">
        <v>12907</v>
      </c>
      <c r="AU31">
        <v>491</v>
      </c>
      <c r="AV31" s="4">
        <v>3311</v>
      </c>
      <c r="AW31">
        <v>210</v>
      </c>
      <c r="AX31">
        <v>0</v>
      </c>
      <c r="AY31" s="4">
        <v>2843</v>
      </c>
      <c r="AZ31">
        <v>258</v>
      </c>
    </row>
    <row r="32" spans="2:52">
      <c r="L32" s="279">
        <f>'Monthly Data (longer 09-23)'!A127</f>
        <v>43617</v>
      </c>
      <c r="M32" s="229">
        <f t="shared" si="4"/>
        <v>2019</v>
      </c>
      <c r="N32" s="280" t="str">
        <f>'Economic Data'!C93&amp;" "&amp;'Economic Data'!B93</f>
        <v>Q2 2019</v>
      </c>
      <c r="O32" s="155">
        <f t="shared" si="5"/>
        <v>2878</v>
      </c>
      <c r="P32">
        <f t="shared" si="6"/>
        <v>36</v>
      </c>
      <c r="Q32">
        <f t="shared" si="12"/>
        <v>1</v>
      </c>
      <c r="R32">
        <f t="shared" si="7"/>
        <v>2</v>
      </c>
      <c r="S32">
        <f t="shared" si="8"/>
        <v>7</v>
      </c>
      <c r="T32">
        <f t="shared" si="9"/>
        <v>2</v>
      </c>
      <c r="U32" s="162">
        <f t="shared" si="10"/>
        <v>12</v>
      </c>
      <c r="V32" s="283">
        <f t="shared" si="13"/>
        <v>29157.999999999996</v>
      </c>
      <c r="W32" s="112">
        <f t="shared" si="14"/>
        <v>466.00000000000017</v>
      </c>
      <c r="X32" s="112">
        <f t="shared" si="15"/>
        <v>10.000000000000002</v>
      </c>
      <c r="Y32" s="112">
        <f t="shared" si="16"/>
        <v>25</v>
      </c>
      <c r="Z32" s="112">
        <f t="shared" si="17"/>
        <v>62.000000000000014</v>
      </c>
      <c r="AA32" s="112">
        <f t="shared" si="18"/>
        <v>40</v>
      </c>
      <c r="AB32" s="284">
        <f t="shared" si="19"/>
        <v>136.99999999999997</v>
      </c>
      <c r="AE32" t="s">
        <v>327</v>
      </c>
      <c r="AF32">
        <f t="shared" si="20"/>
        <v>2023</v>
      </c>
      <c r="AG32" s="4">
        <v>178605</v>
      </c>
      <c r="AH32" s="4">
        <v>29906</v>
      </c>
      <c r="AI32" s="4">
        <v>32977</v>
      </c>
      <c r="AJ32" s="4">
        <v>108355</v>
      </c>
      <c r="AK32" s="4">
        <v>7367</v>
      </c>
      <c r="AL32" s="4">
        <v>11372</v>
      </c>
      <c r="AM32" s="4">
        <v>3129</v>
      </c>
      <c r="AN32">
        <v>523</v>
      </c>
      <c r="AO32" s="4">
        <v>7644</v>
      </c>
      <c r="AP32">
        <v>76</v>
      </c>
      <c r="AQ32" s="4">
        <v>17597</v>
      </c>
      <c r="AR32" s="4">
        <v>3040</v>
      </c>
      <c r="AS32" s="4">
        <v>1172</v>
      </c>
      <c r="AT32" s="4">
        <v>12859</v>
      </c>
      <c r="AU32">
        <v>526</v>
      </c>
      <c r="AV32" s="4">
        <v>3252</v>
      </c>
      <c r="AW32">
        <v>322</v>
      </c>
      <c r="AX32">
        <v>0</v>
      </c>
      <c r="AY32" s="4">
        <v>2825</v>
      </c>
      <c r="AZ32">
        <v>105</v>
      </c>
    </row>
    <row r="33" spans="12:52">
      <c r="L33" s="279">
        <f>'Monthly Data (longer 09-23)'!A128</f>
        <v>43647</v>
      </c>
      <c r="M33" s="229">
        <f t="shared" si="4"/>
        <v>2019</v>
      </c>
      <c r="N33" s="280" t="str">
        <f>'Economic Data'!C94&amp;" "&amp;'Economic Data'!B94</f>
        <v>Q3 2019</v>
      </c>
      <c r="O33" s="155">
        <f t="shared" si="5"/>
        <v>3148</v>
      </c>
      <c r="P33">
        <f t="shared" si="6"/>
        <v>37</v>
      </c>
      <c r="Q33">
        <f t="shared" si="12"/>
        <v>1</v>
      </c>
      <c r="R33">
        <f t="shared" si="7"/>
        <v>1</v>
      </c>
      <c r="S33">
        <f t="shared" si="8"/>
        <v>5</v>
      </c>
      <c r="T33">
        <f t="shared" si="9"/>
        <v>3</v>
      </c>
      <c r="U33" s="162">
        <f t="shared" si="10"/>
        <v>10</v>
      </c>
      <c r="V33" s="283">
        <f t="shared" si="13"/>
        <v>30207.333333333328</v>
      </c>
      <c r="W33" s="112">
        <f t="shared" si="14"/>
        <v>478.33333333333348</v>
      </c>
      <c r="X33" s="112">
        <f t="shared" si="15"/>
        <v>10.333333333333336</v>
      </c>
      <c r="Y33" s="112">
        <f t="shared" si="16"/>
        <v>25.333333333333332</v>
      </c>
      <c r="Z33" s="112">
        <f t="shared" si="17"/>
        <v>63.666666666666679</v>
      </c>
      <c r="AA33" s="112">
        <f t="shared" si="18"/>
        <v>41</v>
      </c>
      <c r="AB33" s="284">
        <f t="shared" si="19"/>
        <v>140.33333333333331</v>
      </c>
      <c r="AE33" t="s">
        <v>328</v>
      </c>
      <c r="AF33">
        <f t="shared" ref="AF33" si="22">VALUE(RIGHT(AE33,4))</f>
        <v>2023</v>
      </c>
      <c r="AG33" s="4">
        <v>171157</v>
      </c>
      <c r="AH33" s="4">
        <v>26053</v>
      </c>
      <c r="AI33" s="4">
        <v>30924</v>
      </c>
      <c r="AJ33" s="4">
        <v>108461</v>
      </c>
      <c r="AK33" s="4">
        <v>5719</v>
      </c>
      <c r="AL33" s="4">
        <v>10802</v>
      </c>
      <c r="AM33" s="4">
        <v>2488</v>
      </c>
      <c r="AN33">
        <v>550</v>
      </c>
      <c r="AO33" s="4">
        <v>7605</v>
      </c>
      <c r="AP33">
        <v>159</v>
      </c>
      <c r="AQ33" s="4">
        <v>16263</v>
      </c>
      <c r="AR33" s="4">
        <v>2702</v>
      </c>
      <c r="AS33">
        <v>905</v>
      </c>
      <c r="AT33" s="4">
        <v>11898</v>
      </c>
      <c r="AU33">
        <v>758</v>
      </c>
      <c r="AV33" s="4">
        <v>3173</v>
      </c>
      <c r="AW33">
        <v>209</v>
      </c>
      <c r="AX33">
        <v>0</v>
      </c>
      <c r="AY33" s="4">
        <v>2902</v>
      </c>
      <c r="AZ33">
        <v>62</v>
      </c>
    </row>
    <row r="34" spans="12:52">
      <c r="L34" s="279">
        <f>'Monthly Data (longer 09-23)'!A129</f>
        <v>43678</v>
      </c>
      <c r="M34" s="229">
        <f t="shared" si="4"/>
        <v>2019</v>
      </c>
      <c r="N34" s="280" t="str">
        <f>'Economic Data'!C95&amp;" "&amp;'Economic Data'!B95</f>
        <v>Q3 2019</v>
      </c>
      <c r="O34" s="155">
        <f t="shared" si="5"/>
        <v>3148</v>
      </c>
      <c r="P34">
        <f t="shared" si="6"/>
        <v>37</v>
      </c>
      <c r="Q34">
        <f t="shared" si="12"/>
        <v>1</v>
      </c>
      <c r="R34">
        <f t="shared" si="7"/>
        <v>1</v>
      </c>
      <c r="S34">
        <f t="shared" si="8"/>
        <v>5</v>
      </c>
      <c r="T34">
        <f t="shared" si="9"/>
        <v>3</v>
      </c>
      <c r="U34" s="162">
        <f t="shared" si="10"/>
        <v>10</v>
      </c>
      <c r="V34" s="283">
        <f t="shared" si="13"/>
        <v>31256.666666666661</v>
      </c>
      <c r="W34" s="112">
        <f t="shared" si="14"/>
        <v>490.6666666666668</v>
      </c>
      <c r="X34" s="112">
        <f t="shared" si="15"/>
        <v>10.66666666666667</v>
      </c>
      <c r="Y34" s="112">
        <f t="shared" si="16"/>
        <v>25.666666666666664</v>
      </c>
      <c r="Z34" s="112">
        <f t="shared" si="17"/>
        <v>65.333333333333343</v>
      </c>
      <c r="AA34" s="112">
        <f t="shared" si="18"/>
        <v>42</v>
      </c>
      <c r="AB34" s="284">
        <f t="shared" si="19"/>
        <v>143.66666666666666</v>
      </c>
    </row>
    <row r="35" spans="12:52">
      <c r="L35" s="279">
        <f>'Monthly Data (longer 09-23)'!A130</f>
        <v>43709</v>
      </c>
      <c r="M35" s="229">
        <f t="shared" si="4"/>
        <v>2019</v>
      </c>
      <c r="N35" s="280" t="str">
        <f>'Economic Data'!C96&amp;" "&amp;'Economic Data'!B96</f>
        <v>Q3 2019</v>
      </c>
      <c r="O35" s="155">
        <f t="shared" ref="O35:O66" si="23">SUMIFS(D:D,B:B,N35)</f>
        <v>3148</v>
      </c>
      <c r="P35">
        <f t="shared" si="6"/>
        <v>37</v>
      </c>
      <c r="Q35">
        <f t="shared" si="12"/>
        <v>1</v>
      </c>
      <c r="R35">
        <f t="shared" si="7"/>
        <v>1</v>
      </c>
      <c r="S35">
        <f t="shared" si="8"/>
        <v>5</v>
      </c>
      <c r="T35">
        <f t="shared" si="9"/>
        <v>3</v>
      </c>
      <c r="U35" s="162">
        <f t="shared" si="10"/>
        <v>10</v>
      </c>
      <c r="V35" s="283">
        <f t="shared" si="13"/>
        <v>32305.999999999993</v>
      </c>
      <c r="W35" s="112">
        <f t="shared" si="14"/>
        <v>503.00000000000011</v>
      </c>
      <c r="X35" s="112">
        <f t="shared" si="15"/>
        <v>11.000000000000004</v>
      </c>
      <c r="Y35" s="112">
        <f t="shared" si="16"/>
        <v>25.999999999999996</v>
      </c>
      <c r="Z35" s="112">
        <f t="shared" si="17"/>
        <v>67.000000000000014</v>
      </c>
      <c r="AA35" s="112">
        <f t="shared" si="18"/>
        <v>43</v>
      </c>
      <c r="AB35" s="284">
        <f t="shared" si="19"/>
        <v>147</v>
      </c>
      <c r="AL35" s="297">
        <f>SUM(AL6:AL33)</f>
        <v>112336</v>
      </c>
      <c r="AM35" s="297">
        <f>SUM(AM6:AM33)</f>
        <v>49336</v>
      </c>
      <c r="AN35" s="297">
        <f t="shared" ref="AN35:AZ35" si="24">SUM(AN6:AN33)</f>
        <v>2681</v>
      </c>
      <c r="AO35" s="297">
        <f t="shared" si="24"/>
        <v>59637</v>
      </c>
      <c r="AP35" s="297">
        <f t="shared" si="24"/>
        <v>682</v>
      </c>
      <c r="AQ35" s="297">
        <f t="shared" si="24"/>
        <v>180480</v>
      </c>
      <c r="AR35" s="297">
        <f t="shared" si="24"/>
        <v>46807</v>
      </c>
      <c r="AS35" s="297">
        <f t="shared" si="24"/>
        <v>11550</v>
      </c>
      <c r="AT35" s="297">
        <f t="shared" si="24"/>
        <v>112466</v>
      </c>
      <c r="AU35" s="297">
        <f t="shared" si="24"/>
        <v>9657</v>
      </c>
      <c r="AV35" s="297">
        <f t="shared" si="24"/>
        <v>41063</v>
      </c>
      <c r="AW35" s="297">
        <f t="shared" si="24"/>
        <v>14693</v>
      </c>
      <c r="AX35" s="297">
        <f t="shared" si="24"/>
        <v>0</v>
      </c>
      <c r="AY35" s="297">
        <f t="shared" si="24"/>
        <v>23326</v>
      </c>
      <c r="AZ35" s="297">
        <f t="shared" si="24"/>
        <v>3044</v>
      </c>
    </row>
    <row r="36" spans="12:52">
      <c r="L36" s="279">
        <f>'Monthly Data (longer 09-23)'!A131</f>
        <v>43739</v>
      </c>
      <c r="M36" s="229">
        <f t="shared" si="4"/>
        <v>2019</v>
      </c>
      <c r="N36" s="280" t="str">
        <f>'Economic Data'!C97&amp;" "&amp;'Economic Data'!B97</f>
        <v>Q4 2019</v>
      </c>
      <c r="O36" s="155">
        <f t="shared" si="23"/>
        <v>2394</v>
      </c>
      <c r="P36">
        <f t="shared" si="6"/>
        <v>27</v>
      </c>
      <c r="Q36">
        <f t="shared" si="12"/>
        <v>3</v>
      </c>
      <c r="R36">
        <f t="shared" si="7"/>
        <v>1</v>
      </c>
      <c r="S36">
        <f t="shared" si="8"/>
        <v>5</v>
      </c>
      <c r="T36">
        <f t="shared" si="9"/>
        <v>1</v>
      </c>
      <c r="U36" s="162">
        <f t="shared" si="10"/>
        <v>10</v>
      </c>
      <c r="V36" s="283">
        <f t="shared" si="13"/>
        <v>33103.999999999993</v>
      </c>
      <c r="W36" s="112">
        <f t="shared" si="14"/>
        <v>512.00000000000011</v>
      </c>
      <c r="X36" s="112">
        <f t="shared" si="15"/>
        <v>12.000000000000004</v>
      </c>
      <c r="Y36" s="112">
        <f t="shared" si="16"/>
        <v>26.333333333333329</v>
      </c>
      <c r="Z36" s="112">
        <f t="shared" si="17"/>
        <v>68.666666666666686</v>
      </c>
      <c r="AA36" s="112">
        <f t="shared" si="18"/>
        <v>43.333333333333336</v>
      </c>
      <c r="AB36" s="284">
        <f t="shared" si="19"/>
        <v>150.33333333333334</v>
      </c>
    </row>
    <row r="37" spans="12:52">
      <c r="L37" s="279">
        <f>'Monthly Data (longer 09-23)'!A132</f>
        <v>43770</v>
      </c>
      <c r="M37" s="229">
        <f t="shared" si="4"/>
        <v>2019</v>
      </c>
      <c r="N37" s="280" t="str">
        <f>'Economic Data'!C98&amp;" "&amp;'Economic Data'!B98</f>
        <v>Q4 2019</v>
      </c>
      <c r="O37" s="155">
        <f t="shared" si="23"/>
        <v>2394</v>
      </c>
      <c r="P37">
        <f t="shared" si="6"/>
        <v>27</v>
      </c>
      <c r="Q37">
        <f t="shared" si="12"/>
        <v>3</v>
      </c>
      <c r="R37">
        <f t="shared" si="7"/>
        <v>1</v>
      </c>
      <c r="S37">
        <f t="shared" si="8"/>
        <v>5</v>
      </c>
      <c r="T37">
        <f t="shared" si="9"/>
        <v>1</v>
      </c>
      <c r="U37" s="162">
        <f t="shared" si="10"/>
        <v>10</v>
      </c>
      <c r="V37" s="283">
        <f t="shared" si="13"/>
        <v>33901.999999999993</v>
      </c>
      <c r="W37" s="112">
        <f t="shared" si="14"/>
        <v>521.00000000000011</v>
      </c>
      <c r="X37" s="112">
        <f t="shared" si="15"/>
        <v>13.000000000000004</v>
      </c>
      <c r="Y37" s="112">
        <f t="shared" si="16"/>
        <v>26.666666666666661</v>
      </c>
      <c r="Z37" s="112">
        <f t="shared" si="17"/>
        <v>70.333333333333357</v>
      </c>
      <c r="AA37" s="112">
        <f t="shared" si="18"/>
        <v>43.666666666666671</v>
      </c>
      <c r="AB37" s="284">
        <f t="shared" si="19"/>
        <v>153.66666666666669</v>
      </c>
    </row>
    <row r="38" spans="12:52">
      <c r="L38" s="279">
        <f>'Monthly Data (longer 09-23)'!A133</f>
        <v>43800</v>
      </c>
      <c r="M38" s="229">
        <f t="shared" si="4"/>
        <v>2019</v>
      </c>
      <c r="N38" s="280" t="str">
        <f>'Economic Data'!C99&amp;" "&amp;'Economic Data'!B99</f>
        <v>Q4 2019</v>
      </c>
      <c r="O38" s="155">
        <f t="shared" si="23"/>
        <v>2394</v>
      </c>
      <c r="P38">
        <f t="shared" si="6"/>
        <v>27</v>
      </c>
      <c r="Q38">
        <f t="shared" si="12"/>
        <v>3</v>
      </c>
      <c r="R38">
        <f t="shared" si="7"/>
        <v>1</v>
      </c>
      <c r="S38">
        <f t="shared" si="8"/>
        <v>5</v>
      </c>
      <c r="T38">
        <f t="shared" si="9"/>
        <v>1</v>
      </c>
      <c r="U38" s="162">
        <f t="shared" si="10"/>
        <v>10</v>
      </c>
      <c r="V38" s="283">
        <f t="shared" si="13"/>
        <v>34699.999999999993</v>
      </c>
      <c r="W38" s="112">
        <f t="shared" si="14"/>
        <v>530.00000000000011</v>
      </c>
      <c r="X38" s="112">
        <f t="shared" si="15"/>
        <v>14.000000000000004</v>
      </c>
      <c r="Y38" s="112">
        <f t="shared" si="16"/>
        <v>26.999999999999993</v>
      </c>
      <c r="Z38" s="112">
        <f t="shared" si="17"/>
        <v>72.000000000000028</v>
      </c>
      <c r="AA38" s="112">
        <f t="shared" si="18"/>
        <v>44.000000000000007</v>
      </c>
      <c r="AB38" s="284">
        <f t="shared" si="19"/>
        <v>157.00000000000003</v>
      </c>
    </row>
    <row r="39" spans="12:52">
      <c r="L39" s="279">
        <f>'Monthly Data (longer 09-23)'!A134</f>
        <v>43831</v>
      </c>
      <c r="M39" s="229">
        <f t="shared" si="4"/>
        <v>2020</v>
      </c>
      <c r="N39" s="280" t="str">
        <f>'Economic Data'!C100&amp;" "&amp;'Economic Data'!B100</f>
        <v>Q1 2020</v>
      </c>
      <c r="O39" s="155">
        <f t="shared" si="23"/>
        <v>2102</v>
      </c>
      <c r="P39">
        <f t="shared" si="6"/>
        <v>27</v>
      </c>
      <c r="Q39">
        <f t="shared" si="12"/>
        <v>1</v>
      </c>
      <c r="R39">
        <f t="shared" si="7"/>
        <v>1</v>
      </c>
      <c r="S39">
        <f t="shared" si="8"/>
        <v>7</v>
      </c>
      <c r="T39">
        <f t="shared" si="9"/>
        <v>7</v>
      </c>
      <c r="U39" s="162">
        <f t="shared" si="10"/>
        <v>16</v>
      </c>
      <c r="V39" s="283">
        <f t="shared" si="13"/>
        <v>35400.666666666657</v>
      </c>
      <c r="W39" s="112">
        <f t="shared" si="14"/>
        <v>539.00000000000011</v>
      </c>
      <c r="X39" s="112">
        <f t="shared" si="15"/>
        <v>14.333333333333337</v>
      </c>
      <c r="Y39" s="112">
        <f t="shared" si="16"/>
        <v>27.333333333333325</v>
      </c>
      <c r="Z39" s="112">
        <f t="shared" si="17"/>
        <v>74.333333333333357</v>
      </c>
      <c r="AA39" s="112">
        <f t="shared" si="18"/>
        <v>46.333333333333343</v>
      </c>
      <c r="AB39" s="284">
        <f t="shared" si="19"/>
        <v>162.33333333333337</v>
      </c>
    </row>
    <row r="40" spans="12:52">
      <c r="L40" s="279">
        <f>'Monthly Data (longer 09-23)'!A135</f>
        <v>43862</v>
      </c>
      <c r="M40" s="229">
        <f t="shared" si="4"/>
        <v>2020</v>
      </c>
      <c r="N40" s="280" t="str">
        <f>'Economic Data'!C101&amp;" "&amp;'Economic Data'!B101</f>
        <v>Q1 2020</v>
      </c>
      <c r="O40" s="155">
        <f t="shared" si="23"/>
        <v>2102</v>
      </c>
      <c r="P40">
        <f t="shared" si="6"/>
        <v>27</v>
      </c>
      <c r="Q40">
        <f t="shared" si="12"/>
        <v>1</v>
      </c>
      <c r="R40">
        <f t="shared" si="7"/>
        <v>1</v>
      </c>
      <c r="S40">
        <f t="shared" si="8"/>
        <v>7</v>
      </c>
      <c r="T40">
        <f t="shared" si="9"/>
        <v>7</v>
      </c>
      <c r="U40" s="162">
        <f t="shared" si="10"/>
        <v>16</v>
      </c>
      <c r="V40" s="283">
        <f t="shared" si="13"/>
        <v>36101.333333333321</v>
      </c>
      <c r="W40" s="112">
        <f t="shared" si="14"/>
        <v>548.00000000000011</v>
      </c>
      <c r="X40" s="112">
        <f t="shared" si="15"/>
        <v>14.666666666666671</v>
      </c>
      <c r="Y40" s="112">
        <f t="shared" si="16"/>
        <v>27.666666666666657</v>
      </c>
      <c r="Z40" s="112">
        <f t="shared" si="17"/>
        <v>76.666666666666686</v>
      </c>
      <c r="AA40" s="112">
        <f t="shared" si="18"/>
        <v>48.666666666666679</v>
      </c>
      <c r="AB40" s="284">
        <f t="shared" si="19"/>
        <v>167.66666666666671</v>
      </c>
    </row>
    <row r="41" spans="12:52">
      <c r="L41" s="279">
        <f>'Monthly Data (longer 09-23)'!A136</f>
        <v>43891</v>
      </c>
      <c r="M41" s="229">
        <f t="shared" si="4"/>
        <v>2020</v>
      </c>
      <c r="N41" s="280" t="str">
        <f>'Economic Data'!C102&amp;" "&amp;'Economic Data'!B102</f>
        <v>Q1 2020</v>
      </c>
      <c r="O41" s="155">
        <f t="shared" si="23"/>
        <v>2102</v>
      </c>
      <c r="P41">
        <f t="shared" si="6"/>
        <v>27</v>
      </c>
      <c r="Q41">
        <f t="shared" si="12"/>
        <v>1</v>
      </c>
      <c r="R41">
        <f t="shared" si="7"/>
        <v>1</v>
      </c>
      <c r="S41">
        <f t="shared" si="8"/>
        <v>7</v>
      </c>
      <c r="T41">
        <f t="shared" si="9"/>
        <v>7</v>
      </c>
      <c r="U41" s="162">
        <f t="shared" si="10"/>
        <v>16</v>
      </c>
      <c r="V41" s="283">
        <f t="shared" si="13"/>
        <v>36801.999999999985</v>
      </c>
      <c r="W41" s="112">
        <f t="shared" si="14"/>
        <v>557.00000000000011</v>
      </c>
      <c r="X41" s="112">
        <f t="shared" si="15"/>
        <v>15.000000000000005</v>
      </c>
      <c r="Y41" s="112">
        <f t="shared" si="16"/>
        <v>27.999999999999989</v>
      </c>
      <c r="Z41" s="112">
        <f t="shared" si="17"/>
        <v>79.000000000000014</v>
      </c>
      <c r="AA41" s="112">
        <f t="shared" si="18"/>
        <v>51.000000000000014</v>
      </c>
      <c r="AB41" s="284">
        <f t="shared" si="19"/>
        <v>173.00000000000006</v>
      </c>
    </row>
    <row r="42" spans="12:52">
      <c r="L42" s="279">
        <f>'Monthly Data (longer 09-23)'!A137</f>
        <v>43922</v>
      </c>
      <c r="M42" s="229">
        <f t="shared" si="4"/>
        <v>2020</v>
      </c>
      <c r="N42" s="280" t="str">
        <f>'Economic Data'!C103&amp;" "&amp;'Economic Data'!B103</f>
        <v>Q2 2020</v>
      </c>
      <c r="O42" s="155">
        <f t="shared" si="23"/>
        <v>1640</v>
      </c>
      <c r="P42">
        <f t="shared" si="6"/>
        <v>20</v>
      </c>
      <c r="Q42">
        <f t="shared" si="12"/>
        <v>1</v>
      </c>
      <c r="R42">
        <f t="shared" si="7"/>
        <v>0</v>
      </c>
      <c r="S42">
        <f t="shared" si="8"/>
        <v>2</v>
      </c>
      <c r="T42">
        <f t="shared" si="9"/>
        <v>3</v>
      </c>
      <c r="U42" s="162">
        <f t="shared" si="10"/>
        <v>6</v>
      </c>
      <c r="V42" s="283">
        <f t="shared" si="13"/>
        <v>37348.66666666665</v>
      </c>
      <c r="W42" s="112">
        <f t="shared" si="14"/>
        <v>563.66666666666674</v>
      </c>
      <c r="X42" s="112">
        <f t="shared" si="15"/>
        <v>15.333333333333339</v>
      </c>
      <c r="Y42" s="112">
        <f t="shared" si="16"/>
        <v>27.999999999999989</v>
      </c>
      <c r="Z42" s="112">
        <f t="shared" si="17"/>
        <v>79.666666666666686</v>
      </c>
      <c r="AA42" s="112">
        <f t="shared" si="18"/>
        <v>52.000000000000014</v>
      </c>
      <c r="AB42" s="284">
        <f t="shared" si="19"/>
        <v>175.00000000000006</v>
      </c>
    </row>
    <row r="43" spans="12:52">
      <c r="L43" s="279">
        <f>'Monthly Data (longer 09-23)'!A138</f>
        <v>43952</v>
      </c>
      <c r="M43" s="229">
        <f t="shared" si="4"/>
        <v>2020</v>
      </c>
      <c r="N43" s="280" t="str">
        <f>'Economic Data'!C104&amp;" "&amp;'Economic Data'!B104</f>
        <v>Q2 2020</v>
      </c>
      <c r="O43" s="155">
        <f t="shared" si="23"/>
        <v>1640</v>
      </c>
      <c r="P43">
        <f t="shared" si="6"/>
        <v>20</v>
      </c>
      <c r="Q43">
        <f t="shared" si="12"/>
        <v>1</v>
      </c>
      <c r="R43">
        <f t="shared" si="7"/>
        <v>0</v>
      </c>
      <c r="S43">
        <f t="shared" si="8"/>
        <v>2</v>
      </c>
      <c r="T43">
        <f t="shared" si="9"/>
        <v>3</v>
      </c>
      <c r="U43" s="162">
        <f t="shared" si="10"/>
        <v>6</v>
      </c>
      <c r="V43" s="283">
        <f t="shared" si="13"/>
        <v>37895.333333333314</v>
      </c>
      <c r="W43" s="112">
        <f t="shared" si="14"/>
        <v>570.33333333333337</v>
      </c>
      <c r="X43" s="112">
        <f t="shared" si="15"/>
        <v>15.666666666666673</v>
      </c>
      <c r="Y43" s="112">
        <f t="shared" si="16"/>
        <v>27.999999999999989</v>
      </c>
      <c r="Z43" s="112">
        <f t="shared" si="17"/>
        <v>80.333333333333357</v>
      </c>
      <c r="AA43" s="112">
        <f t="shared" si="18"/>
        <v>53.000000000000014</v>
      </c>
      <c r="AB43" s="284">
        <f t="shared" si="19"/>
        <v>177.00000000000006</v>
      </c>
    </row>
    <row r="44" spans="12:52">
      <c r="L44" s="279">
        <f>'Monthly Data (longer 09-23)'!A139</f>
        <v>43983</v>
      </c>
      <c r="M44" s="229">
        <f t="shared" si="4"/>
        <v>2020</v>
      </c>
      <c r="N44" s="280" t="str">
        <f>'Economic Data'!C105&amp;" "&amp;'Economic Data'!B105</f>
        <v>Q2 2020</v>
      </c>
      <c r="O44" s="155">
        <f t="shared" si="23"/>
        <v>1640</v>
      </c>
      <c r="P44">
        <f t="shared" si="6"/>
        <v>20</v>
      </c>
      <c r="Q44">
        <f t="shared" si="12"/>
        <v>1</v>
      </c>
      <c r="R44">
        <f t="shared" si="7"/>
        <v>0</v>
      </c>
      <c r="S44">
        <f t="shared" si="8"/>
        <v>2</v>
      </c>
      <c r="T44">
        <f t="shared" si="9"/>
        <v>3</v>
      </c>
      <c r="U44" s="162">
        <f t="shared" si="10"/>
        <v>6</v>
      </c>
      <c r="V44" s="283">
        <f t="shared" si="13"/>
        <v>38441.999999999978</v>
      </c>
      <c r="W44" s="112">
        <f t="shared" si="14"/>
        <v>577</v>
      </c>
      <c r="X44" s="112">
        <f t="shared" si="15"/>
        <v>16.000000000000007</v>
      </c>
      <c r="Y44" s="112">
        <f t="shared" si="16"/>
        <v>27.999999999999989</v>
      </c>
      <c r="Z44" s="112">
        <f t="shared" si="17"/>
        <v>81.000000000000028</v>
      </c>
      <c r="AA44" s="112">
        <f t="shared" si="18"/>
        <v>54.000000000000014</v>
      </c>
      <c r="AB44" s="284">
        <f t="shared" si="19"/>
        <v>179.00000000000006</v>
      </c>
    </row>
    <row r="45" spans="12:52">
      <c r="L45" s="279">
        <f>'Monthly Data (longer 09-23)'!A140</f>
        <v>44013</v>
      </c>
      <c r="M45" s="229">
        <f t="shared" si="4"/>
        <v>2020</v>
      </c>
      <c r="N45" s="280" t="str">
        <f>'Economic Data'!C106&amp;" "&amp;'Economic Data'!B106</f>
        <v>Q3 2020</v>
      </c>
      <c r="O45" s="155">
        <f t="shared" si="23"/>
        <v>3296</v>
      </c>
      <c r="P45">
        <f t="shared" si="6"/>
        <v>43</v>
      </c>
      <c r="Q45">
        <f t="shared" si="12"/>
        <v>3</v>
      </c>
      <c r="R45">
        <f t="shared" si="7"/>
        <v>1</v>
      </c>
      <c r="S45">
        <f t="shared" si="8"/>
        <v>5</v>
      </c>
      <c r="T45">
        <f t="shared" si="9"/>
        <v>7</v>
      </c>
      <c r="U45" s="162">
        <f t="shared" si="10"/>
        <v>16</v>
      </c>
      <c r="V45" s="283">
        <f t="shared" si="13"/>
        <v>39540.666666666642</v>
      </c>
      <c r="W45" s="112">
        <f t="shared" si="14"/>
        <v>591.33333333333337</v>
      </c>
      <c r="X45" s="112">
        <f t="shared" si="15"/>
        <v>17.000000000000007</v>
      </c>
      <c r="Y45" s="112">
        <f t="shared" si="16"/>
        <v>28.333333333333321</v>
      </c>
      <c r="Z45" s="112">
        <f t="shared" si="17"/>
        <v>82.6666666666667</v>
      </c>
      <c r="AA45" s="112">
        <f t="shared" si="18"/>
        <v>56.33333333333335</v>
      </c>
      <c r="AB45" s="284">
        <f t="shared" si="19"/>
        <v>184.3333333333334</v>
      </c>
    </row>
    <row r="46" spans="12:52">
      <c r="L46" s="279">
        <f>'Monthly Data (longer 09-23)'!A141</f>
        <v>44044</v>
      </c>
      <c r="M46" s="229">
        <f t="shared" si="4"/>
        <v>2020</v>
      </c>
      <c r="N46" s="280" t="str">
        <f>'Economic Data'!C107&amp;" "&amp;'Economic Data'!B107</f>
        <v>Q3 2020</v>
      </c>
      <c r="O46" s="155">
        <f t="shared" si="23"/>
        <v>3296</v>
      </c>
      <c r="P46">
        <f t="shared" si="6"/>
        <v>43</v>
      </c>
      <c r="Q46">
        <f t="shared" si="12"/>
        <v>3</v>
      </c>
      <c r="R46">
        <f t="shared" si="7"/>
        <v>1</v>
      </c>
      <c r="S46">
        <f t="shared" si="8"/>
        <v>5</v>
      </c>
      <c r="T46">
        <f t="shared" si="9"/>
        <v>7</v>
      </c>
      <c r="U46" s="162">
        <f t="shared" si="10"/>
        <v>16</v>
      </c>
      <c r="V46" s="283">
        <f t="shared" si="13"/>
        <v>40639.333333333307</v>
      </c>
      <c r="W46" s="112">
        <f t="shared" si="14"/>
        <v>605.66666666666674</v>
      </c>
      <c r="X46" s="112">
        <f t="shared" si="15"/>
        <v>18.000000000000007</v>
      </c>
      <c r="Y46" s="112">
        <f t="shared" si="16"/>
        <v>28.666666666666654</v>
      </c>
      <c r="Z46" s="112">
        <f t="shared" si="17"/>
        <v>84.333333333333371</v>
      </c>
      <c r="AA46" s="112">
        <f t="shared" si="18"/>
        <v>58.666666666666686</v>
      </c>
      <c r="AB46" s="284">
        <f t="shared" si="19"/>
        <v>189.66666666666674</v>
      </c>
    </row>
    <row r="47" spans="12:52">
      <c r="L47" s="279">
        <f>'Monthly Data (longer 09-23)'!A142</f>
        <v>44075</v>
      </c>
      <c r="M47" s="229">
        <f t="shared" si="4"/>
        <v>2020</v>
      </c>
      <c r="N47" s="280" t="str">
        <f>'Economic Data'!C108&amp;" "&amp;'Economic Data'!B108</f>
        <v>Q3 2020</v>
      </c>
      <c r="O47" s="155">
        <f t="shared" si="23"/>
        <v>3296</v>
      </c>
      <c r="P47">
        <f t="shared" si="6"/>
        <v>43</v>
      </c>
      <c r="Q47">
        <f t="shared" si="12"/>
        <v>3</v>
      </c>
      <c r="R47">
        <f t="shared" si="7"/>
        <v>1</v>
      </c>
      <c r="S47">
        <f t="shared" si="8"/>
        <v>5</v>
      </c>
      <c r="T47">
        <f t="shared" si="9"/>
        <v>7</v>
      </c>
      <c r="U47" s="162">
        <f t="shared" si="10"/>
        <v>16</v>
      </c>
      <c r="V47" s="283">
        <f t="shared" si="13"/>
        <v>41737.999999999971</v>
      </c>
      <c r="W47" s="112">
        <f t="shared" si="14"/>
        <v>620.00000000000011</v>
      </c>
      <c r="X47" s="112">
        <f t="shared" si="15"/>
        <v>19.000000000000007</v>
      </c>
      <c r="Y47" s="112">
        <f t="shared" si="16"/>
        <v>28.999999999999986</v>
      </c>
      <c r="Z47" s="112">
        <f t="shared" si="17"/>
        <v>86.000000000000043</v>
      </c>
      <c r="AA47" s="112">
        <f t="shared" si="18"/>
        <v>61.000000000000021</v>
      </c>
      <c r="AB47" s="284">
        <f t="shared" si="19"/>
        <v>195.00000000000009</v>
      </c>
    </row>
    <row r="48" spans="12:52">
      <c r="L48" s="279">
        <f>'Monthly Data (longer 09-23)'!A143</f>
        <v>44105</v>
      </c>
      <c r="M48" s="229">
        <f t="shared" si="4"/>
        <v>2020</v>
      </c>
      <c r="N48" s="280" t="str">
        <f>'Economic Data'!C109&amp;" "&amp;'Economic Data'!B109</f>
        <v>Q4 2020</v>
      </c>
      <c r="O48" s="155">
        <f t="shared" si="23"/>
        <v>3477</v>
      </c>
      <c r="P48">
        <f t="shared" si="6"/>
        <v>39</v>
      </c>
      <c r="Q48">
        <f t="shared" si="12"/>
        <v>1</v>
      </c>
      <c r="R48">
        <f t="shared" si="7"/>
        <v>1</v>
      </c>
      <c r="S48">
        <f t="shared" si="8"/>
        <v>5</v>
      </c>
      <c r="T48">
        <f t="shared" si="9"/>
        <v>7</v>
      </c>
      <c r="U48" s="162">
        <f t="shared" si="10"/>
        <v>14</v>
      </c>
      <c r="V48" s="283">
        <f t="shared" si="13"/>
        <v>42896.999999999971</v>
      </c>
      <c r="W48" s="112">
        <f t="shared" si="14"/>
        <v>633.00000000000011</v>
      </c>
      <c r="X48" s="112">
        <f t="shared" si="15"/>
        <v>19.333333333333339</v>
      </c>
      <c r="Y48" s="112">
        <f t="shared" si="16"/>
        <v>29.333333333333318</v>
      </c>
      <c r="Z48" s="112">
        <f t="shared" si="17"/>
        <v>87.666666666666714</v>
      </c>
      <c r="AA48" s="112">
        <f t="shared" si="18"/>
        <v>63.333333333333357</v>
      </c>
      <c r="AB48" s="284">
        <f t="shared" si="19"/>
        <v>199.66666666666674</v>
      </c>
    </row>
    <row r="49" spans="12:28">
      <c r="L49" s="279">
        <f>'Monthly Data (longer 09-23)'!A144</f>
        <v>44136</v>
      </c>
      <c r="M49" s="229">
        <f t="shared" si="4"/>
        <v>2020</v>
      </c>
      <c r="N49" s="280" t="str">
        <f>'Economic Data'!C110&amp;" "&amp;'Economic Data'!B110</f>
        <v>Q4 2020</v>
      </c>
      <c r="O49" s="155">
        <f t="shared" si="23"/>
        <v>3477</v>
      </c>
      <c r="P49">
        <f t="shared" si="6"/>
        <v>39</v>
      </c>
      <c r="Q49">
        <f t="shared" si="12"/>
        <v>1</v>
      </c>
      <c r="R49">
        <f t="shared" si="7"/>
        <v>1</v>
      </c>
      <c r="S49">
        <f t="shared" si="8"/>
        <v>5</v>
      </c>
      <c r="T49">
        <f t="shared" si="9"/>
        <v>7</v>
      </c>
      <c r="U49" s="162">
        <f t="shared" si="10"/>
        <v>14</v>
      </c>
      <c r="V49" s="283">
        <f t="shared" si="13"/>
        <v>44055.999999999971</v>
      </c>
      <c r="W49" s="112">
        <f t="shared" si="14"/>
        <v>646.00000000000011</v>
      </c>
      <c r="X49" s="112">
        <f t="shared" si="15"/>
        <v>19.666666666666671</v>
      </c>
      <c r="Y49" s="112">
        <f t="shared" si="16"/>
        <v>29.66666666666665</v>
      </c>
      <c r="Z49" s="112">
        <f t="shared" si="17"/>
        <v>89.333333333333385</v>
      </c>
      <c r="AA49" s="112">
        <f t="shared" si="18"/>
        <v>65.666666666666686</v>
      </c>
      <c r="AB49" s="284">
        <f t="shared" si="19"/>
        <v>204.3333333333334</v>
      </c>
    </row>
    <row r="50" spans="12:28">
      <c r="L50" s="279">
        <f>'Monthly Data (longer 09-23)'!A145</f>
        <v>44166</v>
      </c>
      <c r="M50" s="229">
        <f t="shared" si="4"/>
        <v>2020</v>
      </c>
      <c r="N50" s="280" t="str">
        <f>'Economic Data'!C111&amp;" "&amp;'Economic Data'!B111</f>
        <v>Q4 2020</v>
      </c>
      <c r="O50" s="155">
        <f t="shared" si="23"/>
        <v>3477</v>
      </c>
      <c r="P50">
        <f t="shared" si="6"/>
        <v>39</v>
      </c>
      <c r="Q50">
        <f t="shared" si="12"/>
        <v>1</v>
      </c>
      <c r="R50">
        <f t="shared" si="7"/>
        <v>1</v>
      </c>
      <c r="S50">
        <f t="shared" si="8"/>
        <v>5</v>
      </c>
      <c r="T50">
        <f t="shared" si="9"/>
        <v>7</v>
      </c>
      <c r="U50" s="162">
        <f t="shared" si="10"/>
        <v>14</v>
      </c>
      <c r="V50" s="283">
        <f t="shared" si="13"/>
        <v>45214.999999999971</v>
      </c>
      <c r="W50" s="112">
        <f t="shared" si="14"/>
        <v>659.00000000000011</v>
      </c>
      <c r="X50" s="112">
        <f t="shared" si="15"/>
        <v>20.000000000000004</v>
      </c>
      <c r="Y50" s="112">
        <f t="shared" si="16"/>
        <v>29.999999999999982</v>
      </c>
      <c r="Z50" s="112">
        <f t="shared" si="17"/>
        <v>91.000000000000057</v>
      </c>
      <c r="AA50" s="112">
        <f t="shared" si="18"/>
        <v>68.000000000000014</v>
      </c>
      <c r="AB50" s="284">
        <f t="shared" si="19"/>
        <v>209.00000000000006</v>
      </c>
    </row>
    <row r="51" spans="12:28">
      <c r="L51" s="279">
        <f>'Monthly Data (longer 09-23)'!A146</f>
        <v>44197</v>
      </c>
      <c r="M51" s="229">
        <f t="shared" si="4"/>
        <v>2021</v>
      </c>
      <c r="N51" s="280" t="str">
        <f>'Economic Data'!C112&amp;" "&amp;'Economic Data'!B112</f>
        <v>Q1 2021</v>
      </c>
      <c r="O51" s="155">
        <f t="shared" si="23"/>
        <v>3329</v>
      </c>
      <c r="P51">
        <f t="shared" si="6"/>
        <v>55</v>
      </c>
      <c r="Q51">
        <f t="shared" si="12"/>
        <v>2</v>
      </c>
      <c r="R51">
        <f t="shared" si="7"/>
        <v>4</v>
      </c>
      <c r="S51">
        <f t="shared" si="8"/>
        <v>6</v>
      </c>
      <c r="T51">
        <f t="shared" si="9"/>
        <v>5</v>
      </c>
      <c r="U51" s="162">
        <f t="shared" si="10"/>
        <v>17</v>
      </c>
      <c r="V51" s="283">
        <f t="shared" si="13"/>
        <v>46324.666666666635</v>
      </c>
      <c r="W51" s="112">
        <f t="shared" si="14"/>
        <v>677.33333333333348</v>
      </c>
      <c r="X51" s="112">
        <f t="shared" si="15"/>
        <v>20.666666666666671</v>
      </c>
      <c r="Y51" s="112">
        <f t="shared" si="16"/>
        <v>31.333333333333314</v>
      </c>
      <c r="Z51" s="112">
        <f t="shared" si="17"/>
        <v>93.000000000000057</v>
      </c>
      <c r="AA51" s="112">
        <f t="shared" si="18"/>
        <v>69.666666666666686</v>
      </c>
      <c r="AB51" s="284">
        <f t="shared" si="19"/>
        <v>214.66666666666671</v>
      </c>
    </row>
    <row r="52" spans="12:28">
      <c r="L52" s="279">
        <f>'Monthly Data (longer 09-23)'!A147</f>
        <v>44228</v>
      </c>
      <c r="M52" s="229">
        <f t="shared" si="4"/>
        <v>2021</v>
      </c>
      <c r="N52" s="280" t="str">
        <f>'Economic Data'!C113&amp;" "&amp;'Economic Data'!B113</f>
        <v>Q1 2021</v>
      </c>
      <c r="O52" s="155">
        <f t="shared" si="23"/>
        <v>3329</v>
      </c>
      <c r="P52">
        <f t="shared" si="6"/>
        <v>55</v>
      </c>
      <c r="Q52">
        <f t="shared" si="12"/>
        <v>2</v>
      </c>
      <c r="R52">
        <f t="shared" si="7"/>
        <v>4</v>
      </c>
      <c r="S52">
        <f t="shared" si="8"/>
        <v>6</v>
      </c>
      <c r="T52">
        <f t="shared" si="9"/>
        <v>5</v>
      </c>
      <c r="U52" s="162">
        <f t="shared" si="10"/>
        <v>17</v>
      </c>
      <c r="V52" s="283">
        <f t="shared" si="13"/>
        <v>47434.333333333299</v>
      </c>
      <c r="W52" s="112">
        <f t="shared" si="14"/>
        <v>695.66666666666686</v>
      </c>
      <c r="X52" s="112">
        <f t="shared" si="15"/>
        <v>21.333333333333339</v>
      </c>
      <c r="Y52" s="112">
        <f t="shared" si="16"/>
        <v>32.66666666666665</v>
      </c>
      <c r="Z52" s="112">
        <f t="shared" si="17"/>
        <v>95.000000000000057</v>
      </c>
      <c r="AA52" s="112">
        <f t="shared" si="18"/>
        <v>71.333333333333357</v>
      </c>
      <c r="AB52" s="284">
        <f t="shared" si="19"/>
        <v>220.33333333333337</v>
      </c>
    </row>
    <row r="53" spans="12:28">
      <c r="L53" s="279">
        <f>'Monthly Data (longer 09-23)'!A148</f>
        <v>44256</v>
      </c>
      <c r="M53" s="229">
        <f t="shared" si="4"/>
        <v>2021</v>
      </c>
      <c r="N53" s="280" t="str">
        <f>'Economic Data'!C114&amp;" "&amp;'Economic Data'!B114</f>
        <v>Q1 2021</v>
      </c>
      <c r="O53" s="155">
        <f t="shared" si="23"/>
        <v>3329</v>
      </c>
      <c r="P53">
        <f t="shared" si="6"/>
        <v>55</v>
      </c>
      <c r="Q53">
        <f t="shared" si="12"/>
        <v>2</v>
      </c>
      <c r="R53">
        <f t="shared" si="7"/>
        <v>4</v>
      </c>
      <c r="S53">
        <f t="shared" si="8"/>
        <v>6</v>
      </c>
      <c r="T53">
        <f t="shared" si="9"/>
        <v>5</v>
      </c>
      <c r="U53" s="162">
        <f t="shared" si="10"/>
        <v>17</v>
      </c>
      <c r="V53" s="283">
        <f t="shared" si="13"/>
        <v>48543.999999999964</v>
      </c>
      <c r="W53" s="112">
        <f t="shared" si="14"/>
        <v>714.00000000000023</v>
      </c>
      <c r="X53" s="112">
        <f t="shared" si="15"/>
        <v>22.000000000000007</v>
      </c>
      <c r="Y53" s="112">
        <f t="shared" si="16"/>
        <v>33.999999999999986</v>
      </c>
      <c r="Z53" s="112">
        <f t="shared" si="17"/>
        <v>97.000000000000057</v>
      </c>
      <c r="AA53" s="112">
        <f t="shared" si="18"/>
        <v>73.000000000000028</v>
      </c>
      <c r="AB53" s="284">
        <f t="shared" si="19"/>
        <v>226.00000000000003</v>
      </c>
    </row>
    <row r="54" spans="12:28">
      <c r="L54" s="279">
        <f>'Monthly Data (longer 09-23)'!A149</f>
        <v>44287</v>
      </c>
      <c r="M54" s="229">
        <f t="shared" si="4"/>
        <v>2021</v>
      </c>
      <c r="N54" s="280" t="str">
        <f>'Economic Data'!C115&amp;" "&amp;'Economic Data'!B115</f>
        <v>Q2 2021</v>
      </c>
      <c r="O54" s="155">
        <f t="shared" si="23"/>
        <v>5096</v>
      </c>
      <c r="P54">
        <f t="shared" si="6"/>
        <v>76</v>
      </c>
      <c r="Q54">
        <f t="shared" si="12"/>
        <v>5</v>
      </c>
      <c r="R54">
        <f t="shared" si="7"/>
        <v>5</v>
      </c>
      <c r="S54">
        <f t="shared" si="8"/>
        <v>11</v>
      </c>
      <c r="T54">
        <f t="shared" si="9"/>
        <v>13</v>
      </c>
      <c r="U54" s="162">
        <f t="shared" si="10"/>
        <v>34</v>
      </c>
      <c r="V54" s="283">
        <f t="shared" si="13"/>
        <v>50242.666666666628</v>
      </c>
      <c r="W54" s="112">
        <f t="shared" si="14"/>
        <v>739.3333333333336</v>
      </c>
      <c r="X54" s="112">
        <f t="shared" si="15"/>
        <v>23.666666666666675</v>
      </c>
      <c r="Y54" s="112">
        <f t="shared" si="16"/>
        <v>35.66666666666665</v>
      </c>
      <c r="Z54" s="112">
        <f t="shared" si="17"/>
        <v>100.66666666666673</v>
      </c>
      <c r="AA54" s="112">
        <f t="shared" si="18"/>
        <v>77.333333333333357</v>
      </c>
      <c r="AB54" s="284">
        <f t="shared" si="19"/>
        <v>237.33333333333337</v>
      </c>
    </row>
    <row r="55" spans="12:28">
      <c r="L55" s="279">
        <f>'Monthly Data (longer 09-23)'!A150</f>
        <v>44317</v>
      </c>
      <c r="M55" s="229">
        <f t="shared" si="4"/>
        <v>2021</v>
      </c>
      <c r="N55" s="280" t="str">
        <f>'Economic Data'!C116&amp;" "&amp;'Economic Data'!B116</f>
        <v>Q2 2021</v>
      </c>
      <c r="O55" s="155">
        <f t="shared" si="23"/>
        <v>5096</v>
      </c>
      <c r="P55">
        <f t="shared" si="6"/>
        <v>76</v>
      </c>
      <c r="Q55">
        <f t="shared" si="12"/>
        <v>5</v>
      </c>
      <c r="R55">
        <f t="shared" si="7"/>
        <v>5</v>
      </c>
      <c r="S55">
        <f t="shared" si="8"/>
        <v>11</v>
      </c>
      <c r="T55">
        <f t="shared" si="9"/>
        <v>13</v>
      </c>
      <c r="U55" s="162">
        <f t="shared" si="10"/>
        <v>34</v>
      </c>
      <c r="V55" s="283">
        <f t="shared" si="13"/>
        <v>51941.333333333292</v>
      </c>
      <c r="W55" s="112">
        <f t="shared" si="14"/>
        <v>764.66666666666697</v>
      </c>
      <c r="X55" s="112">
        <f t="shared" si="15"/>
        <v>25.333333333333343</v>
      </c>
      <c r="Y55" s="112">
        <f t="shared" si="16"/>
        <v>37.333333333333314</v>
      </c>
      <c r="Z55" s="112">
        <f t="shared" si="17"/>
        <v>104.3333333333334</v>
      </c>
      <c r="AA55" s="112">
        <f t="shared" si="18"/>
        <v>81.666666666666686</v>
      </c>
      <c r="AB55" s="284">
        <f t="shared" si="19"/>
        <v>248.66666666666671</v>
      </c>
    </row>
    <row r="56" spans="12:28">
      <c r="L56" s="279">
        <f>'Monthly Data (longer 09-23)'!A151</f>
        <v>44348</v>
      </c>
      <c r="M56" s="229">
        <f t="shared" si="4"/>
        <v>2021</v>
      </c>
      <c r="N56" s="280" t="str">
        <f>'Economic Data'!C117&amp;" "&amp;'Economic Data'!B117</f>
        <v>Q2 2021</v>
      </c>
      <c r="O56" s="155">
        <f t="shared" si="23"/>
        <v>5096</v>
      </c>
      <c r="P56">
        <f t="shared" si="6"/>
        <v>76</v>
      </c>
      <c r="Q56">
        <f t="shared" si="12"/>
        <v>5</v>
      </c>
      <c r="R56">
        <f t="shared" si="7"/>
        <v>5</v>
      </c>
      <c r="S56">
        <f t="shared" si="8"/>
        <v>11</v>
      </c>
      <c r="T56">
        <f t="shared" si="9"/>
        <v>13</v>
      </c>
      <c r="U56" s="162">
        <f t="shared" si="10"/>
        <v>34</v>
      </c>
      <c r="V56" s="283">
        <f t="shared" si="13"/>
        <v>53639.999999999956</v>
      </c>
      <c r="W56" s="112">
        <f t="shared" si="14"/>
        <v>790.00000000000034</v>
      </c>
      <c r="X56" s="112">
        <f t="shared" si="15"/>
        <v>27.000000000000011</v>
      </c>
      <c r="Y56" s="112">
        <f t="shared" si="16"/>
        <v>38.999999999999979</v>
      </c>
      <c r="Z56" s="112">
        <f t="shared" si="17"/>
        <v>108.00000000000007</v>
      </c>
      <c r="AA56" s="112">
        <f t="shared" si="18"/>
        <v>86.000000000000014</v>
      </c>
      <c r="AB56" s="284">
        <f t="shared" si="19"/>
        <v>260.00000000000006</v>
      </c>
    </row>
    <row r="57" spans="12:28">
      <c r="L57" s="279">
        <f>'Monthly Data (longer 09-23)'!A152</f>
        <v>44378</v>
      </c>
      <c r="M57" s="229">
        <f t="shared" si="4"/>
        <v>2021</v>
      </c>
      <c r="N57" s="280" t="str">
        <f>'Economic Data'!C118&amp;" "&amp;'Economic Data'!B118</f>
        <v>Q3 2021</v>
      </c>
      <c r="O57" s="155">
        <f t="shared" si="23"/>
        <v>5162</v>
      </c>
      <c r="P57">
        <f t="shared" si="6"/>
        <v>97</v>
      </c>
      <c r="Q57">
        <f t="shared" si="12"/>
        <v>5</v>
      </c>
      <c r="R57">
        <f t="shared" si="7"/>
        <v>6</v>
      </c>
      <c r="S57">
        <f t="shared" si="8"/>
        <v>20</v>
      </c>
      <c r="T57">
        <f t="shared" si="9"/>
        <v>9</v>
      </c>
      <c r="U57" s="162">
        <f t="shared" si="10"/>
        <v>40</v>
      </c>
      <c r="V57" s="283">
        <f t="shared" si="13"/>
        <v>55360.666666666621</v>
      </c>
      <c r="W57" s="112">
        <f t="shared" si="14"/>
        <v>822.33333333333371</v>
      </c>
      <c r="X57" s="112">
        <f t="shared" si="15"/>
        <v>28.666666666666679</v>
      </c>
      <c r="Y57" s="112">
        <f t="shared" si="16"/>
        <v>40.999999999999979</v>
      </c>
      <c r="Z57" s="112">
        <f t="shared" si="17"/>
        <v>114.66666666666674</v>
      </c>
      <c r="AA57" s="112">
        <f t="shared" si="18"/>
        <v>89.000000000000014</v>
      </c>
      <c r="AB57" s="284">
        <f t="shared" si="19"/>
        <v>273.33333333333337</v>
      </c>
    </row>
    <row r="58" spans="12:28">
      <c r="L58" s="279">
        <f>'Monthly Data (longer 09-23)'!A153</f>
        <v>44409</v>
      </c>
      <c r="M58" s="229">
        <f t="shared" si="4"/>
        <v>2021</v>
      </c>
      <c r="N58" s="280" t="str">
        <f>'Economic Data'!C119&amp;" "&amp;'Economic Data'!B119</f>
        <v>Q3 2021</v>
      </c>
      <c r="O58" s="155">
        <f t="shared" si="23"/>
        <v>5162</v>
      </c>
      <c r="P58">
        <f t="shared" si="6"/>
        <v>97</v>
      </c>
      <c r="Q58">
        <f t="shared" si="12"/>
        <v>5</v>
      </c>
      <c r="R58">
        <f t="shared" si="7"/>
        <v>6</v>
      </c>
      <c r="S58">
        <f t="shared" si="8"/>
        <v>20</v>
      </c>
      <c r="T58">
        <f t="shared" si="9"/>
        <v>9</v>
      </c>
      <c r="U58" s="162">
        <f t="shared" si="10"/>
        <v>40</v>
      </c>
      <c r="V58" s="283">
        <f t="shared" si="13"/>
        <v>57081.333333333285</v>
      </c>
      <c r="W58" s="112">
        <f t="shared" si="14"/>
        <v>854.66666666666708</v>
      </c>
      <c r="X58" s="112">
        <f t="shared" si="15"/>
        <v>30.333333333333346</v>
      </c>
      <c r="Y58" s="112">
        <f t="shared" si="16"/>
        <v>42.999999999999979</v>
      </c>
      <c r="Z58" s="112">
        <f t="shared" si="17"/>
        <v>121.33333333333341</v>
      </c>
      <c r="AA58" s="112">
        <f t="shared" si="18"/>
        <v>92.000000000000014</v>
      </c>
      <c r="AB58" s="284">
        <f t="shared" si="19"/>
        <v>286.66666666666669</v>
      </c>
    </row>
    <row r="59" spans="12:28">
      <c r="L59" s="279">
        <f>'Monthly Data (longer 09-23)'!A154</f>
        <v>44440</v>
      </c>
      <c r="M59" s="229">
        <f t="shared" si="4"/>
        <v>2021</v>
      </c>
      <c r="N59" s="280" t="str">
        <f>'Economic Data'!C120&amp;" "&amp;'Economic Data'!B120</f>
        <v>Q3 2021</v>
      </c>
      <c r="O59" s="155">
        <f t="shared" si="23"/>
        <v>5162</v>
      </c>
      <c r="P59">
        <f t="shared" si="6"/>
        <v>97</v>
      </c>
      <c r="Q59">
        <f t="shared" si="12"/>
        <v>5</v>
      </c>
      <c r="R59">
        <f t="shared" si="7"/>
        <v>6</v>
      </c>
      <c r="S59">
        <f t="shared" si="8"/>
        <v>20</v>
      </c>
      <c r="T59">
        <f t="shared" si="9"/>
        <v>9</v>
      </c>
      <c r="U59" s="162">
        <f t="shared" si="10"/>
        <v>40</v>
      </c>
      <c r="V59" s="283">
        <f t="shared" si="13"/>
        <v>58801.999999999949</v>
      </c>
      <c r="W59" s="112">
        <f t="shared" si="14"/>
        <v>887.00000000000045</v>
      </c>
      <c r="X59" s="112">
        <f t="shared" si="15"/>
        <v>32.000000000000014</v>
      </c>
      <c r="Y59" s="112">
        <f t="shared" si="16"/>
        <v>44.999999999999979</v>
      </c>
      <c r="Z59" s="112">
        <f t="shared" si="17"/>
        <v>128.00000000000009</v>
      </c>
      <c r="AA59" s="112">
        <f t="shared" si="18"/>
        <v>95.000000000000014</v>
      </c>
      <c r="AB59" s="284">
        <f t="shared" si="19"/>
        <v>300</v>
      </c>
    </row>
    <row r="60" spans="12:28">
      <c r="L60" s="279">
        <f>'Monthly Data (longer 09-23)'!A155</f>
        <v>44470</v>
      </c>
      <c r="M60" s="229">
        <f t="shared" si="4"/>
        <v>2021</v>
      </c>
      <c r="N60" s="280" t="str">
        <f>'Economic Data'!C121&amp;" "&amp;'Economic Data'!B121</f>
        <v>Q4 2021</v>
      </c>
      <c r="O60" s="155">
        <f t="shared" si="23"/>
        <v>6139</v>
      </c>
      <c r="P60">
        <f t="shared" si="6"/>
        <v>62</v>
      </c>
      <c r="Q60">
        <f t="shared" si="12"/>
        <v>3</v>
      </c>
      <c r="R60">
        <f t="shared" si="7"/>
        <v>4</v>
      </c>
      <c r="S60">
        <f t="shared" si="8"/>
        <v>6</v>
      </c>
      <c r="T60">
        <f t="shared" si="9"/>
        <v>6</v>
      </c>
      <c r="U60" s="162">
        <f t="shared" si="10"/>
        <v>19</v>
      </c>
      <c r="V60" s="283">
        <f t="shared" si="13"/>
        <v>60848.333333333285</v>
      </c>
      <c r="W60" s="112">
        <f t="shared" si="14"/>
        <v>907.66666666666708</v>
      </c>
      <c r="X60" s="112">
        <f t="shared" si="15"/>
        <v>33.000000000000014</v>
      </c>
      <c r="Y60" s="112">
        <f t="shared" si="16"/>
        <v>46.333333333333314</v>
      </c>
      <c r="Z60" s="112">
        <f t="shared" si="17"/>
        <v>130.00000000000009</v>
      </c>
      <c r="AA60" s="112">
        <f t="shared" si="18"/>
        <v>97.000000000000014</v>
      </c>
      <c r="AB60" s="284">
        <f t="shared" si="19"/>
        <v>306.33333333333331</v>
      </c>
    </row>
    <row r="61" spans="12:28">
      <c r="L61" s="279">
        <f>'Monthly Data (longer 09-23)'!A156</f>
        <v>44501</v>
      </c>
      <c r="M61" s="229">
        <f t="shared" si="4"/>
        <v>2021</v>
      </c>
      <c r="N61" s="280" t="str">
        <f>'Economic Data'!C122&amp;" "&amp;'Economic Data'!B122</f>
        <v>Q4 2021</v>
      </c>
      <c r="O61" s="155">
        <f t="shared" si="23"/>
        <v>6139</v>
      </c>
      <c r="P61">
        <f t="shared" si="6"/>
        <v>62</v>
      </c>
      <c r="Q61">
        <f t="shared" si="12"/>
        <v>3</v>
      </c>
      <c r="R61">
        <f t="shared" si="7"/>
        <v>4</v>
      </c>
      <c r="S61">
        <f t="shared" si="8"/>
        <v>6</v>
      </c>
      <c r="T61">
        <f t="shared" si="9"/>
        <v>6</v>
      </c>
      <c r="U61" s="162">
        <f t="shared" si="10"/>
        <v>19</v>
      </c>
      <c r="V61" s="283">
        <f t="shared" si="13"/>
        <v>62894.666666666621</v>
      </c>
      <c r="W61" s="112">
        <f t="shared" si="14"/>
        <v>928.33333333333371</v>
      </c>
      <c r="X61" s="112">
        <f t="shared" si="15"/>
        <v>34.000000000000014</v>
      </c>
      <c r="Y61" s="112">
        <f t="shared" si="16"/>
        <v>47.66666666666665</v>
      </c>
      <c r="Z61" s="112">
        <f t="shared" si="17"/>
        <v>132.00000000000009</v>
      </c>
      <c r="AA61" s="112">
        <f t="shared" si="18"/>
        <v>99.000000000000014</v>
      </c>
      <c r="AB61" s="284">
        <f t="shared" si="19"/>
        <v>312.66666666666663</v>
      </c>
    </row>
    <row r="62" spans="12:28">
      <c r="L62" s="279">
        <f>'Monthly Data (longer 09-23)'!A157</f>
        <v>44531</v>
      </c>
      <c r="M62" s="229">
        <f t="shared" si="4"/>
        <v>2021</v>
      </c>
      <c r="N62" s="280" t="str">
        <f>'Economic Data'!C123&amp;" "&amp;'Economic Data'!B123</f>
        <v>Q4 2021</v>
      </c>
      <c r="O62" s="155">
        <f t="shared" si="23"/>
        <v>6139</v>
      </c>
      <c r="P62">
        <f t="shared" si="6"/>
        <v>62</v>
      </c>
      <c r="Q62">
        <f t="shared" si="12"/>
        <v>3</v>
      </c>
      <c r="R62">
        <f t="shared" si="7"/>
        <v>4</v>
      </c>
      <c r="S62">
        <f t="shared" si="8"/>
        <v>6</v>
      </c>
      <c r="T62">
        <f t="shared" si="9"/>
        <v>6</v>
      </c>
      <c r="U62" s="162">
        <f t="shared" si="10"/>
        <v>19</v>
      </c>
      <c r="V62" s="283">
        <f t="shared" si="13"/>
        <v>64940.999999999956</v>
      </c>
      <c r="W62" s="112">
        <f t="shared" si="14"/>
        <v>949.00000000000034</v>
      </c>
      <c r="X62" s="112">
        <f t="shared" si="15"/>
        <v>35.000000000000014</v>
      </c>
      <c r="Y62" s="112">
        <f t="shared" si="16"/>
        <v>48.999999999999986</v>
      </c>
      <c r="Z62" s="112">
        <f t="shared" si="17"/>
        <v>134.00000000000009</v>
      </c>
      <c r="AA62" s="112">
        <f t="shared" si="18"/>
        <v>101.00000000000001</v>
      </c>
      <c r="AB62" s="284">
        <f t="shared" si="19"/>
        <v>318.99999999999994</v>
      </c>
    </row>
    <row r="63" spans="12:28">
      <c r="L63" s="279">
        <f>'Monthly Data (longer 09-23)'!A158</f>
        <v>44562</v>
      </c>
      <c r="M63" s="229">
        <f t="shared" si="4"/>
        <v>2022</v>
      </c>
      <c r="N63" s="280" t="str">
        <f>'Economic Data'!C124&amp;" "&amp;'Economic Data'!B124</f>
        <v>Q1 2022</v>
      </c>
      <c r="O63" s="155">
        <f t="shared" si="23"/>
        <v>7123</v>
      </c>
      <c r="P63">
        <f t="shared" si="6"/>
        <v>112</v>
      </c>
      <c r="Q63">
        <f t="shared" si="12"/>
        <v>7</v>
      </c>
      <c r="R63">
        <f t="shared" si="7"/>
        <v>5</v>
      </c>
      <c r="S63">
        <f t="shared" si="8"/>
        <v>19</v>
      </c>
      <c r="T63">
        <f t="shared" si="9"/>
        <v>9</v>
      </c>
      <c r="U63" s="162">
        <f t="shared" si="10"/>
        <v>40</v>
      </c>
      <c r="V63" s="283">
        <f t="shared" si="13"/>
        <v>67315.333333333285</v>
      </c>
      <c r="W63" s="112">
        <f t="shared" si="14"/>
        <v>986.33333333333371</v>
      </c>
      <c r="X63" s="112">
        <f t="shared" si="15"/>
        <v>37.33333333333335</v>
      </c>
      <c r="Y63" s="112">
        <f t="shared" si="16"/>
        <v>50.66666666666665</v>
      </c>
      <c r="Z63" s="112">
        <f t="shared" si="17"/>
        <v>140.33333333333343</v>
      </c>
      <c r="AA63" s="112">
        <f t="shared" si="18"/>
        <v>104.00000000000001</v>
      </c>
      <c r="AB63" s="284">
        <f t="shared" si="19"/>
        <v>332.33333333333326</v>
      </c>
    </row>
    <row r="64" spans="12:28">
      <c r="L64" s="279">
        <f>'Monthly Data (longer 09-23)'!A159</f>
        <v>44593</v>
      </c>
      <c r="M64" s="229">
        <f t="shared" si="4"/>
        <v>2022</v>
      </c>
      <c r="N64" s="280" t="str">
        <f>'Economic Data'!C125&amp;" "&amp;'Economic Data'!B125</f>
        <v>Q1 2022</v>
      </c>
      <c r="O64" s="155">
        <f t="shared" si="23"/>
        <v>7123</v>
      </c>
      <c r="P64">
        <f t="shared" si="6"/>
        <v>112</v>
      </c>
      <c r="Q64">
        <f t="shared" si="12"/>
        <v>7</v>
      </c>
      <c r="R64">
        <f t="shared" si="7"/>
        <v>5</v>
      </c>
      <c r="S64">
        <f t="shared" si="8"/>
        <v>19</v>
      </c>
      <c r="T64">
        <f t="shared" si="9"/>
        <v>9</v>
      </c>
      <c r="U64" s="162">
        <f t="shared" si="10"/>
        <v>40</v>
      </c>
      <c r="V64" s="283">
        <f t="shared" si="13"/>
        <v>69689.666666666613</v>
      </c>
      <c r="W64" s="112">
        <f t="shared" si="14"/>
        <v>1023.6666666666671</v>
      </c>
      <c r="X64" s="112">
        <f t="shared" si="15"/>
        <v>39.666666666666686</v>
      </c>
      <c r="Y64" s="112">
        <f t="shared" si="16"/>
        <v>52.333333333333314</v>
      </c>
      <c r="Z64" s="112">
        <f t="shared" si="17"/>
        <v>146.66666666666677</v>
      </c>
      <c r="AA64" s="112">
        <f t="shared" si="18"/>
        <v>107.00000000000001</v>
      </c>
      <c r="AB64" s="284">
        <f t="shared" si="19"/>
        <v>345.66666666666657</v>
      </c>
    </row>
    <row r="65" spans="12:28">
      <c r="L65" s="279">
        <f>'Monthly Data (longer 09-23)'!A160</f>
        <v>44621</v>
      </c>
      <c r="M65" s="229">
        <f t="shared" si="4"/>
        <v>2022</v>
      </c>
      <c r="N65" s="280" t="str">
        <f>'Economic Data'!C126&amp;" "&amp;'Economic Data'!B126</f>
        <v>Q1 2022</v>
      </c>
      <c r="O65" s="155">
        <f t="shared" si="23"/>
        <v>7123</v>
      </c>
      <c r="P65">
        <f t="shared" si="6"/>
        <v>112</v>
      </c>
      <c r="Q65">
        <f t="shared" si="12"/>
        <v>7</v>
      </c>
      <c r="R65">
        <f t="shared" si="7"/>
        <v>5</v>
      </c>
      <c r="S65">
        <f t="shared" si="8"/>
        <v>19</v>
      </c>
      <c r="T65">
        <f t="shared" si="9"/>
        <v>9</v>
      </c>
      <c r="U65" s="162">
        <f t="shared" si="10"/>
        <v>40</v>
      </c>
      <c r="V65" s="283">
        <f t="shared" si="13"/>
        <v>72063.999999999942</v>
      </c>
      <c r="W65" s="112">
        <f t="shared" si="14"/>
        <v>1061.0000000000005</v>
      </c>
      <c r="X65" s="112">
        <f t="shared" si="15"/>
        <v>42.000000000000021</v>
      </c>
      <c r="Y65" s="112">
        <f t="shared" si="16"/>
        <v>53.999999999999979</v>
      </c>
      <c r="Z65" s="112">
        <f t="shared" si="17"/>
        <v>153.00000000000011</v>
      </c>
      <c r="AA65" s="112">
        <f t="shared" si="18"/>
        <v>110.00000000000001</v>
      </c>
      <c r="AB65" s="284">
        <f t="shared" si="19"/>
        <v>358.99999999999989</v>
      </c>
    </row>
    <row r="66" spans="12:28">
      <c r="L66" s="279">
        <f>'Monthly Data (longer 09-23)'!A161</f>
        <v>44652</v>
      </c>
      <c r="M66" s="229">
        <f t="shared" si="4"/>
        <v>2022</v>
      </c>
      <c r="N66" s="280" t="str">
        <f>'Economic Data'!C127&amp;" "&amp;'Economic Data'!B127</f>
        <v>Q2 2022</v>
      </c>
      <c r="O66" s="155">
        <f t="shared" si="23"/>
        <v>9533</v>
      </c>
      <c r="P66">
        <f t="shared" si="6"/>
        <v>131</v>
      </c>
      <c r="Q66">
        <f t="shared" si="12"/>
        <v>5</v>
      </c>
      <c r="R66">
        <f t="shared" si="7"/>
        <v>12</v>
      </c>
      <c r="S66">
        <f t="shared" si="8"/>
        <v>13</v>
      </c>
      <c r="T66">
        <f t="shared" si="9"/>
        <v>12</v>
      </c>
      <c r="U66" s="162">
        <f t="shared" si="10"/>
        <v>42</v>
      </c>
      <c r="V66" s="283">
        <f t="shared" si="13"/>
        <v>75241.666666666613</v>
      </c>
      <c r="W66" s="112">
        <f t="shared" si="14"/>
        <v>1104.6666666666672</v>
      </c>
      <c r="X66" s="112">
        <f t="shared" si="15"/>
        <v>43.666666666666686</v>
      </c>
      <c r="Y66" s="112">
        <f t="shared" si="16"/>
        <v>57.999999999999979</v>
      </c>
      <c r="Z66" s="112">
        <f t="shared" si="17"/>
        <v>157.33333333333346</v>
      </c>
      <c r="AA66" s="112">
        <f t="shared" si="18"/>
        <v>114.00000000000001</v>
      </c>
      <c r="AB66" s="284">
        <f t="shared" si="19"/>
        <v>372.99999999999989</v>
      </c>
    </row>
    <row r="67" spans="12:28">
      <c r="L67" s="279">
        <f>'Monthly Data (longer 09-23)'!A162</f>
        <v>44682</v>
      </c>
      <c r="M67" s="229">
        <f t="shared" si="4"/>
        <v>2022</v>
      </c>
      <c r="N67" s="280" t="str">
        <f>'Economic Data'!C128&amp;" "&amp;'Economic Data'!B128</f>
        <v>Q2 2022</v>
      </c>
      <c r="O67" s="155">
        <f t="shared" ref="O67:O86" si="25">SUMIFS(D:D,B:B,N67)</f>
        <v>9533</v>
      </c>
      <c r="P67">
        <f t="shared" si="6"/>
        <v>131</v>
      </c>
      <c r="Q67">
        <f t="shared" si="12"/>
        <v>5</v>
      </c>
      <c r="R67">
        <f t="shared" si="7"/>
        <v>12</v>
      </c>
      <c r="S67">
        <f t="shared" si="8"/>
        <v>13</v>
      </c>
      <c r="T67">
        <f t="shared" si="9"/>
        <v>12</v>
      </c>
      <c r="U67" s="162">
        <f t="shared" si="10"/>
        <v>42</v>
      </c>
      <c r="V67" s="283">
        <f t="shared" si="13"/>
        <v>78419.333333333285</v>
      </c>
      <c r="W67" s="112">
        <f t="shared" si="14"/>
        <v>1148.3333333333339</v>
      </c>
      <c r="X67" s="112">
        <f t="shared" si="15"/>
        <v>45.33333333333335</v>
      </c>
      <c r="Y67" s="112">
        <f t="shared" si="16"/>
        <v>61.999999999999979</v>
      </c>
      <c r="Z67" s="112">
        <f t="shared" si="17"/>
        <v>161.6666666666668</v>
      </c>
      <c r="AA67" s="112">
        <f t="shared" si="18"/>
        <v>118.00000000000001</v>
      </c>
      <c r="AB67" s="284">
        <f t="shared" si="19"/>
        <v>386.99999999999989</v>
      </c>
    </row>
    <row r="68" spans="12:28">
      <c r="L68" s="279">
        <f>'Monthly Data (longer 09-23)'!A163</f>
        <v>44713</v>
      </c>
      <c r="M68" s="229">
        <f t="shared" ref="M68:M86" si="26">YEAR(L68)</f>
        <v>2022</v>
      </c>
      <c r="N68" s="280" t="str">
        <f>'Economic Data'!C129&amp;" "&amp;'Economic Data'!B129</f>
        <v>Q2 2022</v>
      </c>
      <c r="O68" s="155">
        <f t="shared" si="25"/>
        <v>9533</v>
      </c>
      <c r="P68">
        <f t="shared" ref="P68:P86" si="27">SUMIFS(E:E,B:B,N68)</f>
        <v>131</v>
      </c>
      <c r="Q68">
        <f t="shared" ref="Q68:Q86" si="28">SUMIFS(F:F,B:B,N68)</f>
        <v>5</v>
      </c>
      <c r="R68">
        <f t="shared" ref="R68:R86" si="29">SUMIFS(G:G,B:B,N68)</f>
        <v>12</v>
      </c>
      <c r="S68">
        <f t="shared" ref="S68:S86" si="30">SUMIFS(H:H,B:B,N68)</f>
        <v>13</v>
      </c>
      <c r="T68">
        <f t="shared" ref="T68:T86" si="31">SUMIFS(I:I,B:B,N68)</f>
        <v>12</v>
      </c>
      <c r="U68" s="162">
        <f t="shared" ref="U68:U86" si="32">Q68+R68+S68+T68</f>
        <v>42</v>
      </c>
      <c r="V68" s="283">
        <f t="shared" si="13"/>
        <v>81596.999999999956</v>
      </c>
      <c r="W68" s="112">
        <f t="shared" si="14"/>
        <v>1192.0000000000007</v>
      </c>
      <c r="X68" s="112">
        <f t="shared" si="15"/>
        <v>47.000000000000014</v>
      </c>
      <c r="Y68" s="112">
        <f t="shared" si="16"/>
        <v>65.999999999999972</v>
      </c>
      <c r="Z68" s="112">
        <f t="shared" si="17"/>
        <v>166.00000000000014</v>
      </c>
      <c r="AA68" s="112">
        <f t="shared" si="18"/>
        <v>122.00000000000001</v>
      </c>
      <c r="AB68" s="284">
        <f t="shared" si="19"/>
        <v>400.99999999999989</v>
      </c>
    </row>
    <row r="69" spans="12:28">
      <c r="L69" s="279">
        <f>'Monthly Data (longer 09-23)'!A164</f>
        <v>44743</v>
      </c>
      <c r="M69" s="229">
        <f t="shared" si="26"/>
        <v>2022</v>
      </c>
      <c r="N69" s="280" t="str">
        <f>'Economic Data'!C130&amp;" "&amp;'Economic Data'!B130</f>
        <v>Q3 2022</v>
      </c>
      <c r="O69" s="155">
        <f t="shared" si="25"/>
        <v>11017</v>
      </c>
      <c r="P69">
        <f t="shared" si="27"/>
        <v>206</v>
      </c>
      <c r="Q69">
        <f t="shared" si="28"/>
        <v>9</v>
      </c>
      <c r="R69">
        <f t="shared" si="29"/>
        <v>14</v>
      </c>
      <c r="S69">
        <f t="shared" si="30"/>
        <v>38</v>
      </c>
      <c r="T69">
        <f t="shared" si="31"/>
        <v>26</v>
      </c>
      <c r="U69" s="162">
        <f t="shared" si="32"/>
        <v>87</v>
      </c>
      <c r="V69" s="283">
        <f t="shared" si="13"/>
        <v>85269.333333333285</v>
      </c>
      <c r="W69" s="112">
        <f t="shared" si="14"/>
        <v>1260.6666666666674</v>
      </c>
      <c r="X69" s="112">
        <f t="shared" si="15"/>
        <v>50.000000000000014</v>
      </c>
      <c r="Y69" s="112">
        <f t="shared" si="16"/>
        <v>70.666666666666643</v>
      </c>
      <c r="Z69" s="112">
        <f t="shared" si="17"/>
        <v>178.6666666666668</v>
      </c>
      <c r="AA69" s="112">
        <f t="shared" si="18"/>
        <v>130.66666666666669</v>
      </c>
      <c r="AB69" s="284">
        <f t="shared" si="19"/>
        <v>429.99999999999989</v>
      </c>
    </row>
    <row r="70" spans="12:28">
      <c r="L70" s="279">
        <f>'Monthly Data (longer 09-23)'!A165</f>
        <v>44774</v>
      </c>
      <c r="M70" s="229">
        <f t="shared" si="26"/>
        <v>2022</v>
      </c>
      <c r="N70" s="280" t="str">
        <f>'Economic Data'!C131&amp;" "&amp;'Economic Data'!B131</f>
        <v>Q3 2022</v>
      </c>
      <c r="O70" s="155">
        <f t="shared" si="25"/>
        <v>11017</v>
      </c>
      <c r="P70">
        <f t="shared" si="27"/>
        <v>206</v>
      </c>
      <c r="Q70">
        <f t="shared" si="28"/>
        <v>9</v>
      </c>
      <c r="R70">
        <f t="shared" si="29"/>
        <v>14</v>
      </c>
      <c r="S70">
        <f t="shared" si="30"/>
        <v>38</v>
      </c>
      <c r="T70">
        <f t="shared" si="31"/>
        <v>26</v>
      </c>
      <c r="U70" s="162">
        <f t="shared" si="32"/>
        <v>87</v>
      </c>
      <c r="V70" s="283">
        <f t="shared" ref="V70:V86" si="33">O70/3+V69</f>
        <v>88941.666666666613</v>
      </c>
      <c r="W70" s="112">
        <f t="shared" ref="W70:W86" si="34">P70/3+W69</f>
        <v>1329.3333333333342</v>
      </c>
      <c r="X70" s="112">
        <f t="shared" ref="X70:X81" si="35">Q70/3+X69</f>
        <v>53.000000000000014</v>
      </c>
      <c r="Y70" s="112">
        <f t="shared" ref="Y70:Y86" si="36">R70/3+Y69</f>
        <v>75.333333333333314</v>
      </c>
      <c r="Z70" s="112">
        <f t="shared" ref="Z70:Z86" si="37">S70/3+Z69</f>
        <v>191.33333333333346</v>
      </c>
      <c r="AA70" s="112">
        <f t="shared" ref="AA70:AA86" si="38">T70/3+AA69</f>
        <v>139.33333333333334</v>
      </c>
      <c r="AB70" s="284">
        <f t="shared" ref="AB70:AB86" si="39">U70/3+AB69</f>
        <v>458.99999999999989</v>
      </c>
    </row>
    <row r="71" spans="12:28">
      <c r="L71" s="279">
        <f>'Monthly Data (longer 09-23)'!A166</f>
        <v>44805</v>
      </c>
      <c r="M71" s="229">
        <f t="shared" si="26"/>
        <v>2022</v>
      </c>
      <c r="N71" s="280" t="str">
        <f>'Economic Data'!C132&amp;" "&amp;'Economic Data'!B132</f>
        <v>Q3 2022</v>
      </c>
      <c r="O71" s="155">
        <f t="shared" si="25"/>
        <v>11017</v>
      </c>
      <c r="P71">
        <f t="shared" si="27"/>
        <v>206</v>
      </c>
      <c r="Q71">
        <f t="shared" si="28"/>
        <v>9</v>
      </c>
      <c r="R71">
        <f t="shared" si="29"/>
        <v>14</v>
      </c>
      <c r="S71">
        <f t="shared" si="30"/>
        <v>38</v>
      </c>
      <c r="T71">
        <f t="shared" si="31"/>
        <v>26</v>
      </c>
      <c r="U71" s="162">
        <f t="shared" si="32"/>
        <v>87</v>
      </c>
      <c r="V71" s="283">
        <f t="shared" si="33"/>
        <v>92613.999999999942</v>
      </c>
      <c r="W71" s="112">
        <f t="shared" si="34"/>
        <v>1398.0000000000009</v>
      </c>
      <c r="X71" s="112">
        <f t="shared" si="35"/>
        <v>56.000000000000014</v>
      </c>
      <c r="Y71" s="112">
        <f t="shared" si="36"/>
        <v>79.999999999999986</v>
      </c>
      <c r="Z71" s="112">
        <f t="shared" si="37"/>
        <v>204.00000000000011</v>
      </c>
      <c r="AA71" s="112">
        <f t="shared" si="38"/>
        <v>148</v>
      </c>
      <c r="AB71" s="284">
        <f t="shared" si="39"/>
        <v>487.99999999999989</v>
      </c>
    </row>
    <row r="72" spans="12:28">
      <c r="L72" s="279">
        <f>'Monthly Data (longer 09-23)'!A167</f>
        <v>44835</v>
      </c>
      <c r="M72" s="229">
        <f t="shared" si="26"/>
        <v>2022</v>
      </c>
      <c r="N72" s="280" t="str">
        <f>'Economic Data'!C133&amp;" "&amp;'Economic Data'!B133</f>
        <v>Q4 2022</v>
      </c>
      <c r="O72" s="155">
        <f t="shared" si="25"/>
        <v>10982</v>
      </c>
      <c r="P72">
        <f t="shared" si="27"/>
        <v>128</v>
      </c>
      <c r="Q72">
        <f t="shared" si="28"/>
        <v>8</v>
      </c>
      <c r="R72">
        <f t="shared" si="29"/>
        <v>8</v>
      </c>
      <c r="S72">
        <f t="shared" si="30"/>
        <v>17</v>
      </c>
      <c r="T72">
        <f t="shared" si="31"/>
        <v>9</v>
      </c>
      <c r="U72" s="162">
        <f t="shared" si="32"/>
        <v>42</v>
      </c>
      <c r="V72" s="283">
        <f t="shared" si="33"/>
        <v>96274.666666666613</v>
      </c>
      <c r="W72" s="112">
        <f t="shared" si="34"/>
        <v>1440.6666666666677</v>
      </c>
      <c r="X72" s="112">
        <f t="shared" si="35"/>
        <v>58.666666666666679</v>
      </c>
      <c r="Y72" s="112">
        <f t="shared" si="36"/>
        <v>82.666666666666657</v>
      </c>
      <c r="Z72" s="112">
        <f t="shared" si="37"/>
        <v>209.66666666666677</v>
      </c>
      <c r="AA72" s="112">
        <f t="shared" si="38"/>
        <v>151</v>
      </c>
      <c r="AB72" s="284">
        <f t="shared" si="39"/>
        <v>501.99999999999989</v>
      </c>
    </row>
    <row r="73" spans="12:28">
      <c r="L73" s="279">
        <f>'Monthly Data (longer 09-23)'!A168</f>
        <v>44866</v>
      </c>
      <c r="M73" s="229">
        <f t="shared" si="26"/>
        <v>2022</v>
      </c>
      <c r="N73" s="280" t="str">
        <f>'Economic Data'!C134&amp;" "&amp;'Economic Data'!B134</f>
        <v>Q4 2022</v>
      </c>
      <c r="O73" s="155">
        <f t="shared" si="25"/>
        <v>10982</v>
      </c>
      <c r="P73">
        <f t="shared" si="27"/>
        <v>128</v>
      </c>
      <c r="Q73">
        <f t="shared" si="28"/>
        <v>8</v>
      </c>
      <c r="R73">
        <f t="shared" si="29"/>
        <v>8</v>
      </c>
      <c r="S73">
        <f t="shared" si="30"/>
        <v>17</v>
      </c>
      <c r="T73">
        <f t="shared" si="31"/>
        <v>9</v>
      </c>
      <c r="U73" s="162">
        <f t="shared" si="32"/>
        <v>42</v>
      </c>
      <c r="V73" s="283">
        <f t="shared" si="33"/>
        <v>99935.333333333285</v>
      </c>
      <c r="W73" s="112">
        <f t="shared" si="34"/>
        <v>1483.3333333333344</v>
      </c>
      <c r="X73" s="112">
        <f t="shared" si="35"/>
        <v>61.333333333333343</v>
      </c>
      <c r="Y73" s="112">
        <f t="shared" si="36"/>
        <v>85.333333333333329</v>
      </c>
      <c r="Z73" s="112">
        <f t="shared" si="37"/>
        <v>215.33333333333343</v>
      </c>
      <c r="AA73" s="112">
        <f t="shared" si="38"/>
        <v>154</v>
      </c>
      <c r="AB73" s="284">
        <f t="shared" si="39"/>
        <v>515.99999999999989</v>
      </c>
    </row>
    <row r="74" spans="12:28">
      <c r="L74" s="279">
        <f>'Monthly Data (longer 09-23)'!A169</f>
        <v>44896</v>
      </c>
      <c r="M74" s="229">
        <f t="shared" si="26"/>
        <v>2022</v>
      </c>
      <c r="N74" s="280" t="str">
        <f>'Economic Data'!C135&amp;" "&amp;'Economic Data'!B135</f>
        <v>Q4 2022</v>
      </c>
      <c r="O74" s="155">
        <f t="shared" si="25"/>
        <v>10982</v>
      </c>
      <c r="P74">
        <f t="shared" si="27"/>
        <v>128</v>
      </c>
      <c r="Q74">
        <f t="shared" si="28"/>
        <v>8</v>
      </c>
      <c r="R74">
        <f t="shared" si="29"/>
        <v>8</v>
      </c>
      <c r="S74">
        <f t="shared" si="30"/>
        <v>17</v>
      </c>
      <c r="T74">
        <f t="shared" si="31"/>
        <v>9</v>
      </c>
      <c r="U74" s="162">
        <f t="shared" si="32"/>
        <v>42</v>
      </c>
      <c r="V74" s="283">
        <f t="shared" si="33"/>
        <v>103595.99999999996</v>
      </c>
      <c r="W74" s="112">
        <f t="shared" si="34"/>
        <v>1526.0000000000011</v>
      </c>
      <c r="X74" s="112">
        <f t="shared" si="35"/>
        <v>64.000000000000014</v>
      </c>
      <c r="Y74" s="112">
        <f t="shared" si="36"/>
        <v>88</v>
      </c>
      <c r="Z74" s="112">
        <f t="shared" si="37"/>
        <v>221.00000000000009</v>
      </c>
      <c r="AA74" s="112">
        <f t="shared" si="38"/>
        <v>157</v>
      </c>
      <c r="AB74" s="284">
        <f t="shared" si="39"/>
        <v>529.99999999999989</v>
      </c>
    </row>
    <row r="75" spans="12:28">
      <c r="L75" s="279">
        <f>'Monthly Data (longer 09-23)'!A170</f>
        <v>44927</v>
      </c>
      <c r="M75" s="229">
        <f t="shared" si="26"/>
        <v>2023</v>
      </c>
      <c r="N75" s="280" t="str">
        <f>'Economic Data'!C136&amp;" "&amp;'Economic Data'!B136</f>
        <v>Q1 2023</v>
      </c>
      <c r="O75" s="155">
        <f t="shared" si="25"/>
        <v>8453</v>
      </c>
      <c r="P75">
        <f t="shared" si="27"/>
        <v>131</v>
      </c>
      <c r="Q75">
        <f t="shared" si="28"/>
        <v>6</v>
      </c>
      <c r="R75">
        <f t="shared" si="29"/>
        <v>4</v>
      </c>
      <c r="S75">
        <f t="shared" si="30"/>
        <v>17</v>
      </c>
      <c r="T75">
        <f t="shared" si="31"/>
        <v>15</v>
      </c>
      <c r="U75" s="162">
        <f t="shared" si="32"/>
        <v>42</v>
      </c>
      <c r="V75" s="283">
        <f t="shared" si="33"/>
        <v>106413.66666666663</v>
      </c>
      <c r="W75" s="112">
        <f t="shared" si="34"/>
        <v>1569.6666666666679</v>
      </c>
      <c r="X75" s="112">
        <f t="shared" si="35"/>
        <v>66.000000000000014</v>
      </c>
      <c r="Y75" s="112">
        <f t="shared" si="36"/>
        <v>89.333333333333329</v>
      </c>
      <c r="Z75" s="112">
        <f t="shared" si="37"/>
        <v>226.66666666666674</v>
      </c>
      <c r="AA75" s="112">
        <f t="shared" si="38"/>
        <v>162</v>
      </c>
      <c r="AB75" s="284">
        <f t="shared" si="39"/>
        <v>543.99999999999989</v>
      </c>
    </row>
    <row r="76" spans="12:28">
      <c r="L76" s="279">
        <f>'Monthly Data (longer 09-23)'!A171</f>
        <v>44958</v>
      </c>
      <c r="M76" s="229">
        <f t="shared" si="26"/>
        <v>2023</v>
      </c>
      <c r="N76" s="280" t="str">
        <f>'Economic Data'!C137&amp;" "&amp;'Economic Data'!B137</f>
        <v>Q1 2023</v>
      </c>
      <c r="O76" s="155">
        <f t="shared" si="25"/>
        <v>8453</v>
      </c>
      <c r="P76">
        <f t="shared" si="27"/>
        <v>131</v>
      </c>
      <c r="Q76">
        <f t="shared" si="28"/>
        <v>6</v>
      </c>
      <c r="R76">
        <f t="shared" si="29"/>
        <v>4</v>
      </c>
      <c r="S76">
        <f t="shared" si="30"/>
        <v>17</v>
      </c>
      <c r="T76">
        <f t="shared" si="31"/>
        <v>15</v>
      </c>
      <c r="U76" s="162">
        <f t="shared" si="32"/>
        <v>42</v>
      </c>
      <c r="V76" s="283">
        <f t="shared" si="33"/>
        <v>109231.3333333333</v>
      </c>
      <c r="W76" s="112">
        <f t="shared" si="34"/>
        <v>1613.3333333333346</v>
      </c>
      <c r="X76" s="112">
        <f t="shared" si="35"/>
        <v>68.000000000000014</v>
      </c>
      <c r="Y76" s="112">
        <f t="shared" si="36"/>
        <v>90.666666666666657</v>
      </c>
      <c r="Z76" s="112">
        <f t="shared" si="37"/>
        <v>232.3333333333334</v>
      </c>
      <c r="AA76" s="112">
        <f t="shared" si="38"/>
        <v>167</v>
      </c>
      <c r="AB76" s="284">
        <f t="shared" si="39"/>
        <v>557.99999999999989</v>
      </c>
    </row>
    <row r="77" spans="12:28">
      <c r="L77" s="279">
        <f>'Monthly Data (longer 09-23)'!A172</f>
        <v>44986</v>
      </c>
      <c r="M77" s="229">
        <f t="shared" si="26"/>
        <v>2023</v>
      </c>
      <c r="N77" s="280" t="str">
        <f>'Economic Data'!C138&amp;" "&amp;'Economic Data'!B138</f>
        <v>Q1 2023</v>
      </c>
      <c r="O77" s="155">
        <f t="shared" si="25"/>
        <v>8453</v>
      </c>
      <c r="P77">
        <f t="shared" si="27"/>
        <v>131</v>
      </c>
      <c r="Q77">
        <f t="shared" si="28"/>
        <v>6</v>
      </c>
      <c r="R77">
        <f t="shared" si="29"/>
        <v>4</v>
      </c>
      <c r="S77">
        <f t="shared" si="30"/>
        <v>17</v>
      </c>
      <c r="T77">
        <f t="shared" si="31"/>
        <v>15</v>
      </c>
      <c r="U77" s="162">
        <f t="shared" si="32"/>
        <v>42</v>
      </c>
      <c r="V77" s="283">
        <f t="shared" si="33"/>
        <v>112048.99999999997</v>
      </c>
      <c r="W77" s="112">
        <f t="shared" si="34"/>
        <v>1657.0000000000014</v>
      </c>
      <c r="X77" s="112">
        <f t="shared" si="35"/>
        <v>70.000000000000014</v>
      </c>
      <c r="Y77" s="112">
        <f t="shared" si="36"/>
        <v>91.999999999999986</v>
      </c>
      <c r="Z77" s="112">
        <f t="shared" si="37"/>
        <v>238.00000000000006</v>
      </c>
      <c r="AA77" s="112">
        <f t="shared" si="38"/>
        <v>172</v>
      </c>
      <c r="AB77" s="284">
        <f t="shared" si="39"/>
        <v>571.99999999999989</v>
      </c>
    </row>
    <row r="78" spans="12:28">
      <c r="L78" s="279">
        <f>'Monthly Data (longer 09-23)'!A173</f>
        <v>45017</v>
      </c>
      <c r="M78" s="229">
        <f t="shared" si="26"/>
        <v>2023</v>
      </c>
      <c r="N78" s="280" t="str">
        <f>'Economic Data'!C139&amp;" "&amp;'Economic Data'!B139</f>
        <v>Q2 2023</v>
      </c>
      <c r="O78" s="155">
        <f t="shared" si="25"/>
        <v>12751</v>
      </c>
      <c r="P78">
        <f t="shared" si="27"/>
        <v>189</v>
      </c>
      <c r="Q78">
        <f t="shared" si="28"/>
        <v>10</v>
      </c>
      <c r="R78">
        <f t="shared" si="29"/>
        <v>7</v>
      </c>
      <c r="S78">
        <f t="shared" si="30"/>
        <v>30</v>
      </c>
      <c r="T78">
        <f t="shared" si="31"/>
        <v>16</v>
      </c>
      <c r="U78" s="162">
        <f t="shared" si="32"/>
        <v>63</v>
      </c>
      <c r="V78" s="283">
        <f t="shared" si="33"/>
        <v>116299.3333333333</v>
      </c>
      <c r="W78" s="112">
        <f t="shared" si="34"/>
        <v>1720.0000000000014</v>
      </c>
      <c r="X78" s="112">
        <f t="shared" si="35"/>
        <v>73.333333333333343</v>
      </c>
      <c r="Y78" s="112">
        <f t="shared" si="36"/>
        <v>94.333333333333314</v>
      </c>
      <c r="Z78" s="112">
        <f t="shared" si="37"/>
        <v>248.00000000000006</v>
      </c>
      <c r="AA78" s="112">
        <f t="shared" si="38"/>
        <v>177.33333333333334</v>
      </c>
      <c r="AB78" s="284">
        <f t="shared" si="39"/>
        <v>592.99999999999989</v>
      </c>
    </row>
    <row r="79" spans="12:28">
      <c r="L79" s="279">
        <f>'Monthly Data (longer 09-23)'!A174</f>
        <v>45047</v>
      </c>
      <c r="M79" s="229">
        <f t="shared" si="26"/>
        <v>2023</v>
      </c>
      <c r="N79" s="280" t="str">
        <f>'Economic Data'!C140&amp;" "&amp;'Economic Data'!B140</f>
        <v>Q2 2023</v>
      </c>
      <c r="O79" s="155">
        <f t="shared" si="25"/>
        <v>12751</v>
      </c>
      <c r="P79">
        <f t="shared" si="27"/>
        <v>189</v>
      </c>
      <c r="Q79">
        <f t="shared" si="28"/>
        <v>10</v>
      </c>
      <c r="R79">
        <f t="shared" si="29"/>
        <v>7</v>
      </c>
      <c r="S79">
        <f t="shared" si="30"/>
        <v>30</v>
      </c>
      <c r="T79">
        <f t="shared" si="31"/>
        <v>16</v>
      </c>
      <c r="U79" s="162">
        <f t="shared" si="32"/>
        <v>63</v>
      </c>
      <c r="V79" s="283">
        <f t="shared" si="33"/>
        <v>120549.66666666663</v>
      </c>
      <c r="W79" s="112">
        <f t="shared" si="34"/>
        <v>1783.0000000000014</v>
      </c>
      <c r="X79" s="112">
        <f t="shared" si="35"/>
        <v>76.666666666666671</v>
      </c>
      <c r="Y79" s="112">
        <f t="shared" si="36"/>
        <v>96.666666666666643</v>
      </c>
      <c r="Z79" s="112">
        <f t="shared" si="37"/>
        <v>258.00000000000006</v>
      </c>
      <c r="AA79" s="112">
        <f t="shared" si="38"/>
        <v>182.66666666666669</v>
      </c>
      <c r="AB79" s="284">
        <f t="shared" si="39"/>
        <v>613.99999999999989</v>
      </c>
    </row>
    <row r="80" spans="12:28">
      <c r="L80" s="279">
        <f>'Monthly Data (longer 09-23)'!A175</f>
        <v>45078</v>
      </c>
      <c r="M80" s="229">
        <f t="shared" si="26"/>
        <v>2023</v>
      </c>
      <c r="N80" s="280" t="str">
        <f>'Economic Data'!C141&amp;" "&amp;'Economic Data'!B141</f>
        <v>Q2 2023</v>
      </c>
      <c r="O80" s="155">
        <f t="shared" si="25"/>
        <v>12751</v>
      </c>
      <c r="P80">
        <f t="shared" si="27"/>
        <v>189</v>
      </c>
      <c r="Q80">
        <f t="shared" si="28"/>
        <v>10</v>
      </c>
      <c r="R80">
        <f t="shared" si="29"/>
        <v>7</v>
      </c>
      <c r="S80">
        <f t="shared" si="30"/>
        <v>30</v>
      </c>
      <c r="T80">
        <f t="shared" si="31"/>
        <v>16</v>
      </c>
      <c r="U80" s="162">
        <f t="shared" si="32"/>
        <v>63</v>
      </c>
      <c r="V80" s="283">
        <f t="shared" si="33"/>
        <v>124799.99999999996</v>
      </c>
      <c r="W80" s="112">
        <f t="shared" si="34"/>
        <v>1846.0000000000014</v>
      </c>
      <c r="X80" s="112">
        <f t="shared" si="35"/>
        <v>80</v>
      </c>
      <c r="Y80" s="112">
        <f t="shared" si="36"/>
        <v>98.999999999999972</v>
      </c>
      <c r="Z80" s="112">
        <f t="shared" si="37"/>
        <v>268.00000000000006</v>
      </c>
      <c r="AA80" s="112">
        <f t="shared" si="38"/>
        <v>188.00000000000003</v>
      </c>
      <c r="AB80" s="284">
        <f t="shared" si="39"/>
        <v>634.99999999999989</v>
      </c>
    </row>
    <row r="81" spans="12:28">
      <c r="L81" s="279">
        <f>'Monthly Data (longer 09-23)'!A176</f>
        <v>45108</v>
      </c>
      <c r="M81" s="229">
        <f t="shared" si="26"/>
        <v>2023</v>
      </c>
      <c r="N81" s="280" t="str">
        <f>'Economic Data'!C142&amp;" "&amp;'Economic Data'!B142</f>
        <v>Q3 2023</v>
      </c>
      <c r="O81" s="155">
        <f t="shared" si="25"/>
        <v>14624</v>
      </c>
      <c r="P81">
        <f t="shared" si="27"/>
        <v>218</v>
      </c>
      <c r="Q81">
        <f t="shared" si="28"/>
        <v>5</v>
      </c>
      <c r="R81">
        <f t="shared" si="29"/>
        <v>23</v>
      </c>
      <c r="S81">
        <f t="shared" si="30"/>
        <v>32</v>
      </c>
      <c r="T81">
        <f t="shared" si="31"/>
        <v>14</v>
      </c>
      <c r="U81" s="162">
        <f t="shared" si="32"/>
        <v>74</v>
      </c>
      <c r="V81" s="283">
        <f t="shared" si="33"/>
        <v>129674.66666666663</v>
      </c>
      <c r="W81" s="112">
        <f t="shared" si="34"/>
        <v>1918.6666666666681</v>
      </c>
      <c r="X81" s="112">
        <f t="shared" si="35"/>
        <v>81.666666666666671</v>
      </c>
      <c r="Y81" s="112">
        <f t="shared" si="36"/>
        <v>106.66666666666664</v>
      </c>
      <c r="Z81" s="112">
        <f t="shared" si="37"/>
        <v>278.66666666666674</v>
      </c>
      <c r="AA81" s="112">
        <f t="shared" si="38"/>
        <v>192.66666666666669</v>
      </c>
      <c r="AB81" s="284">
        <f t="shared" si="39"/>
        <v>659.66666666666652</v>
      </c>
    </row>
    <row r="82" spans="12:28">
      <c r="L82" s="279">
        <f>'Monthly Data (longer 09-23)'!A177</f>
        <v>45139</v>
      </c>
      <c r="M82" s="229">
        <f t="shared" si="26"/>
        <v>2023</v>
      </c>
      <c r="N82" s="280" t="str">
        <f>'Economic Data'!C143&amp;" "&amp;'Economic Data'!B143</f>
        <v>Q3 2023</v>
      </c>
      <c r="O82" s="155">
        <f t="shared" si="25"/>
        <v>14624</v>
      </c>
      <c r="P82">
        <f t="shared" si="27"/>
        <v>218</v>
      </c>
      <c r="Q82">
        <f t="shared" si="28"/>
        <v>5</v>
      </c>
      <c r="R82">
        <f t="shared" si="29"/>
        <v>23</v>
      </c>
      <c r="S82">
        <f t="shared" si="30"/>
        <v>32</v>
      </c>
      <c r="T82">
        <f t="shared" si="31"/>
        <v>14</v>
      </c>
      <c r="U82" s="162">
        <f t="shared" si="32"/>
        <v>74</v>
      </c>
      <c r="V82" s="283">
        <f t="shared" si="33"/>
        <v>134549.33333333328</v>
      </c>
      <c r="W82" s="112">
        <f t="shared" si="34"/>
        <v>1991.3333333333348</v>
      </c>
      <c r="X82" s="112">
        <f>Q82/3+X81</f>
        <v>83.333333333333343</v>
      </c>
      <c r="Y82" s="112">
        <f t="shared" si="36"/>
        <v>114.33333333333331</v>
      </c>
      <c r="Z82" s="112">
        <f t="shared" si="37"/>
        <v>289.33333333333343</v>
      </c>
      <c r="AA82" s="112">
        <f t="shared" si="38"/>
        <v>197.33333333333334</v>
      </c>
      <c r="AB82" s="284">
        <f t="shared" si="39"/>
        <v>684.33333333333314</v>
      </c>
    </row>
    <row r="83" spans="12:28">
      <c r="L83" s="279">
        <f>'Monthly Data (longer 09-23)'!A178</f>
        <v>45170</v>
      </c>
      <c r="M83" s="229">
        <f t="shared" si="26"/>
        <v>2023</v>
      </c>
      <c r="N83" s="280" t="str">
        <f>'Economic Data'!C144&amp;" "&amp;'Economic Data'!B144</f>
        <v>Q3 2023</v>
      </c>
      <c r="O83" s="155">
        <f t="shared" si="25"/>
        <v>14624</v>
      </c>
      <c r="P83">
        <f t="shared" si="27"/>
        <v>218</v>
      </c>
      <c r="Q83">
        <f>SUMIFS(F:F,B:B,N83)</f>
        <v>5</v>
      </c>
      <c r="R83">
        <f t="shared" si="29"/>
        <v>23</v>
      </c>
      <c r="S83">
        <f t="shared" si="30"/>
        <v>32</v>
      </c>
      <c r="T83">
        <f t="shared" si="31"/>
        <v>14</v>
      </c>
      <c r="U83" s="162">
        <f t="shared" si="32"/>
        <v>74</v>
      </c>
      <c r="V83" s="283">
        <f t="shared" si="33"/>
        <v>139423.99999999994</v>
      </c>
      <c r="W83" s="112">
        <f t="shared" si="34"/>
        <v>2064.0000000000014</v>
      </c>
      <c r="X83" s="112">
        <f>Q83/3+X82</f>
        <v>85.000000000000014</v>
      </c>
      <c r="Y83" s="112">
        <f t="shared" si="36"/>
        <v>121.99999999999999</v>
      </c>
      <c r="Z83" s="112">
        <f t="shared" si="37"/>
        <v>300.00000000000011</v>
      </c>
      <c r="AA83" s="112">
        <f t="shared" si="38"/>
        <v>202</v>
      </c>
      <c r="AB83" s="284">
        <f t="shared" si="39"/>
        <v>708.99999999999977</v>
      </c>
    </row>
    <row r="84" spans="12:28">
      <c r="L84" s="279">
        <f>'Monthly Data (longer 09-23)'!A179</f>
        <v>45200</v>
      </c>
      <c r="M84" s="229">
        <f t="shared" si="26"/>
        <v>2023</v>
      </c>
      <c r="N84" s="280" t="str">
        <f>'Economic Data'!C145&amp;" "&amp;'Economic Data'!B145</f>
        <v>Q4 2023</v>
      </c>
      <c r="O84" s="155">
        <f>SUMIFS(D:D,B:B,N84)</f>
        <v>13975</v>
      </c>
      <c r="P84">
        <f t="shared" si="27"/>
        <v>230</v>
      </c>
      <c r="Q84">
        <f t="shared" si="28"/>
        <v>16</v>
      </c>
      <c r="R84">
        <f t="shared" si="29"/>
        <v>22</v>
      </c>
      <c r="S84">
        <f t="shared" si="30"/>
        <v>39</v>
      </c>
      <c r="T84">
        <f t="shared" si="31"/>
        <v>20</v>
      </c>
      <c r="U84" s="162">
        <f t="shared" si="32"/>
        <v>97</v>
      </c>
      <c r="V84" s="283">
        <f t="shared" si="33"/>
        <v>144082.33333333328</v>
      </c>
      <c r="W84" s="112">
        <f t="shared" si="34"/>
        <v>2140.6666666666679</v>
      </c>
      <c r="X84" s="112">
        <f>Q84/3+X83</f>
        <v>90.333333333333343</v>
      </c>
      <c r="Y84" s="112">
        <f t="shared" si="36"/>
        <v>129.33333333333331</v>
      </c>
      <c r="Z84" s="112">
        <f t="shared" si="37"/>
        <v>313.00000000000011</v>
      </c>
      <c r="AA84" s="112">
        <f t="shared" si="38"/>
        <v>208.66666666666666</v>
      </c>
      <c r="AB84" s="284">
        <f t="shared" si="39"/>
        <v>741.33333333333314</v>
      </c>
    </row>
    <row r="85" spans="12:28">
      <c r="L85" s="279">
        <f>'Monthly Data (longer 09-23)'!A180</f>
        <v>45231</v>
      </c>
      <c r="M85" s="229">
        <f t="shared" si="26"/>
        <v>2023</v>
      </c>
      <c r="N85" s="280" t="str">
        <f>'Economic Data'!C146&amp;" "&amp;'Economic Data'!B146</f>
        <v>Q4 2023</v>
      </c>
      <c r="O85" s="155">
        <f t="shared" si="25"/>
        <v>13975</v>
      </c>
      <c r="P85">
        <f t="shared" si="27"/>
        <v>230</v>
      </c>
      <c r="Q85">
        <f t="shared" si="28"/>
        <v>16</v>
      </c>
      <c r="R85">
        <f t="shared" si="29"/>
        <v>22</v>
      </c>
      <c r="S85">
        <f t="shared" si="30"/>
        <v>39</v>
      </c>
      <c r="T85">
        <f t="shared" si="31"/>
        <v>20</v>
      </c>
      <c r="U85" s="162">
        <f t="shared" si="32"/>
        <v>97</v>
      </c>
      <c r="V85" s="283">
        <f t="shared" si="33"/>
        <v>148740.66666666663</v>
      </c>
      <c r="W85" s="112">
        <f t="shared" si="34"/>
        <v>2217.3333333333344</v>
      </c>
      <c r="X85" s="112">
        <f>Q85/3+X84</f>
        <v>95.666666666666671</v>
      </c>
      <c r="Y85" s="112">
        <f t="shared" si="36"/>
        <v>136.66666666666666</v>
      </c>
      <c r="Z85" s="112">
        <f t="shared" si="37"/>
        <v>326.00000000000011</v>
      </c>
      <c r="AA85" s="112">
        <f t="shared" si="38"/>
        <v>215.33333333333331</v>
      </c>
      <c r="AB85" s="284">
        <f t="shared" si="39"/>
        <v>773.66666666666652</v>
      </c>
    </row>
    <row r="86" spans="12:28">
      <c r="L86" s="281">
        <f>'Monthly Data (longer 09-23)'!A181</f>
        <v>45261</v>
      </c>
      <c r="M86" s="229">
        <f t="shared" si="26"/>
        <v>2023</v>
      </c>
      <c r="N86" s="282" t="str">
        <f>'Economic Data'!C147&amp;" "&amp;'Economic Data'!B147</f>
        <v>Q4 2023</v>
      </c>
      <c r="O86" s="165">
        <f t="shared" si="25"/>
        <v>13975</v>
      </c>
      <c r="P86" s="174">
        <f t="shared" si="27"/>
        <v>230</v>
      </c>
      <c r="Q86" s="174">
        <f t="shared" si="28"/>
        <v>16</v>
      </c>
      <c r="R86" s="174">
        <f t="shared" si="29"/>
        <v>22</v>
      </c>
      <c r="S86" s="174">
        <f t="shared" si="30"/>
        <v>39</v>
      </c>
      <c r="T86" s="174">
        <f t="shared" si="31"/>
        <v>20</v>
      </c>
      <c r="U86" s="175">
        <f t="shared" si="32"/>
        <v>97</v>
      </c>
      <c r="V86" s="285">
        <f t="shared" si="33"/>
        <v>153398.99999999997</v>
      </c>
      <c r="W86" s="286">
        <f t="shared" si="34"/>
        <v>2294.0000000000009</v>
      </c>
      <c r="X86" s="286">
        <f>Q86/3+X85</f>
        <v>101</v>
      </c>
      <c r="Y86" s="286">
        <f t="shared" si="36"/>
        <v>144</v>
      </c>
      <c r="Z86" s="286">
        <f t="shared" si="37"/>
        <v>339.00000000000011</v>
      </c>
      <c r="AA86" s="286">
        <f t="shared" si="38"/>
        <v>221.99999999999997</v>
      </c>
      <c r="AB86" s="287">
        <f t="shared" si="39"/>
        <v>805.99999999999989</v>
      </c>
    </row>
  </sheetData>
  <mergeCells count="6">
    <mergeCell ref="AV2:AZ2"/>
    <mergeCell ref="V1:AB1"/>
    <mergeCell ref="O1:U1"/>
    <mergeCell ref="AG2:AK2"/>
    <mergeCell ref="AL2:AP2"/>
    <mergeCell ref="AQ2:AU2"/>
  </mergeCells>
  <phoneticPr fontId="29" type="noConversion"/>
  <pageMargins left="0.7" right="0.7" top="0.75" bottom="0.75" header="0.3" footer="0.3"/>
  <ignoredErrors>
    <ignoredError xmlns:x16r3="http://schemas.microsoft.com/office/spreadsheetml/2018/08/main" sqref="L81:L86" x16r3:misleadingForma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432EE-0CEC-422D-B1BA-9CC8700E24C5}">
  <sheetPr>
    <tabColor theme="3" tint="0.79998168889431442"/>
  </sheetPr>
  <dimension ref="B1:X122"/>
  <sheetViews>
    <sheetView workbookViewId="0">
      <selection activeCell="D3" sqref="D3:D6"/>
    </sheetView>
  </sheetViews>
  <sheetFormatPr defaultRowHeight="14.45"/>
  <cols>
    <col min="1" max="1" width="2.5703125" customWidth="1"/>
    <col min="2" max="2" width="34.140625" customWidth="1"/>
    <col min="3" max="3" width="12.42578125" customWidth="1"/>
    <col min="5" max="5" width="30.85546875" customWidth="1"/>
    <col min="6" max="6" width="11.85546875" customWidth="1"/>
    <col min="7" max="7" width="10.5703125" bestFit="1" customWidth="1"/>
    <col min="8" max="8" width="17.140625" bestFit="1" customWidth="1"/>
    <col min="9" max="9" width="11.5703125" customWidth="1"/>
    <col min="10" max="10" width="21.42578125" customWidth="1"/>
    <col min="11" max="11" width="12.5703125" bestFit="1" customWidth="1"/>
    <col min="12" max="12" width="14.5703125" bestFit="1" customWidth="1"/>
    <col min="13" max="13" width="12" bestFit="1" customWidth="1"/>
    <col min="14" max="14" width="14.5703125" customWidth="1"/>
    <col min="15" max="17" width="11" bestFit="1" customWidth="1"/>
    <col min="18" max="21" width="11.5703125" bestFit="1" customWidth="1"/>
    <col min="22" max="24" width="12" bestFit="1" customWidth="1"/>
  </cols>
  <sheetData>
    <row r="1" spans="2:24">
      <c r="C1" t="s">
        <v>329</v>
      </c>
      <c r="D1" t="s">
        <v>330</v>
      </c>
    </row>
    <row r="2" spans="2:24">
      <c r="C2" t="s">
        <v>331</v>
      </c>
      <c r="D2" t="s">
        <v>332</v>
      </c>
    </row>
    <row r="3" spans="2:24">
      <c r="B3" t="s">
        <v>333</v>
      </c>
      <c r="C3" s="6">
        <v>20000</v>
      </c>
      <c r="D3" s="510">
        <f>20*('EV Data'!AM35/('EV Data'!AM35+'EV Data'!AW35))+20*0.6*('EV Data'!AW35/('EV Data'!AM35+'EV Data'!AW35))</f>
        <v>18.164206843773915</v>
      </c>
      <c r="E3" s="473">
        <f>C3*D3/100</f>
        <v>3632.8413687547832</v>
      </c>
      <c r="Q3" s="272"/>
      <c r="R3" s="272"/>
      <c r="S3" s="272"/>
    </row>
    <row r="4" spans="2:24">
      <c r="B4" t="s">
        <v>334</v>
      </c>
      <c r="C4" s="6">
        <v>20000</v>
      </c>
      <c r="D4" s="510">
        <f>20*('EV Data'!AO35/('EV Data'!AO35+'EV Data'!AY35))+20*0.6*('EV Data'!AY35/('EV Data'!AO35+'EV Data'!AY35))</f>
        <v>17.750708147005291</v>
      </c>
      <c r="E4" s="473">
        <f t="shared" ref="E4:E6" si="0">C4*D4/100</f>
        <v>3550.1416294010583</v>
      </c>
      <c r="O4" s="272"/>
      <c r="P4" s="272"/>
      <c r="Q4" s="272"/>
      <c r="R4" s="272"/>
      <c r="S4" s="272"/>
      <c r="T4" s="74"/>
      <c r="U4" s="74"/>
      <c r="V4" s="74"/>
      <c r="W4" s="74"/>
      <c r="X4" s="272"/>
    </row>
    <row r="5" spans="2:24">
      <c r="B5" t="s">
        <v>335</v>
      </c>
      <c r="C5" s="6">
        <v>20000</v>
      </c>
      <c r="D5" s="510">
        <f>25*('EV Data'!AP35/('EV Data'!AP35+'EV Data'!AZ35))+25*0.6*('EV Data'!AZ35/('EV Data'!AP35+'EV Data'!AZ35))</f>
        <v>16.830381105743424</v>
      </c>
      <c r="E5" s="473">
        <f t="shared" si="0"/>
        <v>3366.0762211486849</v>
      </c>
      <c r="F5" s="6"/>
      <c r="G5" s="6"/>
    </row>
    <row r="6" spans="2:24">
      <c r="B6" t="s">
        <v>336</v>
      </c>
      <c r="C6" s="6">
        <f>C5</f>
        <v>20000</v>
      </c>
      <c r="D6" s="511">
        <f>30*('EV Data'!AN35/('EV Data'!AN35+'EV Data'!AX35))+30*0.6*('EV Data'!AX35/('EV Data'!AN35+'EV Data'!AX35))</f>
        <v>30</v>
      </c>
      <c r="E6" s="473">
        <f t="shared" si="0"/>
        <v>6000</v>
      </c>
      <c r="H6" s="15"/>
      <c r="I6" s="15"/>
    </row>
    <row r="7" spans="2:24">
      <c r="E7" s="474"/>
      <c r="F7" s="296">
        <v>2017</v>
      </c>
      <c r="G7" s="296">
        <v>2018</v>
      </c>
      <c r="H7" s="296">
        <v>2019</v>
      </c>
      <c r="I7" s="296">
        <v>2020</v>
      </c>
      <c r="J7" s="296">
        <v>2021</v>
      </c>
      <c r="K7" s="296">
        <v>2022</v>
      </c>
      <c r="L7" s="296">
        <v>2023</v>
      </c>
      <c r="M7" s="296">
        <v>2024</v>
      </c>
      <c r="N7" s="296">
        <v>2025</v>
      </c>
      <c r="O7" s="296">
        <v>2026</v>
      </c>
      <c r="P7" s="296">
        <v>2027</v>
      </c>
      <c r="Q7" s="296">
        <v>2028</v>
      </c>
      <c r="R7" s="296">
        <v>2029</v>
      </c>
      <c r="S7" s="296">
        <v>2030</v>
      </c>
      <c r="T7" s="296">
        <v>2031</v>
      </c>
      <c r="U7" s="296">
        <v>2032</v>
      </c>
      <c r="V7" s="296">
        <v>2033</v>
      </c>
      <c r="W7" s="296">
        <v>2034</v>
      </c>
      <c r="X7" s="296">
        <v>2035</v>
      </c>
    </row>
    <row r="9" spans="2:24">
      <c r="C9" s="514" t="s">
        <v>337</v>
      </c>
      <c r="D9" s="298" t="s">
        <v>267</v>
      </c>
      <c r="E9" t="s">
        <v>338</v>
      </c>
      <c r="F9" s="6">
        <f>SUMIFS('EV Data'!$U:$U,'EV Data'!$M:$M,'EV Forecast'!F7)/3</f>
        <v>52</v>
      </c>
      <c r="G9" s="6">
        <f>SUMIFS('EV Data'!$U:$U,'EV Data'!$M:$M,'EV Forecast'!G7)/3</f>
        <v>69</v>
      </c>
      <c r="H9" s="6">
        <f>SUMIFS('EV Data'!$U:$U,'EV Data'!$M:$M,'EV Forecast'!H7)/3</f>
        <v>36</v>
      </c>
      <c r="I9" s="6">
        <f>SUMIFS('EV Data'!$U:$U,'EV Data'!$M:$M,'EV Forecast'!I7)/3</f>
        <v>52</v>
      </c>
      <c r="J9" s="6">
        <f>SUMIFS('EV Data'!$U:$U,'EV Data'!$M:$M,'EV Forecast'!J7)/3</f>
        <v>110</v>
      </c>
      <c r="K9" s="6">
        <f>SUMIFS('EV Data'!$U:$U,'EV Data'!$M:$M,'EV Forecast'!K7)/3</f>
        <v>211</v>
      </c>
      <c r="L9" s="6">
        <f>SUMIFS('EV Data'!$U:$U,'EV Data'!$M:$M,'EV Forecast'!L7)/3</f>
        <v>276</v>
      </c>
      <c r="M9" s="297">
        <f t="shared" ref="M9:X9" si="1">M12+M17+M22</f>
        <v>621.35878513017451</v>
      </c>
      <c r="N9" s="297">
        <f t="shared" si="1"/>
        <v>847.68873887408813</v>
      </c>
      <c r="O9" s="297">
        <f t="shared" si="1"/>
        <v>1074.0186926180018</v>
      </c>
      <c r="P9" s="297">
        <f t="shared" si="1"/>
        <v>1235.1214965107022</v>
      </c>
      <c r="Q9" s="297">
        <f t="shared" si="1"/>
        <v>1825.8317774506029</v>
      </c>
      <c r="R9" s="297">
        <f t="shared" si="1"/>
        <v>2309.1401891287037</v>
      </c>
      <c r="S9" s="297">
        <f t="shared" si="1"/>
        <v>3222.0560778540053</v>
      </c>
      <c r="T9" s="297">
        <f t="shared" si="1"/>
        <v>3651.6635549012053</v>
      </c>
      <c r="U9" s="297">
        <f t="shared" si="1"/>
        <v>4081.2710319484058</v>
      </c>
      <c r="V9" s="297">
        <f t="shared" si="1"/>
        <v>4510.8785089956064</v>
      </c>
      <c r="W9" s="297">
        <f t="shared" si="1"/>
        <v>4940.4859860428078</v>
      </c>
      <c r="X9" s="297">
        <f t="shared" si="1"/>
        <v>5370.0934630900092</v>
      </c>
    </row>
    <row r="10" spans="2:24">
      <c r="B10" t="s">
        <v>339</v>
      </c>
      <c r="C10" s="514"/>
      <c r="D10" s="298" t="s">
        <v>267</v>
      </c>
      <c r="E10" t="s">
        <v>279</v>
      </c>
      <c r="F10" s="6">
        <f>F9</f>
        <v>52</v>
      </c>
      <c r="G10" s="6">
        <f>F10+G9</f>
        <v>121</v>
      </c>
      <c r="H10" s="6">
        <f t="shared" ref="H10:L10" si="2">G10+H9</f>
        <v>157</v>
      </c>
      <c r="I10" s="6">
        <f t="shared" si="2"/>
        <v>209</v>
      </c>
      <c r="J10" s="6">
        <f t="shared" si="2"/>
        <v>319</v>
      </c>
      <c r="K10" s="6">
        <f t="shared" si="2"/>
        <v>530</v>
      </c>
      <c r="L10" s="6">
        <f t="shared" si="2"/>
        <v>806</v>
      </c>
      <c r="M10" s="297">
        <f t="shared" ref="M10:N10" si="3">L10+M9</f>
        <v>1427.3587851301745</v>
      </c>
      <c r="N10" s="297">
        <f t="shared" si="3"/>
        <v>2275.0475240042624</v>
      </c>
      <c r="O10" s="297">
        <f t="shared" ref="O10" si="4">N10+O9</f>
        <v>3349.0662166222642</v>
      </c>
      <c r="P10" s="297">
        <f t="shared" ref="P10" si="5">O10+P9</f>
        <v>4584.1877131329666</v>
      </c>
      <c r="Q10" s="297">
        <f t="shared" ref="Q10" si="6">P10+Q9</f>
        <v>6410.0194905835697</v>
      </c>
      <c r="R10" s="297">
        <f t="shared" ref="R10" si="7">Q10+R9</f>
        <v>8719.1596797122729</v>
      </c>
      <c r="S10" s="297">
        <f t="shared" ref="S10" si="8">R10+S9</f>
        <v>11941.215757566279</v>
      </c>
      <c r="T10" s="297">
        <f t="shared" ref="T10" si="9">S10+T9</f>
        <v>15592.879312467485</v>
      </c>
      <c r="U10" s="297">
        <f t="shared" ref="U10" si="10">T10+U9</f>
        <v>19674.150344415892</v>
      </c>
      <c r="V10" s="297">
        <f t="shared" ref="V10" si="11">U10+V9</f>
        <v>24185.028853411499</v>
      </c>
      <c r="W10" s="297">
        <f t="shared" ref="W10" si="12">V10+W9</f>
        <v>29125.514839454307</v>
      </c>
      <c r="X10" s="297">
        <f t="shared" ref="X10" si="13">W10+X9</f>
        <v>34495.608302544315</v>
      </c>
    </row>
    <row r="11" spans="2:24">
      <c r="B11" s="305">
        <f>'CDM Framework'!H35</f>
        <v>7.6789542589529684E-3</v>
      </c>
      <c r="D11" s="298"/>
      <c r="G11" s="465"/>
    </row>
    <row r="12" spans="2:24">
      <c r="B12" s="74"/>
      <c r="C12" s="528" t="s">
        <v>340</v>
      </c>
      <c r="D12" s="466" t="s">
        <v>267</v>
      </c>
      <c r="E12" s="152" t="s">
        <v>338</v>
      </c>
      <c r="F12" s="467">
        <f t="shared" ref="F12:L12" si="14">F9*(F44+F45)</f>
        <v>48.681662591687044</v>
      </c>
      <c r="G12" s="467">
        <f t="shared" si="14"/>
        <v>65.397243107769427</v>
      </c>
      <c r="H12" s="467">
        <f t="shared" si="14"/>
        <v>35.66072526121696</v>
      </c>
      <c r="I12" s="467">
        <f t="shared" si="14"/>
        <v>51.332382310984315</v>
      </c>
      <c r="J12" s="467">
        <f t="shared" si="14"/>
        <v>108.43303254587853</v>
      </c>
      <c r="K12" s="467">
        <f t="shared" si="14"/>
        <v>202.44100375113177</v>
      </c>
      <c r="L12" s="467">
        <f t="shared" si="14"/>
        <v>259.74025661104753</v>
      </c>
      <c r="M12" s="468">
        <f t="shared" ref="M12:X12" si="15">M42*M35*(M44+M45)*$B$11</f>
        <v>584.75322571463869</v>
      </c>
      <c r="N12" s="468">
        <f t="shared" si="15"/>
        <v>797.74960348351783</v>
      </c>
      <c r="O12" s="468">
        <f t="shared" si="15"/>
        <v>1010.745981252397</v>
      </c>
      <c r="P12" s="468">
        <f t="shared" si="15"/>
        <v>1162.3578784402566</v>
      </c>
      <c r="Q12" s="468">
        <f t="shared" si="15"/>
        <v>1718.2681681290749</v>
      </c>
      <c r="R12" s="468">
        <f t="shared" si="15"/>
        <v>2173.1038596926533</v>
      </c>
      <c r="S12" s="468">
        <f t="shared" si="15"/>
        <v>3032.2379437571908</v>
      </c>
      <c r="T12" s="468">
        <f t="shared" si="15"/>
        <v>3436.5363362581493</v>
      </c>
      <c r="U12" s="468">
        <f t="shared" si="15"/>
        <v>3840.8347287591077</v>
      </c>
      <c r="V12" s="468">
        <f t="shared" si="15"/>
        <v>4245.1331212600662</v>
      </c>
      <c r="W12" s="468">
        <f t="shared" si="15"/>
        <v>4649.4315137610256</v>
      </c>
      <c r="X12" s="469">
        <f t="shared" si="15"/>
        <v>5053.729906261985</v>
      </c>
    </row>
    <row r="13" spans="2:24">
      <c r="B13" s="74"/>
      <c r="C13" s="529"/>
      <c r="D13" s="298" t="s">
        <v>267</v>
      </c>
      <c r="E13" t="s">
        <v>279</v>
      </c>
      <c r="F13" s="112">
        <f>F12</f>
        <v>48.681662591687044</v>
      </c>
      <c r="G13" s="112">
        <f>F13+G12</f>
        <v>114.07890569945647</v>
      </c>
      <c r="H13" s="112">
        <f t="shared" ref="H13:K13" si="16">G13+H12</f>
        <v>149.73963096067342</v>
      </c>
      <c r="I13" s="112">
        <f t="shared" si="16"/>
        <v>201.07201327165774</v>
      </c>
      <c r="J13" s="112">
        <f t="shared" si="16"/>
        <v>309.50504581753626</v>
      </c>
      <c r="K13" s="112">
        <f t="shared" si="16"/>
        <v>511.94604956866806</v>
      </c>
      <c r="L13" s="112">
        <f>K13+L12</f>
        <v>771.68630617971553</v>
      </c>
      <c r="M13" s="475">
        <f>L13+M12</f>
        <v>1356.4395318943543</v>
      </c>
      <c r="N13" s="475">
        <f>M13+N12</f>
        <v>2154.1891353778719</v>
      </c>
      <c r="O13" s="475">
        <f t="shared" ref="O13:X13" si="17">N13+O12</f>
        <v>3164.935116630269</v>
      </c>
      <c r="P13" s="475">
        <f t="shared" si="17"/>
        <v>4327.2929950705256</v>
      </c>
      <c r="Q13" s="475">
        <f t="shared" si="17"/>
        <v>6045.5611631996007</v>
      </c>
      <c r="R13" s="475">
        <f t="shared" si="17"/>
        <v>8218.6650228922535</v>
      </c>
      <c r="S13" s="475">
        <f t="shared" si="17"/>
        <v>11250.902966649444</v>
      </c>
      <c r="T13" s="475">
        <f t="shared" si="17"/>
        <v>14687.439302907595</v>
      </c>
      <c r="U13" s="475">
        <f t="shared" si="17"/>
        <v>18528.274031666704</v>
      </c>
      <c r="V13" s="475">
        <f t="shared" si="17"/>
        <v>22773.407152926771</v>
      </c>
      <c r="W13" s="475">
        <f t="shared" si="17"/>
        <v>27422.838666687796</v>
      </c>
      <c r="X13" s="476">
        <f t="shared" si="17"/>
        <v>32476.568572949782</v>
      </c>
    </row>
    <row r="14" spans="2:24">
      <c r="C14" s="529"/>
      <c r="D14" s="298" t="s">
        <v>267</v>
      </c>
      <c r="E14" t="s">
        <v>341</v>
      </c>
      <c r="F14" s="112">
        <f>E3</f>
        <v>3632.8413687547832</v>
      </c>
      <c r="G14" s="112">
        <f>F14</f>
        <v>3632.8413687547832</v>
      </c>
      <c r="H14" s="112">
        <f t="shared" ref="H14:X14" si="18">G14</f>
        <v>3632.8413687547832</v>
      </c>
      <c r="I14" s="112">
        <f t="shared" si="18"/>
        <v>3632.8413687547832</v>
      </c>
      <c r="J14" s="112">
        <f t="shared" si="18"/>
        <v>3632.8413687547832</v>
      </c>
      <c r="K14" s="112">
        <f t="shared" ref="K14" si="19">J14</f>
        <v>3632.8413687547832</v>
      </c>
      <c r="L14" s="112">
        <f t="shared" ref="L14" si="20">K14</f>
        <v>3632.8413687547832</v>
      </c>
      <c r="M14" s="112">
        <f t="shared" ref="M14" si="21">L14</f>
        <v>3632.8413687547832</v>
      </c>
      <c r="N14" s="112">
        <f t="shared" ref="N14" si="22">M14</f>
        <v>3632.8413687547832</v>
      </c>
      <c r="O14" s="112">
        <f t="shared" ref="O14" si="23">N14</f>
        <v>3632.8413687547832</v>
      </c>
      <c r="P14" s="112">
        <f t="shared" ref="P14" si="24">O14</f>
        <v>3632.8413687547832</v>
      </c>
      <c r="Q14" s="112">
        <f t="shared" ref="Q14" si="25">P14</f>
        <v>3632.8413687547832</v>
      </c>
      <c r="R14" s="112">
        <f t="shared" si="18"/>
        <v>3632.8413687547832</v>
      </c>
      <c r="S14" s="112">
        <f t="shared" si="18"/>
        <v>3632.8413687547832</v>
      </c>
      <c r="T14" s="112">
        <f t="shared" si="18"/>
        <v>3632.8413687547832</v>
      </c>
      <c r="U14" s="112">
        <f t="shared" si="18"/>
        <v>3632.8413687547832</v>
      </c>
      <c r="V14" s="112">
        <f t="shared" si="18"/>
        <v>3632.8413687547832</v>
      </c>
      <c r="W14" s="112">
        <f t="shared" si="18"/>
        <v>3632.8413687547832</v>
      </c>
      <c r="X14" s="284">
        <f t="shared" si="18"/>
        <v>3632.8413687547832</v>
      </c>
    </row>
    <row r="15" spans="2:24">
      <c r="C15" s="529"/>
      <c r="D15" s="298" t="s">
        <v>267</v>
      </c>
      <c r="E15" t="s">
        <v>342</v>
      </c>
      <c r="F15" s="112">
        <f>F12*F14</f>
        <v>176852.75776284287</v>
      </c>
      <c r="G15" s="112">
        <f t="shared" ref="G15:I15" si="26">G12*G14</f>
        <v>237577.81016441839</v>
      </c>
      <c r="H15" s="112">
        <f t="shared" si="26"/>
        <v>129549.7579687477</v>
      </c>
      <c r="I15" s="112">
        <f t="shared" si="26"/>
        <v>186482.40201608007</v>
      </c>
      <c r="J15" s="112">
        <f t="shared" ref="J15" si="27">J12*J14</f>
        <v>393920.00637220131</v>
      </c>
      <c r="K15" s="112">
        <f t="shared" ref="K15" si="28">K12*K14</f>
        <v>735436.05315935379</v>
      </c>
      <c r="L15" s="112">
        <f t="shared" ref="L15" si="29">L12*L14</f>
        <v>943595.14934759657</v>
      </c>
      <c r="M15" s="112">
        <f t="shared" ref="M15" si="30">M12*M14</f>
        <v>2124315.7088889428</v>
      </c>
      <c r="N15" s="112">
        <f t="shared" ref="N15" si="31">N12*N14</f>
        <v>2898097.7614426482</v>
      </c>
      <c r="O15" s="112">
        <f t="shared" ref="O15" si="32">O12*O14</f>
        <v>3671879.8139963541</v>
      </c>
      <c r="P15" s="112">
        <f t="shared" ref="P15" si="33">P12*P14</f>
        <v>4222661.7860958073</v>
      </c>
      <c r="Q15" s="112">
        <f t="shared" ref="Q15" si="34">Q12*Q14</f>
        <v>6242195.6837938018</v>
      </c>
      <c r="R15" s="112">
        <f t="shared" ref="R15" si="35">R12*R14</f>
        <v>7894541.6000921605</v>
      </c>
      <c r="S15" s="112">
        <f t="shared" ref="S15" si="36">S12*S14</f>
        <v>11015639.441989062</v>
      </c>
      <c r="T15" s="112">
        <f t="shared" ref="T15" si="37">T12*T14</f>
        <v>12484391.367587604</v>
      </c>
      <c r="U15" s="112">
        <f t="shared" ref="U15" si="38">U12*U14</f>
        <v>13953143.293186143</v>
      </c>
      <c r="V15" s="112">
        <f t="shared" ref="V15" si="39">V12*V14</f>
        <v>15421895.218784684</v>
      </c>
      <c r="W15" s="112">
        <f t="shared" ref="W15" si="40">W12*W14</f>
        <v>16890647.144383229</v>
      </c>
      <c r="X15" s="112">
        <f t="shared" ref="X15" si="41">X12*X14</f>
        <v>18359399.069981772</v>
      </c>
    </row>
    <row r="16" spans="2:24">
      <c r="C16" s="530"/>
      <c r="D16" s="470" t="s">
        <v>267</v>
      </c>
      <c r="E16" s="174" t="s">
        <v>343</v>
      </c>
      <c r="F16" s="286">
        <f>F13*F14-F12*F14/2</f>
        <v>88426.378881421435</v>
      </c>
      <c r="G16" s="286">
        <f>G13*G14-G12*G14/2</f>
        <v>295641.66284505208</v>
      </c>
      <c r="H16" s="286">
        <f>H13*H14-H12*H14/2</f>
        <v>479205.44691163511</v>
      </c>
      <c r="I16" s="286">
        <f>I13*I14-I12*I14/2</f>
        <v>637221.52690404898</v>
      </c>
      <c r="J16" s="286">
        <f>J13*J14-J12*J14/2</f>
        <v>927422.73109818972</v>
      </c>
      <c r="K16" s="286">
        <f t="shared" ref="K16:Q16" si="42">K13*K14-K12*K14/2</f>
        <v>1492100.7608639672</v>
      </c>
      <c r="L16" s="286">
        <f t="shared" si="42"/>
        <v>2331616.3621174418</v>
      </c>
      <c r="M16" s="286">
        <f t="shared" si="42"/>
        <v>3865571.7912357124</v>
      </c>
      <c r="N16" s="286">
        <f t="shared" si="42"/>
        <v>6376778.5264015067</v>
      </c>
      <c r="O16" s="286">
        <f t="shared" si="42"/>
        <v>9661767.3141210079</v>
      </c>
      <c r="P16" s="286">
        <f t="shared" si="42"/>
        <v>13609038.114167091</v>
      </c>
      <c r="Q16" s="286">
        <f t="shared" si="42"/>
        <v>18841466.849111892</v>
      </c>
      <c r="R16" s="286">
        <f t="shared" ref="R16:X16" si="43">R13*R14-R12*R14/2</f>
        <v>25909835.491054878</v>
      </c>
      <c r="S16" s="286">
        <f t="shared" si="43"/>
        <v>35364926.012095489</v>
      </c>
      <c r="T16" s="286">
        <f t="shared" si="43"/>
        <v>47114941.416883826</v>
      </c>
      <c r="U16" s="286">
        <f t="shared" si="43"/>
        <v>60333708.747270696</v>
      </c>
      <c r="V16" s="286">
        <f t="shared" si="43"/>
        <v>75021228.003256112</v>
      </c>
      <c r="W16" s="286">
        <f t="shared" si="43"/>
        <v>91177499.184840068</v>
      </c>
      <c r="X16" s="286">
        <f t="shared" si="43"/>
        <v>108802522.29202257</v>
      </c>
    </row>
    <row r="17" spans="2:24">
      <c r="B17" t="s">
        <v>344</v>
      </c>
      <c r="C17" s="529" t="s">
        <v>345</v>
      </c>
      <c r="D17" s="298" t="s">
        <v>267</v>
      </c>
      <c r="E17" t="s">
        <v>338</v>
      </c>
      <c r="F17" s="321">
        <f t="shared" ref="F17:L17" si="44">F9*F46</f>
        <v>3.3183374083129582</v>
      </c>
      <c r="G17" s="321">
        <f t="shared" si="44"/>
        <v>3.6027568922305764</v>
      </c>
      <c r="H17" s="321">
        <f t="shared" si="44"/>
        <v>0.33927473878303627</v>
      </c>
      <c r="I17" s="321">
        <f t="shared" si="44"/>
        <v>0.66761768901569185</v>
      </c>
      <c r="J17" s="321">
        <f t="shared" si="44"/>
        <v>1.566967454121464</v>
      </c>
      <c r="K17" s="321">
        <f t="shared" si="44"/>
        <v>3.7936877506144095</v>
      </c>
      <c r="L17" s="321">
        <f t="shared" si="44"/>
        <v>6.2401060177097758</v>
      </c>
      <c r="M17" s="468">
        <f t="shared" ref="M17:X17" si="45">M42*M35*M46*$B$11</f>
        <v>14.048350341476951</v>
      </c>
      <c r="N17" s="468">
        <f t="shared" si="45"/>
        <v>19.16546232098916</v>
      </c>
      <c r="O17" s="468">
        <f t="shared" si="45"/>
        <v>24.282574300501377</v>
      </c>
      <c r="P17" s="468">
        <f t="shared" si="45"/>
        <v>27.924960445576581</v>
      </c>
      <c r="Q17" s="468">
        <f t="shared" si="45"/>
        <v>41.28037631085234</v>
      </c>
      <c r="R17" s="468">
        <f t="shared" si="45"/>
        <v>52.207534746077954</v>
      </c>
      <c r="S17" s="468">
        <f t="shared" si="45"/>
        <v>72.847722901504113</v>
      </c>
      <c r="T17" s="468">
        <f t="shared" si="45"/>
        <v>82.560752621704665</v>
      </c>
      <c r="U17" s="468">
        <f t="shared" si="45"/>
        <v>92.273782341905203</v>
      </c>
      <c r="V17" s="468">
        <f t="shared" si="45"/>
        <v>101.98681206210576</v>
      </c>
      <c r="W17" s="468">
        <f t="shared" si="45"/>
        <v>111.69984178230631</v>
      </c>
      <c r="X17" s="469">
        <f t="shared" si="45"/>
        <v>121.41287150250687</v>
      </c>
    </row>
    <row r="18" spans="2:24">
      <c r="B18" s="306">
        <v>0.9</v>
      </c>
      <c r="C18" s="529"/>
      <c r="D18" s="298" t="s">
        <v>267</v>
      </c>
      <c r="E18" t="s">
        <v>279</v>
      </c>
      <c r="F18" s="321">
        <f>F17</f>
        <v>3.3183374083129582</v>
      </c>
      <c r="G18" s="321">
        <f>F18+G17</f>
        <v>6.921094300543535</v>
      </c>
      <c r="H18" s="321">
        <f t="shared" ref="H18:K18" si="46">G18+H17</f>
        <v>7.2603690393265712</v>
      </c>
      <c r="I18" s="321">
        <f t="shared" si="46"/>
        <v>7.9279867283422627</v>
      </c>
      <c r="J18" s="321">
        <f t="shared" si="46"/>
        <v>9.4949541824637258</v>
      </c>
      <c r="K18" s="321">
        <f t="shared" si="46"/>
        <v>13.288641933078136</v>
      </c>
      <c r="L18" s="321">
        <f>K18+L17</f>
        <v>19.52874795078791</v>
      </c>
      <c r="M18" s="321">
        <f>L18+M17</f>
        <v>33.577098292264864</v>
      </c>
      <c r="N18" s="321">
        <f t="shared" ref="N18:X18" si="47">M18+N17</f>
        <v>52.742560613254028</v>
      </c>
      <c r="O18" s="321">
        <f t="shared" si="47"/>
        <v>77.025134913755409</v>
      </c>
      <c r="P18" s="321">
        <f t="shared" si="47"/>
        <v>104.95009535933198</v>
      </c>
      <c r="Q18" s="321">
        <f t="shared" si="47"/>
        <v>146.23047167018433</v>
      </c>
      <c r="R18" s="321">
        <f t="shared" si="47"/>
        <v>198.43800641626228</v>
      </c>
      <c r="S18" s="321">
        <f t="shared" si="47"/>
        <v>271.28572931776637</v>
      </c>
      <c r="T18" s="321">
        <f t="shared" si="47"/>
        <v>353.846481939471</v>
      </c>
      <c r="U18" s="321">
        <f t="shared" si="47"/>
        <v>446.12026428137619</v>
      </c>
      <c r="V18" s="321">
        <f t="shared" si="47"/>
        <v>548.10707634348194</v>
      </c>
      <c r="W18" s="321">
        <f t="shared" si="47"/>
        <v>659.80691812578823</v>
      </c>
      <c r="X18" s="472">
        <f t="shared" si="47"/>
        <v>781.21978962829508</v>
      </c>
    </row>
    <row r="19" spans="2:24">
      <c r="C19" s="529"/>
      <c r="D19" s="298" t="s">
        <v>267</v>
      </c>
      <c r="E19" t="s">
        <v>341</v>
      </c>
      <c r="F19" s="112">
        <f>E5</f>
        <v>3366.0762211486849</v>
      </c>
      <c r="G19" s="112">
        <f t="shared" ref="G19:J19" si="48">F19</f>
        <v>3366.0762211486849</v>
      </c>
      <c r="H19" s="112">
        <f t="shared" si="48"/>
        <v>3366.0762211486849</v>
      </c>
      <c r="I19" s="112">
        <f t="shared" si="48"/>
        <v>3366.0762211486849</v>
      </c>
      <c r="J19" s="112">
        <f t="shared" si="48"/>
        <v>3366.0762211486849</v>
      </c>
      <c r="K19" s="112">
        <f t="shared" ref="K19" si="49">J19</f>
        <v>3366.0762211486849</v>
      </c>
      <c r="L19" s="112">
        <f t="shared" ref="L19" si="50">K19</f>
        <v>3366.0762211486849</v>
      </c>
      <c r="M19" s="112">
        <f t="shared" ref="M19" si="51">L19</f>
        <v>3366.0762211486849</v>
      </c>
      <c r="N19" s="112">
        <f t="shared" ref="N19" si="52">M19</f>
        <v>3366.0762211486849</v>
      </c>
      <c r="O19" s="112">
        <f t="shared" ref="O19" si="53">N19</f>
        <v>3366.0762211486849</v>
      </c>
      <c r="P19" s="112">
        <f t="shared" ref="P19" si="54">O19</f>
        <v>3366.0762211486849</v>
      </c>
      <c r="Q19" s="112">
        <f t="shared" ref="Q19" si="55">P19</f>
        <v>3366.0762211486849</v>
      </c>
      <c r="R19" s="112">
        <f t="shared" ref="R19" si="56">Q19</f>
        <v>3366.0762211486849</v>
      </c>
      <c r="S19" s="112">
        <f t="shared" ref="S19" si="57">R19</f>
        <v>3366.0762211486849</v>
      </c>
      <c r="T19" s="112">
        <f t="shared" ref="T19" si="58">S19</f>
        <v>3366.0762211486849</v>
      </c>
      <c r="U19" s="112">
        <f t="shared" ref="U19" si="59">T19</f>
        <v>3366.0762211486849</v>
      </c>
      <c r="V19" s="112">
        <f t="shared" ref="V19" si="60">U19</f>
        <v>3366.0762211486849</v>
      </c>
      <c r="W19" s="112">
        <f t="shared" ref="W19" si="61">V19</f>
        <v>3366.0762211486849</v>
      </c>
      <c r="X19" s="284">
        <f t="shared" ref="X19" si="62">W19</f>
        <v>3366.0762211486849</v>
      </c>
    </row>
    <row r="20" spans="2:24">
      <c r="C20" s="529"/>
      <c r="D20" s="298" t="s">
        <v>267</v>
      </c>
      <c r="E20" t="s">
        <v>342</v>
      </c>
      <c r="F20" s="112">
        <f>F17*F19</f>
        <v>11169.776643870404</v>
      </c>
      <c r="G20" s="112">
        <f t="shared" ref="G20" si="63">G17*G19</f>
        <v>12127.154305516879</v>
      </c>
      <c r="H20" s="112">
        <f t="shared" ref="H20" si="64">H17*H19</f>
        <v>1142.0246306540098</v>
      </c>
      <c r="I20" s="112">
        <f t="shared" ref="I20" si="65">I17*I19</f>
        <v>2247.2520278139577</v>
      </c>
      <c r="J20" s="112">
        <f t="shared" ref="J20" si="66">J17*J19</f>
        <v>5274.5318866321531</v>
      </c>
      <c r="K20" s="112">
        <f t="shared" ref="K20" si="67">K17*K19</f>
        <v>12769.842127806207</v>
      </c>
      <c r="L20" s="112">
        <f t="shared" ref="L20" si="68">L17*L19</f>
        <v>21004.672483659691</v>
      </c>
      <c r="M20" s="112">
        <f t="shared" ref="M20" si="69">M17*M19</f>
        <v>47287.81803081157</v>
      </c>
      <c r="N20" s="112">
        <f t="shared" ref="N20" si="70">N17*N19</f>
        <v>64512.406986002694</v>
      </c>
      <c r="O20" s="112">
        <f t="shared" ref="O20" si="71">O17*O19</f>
        <v>81736.995941193847</v>
      </c>
      <c r="P20" s="112">
        <f t="shared" ref="P20" si="72">P17*P19</f>
        <v>93997.545332372916</v>
      </c>
      <c r="Q20" s="112">
        <f t="shared" ref="Q20" si="73">Q17*Q19</f>
        <v>138952.89310002953</v>
      </c>
      <c r="R20" s="112">
        <f t="shared" ref="R20" si="74">R17*R19</f>
        <v>175734.54127356675</v>
      </c>
      <c r="S20" s="112">
        <f t="shared" ref="S20" si="75">S17*S19</f>
        <v>245210.98782358147</v>
      </c>
      <c r="T20" s="112">
        <f t="shared" ref="T20" si="76">T17*T19</f>
        <v>277905.786200059</v>
      </c>
      <c r="U20" s="112">
        <f t="shared" ref="U20" si="77">U17*U19</f>
        <v>310600.58457653649</v>
      </c>
      <c r="V20" s="112">
        <f t="shared" ref="V20" si="78">V17*V19</f>
        <v>343295.38295301405</v>
      </c>
      <c r="W20" s="112">
        <f t="shared" ref="W20" si="79">W17*W19</f>
        <v>375990.18132949161</v>
      </c>
      <c r="X20" s="112">
        <f t="shared" ref="X20" si="80">X17*X19</f>
        <v>408684.97970596922</v>
      </c>
    </row>
    <row r="21" spans="2:24">
      <c r="C21" s="529"/>
      <c r="D21" s="298" t="s">
        <v>267</v>
      </c>
      <c r="E21" t="s">
        <v>343</v>
      </c>
      <c r="F21" s="286">
        <f>F18*F19-F17*F19/2</f>
        <v>5584.8883219352019</v>
      </c>
      <c r="G21" s="286">
        <f>G18*G19-G17*G19/2</f>
        <v>17233.353796628842</v>
      </c>
      <c r="H21" s="286">
        <f>H18*H19-H17*H19/2</f>
        <v>23867.943264714289</v>
      </c>
      <c r="I21" s="286">
        <f>I18*I19-I17*I19/2</f>
        <v>25562.581593948271</v>
      </c>
      <c r="J21" s="286">
        <f>J18*J19-J17*J19/2</f>
        <v>29323.473551171322</v>
      </c>
      <c r="K21" s="286">
        <f t="shared" ref="K21:P21" si="81">K18*K19-K17*K19/2</f>
        <v>38345.660558390504</v>
      </c>
      <c r="L21" s="286">
        <f t="shared" si="81"/>
        <v>55232.917864123447</v>
      </c>
      <c r="M21" s="286">
        <f t="shared" si="81"/>
        <v>89379.163121359103</v>
      </c>
      <c r="N21" s="286">
        <f t="shared" si="81"/>
        <v>145279.27562976623</v>
      </c>
      <c r="O21" s="286">
        <f t="shared" si="81"/>
        <v>218403.97709336452</v>
      </c>
      <c r="P21" s="286">
        <f t="shared" si="81"/>
        <v>306271.24773014791</v>
      </c>
      <c r="Q21" s="286">
        <f t="shared" ref="Q21:X21" si="82">Q18*Q19-Q17*Q19/2</f>
        <v>422746.46694634913</v>
      </c>
      <c r="R21" s="286">
        <f t="shared" si="82"/>
        <v>580090.18413314736</v>
      </c>
      <c r="S21" s="286">
        <f t="shared" si="82"/>
        <v>790562.94868172123</v>
      </c>
      <c r="T21" s="286">
        <f t="shared" si="82"/>
        <v>1052121.3356935414</v>
      </c>
      <c r="U21" s="286">
        <f t="shared" si="82"/>
        <v>1346374.5210818392</v>
      </c>
      <c r="V21" s="286">
        <f t="shared" si="82"/>
        <v>1673322.5048466143</v>
      </c>
      <c r="W21" s="286">
        <f t="shared" si="82"/>
        <v>2032965.2869878672</v>
      </c>
      <c r="X21" s="286">
        <f t="shared" si="82"/>
        <v>2425302.8675055974</v>
      </c>
    </row>
    <row r="22" spans="2:24">
      <c r="C22" s="528" t="s">
        <v>346</v>
      </c>
      <c r="D22" s="466" t="s">
        <v>267</v>
      </c>
      <c r="E22" s="152" t="s">
        <v>338</v>
      </c>
      <c r="F22" s="471">
        <f t="shared" ref="F22:L22" si="83">F9*F47</f>
        <v>0</v>
      </c>
      <c r="G22" s="471">
        <f t="shared" si="83"/>
        <v>0</v>
      </c>
      <c r="H22" s="471">
        <f t="shared" si="83"/>
        <v>0</v>
      </c>
      <c r="I22" s="471">
        <f t="shared" si="83"/>
        <v>0</v>
      </c>
      <c r="J22" s="471">
        <f t="shared" si="83"/>
        <v>0</v>
      </c>
      <c r="K22" s="478">
        <f t="shared" si="83"/>
        <v>4.7653084982537841</v>
      </c>
      <c r="L22" s="478">
        <f t="shared" si="83"/>
        <v>10.019637371242695</v>
      </c>
      <c r="M22" s="468">
        <f t="shared" ref="M22:X22" si="84">M42*M35*M47*$B$11</f>
        <v>22.557209074058903</v>
      </c>
      <c r="N22" s="468">
        <f t="shared" si="84"/>
        <v>30.773673069581179</v>
      </c>
      <c r="O22" s="468">
        <f t="shared" si="84"/>
        <v>38.990137065103454</v>
      </c>
      <c r="P22" s="468">
        <f t="shared" si="84"/>
        <v>44.838657624868972</v>
      </c>
      <c r="Q22" s="468">
        <f t="shared" si="84"/>
        <v>66.283233010675858</v>
      </c>
      <c r="R22" s="468">
        <f t="shared" si="84"/>
        <v>83.828794689972412</v>
      </c>
      <c r="S22" s="468">
        <f t="shared" si="84"/>
        <v>116.97041119531035</v>
      </c>
      <c r="T22" s="468">
        <f t="shared" si="84"/>
        <v>132.56646602135172</v>
      </c>
      <c r="U22" s="468">
        <f t="shared" si="84"/>
        <v>148.16252084739307</v>
      </c>
      <c r="V22" s="468">
        <f t="shared" si="84"/>
        <v>163.75857567343445</v>
      </c>
      <c r="W22" s="468">
        <f t="shared" si="84"/>
        <v>179.35463049947586</v>
      </c>
      <c r="X22" s="469">
        <f t="shared" si="84"/>
        <v>194.95068532551724</v>
      </c>
    </row>
    <row r="23" spans="2:24">
      <c r="C23" s="529"/>
      <c r="D23" s="298" t="s">
        <v>267</v>
      </c>
      <c r="E23" t="s">
        <v>279</v>
      </c>
      <c r="F23" s="321">
        <f>F22</f>
        <v>0</v>
      </c>
      <c r="G23" s="321">
        <f>F23+G22</f>
        <v>0</v>
      </c>
      <c r="H23" s="321">
        <f t="shared" ref="H23" si="85">G23+H22</f>
        <v>0</v>
      </c>
      <c r="I23" s="321">
        <f t="shared" ref="I23" si="86">H23+I22</f>
        <v>0</v>
      </c>
      <c r="J23" s="321">
        <f t="shared" ref="J23" si="87">I23+J22</f>
        <v>0</v>
      </c>
      <c r="K23" s="321">
        <f t="shared" ref="K23" si="88">J23+K22</f>
        <v>4.7653084982537841</v>
      </c>
      <c r="L23" s="321">
        <f>K23+L22</f>
        <v>14.784945869496479</v>
      </c>
      <c r="M23" s="321">
        <f t="shared" ref="M23:X23" si="89">L23+M22</f>
        <v>37.342154943555386</v>
      </c>
      <c r="N23" s="321">
        <f t="shared" si="89"/>
        <v>68.115828013136564</v>
      </c>
      <c r="O23" s="321">
        <f t="shared" si="89"/>
        <v>107.10596507824002</v>
      </c>
      <c r="P23" s="321">
        <f>O23+P22</f>
        <v>151.94462270310899</v>
      </c>
      <c r="Q23" s="321">
        <f t="shared" si="89"/>
        <v>218.22785571378483</v>
      </c>
      <c r="R23" s="321">
        <f t="shared" si="89"/>
        <v>302.05665040375726</v>
      </c>
      <c r="S23" s="321">
        <f t="shared" si="89"/>
        <v>419.02706159906762</v>
      </c>
      <c r="T23" s="321">
        <f t="shared" si="89"/>
        <v>551.59352762041931</v>
      </c>
      <c r="U23" s="321">
        <f t="shared" si="89"/>
        <v>699.75604846781243</v>
      </c>
      <c r="V23" s="321">
        <f t="shared" si="89"/>
        <v>863.51462414124694</v>
      </c>
      <c r="W23" s="321">
        <f t="shared" si="89"/>
        <v>1042.8692546407228</v>
      </c>
      <c r="X23" s="472">
        <f t="shared" si="89"/>
        <v>1237.8199399662401</v>
      </c>
    </row>
    <row r="24" spans="2:24">
      <c r="C24" s="529"/>
      <c r="D24" s="298" t="s">
        <v>267</v>
      </c>
      <c r="E24" t="s">
        <v>341</v>
      </c>
      <c r="F24" s="112">
        <f>E6</f>
        <v>6000</v>
      </c>
      <c r="G24" s="112">
        <f>F24</f>
        <v>6000</v>
      </c>
      <c r="H24" s="112">
        <f t="shared" ref="H24:J24" si="90">G24</f>
        <v>6000</v>
      </c>
      <c r="I24" s="112">
        <f t="shared" si="90"/>
        <v>6000</v>
      </c>
      <c r="J24" s="112">
        <f t="shared" si="90"/>
        <v>6000</v>
      </c>
      <c r="K24" s="112">
        <f t="shared" ref="K24" si="91">J24</f>
        <v>6000</v>
      </c>
      <c r="L24" s="112">
        <f t="shared" ref="L24" si="92">K24</f>
        <v>6000</v>
      </c>
      <c r="M24" s="112">
        <f t="shared" ref="M24" si="93">L24</f>
        <v>6000</v>
      </c>
      <c r="N24" s="112">
        <f t="shared" ref="N24" si="94">M24</f>
        <v>6000</v>
      </c>
      <c r="O24" s="112">
        <f t="shared" ref="O24" si="95">N24</f>
        <v>6000</v>
      </c>
      <c r="P24" s="112">
        <f t="shared" ref="P24" si="96">O24</f>
        <v>6000</v>
      </c>
      <c r="Q24" s="112">
        <f t="shared" ref="Q24" si="97">P24</f>
        <v>6000</v>
      </c>
      <c r="R24" s="112">
        <f t="shared" ref="R24" si="98">Q24</f>
        <v>6000</v>
      </c>
      <c r="S24" s="112">
        <f t="shared" ref="S24" si="99">R24</f>
        <v>6000</v>
      </c>
      <c r="T24" s="112">
        <f t="shared" ref="T24" si="100">S24</f>
        <v>6000</v>
      </c>
      <c r="U24" s="112">
        <f t="shared" ref="U24" si="101">T24</f>
        <v>6000</v>
      </c>
      <c r="V24" s="112">
        <f t="shared" ref="V24" si="102">U24</f>
        <v>6000</v>
      </c>
      <c r="W24" s="112">
        <f t="shared" ref="W24" si="103">V24</f>
        <v>6000</v>
      </c>
      <c r="X24" s="284">
        <f t="shared" ref="X24" si="104">W24</f>
        <v>6000</v>
      </c>
    </row>
    <row r="25" spans="2:24">
      <c r="C25" s="529"/>
      <c r="D25" s="298" t="s">
        <v>267</v>
      </c>
      <c r="E25" t="s">
        <v>342</v>
      </c>
      <c r="F25" s="112">
        <f>F22*F24</f>
        <v>0</v>
      </c>
      <c r="G25" s="112">
        <f t="shared" ref="G25" si="105">G22*G24</f>
        <v>0</v>
      </c>
      <c r="H25" s="112">
        <f t="shared" ref="H25" si="106">H22*H24</f>
        <v>0</v>
      </c>
      <c r="I25" s="112">
        <f t="shared" ref="I25" si="107">I22*I24</f>
        <v>0</v>
      </c>
      <c r="J25" s="112">
        <f t="shared" ref="J25" si="108">J22*J24</f>
        <v>0</v>
      </c>
      <c r="K25" s="112">
        <f t="shared" ref="K25" si="109">K22*K24</f>
        <v>28591.850989522703</v>
      </c>
      <c r="L25" s="112">
        <f t="shared" ref="L25" si="110">L22*L24</f>
        <v>60117.824227456171</v>
      </c>
      <c r="M25" s="112">
        <f t="shared" ref="M25" si="111">M22*M24</f>
        <v>135343.25444435343</v>
      </c>
      <c r="N25" s="112">
        <f t="shared" ref="N25" si="112">N22*N24</f>
        <v>184642.03841748709</v>
      </c>
      <c r="O25" s="112">
        <f t="shared" ref="O25" si="113">O22*O24</f>
        <v>233940.82239062071</v>
      </c>
      <c r="P25" s="112">
        <f t="shared" ref="P25" si="114">P22*P24</f>
        <v>269031.94574921386</v>
      </c>
      <c r="Q25" s="112">
        <f t="shared" ref="Q25" si="115">Q22*Q24</f>
        <v>397699.39806405513</v>
      </c>
      <c r="R25" s="112">
        <f t="shared" ref="R25" si="116">R22*R24</f>
        <v>502972.76813983446</v>
      </c>
      <c r="S25" s="112">
        <f t="shared" ref="S25" si="117">S22*S24</f>
        <v>701822.46717186214</v>
      </c>
      <c r="T25" s="112">
        <f t="shared" ref="T25" si="118">T22*T24</f>
        <v>795398.79612811026</v>
      </c>
      <c r="U25" s="112">
        <f t="shared" ref="U25" si="119">U22*U24</f>
        <v>888975.12508435838</v>
      </c>
      <c r="V25" s="112">
        <f t="shared" ref="V25" si="120">V22*V24</f>
        <v>982551.45404060674</v>
      </c>
      <c r="W25" s="112">
        <f t="shared" ref="W25" si="121">W22*W24</f>
        <v>1076127.7829968552</v>
      </c>
      <c r="X25" s="112">
        <f t="shared" ref="X25" si="122">X22*X24</f>
        <v>1169704.1119531034</v>
      </c>
    </row>
    <row r="26" spans="2:24">
      <c r="C26" s="530"/>
      <c r="D26" s="470" t="s">
        <v>267</v>
      </c>
      <c r="E26" s="174" t="s">
        <v>343</v>
      </c>
      <c r="F26" s="286">
        <f>F23*F24-F22*F24/2</f>
        <v>0</v>
      </c>
      <c r="G26" s="286">
        <f>G23*G24-G22*G24/2</f>
        <v>0</v>
      </c>
      <c r="H26" s="286">
        <f>H23*H24-H22*H24/2</f>
        <v>0</v>
      </c>
      <c r="I26" s="286">
        <f>I23*I24-I22*I24/2</f>
        <v>0</v>
      </c>
      <c r="J26" s="286">
        <f>J23*J24-J22*J24/2</f>
        <v>0</v>
      </c>
      <c r="K26" s="286">
        <f t="shared" ref="K26:Q26" si="123">K23*K24-K22*K24/2</f>
        <v>14295.925494761352</v>
      </c>
      <c r="L26" s="286">
        <f t="shared" si="123"/>
        <v>58650.763103250778</v>
      </c>
      <c r="M26" s="286">
        <f t="shared" si="123"/>
        <v>156381.30243915558</v>
      </c>
      <c r="N26" s="286">
        <f t="shared" si="123"/>
        <v>316373.94887007587</v>
      </c>
      <c r="O26" s="286">
        <f t="shared" si="123"/>
        <v>525665.37927412987</v>
      </c>
      <c r="P26" s="286">
        <f t="shared" si="123"/>
        <v>777151.76334404701</v>
      </c>
      <c r="Q26" s="286">
        <f t="shared" si="123"/>
        <v>1110517.4352506816</v>
      </c>
      <c r="R26" s="286">
        <f t="shared" ref="R26:X26" si="124">R23*R24-R22*R24/2</f>
        <v>1560853.5183526264</v>
      </c>
      <c r="S26" s="286">
        <f t="shared" si="124"/>
        <v>2163251.136008475</v>
      </c>
      <c r="T26" s="286">
        <f t="shared" si="124"/>
        <v>2911861.7676584609</v>
      </c>
      <c r="U26" s="286">
        <f t="shared" si="124"/>
        <v>3754048.7282646955</v>
      </c>
      <c r="V26" s="286">
        <f t="shared" si="124"/>
        <v>4689812.0178271784</v>
      </c>
      <c r="W26" s="286">
        <f t="shared" si="124"/>
        <v>5719151.636345909</v>
      </c>
      <c r="X26" s="286">
        <f t="shared" si="124"/>
        <v>6842067.5838208888</v>
      </c>
    </row>
    <row r="28" spans="2:24">
      <c r="D28" s="298" t="s">
        <v>267</v>
      </c>
      <c r="E28" t="s">
        <v>347</v>
      </c>
      <c r="F28">
        <f>SUMIFS('EV Data'!$J:$J,'EV Data'!$C:$C,'EV Forecast'!F7)</f>
        <v>52</v>
      </c>
      <c r="G28">
        <f>SUMIFS('EV Data'!$J:$J,'EV Data'!$C:$C,'EV Forecast'!G7)</f>
        <v>69</v>
      </c>
      <c r="H28">
        <f>SUMIFS('EV Data'!$J:$J,'EV Data'!$C:$C,'EV Forecast'!H7)</f>
        <v>36</v>
      </c>
      <c r="I28">
        <f>SUMIFS('EV Data'!$J:$J,'EV Data'!$C:$C,'EV Forecast'!I7)</f>
        <v>52</v>
      </c>
      <c r="J28">
        <f>SUMIFS('EV Data'!$J:$J,'EV Data'!$C:$C,'EV Forecast'!J7)</f>
        <v>110</v>
      </c>
      <c r="K28">
        <f>SUMIFS('EV Data'!$J:$J,'EV Data'!$C:$C,'EV Forecast'!K7)</f>
        <v>211</v>
      </c>
      <c r="L28">
        <f>SUMIFS('EV Data'!$J:$J,'EV Data'!$C:$C,'EV Forecast'!L7)</f>
        <v>276</v>
      </c>
    </row>
    <row r="29" spans="2:24">
      <c r="D29" s="224" t="s">
        <v>172</v>
      </c>
      <c r="E29" t="s">
        <v>347</v>
      </c>
      <c r="F29" s="6">
        <f>SUMIFS('EV Data'!$D:$D,'EV Data'!$C:$C,'EV Forecast'!F7)</f>
        <v>8180</v>
      </c>
      <c r="G29" s="6">
        <f>SUMIFS('EV Data'!$D:$D,'EV Data'!$C:$C,'EV Forecast'!G7)</f>
        <v>16758</v>
      </c>
      <c r="H29" s="6">
        <f>SUMIFS('EV Data'!$D:$D,'EV Data'!$C:$C,'EV Forecast'!H7)</f>
        <v>9762</v>
      </c>
      <c r="I29" s="6">
        <f>SUMIFS('EV Data'!$D:$D,'EV Data'!$C:$C,'EV Forecast'!I7)</f>
        <v>10515</v>
      </c>
      <c r="J29" s="6">
        <f>SUMIFS('EV Data'!$D:$D,'EV Data'!$C:$C,'EV Forecast'!J7)</f>
        <v>19726</v>
      </c>
      <c r="K29" s="6">
        <f>SUMIFS('EV Data'!$D:$D,'EV Data'!$C:$C,'EV Forecast'!K7)</f>
        <v>38655</v>
      </c>
      <c r="L29" s="6">
        <f>SUMIFS('EV Data'!$D:$D,'EV Data'!$C:$C,'EV Forecast'!L7)</f>
        <v>49803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2:24">
      <c r="D30" s="224" t="s">
        <v>172</v>
      </c>
      <c r="E30" t="s">
        <v>348</v>
      </c>
      <c r="F30" s="6">
        <f>SUMIFS('EV Data'!$AM:$AM,'EV Data'!$AF:$AF,'EV Forecast'!F7)+SUMIFS('EV Data'!$AW:$AW,'EV Data'!$AF:$AF,'EV Forecast'!F7)</f>
        <v>6191</v>
      </c>
      <c r="G30" s="6">
        <f>SUMIFS('EV Data'!$AM:$AM,'EV Data'!$AF:$AF,'EV Forecast'!G7)+SUMIFS('EV Data'!$AW:$AW,'EV Data'!$AF:$AF,'EV Forecast'!G7)</f>
        <v>12828</v>
      </c>
      <c r="H30" s="6">
        <f>SUMIFS('EV Data'!$AM:$AM,'EV Data'!$AF:$AF,'EV Forecast'!H7)+SUMIFS('EV Data'!$AW:$AW,'EV Data'!$AF:$AF,'EV Forecast'!H7)</f>
        <v>7124</v>
      </c>
      <c r="I30" s="6">
        <f>SUMIFS('EV Data'!$AM:$AM,'EV Data'!$AF:$AF,'EV Forecast'!I7)+SUMIFS('EV Data'!$AW:$AW,'EV Data'!$AF:$AF,'EV Forecast'!I7)</f>
        <v>5699</v>
      </c>
      <c r="J30" s="6">
        <f>SUMIFS('EV Data'!$AM:$AM,'EV Data'!$AF:$AF,'EV Forecast'!J7)+SUMIFS('EV Data'!$AW:$AW,'EV Data'!$AF:$AF,'EV Forecast'!J7)</f>
        <v>8035</v>
      </c>
      <c r="K30" s="6">
        <f>SUMIFS('EV Data'!$AM:$AM,'EV Data'!$AF:$AF,'EV Forecast'!K7)+SUMIFS('EV Data'!$AW:$AW,'EV Data'!$AF:$AF,'EV Forecast'!K7)</f>
        <v>13160</v>
      </c>
      <c r="L30" s="6">
        <f>SUMIFS('EV Data'!$AM:$AM,'EV Data'!$AF:$AF,'EV Forecast'!L7)+SUMIFS('EV Data'!$AW:$AW,'EV Data'!$AF:$AF,'EV Forecast'!L7)</f>
        <v>10992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2:24">
      <c r="D31" s="224" t="s">
        <v>172</v>
      </c>
      <c r="E31" t="s">
        <v>349</v>
      </c>
      <c r="F31" s="6">
        <f>SUMIFS('EV Data'!$AO:$AO,'EV Data'!$AF:$AF,'EV Forecast'!F7)+SUMIFS('EV Data'!$AY:$AY,'EV Data'!$AF:$AF,'EV Forecast'!F7)</f>
        <v>1467</v>
      </c>
      <c r="G31" s="6">
        <f>SUMIFS('EV Data'!$AO:$AO,'EV Data'!$AF:$AF,'EV Forecast'!G7)+SUMIFS('EV Data'!$AY:$AY,'EV Data'!$AF:$AF,'EV Forecast'!G7)</f>
        <v>3055</v>
      </c>
      <c r="H31" s="6">
        <f>SUMIFS('EV Data'!$AO:$AO,'EV Data'!$AF:$AF,'EV Forecast'!H7)+SUMIFS('EV Data'!$AY:$AY,'EV Data'!$AF:$AF,'EV Forecast'!H7)</f>
        <v>2546</v>
      </c>
      <c r="I31" s="6">
        <f>SUMIFS('EV Data'!$AO:$AO,'EV Data'!$AF:$AF,'EV Forecast'!I7)+SUMIFS('EV Data'!$AY:$AY,'EV Data'!$AF:$AF,'EV Forecast'!I7)</f>
        <v>4681</v>
      </c>
      <c r="J31" s="6">
        <f>SUMIFS('EV Data'!$AO:$AO,'EV Data'!$AF:$AF,'EV Forecast'!J7)+SUMIFS('EV Data'!$AY:$AY,'EV Data'!$AF:$AF,'EV Forecast'!J7)</f>
        <v>11410</v>
      </c>
      <c r="K31" s="6">
        <f>SUMIFS('EV Data'!$AO:$AO,'EV Data'!$AF:$AF,'EV Forecast'!K7)+SUMIFS('EV Data'!$AY:$AY,'EV Data'!$AF:$AF,'EV Forecast'!K7)</f>
        <v>23927</v>
      </c>
      <c r="L31" s="6">
        <f>SUMIFS('EV Data'!$AO:$AO,'EV Data'!$AF:$AF,'EV Forecast'!L7)+SUMIFS('EV Data'!$AY:$AY,'EV Data'!$AF:$AF,'EV Forecast'!L7)</f>
        <v>35877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2:24">
      <c r="D32" s="224" t="s">
        <v>172</v>
      </c>
      <c r="E32" t="s">
        <v>350</v>
      </c>
      <c r="F32" s="6">
        <f>SUMIFS('EV Data'!$AP:$AP,'EV Data'!$AF:$AF,'EV Forecast'!F7)+SUMIFS('EV Data'!$AZ:$AZ,'EV Data'!$AF:$AF,'EV Forecast'!F7)</f>
        <v>522</v>
      </c>
      <c r="G32" s="6">
        <f>SUMIFS('EV Data'!$AP:$AP,'EV Data'!$AF:$AF,'EV Forecast'!G7)+SUMIFS('EV Data'!$AZ:$AZ,'EV Data'!$AF:$AF,'EV Forecast'!G7)</f>
        <v>875</v>
      </c>
      <c r="H32" s="6">
        <f>SUMIFS('EV Data'!$AP:$AP,'EV Data'!$AF:$AF,'EV Forecast'!H7)+SUMIFS('EV Data'!$AZ:$AZ,'EV Data'!$AF:$AF,'EV Forecast'!H7)</f>
        <v>92</v>
      </c>
      <c r="I32" s="6">
        <f>SUMIFS('EV Data'!$AP:$AP,'EV Data'!$AF:$AF,'EV Forecast'!I7)+SUMIFS('EV Data'!$AZ:$AZ,'EV Data'!$AF:$AF,'EV Forecast'!I7)</f>
        <v>135</v>
      </c>
      <c r="J32" s="6">
        <f>SUMIFS('EV Data'!$AP:$AP,'EV Data'!$AF:$AF,'EV Forecast'!J7)+SUMIFS('EV Data'!$AZ:$AZ,'EV Data'!$AF:$AF,'EV Forecast'!J7)</f>
        <v>281</v>
      </c>
      <c r="K32" s="6">
        <f>SUMIFS('EV Data'!$AP:$AP,'EV Data'!$AF:$AF,'EV Forecast'!K7)+SUMIFS('EV Data'!$AZ:$AZ,'EV Data'!$AF:$AF,'EV Forecast'!K7)</f>
        <v>695</v>
      </c>
      <c r="L32" s="6">
        <f>SUMIFS('EV Data'!$AP:$AP,'EV Data'!$AF:$AF,'EV Forecast'!L7)+SUMIFS('EV Data'!$AZ:$AZ,'EV Data'!$AF:$AF,'EV Forecast'!L7)</f>
        <v>1126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4:24">
      <c r="D33" s="224" t="s">
        <v>172</v>
      </c>
      <c r="E33" t="s">
        <v>351</v>
      </c>
      <c r="F33" s="6">
        <f>SUMIFS('EV Data'!$AN:$AN,'EV Data'!$AF:$AF,'EV Forecast'!F7)+SUMIFS('EV Data'!$AX:$AX,'EV Data'!$AF:$AF,'EV Forecast'!F7)</f>
        <v>0</v>
      </c>
      <c r="G33" s="6">
        <f>SUMIFS('EV Data'!$AN:$AN,'EV Data'!$AF:$AF,'EV Forecast'!G7)+SUMIFS('EV Data'!$AX:$AX,'EV Data'!$AF:$AF,'EV Forecast'!G7)</f>
        <v>0</v>
      </c>
      <c r="H33" s="6">
        <f>SUMIFS('EV Data'!$AN:$AN,'EV Data'!$AF:$AF,'EV Forecast'!H7)+SUMIFS('EV Data'!$AX:$AX,'EV Data'!$AF:$AF,'EV Forecast'!H7)</f>
        <v>0</v>
      </c>
      <c r="I33" s="6">
        <f>SUMIFS('EV Data'!$AN:$AN,'EV Data'!$AF:$AF,'EV Forecast'!I7)+SUMIFS('EV Data'!$AX:$AX,'EV Data'!$AF:$AF,'EV Forecast'!I7)</f>
        <v>0</v>
      </c>
      <c r="J33" s="6">
        <f>SUMIFS('EV Data'!$AN:$AN,'EV Data'!$AF:$AF,'EV Forecast'!J7)+SUMIFS('EV Data'!$AX:$AX,'EV Data'!$AF:$AF,'EV Forecast'!J7)</f>
        <v>0</v>
      </c>
      <c r="K33" s="6">
        <f>SUMIFS('EV Data'!$AN:$AN,'EV Data'!$AF:$AF,'EV Forecast'!K7)+SUMIFS('EV Data'!$AX:$AX,'EV Data'!$AF:$AF,'EV Forecast'!K7)</f>
        <v>873</v>
      </c>
      <c r="L33" s="6">
        <f>SUMIFS('EV Data'!$AN:$AN,'EV Data'!$AF:$AF,'EV Forecast'!L7)+SUMIFS('EV Data'!$AX:$AX,'EV Data'!$AF:$AF,'EV Forecast'!L7)</f>
        <v>1808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4:24">
      <c r="D34" s="224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4:24">
      <c r="D35" s="224" t="s">
        <v>172</v>
      </c>
      <c r="E35" t="s">
        <v>352</v>
      </c>
      <c r="F35" s="6">
        <f>SUMIFS('EV Data'!$AG:$AG,'EV Data'!$AF:$AF,'EV Forecast'!F7)</f>
        <v>801432</v>
      </c>
      <c r="G35" s="6">
        <f>SUMIFS('EV Data'!$AG:$AG,'EV Data'!$AF:$AF,'EV Forecast'!G7)</f>
        <v>798566</v>
      </c>
      <c r="H35" s="6">
        <f>SUMIFS('EV Data'!$AG:$AG,'EV Data'!$AF:$AF,'EV Forecast'!H7)</f>
        <v>796079</v>
      </c>
      <c r="I35" s="6">
        <f>SUMIFS('EV Data'!$AG:$AG,'EV Data'!$AF:$AF,'EV Forecast'!I7)</f>
        <v>600626</v>
      </c>
      <c r="J35" s="6">
        <f>SUMIFS('EV Data'!$AG:$AG,'EV Data'!$AF:$AF,'EV Forecast'!J7)</f>
        <v>627134</v>
      </c>
      <c r="K35" s="6">
        <f>SUMIFS('EV Data'!$AG:$AG,'EV Data'!$AF:$AF,'EV Forecast'!K7)</f>
        <v>594415</v>
      </c>
      <c r="L35" s="6">
        <f>SUMIFS('EV Data'!$AG:$AG,'EV Data'!$AF:$AF,'EV Forecast'!L7)</f>
        <v>677031</v>
      </c>
      <c r="M35" s="16">
        <f>AVERAGE($F$35:$L$35)</f>
        <v>699326.14285714284</v>
      </c>
      <c r="N35" s="16">
        <f>M35</f>
        <v>699326.14285714284</v>
      </c>
      <c r="O35" s="16">
        <f t="shared" ref="O35:X35" si="125">N35</f>
        <v>699326.14285714284</v>
      </c>
      <c r="P35" s="16">
        <f t="shared" si="125"/>
        <v>699326.14285714284</v>
      </c>
      <c r="Q35" s="16">
        <f t="shared" si="125"/>
        <v>699326.14285714284</v>
      </c>
      <c r="R35" s="16">
        <f t="shared" si="125"/>
        <v>699326.14285714284</v>
      </c>
      <c r="S35" s="16">
        <f t="shared" si="125"/>
        <v>699326.14285714284</v>
      </c>
      <c r="T35" s="16">
        <f t="shared" si="125"/>
        <v>699326.14285714284</v>
      </c>
      <c r="U35" s="16">
        <f t="shared" si="125"/>
        <v>699326.14285714284</v>
      </c>
      <c r="V35" s="16">
        <f t="shared" si="125"/>
        <v>699326.14285714284</v>
      </c>
      <c r="W35" s="16">
        <f t="shared" si="125"/>
        <v>699326.14285714284</v>
      </c>
      <c r="X35" s="16">
        <f t="shared" si="125"/>
        <v>699326.14285714284</v>
      </c>
    </row>
    <row r="36" spans="4:24">
      <c r="D36" s="224" t="s">
        <v>172</v>
      </c>
      <c r="E36" t="s">
        <v>353</v>
      </c>
      <c r="F36" s="6">
        <f>SUMIFS('EV Data'!$AH:$AH,'EV Data'!$AF:$AF,'EV Forecast'!F7)</f>
        <v>253252</v>
      </c>
      <c r="G36" s="6">
        <f>SUMIFS('EV Data'!$AH:$AH,'EV Data'!$AF:$AF,'EV Forecast'!G7)</f>
        <v>240525</v>
      </c>
      <c r="H36" s="6">
        <f>SUMIFS('EV Data'!$AH:$AH,'EV Data'!$AF:$AF,'EV Forecast'!H7)</f>
        <v>205764</v>
      </c>
      <c r="I36" s="6">
        <f>SUMIFS('EV Data'!$AH:$AH,'EV Data'!$AF:$AF,'EV Forecast'!I7)</f>
        <v>124652</v>
      </c>
      <c r="J36" s="6">
        <f>SUMIFS('EV Data'!$AH:$AH,'EV Data'!$AF:$AF,'EV Forecast'!J7)</f>
        <v>128833</v>
      </c>
      <c r="K36" s="6">
        <f>SUMIFS('EV Data'!$AH:$AH,'EV Data'!$AF:$AF,'EV Forecast'!K7)</f>
        <v>109954</v>
      </c>
      <c r="L36" s="6">
        <f>SUMIFS('EV Data'!$AH:$AH,'EV Data'!$AF:$AF,'EV Forecast'!L7)</f>
        <v>110553</v>
      </c>
    </row>
    <row r="37" spans="4:24">
      <c r="D37" s="224" t="s">
        <v>172</v>
      </c>
      <c r="E37" t="s">
        <v>354</v>
      </c>
      <c r="F37" s="6">
        <f>SUMIFS('EV Data'!$AJ:$AJ,'EV Data'!$AF:$AF,'EV Forecast'!F7)</f>
        <v>345265</v>
      </c>
      <c r="G37" s="6">
        <f>SUMIFS('EV Data'!$AJ:$AJ,'EV Data'!$AF:$AF,'EV Forecast'!G7)</f>
        <v>368224</v>
      </c>
      <c r="H37" s="6">
        <f>SUMIFS('EV Data'!$AJ:$AJ,'EV Data'!$AF:$AF,'EV Forecast'!H7)</f>
        <v>395962</v>
      </c>
      <c r="I37" s="6">
        <f>SUMIFS('EV Data'!$AJ:$AJ,'EV Data'!$AF:$AF,'EV Forecast'!I7)</f>
        <v>312969</v>
      </c>
      <c r="J37" s="6">
        <f>SUMIFS('EV Data'!$AJ:$AJ,'EV Data'!$AF:$AF,'EV Forecast'!J7)</f>
        <v>352418</v>
      </c>
      <c r="K37" s="6">
        <f>SUMIFS('EV Data'!$AJ:$AJ,'EV Data'!$AF:$AF,'EV Forecast'!K7)</f>
        <v>341487</v>
      </c>
      <c r="L37" s="6">
        <f>SUMIFS('EV Data'!$AJ:$AJ,'EV Data'!$AF:$AF,'EV Forecast'!L7)</f>
        <v>412104</v>
      </c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4:24">
      <c r="D38" s="224" t="s">
        <v>172</v>
      </c>
      <c r="E38" t="s">
        <v>355</v>
      </c>
      <c r="F38" s="6">
        <f>SUMIFS('EV Data'!$AK:$AK,'EV Data'!$AF:$AF,'EV Forecast'!F7)</f>
        <v>58851</v>
      </c>
      <c r="G38" s="6">
        <f>SUMIFS('EV Data'!$AK:$AK,'EV Data'!$AF:$AF,'EV Forecast'!G7)</f>
        <v>54456</v>
      </c>
      <c r="H38" s="6">
        <f>SUMIFS('EV Data'!$AK:$AK,'EV Data'!$AF:$AF,'EV Forecast'!H7)</f>
        <v>49692</v>
      </c>
      <c r="I38" s="6">
        <f>SUMIFS('EV Data'!$AK:$AK,'EV Data'!$AF:$AF,'EV Forecast'!I7)</f>
        <v>35235</v>
      </c>
      <c r="J38" s="6">
        <f>SUMIFS('EV Data'!$AK:$AK,'EV Data'!$AF:$AF,'EV Forecast'!J7)</f>
        <v>27989</v>
      </c>
      <c r="K38" s="6">
        <f>SUMIFS('EV Data'!$AK:$AK,'EV Data'!$AF:$AF,'EV Forecast'!K7)</f>
        <v>20207</v>
      </c>
      <c r="L38" s="6">
        <f>SUMIFS('EV Data'!$AK:$AK,'EV Data'!$AF:$AF,'EV Forecast'!L7)</f>
        <v>26725</v>
      </c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4:24">
      <c r="D39" s="224" t="s">
        <v>172</v>
      </c>
      <c r="E39" t="s">
        <v>356</v>
      </c>
      <c r="F39" s="6">
        <f>SUMIFS('EV Data'!$AI:$AI,'EV Data'!$AF:$AF,'EV Forecast'!F7)</f>
        <v>144064</v>
      </c>
      <c r="G39" s="6">
        <f>SUMIFS('EV Data'!$AI:$AI,'EV Data'!$AF:$AF,'EV Forecast'!G7)</f>
        <v>135361</v>
      </c>
      <c r="H39" s="6">
        <f>SUMIFS('EV Data'!$AI:$AI,'EV Data'!$AF:$AF,'EV Forecast'!H7)</f>
        <v>144661</v>
      </c>
      <c r="I39" s="6">
        <f>SUMIFS('EV Data'!$AI:$AI,'EV Data'!$AF:$AF,'EV Forecast'!I7)</f>
        <v>127770</v>
      </c>
      <c r="J39" s="6">
        <f>SUMIFS('EV Data'!$AI:$AI,'EV Data'!$AF:$AF,'EV Forecast'!J7)</f>
        <v>117894</v>
      </c>
      <c r="K39" s="6">
        <f>SUMIFS('EV Data'!$AI:$AI,'EV Data'!$AF:$AF,'EV Forecast'!K7)</f>
        <v>122767</v>
      </c>
      <c r="L39" s="6">
        <f>SUMIFS('EV Data'!$AI:$AI,'EV Data'!$AF:$AF,'EV Forecast'!L7)</f>
        <v>127649</v>
      </c>
    </row>
    <row r="41" spans="4:24">
      <c r="D41" t="s">
        <v>357</v>
      </c>
      <c r="F41" s="67">
        <f>F28/F29</f>
        <v>6.3569682151589238E-3</v>
      </c>
      <c r="G41" s="67">
        <f t="shared" ref="G41:I41" si="126">G28/G29</f>
        <v>4.1174364482635161E-3</v>
      </c>
      <c r="H41" s="67">
        <f t="shared" si="126"/>
        <v>3.6877688998156115E-3</v>
      </c>
      <c r="I41" s="67">
        <f t="shared" si="126"/>
        <v>4.9453162149310512E-3</v>
      </c>
      <c r="J41" s="67">
        <f>J28/J29</f>
        <v>5.5763966338842133E-3</v>
      </c>
      <c r="K41" s="67">
        <f>K28/K29</f>
        <v>5.4585435260638988E-3</v>
      </c>
      <c r="L41" s="67">
        <f>L28/L29</f>
        <v>5.5418348292271546E-3</v>
      </c>
      <c r="M41" s="67">
        <f>L41</f>
        <v>5.5418348292271546E-3</v>
      </c>
      <c r="N41" s="67">
        <f>AVERAGE(M41,O41)</f>
        <v>6.6103945440900615E-3</v>
      </c>
      <c r="O41" s="67">
        <f>B11</f>
        <v>7.6789542589529684E-3</v>
      </c>
      <c r="P41" s="67">
        <f t="shared" ref="P41:X41" si="127">O41</f>
        <v>7.6789542589529684E-3</v>
      </c>
      <c r="Q41" s="67">
        <f t="shared" si="127"/>
        <v>7.6789542589529684E-3</v>
      </c>
      <c r="R41" s="67">
        <f t="shared" si="127"/>
        <v>7.6789542589529684E-3</v>
      </c>
      <c r="S41" s="67">
        <f t="shared" si="127"/>
        <v>7.6789542589529684E-3</v>
      </c>
      <c r="T41" s="67">
        <f t="shared" si="127"/>
        <v>7.6789542589529684E-3</v>
      </c>
      <c r="U41" s="67">
        <f t="shared" si="127"/>
        <v>7.6789542589529684E-3</v>
      </c>
      <c r="V41" s="67">
        <f t="shared" si="127"/>
        <v>7.6789542589529684E-3</v>
      </c>
      <c r="W41" s="67">
        <f t="shared" si="127"/>
        <v>7.6789542589529684E-3</v>
      </c>
      <c r="X41" s="67">
        <f t="shared" si="127"/>
        <v>7.6789542589529684E-3</v>
      </c>
    </row>
    <row r="42" spans="4:24">
      <c r="D42" s="224" t="s">
        <v>358</v>
      </c>
      <c r="F42" s="14">
        <f t="shared" ref="F42:L42" si="128">F29/F35</f>
        <v>1.0206729953383443E-2</v>
      </c>
      <c r="G42" s="14">
        <f t="shared" si="128"/>
        <v>2.0985115820107543E-2</v>
      </c>
      <c r="H42" s="14">
        <f t="shared" si="128"/>
        <v>1.2262602078436938E-2</v>
      </c>
      <c r="I42" s="14">
        <f t="shared" si="128"/>
        <v>1.7506734640192066E-2</v>
      </c>
      <c r="J42" s="14">
        <f t="shared" si="128"/>
        <v>3.1454202770061904E-2</v>
      </c>
      <c r="K42" s="14">
        <f t="shared" si="128"/>
        <v>6.5030323931933073E-2</v>
      </c>
      <c r="L42" s="14">
        <f t="shared" si="128"/>
        <v>7.3560885690610922E-2</v>
      </c>
      <c r="M42" s="302">
        <f>($O$42-$L$42)/3+L42</f>
        <v>0.11570725712707394</v>
      </c>
      <c r="N42" s="302">
        <f>($O$42-$L$42)/3+M42</f>
        <v>0.15785362856353696</v>
      </c>
      <c r="O42" s="302">
        <v>0.2</v>
      </c>
      <c r="P42" s="302">
        <v>0.23</v>
      </c>
      <c r="Q42" s="302">
        <v>0.34</v>
      </c>
      <c r="R42" s="302">
        <v>0.43</v>
      </c>
      <c r="S42" s="302">
        <v>0.6</v>
      </c>
      <c r="T42" s="302">
        <v>0.67999999999999994</v>
      </c>
      <c r="U42" s="302">
        <v>0.7599999999999999</v>
      </c>
      <c r="V42" s="302">
        <v>0.83999999999999986</v>
      </c>
      <c r="W42" s="302">
        <v>0.91999999999999982</v>
      </c>
      <c r="X42" s="302">
        <v>1</v>
      </c>
    </row>
    <row r="43" spans="4:24">
      <c r="F43" s="14"/>
      <c r="G43" s="14"/>
      <c r="H43" s="14"/>
      <c r="I43" s="14"/>
      <c r="J43" s="14"/>
      <c r="K43" s="14"/>
      <c r="L43" s="14"/>
      <c r="M43" s="15"/>
      <c r="N43" s="15"/>
      <c r="O43" s="15"/>
    </row>
    <row r="44" spans="4:24">
      <c r="D44" s="224" t="s">
        <v>172</v>
      </c>
      <c r="E44" t="s">
        <v>359</v>
      </c>
      <c r="F44" s="14">
        <f t="shared" ref="F44:L47" si="129">F30/F$29</f>
        <v>0.75684596577017116</v>
      </c>
      <c r="G44" s="14">
        <f t="shared" si="129"/>
        <v>0.76548514142499102</v>
      </c>
      <c r="H44" s="14">
        <f t="shared" si="129"/>
        <v>0.72976849006351152</v>
      </c>
      <c r="I44" s="14">
        <f t="shared" si="129"/>
        <v>0.54198763670946271</v>
      </c>
      <c r="J44" s="14">
        <f t="shared" si="129"/>
        <v>0.40733042684781506</v>
      </c>
      <c r="K44" s="14">
        <f t="shared" si="129"/>
        <v>0.34044754882938816</v>
      </c>
      <c r="L44" s="14">
        <f t="shared" si="129"/>
        <v>0.22070959580748148</v>
      </c>
      <c r="M44" s="15">
        <f t="shared" ref="M44:N47" si="130">L44</f>
        <v>0.22070959580748148</v>
      </c>
      <c r="N44" s="15">
        <f t="shared" si="130"/>
        <v>0.22070959580748148</v>
      </c>
      <c r="O44" s="15">
        <f t="shared" ref="O44:X44" si="131">N44</f>
        <v>0.22070959580748148</v>
      </c>
      <c r="P44" s="15">
        <f t="shared" si="131"/>
        <v>0.22070959580748148</v>
      </c>
      <c r="Q44" s="15">
        <f t="shared" si="131"/>
        <v>0.22070959580748148</v>
      </c>
      <c r="R44" s="15">
        <f t="shared" si="131"/>
        <v>0.22070959580748148</v>
      </c>
      <c r="S44" s="15">
        <f t="shared" si="131"/>
        <v>0.22070959580748148</v>
      </c>
      <c r="T44" s="15">
        <f t="shared" si="131"/>
        <v>0.22070959580748148</v>
      </c>
      <c r="U44" s="15">
        <f t="shared" si="131"/>
        <v>0.22070959580748148</v>
      </c>
      <c r="V44" s="15">
        <f t="shared" si="131"/>
        <v>0.22070959580748148</v>
      </c>
      <c r="W44" s="15">
        <f t="shared" si="131"/>
        <v>0.22070959580748148</v>
      </c>
      <c r="X44" s="15">
        <f t="shared" si="131"/>
        <v>0.22070959580748148</v>
      </c>
    </row>
    <row r="45" spans="4:24">
      <c r="D45" s="224" t="s">
        <v>172</v>
      </c>
      <c r="E45" t="s">
        <v>360</v>
      </c>
      <c r="F45" s="14">
        <f t="shared" si="129"/>
        <v>0.17933985330073349</v>
      </c>
      <c r="G45" s="14">
        <f t="shared" si="129"/>
        <v>0.18230099057166727</v>
      </c>
      <c r="H45" s="14">
        <f t="shared" si="129"/>
        <v>0.26080721163695963</v>
      </c>
      <c r="I45" s="14">
        <f t="shared" si="129"/>
        <v>0.44517356157869709</v>
      </c>
      <c r="J45" s="14">
        <f t="shared" si="129"/>
        <v>0.57842441447835347</v>
      </c>
      <c r="K45" s="14">
        <f t="shared" si="129"/>
        <v>0.61898848790583361</v>
      </c>
      <c r="L45" s="14">
        <f t="shared" si="129"/>
        <v>0.7203782904644298</v>
      </c>
      <c r="M45" s="15">
        <f t="shared" si="130"/>
        <v>0.7203782904644298</v>
      </c>
      <c r="N45" s="15">
        <f t="shared" si="130"/>
        <v>0.7203782904644298</v>
      </c>
      <c r="O45" s="15">
        <f t="shared" ref="O45:X45" si="132">N45</f>
        <v>0.7203782904644298</v>
      </c>
      <c r="P45" s="15">
        <f t="shared" si="132"/>
        <v>0.7203782904644298</v>
      </c>
      <c r="Q45" s="15">
        <f t="shared" si="132"/>
        <v>0.7203782904644298</v>
      </c>
      <c r="R45" s="15">
        <f t="shared" si="132"/>
        <v>0.7203782904644298</v>
      </c>
      <c r="S45" s="15">
        <f t="shared" si="132"/>
        <v>0.7203782904644298</v>
      </c>
      <c r="T45" s="15">
        <f t="shared" si="132"/>
        <v>0.7203782904644298</v>
      </c>
      <c r="U45" s="15">
        <f t="shared" si="132"/>
        <v>0.7203782904644298</v>
      </c>
      <c r="V45" s="15">
        <f t="shared" si="132"/>
        <v>0.7203782904644298</v>
      </c>
      <c r="W45" s="15">
        <f t="shared" si="132"/>
        <v>0.7203782904644298</v>
      </c>
      <c r="X45" s="15">
        <f t="shared" si="132"/>
        <v>0.7203782904644298</v>
      </c>
    </row>
    <row r="46" spans="4:24">
      <c r="D46" s="224" t="s">
        <v>172</v>
      </c>
      <c r="E46" t="s">
        <v>361</v>
      </c>
      <c r="F46" s="14">
        <f t="shared" si="129"/>
        <v>6.3814180929095354E-2</v>
      </c>
      <c r="G46" s="14">
        <f t="shared" si="129"/>
        <v>5.2213868003341685E-2</v>
      </c>
      <c r="H46" s="14">
        <f t="shared" si="129"/>
        <v>9.4242982995287848E-3</v>
      </c>
      <c r="I46" s="14">
        <f t="shared" si="129"/>
        <v>1.2838801711840228E-2</v>
      </c>
      <c r="J46" s="14">
        <f t="shared" si="129"/>
        <v>1.4245158673831491E-2</v>
      </c>
      <c r="K46" s="14">
        <f t="shared" si="129"/>
        <v>1.7979562799120424E-2</v>
      </c>
      <c r="L46" s="14">
        <f t="shared" si="129"/>
        <v>2.2609079774310783E-2</v>
      </c>
      <c r="M46" s="15">
        <f t="shared" si="130"/>
        <v>2.2609079774310783E-2</v>
      </c>
      <c r="N46" s="15">
        <f t="shared" si="130"/>
        <v>2.2609079774310783E-2</v>
      </c>
      <c r="O46" s="15">
        <f t="shared" ref="O46:X46" si="133">N46</f>
        <v>2.2609079774310783E-2</v>
      </c>
      <c r="P46" s="15">
        <f t="shared" si="133"/>
        <v>2.2609079774310783E-2</v>
      </c>
      <c r="Q46" s="15">
        <f t="shared" si="133"/>
        <v>2.2609079774310783E-2</v>
      </c>
      <c r="R46" s="15">
        <f t="shared" si="133"/>
        <v>2.2609079774310783E-2</v>
      </c>
      <c r="S46" s="15">
        <f t="shared" si="133"/>
        <v>2.2609079774310783E-2</v>
      </c>
      <c r="T46" s="15">
        <f t="shared" si="133"/>
        <v>2.2609079774310783E-2</v>
      </c>
      <c r="U46" s="15">
        <f t="shared" si="133"/>
        <v>2.2609079774310783E-2</v>
      </c>
      <c r="V46" s="15">
        <f t="shared" si="133"/>
        <v>2.2609079774310783E-2</v>
      </c>
      <c r="W46" s="15">
        <f t="shared" si="133"/>
        <v>2.2609079774310783E-2</v>
      </c>
      <c r="X46" s="15">
        <f t="shared" si="133"/>
        <v>2.2609079774310783E-2</v>
      </c>
    </row>
    <row r="47" spans="4:24">
      <c r="D47" s="224" t="s">
        <v>172</v>
      </c>
      <c r="E47" t="s">
        <v>362</v>
      </c>
      <c r="F47" s="14">
        <f t="shared" si="129"/>
        <v>0</v>
      </c>
      <c r="G47" s="14">
        <f t="shared" si="129"/>
        <v>0</v>
      </c>
      <c r="H47" s="14">
        <f t="shared" si="129"/>
        <v>0</v>
      </c>
      <c r="I47" s="14">
        <f t="shared" si="129"/>
        <v>0</v>
      </c>
      <c r="J47" s="14">
        <f t="shared" si="129"/>
        <v>0</v>
      </c>
      <c r="K47" s="14">
        <f t="shared" si="129"/>
        <v>2.2584400465657743E-2</v>
      </c>
      <c r="L47" s="14">
        <f t="shared" si="129"/>
        <v>3.6303033953777882E-2</v>
      </c>
      <c r="M47" s="15">
        <f t="shared" si="130"/>
        <v>3.6303033953777882E-2</v>
      </c>
      <c r="N47" s="15">
        <f t="shared" si="130"/>
        <v>3.6303033953777882E-2</v>
      </c>
      <c r="O47" s="15">
        <f t="shared" ref="O47:X47" si="134">N47</f>
        <v>3.6303033953777882E-2</v>
      </c>
      <c r="P47" s="15">
        <f t="shared" si="134"/>
        <v>3.6303033953777882E-2</v>
      </c>
      <c r="Q47" s="15">
        <f t="shared" si="134"/>
        <v>3.6303033953777882E-2</v>
      </c>
      <c r="R47" s="15">
        <f t="shared" si="134"/>
        <v>3.6303033953777882E-2</v>
      </c>
      <c r="S47" s="15">
        <f t="shared" si="134"/>
        <v>3.6303033953777882E-2</v>
      </c>
      <c r="T47" s="15">
        <f t="shared" si="134"/>
        <v>3.6303033953777882E-2</v>
      </c>
      <c r="U47" s="15">
        <f t="shared" si="134"/>
        <v>3.6303033953777882E-2</v>
      </c>
      <c r="V47" s="15">
        <f t="shared" si="134"/>
        <v>3.6303033953777882E-2</v>
      </c>
      <c r="W47" s="15">
        <f t="shared" si="134"/>
        <v>3.6303033953777882E-2</v>
      </c>
      <c r="X47" s="15">
        <f t="shared" si="134"/>
        <v>3.6303033953777882E-2</v>
      </c>
    </row>
    <row r="48" spans="4:24">
      <c r="F48" s="14"/>
      <c r="G48" s="14"/>
      <c r="H48" s="14"/>
      <c r="I48" s="14"/>
      <c r="J48" s="14"/>
      <c r="K48" s="14"/>
      <c r="L48" s="14"/>
    </row>
    <row r="49" spans="3:21">
      <c r="F49" s="14"/>
      <c r="G49" s="14"/>
      <c r="H49" s="14"/>
      <c r="I49" s="14"/>
      <c r="J49" s="14"/>
      <c r="K49" s="14"/>
      <c r="L49" s="14"/>
    </row>
    <row r="50" spans="3:21">
      <c r="F50" s="14"/>
      <c r="G50" s="14"/>
      <c r="H50" s="14"/>
      <c r="I50" s="14"/>
      <c r="J50" s="14"/>
      <c r="K50" s="14"/>
      <c r="L50" s="14"/>
    </row>
    <row r="52" spans="3:21">
      <c r="C52" t="s">
        <v>363</v>
      </c>
      <c r="S52" s="477" t="s">
        <v>364</v>
      </c>
      <c r="T52" s="8" t="s">
        <v>335</v>
      </c>
      <c r="U52" s="8" t="s">
        <v>365</v>
      </c>
    </row>
    <row r="53" spans="3:21">
      <c r="C53" s="531" t="s">
        <v>366</v>
      </c>
      <c r="D53" t="s">
        <v>133</v>
      </c>
      <c r="F53" s="16">
        <f>F$16*$S53+F$21*$T53+F$26*$U53</f>
        <v>63015.442881382041</v>
      </c>
      <c r="G53" s="16">
        <f t="shared" ref="G53:N55" si="135">(G$16-F$16)*$S53+(G$21-F$21)*$T53+(G$26-F$26)*$U53</f>
        <v>147380.39186948017</v>
      </c>
      <c r="H53" s="16">
        <f t="shared" si="135"/>
        <v>129821.5667402252</v>
      </c>
      <c r="I53" s="16">
        <f t="shared" si="135"/>
        <v>110950.18366053651</v>
      </c>
      <c r="J53" s="16">
        <f>(J$16-I$16)*$S53+(J$21-I$21)*$T53+(J$26-I$26)*$U53</f>
        <v>203893.02132734313</v>
      </c>
      <c r="K53" s="16">
        <f>(K$16-J$16)*$S53+(K$21-J$21)*$T53+(K$26-J$26)*$U53</f>
        <v>401844.3667357419</v>
      </c>
      <c r="L53" s="16">
        <f>(L$16-K$16)*$S53+(L$21-K$21)*$T53+(L$26-K$26)*$U53</f>
        <v>605823.31820807524</v>
      </c>
      <c r="M53" s="16">
        <f>(M$16-L$16)*$S53+(M$21-L$21)*$T53+(M$26-L$26)*$U53</f>
        <v>1113174.8958795378</v>
      </c>
      <c r="N53" s="16">
        <f>(N$16-M$16)*$S53+(N$21-M$21)*$T53+(N$26-M$26)*$U53</f>
        <v>1822355.6192613777</v>
      </c>
      <c r="O53" s="16"/>
      <c r="P53" s="16"/>
      <c r="Q53" s="16"/>
      <c r="R53" s="8" t="s">
        <v>133</v>
      </c>
      <c r="S53" s="14">
        <v>0.7</v>
      </c>
      <c r="T53" s="14">
        <v>0.2</v>
      </c>
      <c r="U53" s="14">
        <v>0.33333333333333337</v>
      </c>
    </row>
    <row r="54" spans="3:21">
      <c r="C54" s="531"/>
      <c r="D54" t="s">
        <v>134</v>
      </c>
      <c r="F54" s="16">
        <f>F$16*$S54+F$21*$T54+F$26*$U54</f>
        <v>16056.400993180816</v>
      </c>
      <c r="G54" s="16">
        <f t="shared" si="135"/>
        <v>36906.525331891418</v>
      </c>
      <c r="H54" s="16">
        <f t="shared" si="135"/>
        <v>30851.862344030178</v>
      </c>
      <c r="I54" s="16">
        <f t="shared" si="135"/>
        <v>24549.731163479071</v>
      </c>
      <c r="J54" s="16">
        <f t="shared" si="135"/>
        <v>45410.626607732636</v>
      </c>
      <c r="K54" s="16">
        <f t="shared" si="135"/>
        <v>93978.106466729994</v>
      </c>
      <c r="L54" s="16">
        <f t="shared" si="135"/>
        <v>149155.91471038412</v>
      </c>
      <c r="M54" s="16">
        <f t="shared" si="135"/>
        <v>279743.28344165999</v>
      </c>
      <c r="N54" s="16">
        <f t="shared" si="135"/>
        <v>457961.94867271278</v>
      </c>
      <c r="O54" s="16"/>
      <c r="P54" s="16"/>
      <c r="Q54" s="16"/>
      <c r="R54" s="8" t="s">
        <v>134</v>
      </c>
      <c r="S54" s="14">
        <v>0.15</v>
      </c>
      <c r="T54" s="14">
        <v>0.5</v>
      </c>
      <c r="U54" s="14">
        <v>0.33333333333333337</v>
      </c>
    </row>
    <row r="55" spans="3:21">
      <c r="C55" s="531"/>
      <c r="D55" t="s">
        <v>135</v>
      </c>
      <c r="F55" s="16">
        <f>F$16*$S55+F$21*$T55+F$26*$U55</f>
        <v>14939.423328793775</v>
      </c>
      <c r="G55" s="16">
        <f t="shared" si="135"/>
        <v>34576.832236952687</v>
      </c>
      <c r="H55" s="16">
        <f t="shared" si="135"/>
        <v>29524.944450413088</v>
      </c>
      <c r="I55" s="16">
        <f t="shared" si="135"/>
        <v>24210.803497632274</v>
      </c>
      <c r="J55" s="16">
        <f t="shared" si="135"/>
        <v>44658.448216288023</v>
      </c>
      <c r="K55" s="16">
        <f t="shared" si="135"/>
        <v>92173.669065286158</v>
      </c>
      <c r="L55" s="16">
        <f t="shared" si="135"/>
        <v>145778.46324923754</v>
      </c>
      <c r="M55" s="16">
        <f t="shared" si="135"/>
        <v>272914.03439021279</v>
      </c>
      <c r="N55" s="16">
        <f t="shared" si="135"/>
        <v>446781.92617103131</v>
      </c>
      <c r="O55" s="16"/>
      <c r="P55" s="16"/>
      <c r="Q55" s="16"/>
      <c r="R55" s="8" t="s">
        <v>135</v>
      </c>
      <c r="S55" s="14">
        <v>0.15</v>
      </c>
      <c r="T55" s="14">
        <v>0.3</v>
      </c>
      <c r="U55" s="14">
        <v>0.33333333333333298</v>
      </c>
    </row>
    <row r="56" spans="3:21">
      <c r="K56" s="261">
        <f>SUM(K53:K55)</f>
        <v>587996.14226775803</v>
      </c>
      <c r="L56" s="261">
        <f t="shared" ref="L56:N56" si="136">SUM(L53:L55)</f>
        <v>900757.69616769685</v>
      </c>
      <c r="M56" s="261">
        <f t="shared" si="136"/>
        <v>1665832.2137114105</v>
      </c>
      <c r="N56" s="261">
        <f t="shared" si="136"/>
        <v>2727099.4941051216</v>
      </c>
      <c r="O56" s="16"/>
    </row>
    <row r="58" spans="3:21">
      <c r="C58" t="s">
        <v>367</v>
      </c>
    </row>
    <row r="59" spans="3:21">
      <c r="D59" t="s">
        <v>368</v>
      </c>
      <c r="F59" s="304">
        <v>0.2</v>
      </c>
      <c r="G59" s="304">
        <f>F59</f>
        <v>0.2</v>
      </c>
      <c r="H59" s="304">
        <f t="shared" ref="H59:N59" si="137">G59</f>
        <v>0.2</v>
      </c>
      <c r="I59" s="304">
        <f t="shared" si="137"/>
        <v>0.2</v>
      </c>
      <c r="J59" s="304">
        <f t="shared" si="137"/>
        <v>0.2</v>
      </c>
      <c r="K59" s="304">
        <f t="shared" si="137"/>
        <v>0.2</v>
      </c>
      <c r="L59" s="304">
        <f t="shared" si="137"/>
        <v>0.2</v>
      </c>
      <c r="M59" s="304">
        <f t="shared" si="137"/>
        <v>0.2</v>
      </c>
      <c r="N59" s="304">
        <f t="shared" si="137"/>
        <v>0.2</v>
      </c>
    </row>
    <row r="60" spans="3:21">
      <c r="D60" t="s">
        <v>135</v>
      </c>
      <c r="F60" s="101">
        <f>((F55/F59)/8760)*12</f>
        <v>102.3248173205053</v>
      </c>
      <c r="G60" s="101">
        <f>G55/G59/8760*12</f>
        <v>236.82761806131975</v>
      </c>
      <c r="H60" s="101">
        <f>H55/H59/8760*12</f>
        <v>202.22564692063759</v>
      </c>
      <c r="I60" s="101">
        <f>I55/I59/8760*12</f>
        <v>165.82742121665939</v>
      </c>
      <c r="J60" s="101">
        <f t="shared" ref="J60" si="138">J55/J59/8760*12</f>
        <v>305.87978230334261</v>
      </c>
      <c r="K60" s="101">
        <f>K55/K59/8760*12</f>
        <v>631.32650044716547</v>
      </c>
      <c r="L60" s="101">
        <f>L55/L59/8760*12</f>
        <v>998.48262499477767</v>
      </c>
      <c r="M60" s="101">
        <f>M55/M59/8760*12</f>
        <v>1869.2742081521424</v>
      </c>
      <c r="N60" s="101">
        <f>N55/N59/8760*12</f>
        <v>3060.1501792536392</v>
      </c>
    </row>
    <row r="62" spans="3:21">
      <c r="F62" s="101"/>
    </row>
    <row r="64" spans="3:21">
      <c r="E64" s="484"/>
      <c r="F64" s="296">
        <f t="shared" ref="F64:L64" si="139">F79</f>
        <v>2017</v>
      </c>
      <c r="G64" s="296">
        <f t="shared" si="139"/>
        <v>2018</v>
      </c>
      <c r="H64" s="296">
        <f t="shared" si="139"/>
        <v>2019</v>
      </c>
      <c r="I64" s="296">
        <f t="shared" si="139"/>
        <v>2020</v>
      </c>
      <c r="J64" s="296">
        <f t="shared" si="139"/>
        <v>2021</v>
      </c>
      <c r="K64" s="296">
        <f t="shared" si="139"/>
        <v>2022</v>
      </c>
      <c r="L64" s="296">
        <f t="shared" si="139"/>
        <v>2023</v>
      </c>
      <c r="M64" s="485"/>
    </row>
    <row r="65" spans="5:13">
      <c r="E65" s="155" t="s">
        <v>369</v>
      </c>
      <c r="F65" s="155">
        <f t="shared" ref="F65:L66" si="140">F28</f>
        <v>52</v>
      </c>
      <c r="G65">
        <f t="shared" si="140"/>
        <v>69</v>
      </c>
      <c r="H65">
        <f t="shared" si="140"/>
        <v>36</v>
      </c>
      <c r="I65">
        <f t="shared" si="140"/>
        <v>52</v>
      </c>
      <c r="J65">
        <f t="shared" si="140"/>
        <v>110</v>
      </c>
      <c r="K65">
        <f t="shared" si="140"/>
        <v>211</v>
      </c>
      <c r="L65" s="162">
        <f t="shared" si="140"/>
        <v>276</v>
      </c>
      <c r="M65" s="162" t="s">
        <v>370</v>
      </c>
    </row>
    <row r="66" spans="5:13">
      <c r="E66" s="155" t="s">
        <v>371</v>
      </c>
      <c r="F66" s="486">
        <f t="shared" si="140"/>
        <v>8180</v>
      </c>
      <c r="G66" s="16">
        <f t="shared" si="140"/>
        <v>16758</v>
      </c>
      <c r="H66" s="16">
        <f t="shared" si="140"/>
        <v>9762</v>
      </c>
      <c r="I66" s="16">
        <f t="shared" si="140"/>
        <v>10515</v>
      </c>
      <c r="J66" s="16">
        <f t="shared" si="140"/>
        <v>19726</v>
      </c>
      <c r="K66" s="16">
        <f t="shared" si="140"/>
        <v>38655</v>
      </c>
      <c r="L66" s="164">
        <f t="shared" si="140"/>
        <v>49803</v>
      </c>
      <c r="M66" s="162" t="s">
        <v>372</v>
      </c>
    </row>
    <row r="67" spans="5:13">
      <c r="E67" s="484" t="s">
        <v>357</v>
      </c>
      <c r="F67" s="461">
        <f t="shared" ref="F67:L67" si="141">F41</f>
        <v>6.3569682151589238E-3</v>
      </c>
      <c r="G67" s="461">
        <f t="shared" si="141"/>
        <v>4.1174364482635161E-3</v>
      </c>
      <c r="H67" s="461">
        <f t="shared" si="141"/>
        <v>3.6877688998156115E-3</v>
      </c>
      <c r="I67" s="461">
        <f t="shared" si="141"/>
        <v>4.9453162149310512E-3</v>
      </c>
      <c r="J67" s="461">
        <f t="shared" si="141"/>
        <v>5.5763966338842133E-3</v>
      </c>
      <c r="K67" s="461">
        <f t="shared" si="141"/>
        <v>5.4585435260638988E-3</v>
      </c>
      <c r="L67" s="461">
        <f t="shared" si="141"/>
        <v>5.5418348292271546E-3</v>
      </c>
      <c r="M67" s="162" t="s">
        <v>373</v>
      </c>
    </row>
    <row r="68" spans="5:13">
      <c r="E68" s="155" t="s">
        <v>374</v>
      </c>
      <c r="F68" s="486">
        <f>F30</f>
        <v>6191</v>
      </c>
      <c r="G68" s="16">
        <f t="shared" ref="G68:L68" si="142">G30</f>
        <v>12828</v>
      </c>
      <c r="H68" s="16">
        <f t="shared" si="142"/>
        <v>7124</v>
      </c>
      <c r="I68" s="16">
        <f t="shared" si="142"/>
        <v>5699</v>
      </c>
      <c r="J68" s="16">
        <f t="shared" si="142"/>
        <v>8035</v>
      </c>
      <c r="K68" s="16">
        <f t="shared" si="142"/>
        <v>13160</v>
      </c>
      <c r="L68" s="164">
        <f t="shared" si="142"/>
        <v>10992</v>
      </c>
      <c r="M68" s="162" t="s">
        <v>375</v>
      </c>
    </row>
    <row r="69" spans="5:13">
      <c r="E69" s="155" t="s">
        <v>376</v>
      </c>
      <c r="F69" s="486">
        <f t="shared" ref="F69:L71" si="143">F31</f>
        <v>1467</v>
      </c>
      <c r="G69" s="16">
        <f t="shared" si="143"/>
        <v>3055</v>
      </c>
      <c r="H69" s="16">
        <f t="shared" si="143"/>
        <v>2546</v>
      </c>
      <c r="I69" s="16">
        <f t="shared" si="143"/>
        <v>4681</v>
      </c>
      <c r="J69" s="16">
        <f t="shared" si="143"/>
        <v>11410</v>
      </c>
      <c r="K69" s="16">
        <f t="shared" si="143"/>
        <v>23927</v>
      </c>
      <c r="L69" s="164">
        <f t="shared" si="143"/>
        <v>35877</v>
      </c>
      <c r="M69" s="162" t="s">
        <v>377</v>
      </c>
    </row>
    <row r="70" spans="5:13">
      <c r="E70" s="155" t="s">
        <v>378</v>
      </c>
      <c r="F70" s="486">
        <f t="shared" si="143"/>
        <v>522</v>
      </c>
      <c r="G70" s="16">
        <f t="shared" si="143"/>
        <v>875</v>
      </c>
      <c r="H70" s="16">
        <f t="shared" si="143"/>
        <v>92</v>
      </c>
      <c r="I70" s="16">
        <f t="shared" si="143"/>
        <v>135</v>
      </c>
      <c r="J70" s="16">
        <f t="shared" si="143"/>
        <v>281</v>
      </c>
      <c r="K70" s="16">
        <f t="shared" si="143"/>
        <v>695</v>
      </c>
      <c r="L70" s="164">
        <f t="shared" si="143"/>
        <v>1126</v>
      </c>
      <c r="M70" s="162" t="s">
        <v>379</v>
      </c>
    </row>
    <row r="71" spans="5:13">
      <c r="E71" s="165" t="s">
        <v>380</v>
      </c>
      <c r="F71" s="487">
        <f t="shared" si="143"/>
        <v>0</v>
      </c>
      <c r="G71" s="177">
        <f t="shared" si="143"/>
        <v>0</v>
      </c>
      <c r="H71" s="177">
        <f t="shared" si="143"/>
        <v>0</v>
      </c>
      <c r="I71" s="177">
        <f t="shared" si="143"/>
        <v>0</v>
      </c>
      <c r="J71" s="177">
        <f t="shared" si="143"/>
        <v>0</v>
      </c>
      <c r="K71" s="177">
        <f t="shared" si="143"/>
        <v>873</v>
      </c>
      <c r="L71" s="483">
        <f t="shared" si="143"/>
        <v>1808</v>
      </c>
      <c r="M71" s="162" t="s">
        <v>381</v>
      </c>
    </row>
    <row r="72" spans="5:13">
      <c r="E72" s="151" t="str">
        <f>E44</f>
        <v>Passenger EV as % of EV</v>
      </c>
      <c r="F72" s="488">
        <f t="shared" ref="F72:H72" si="144">F44</f>
        <v>0.75684596577017116</v>
      </c>
      <c r="G72" s="479">
        <f t="shared" si="144"/>
        <v>0.76548514142499102</v>
      </c>
      <c r="H72" s="479">
        <f t="shared" si="144"/>
        <v>0.72976849006351152</v>
      </c>
      <c r="I72" s="479">
        <f t="shared" ref="I72:L72" si="145">I44</f>
        <v>0.54198763670946271</v>
      </c>
      <c r="J72" s="479">
        <f t="shared" si="145"/>
        <v>0.40733042684781506</v>
      </c>
      <c r="K72" s="479">
        <f t="shared" si="145"/>
        <v>0.34044754882938816</v>
      </c>
      <c r="L72" s="480">
        <f t="shared" si="145"/>
        <v>0.22070959580748148</v>
      </c>
      <c r="M72" s="162" t="s">
        <v>382</v>
      </c>
    </row>
    <row r="73" spans="5:13">
      <c r="E73" s="155" t="str">
        <f t="shared" ref="E73:H75" si="146">E45</f>
        <v>Multi-Purpose EV as % of EV</v>
      </c>
      <c r="F73" s="489">
        <f t="shared" si="146"/>
        <v>0.17933985330073349</v>
      </c>
      <c r="G73" s="481">
        <f t="shared" si="146"/>
        <v>0.18230099057166727</v>
      </c>
      <c r="H73" s="481">
        <f t="shared" si="146"/>
        <v>0.26080721163695963</v>
      </c>
      <c r="I73" s="481">
        <f t="shared" ref="I73:L73" si="147">I45</f>
        <v>0.44517356157869709</v>
      </c>
      <c r="J73" s="481">
        <f t="shared" si="147"/>
        <v>0.57842441447835347</v>
      </c>
      <c r="K73" s="481">
        <f t="shared" si="147"/>
        <v>0.61898848790583361</v>
      </c>
      <c r="L73" s="482">
        <f t="shared" si="147"/>
        <v>0.7203782904644298</v>
      </c>
      <c r="M73" s="162" t="s">
        <v>383</v>
      </c>
    </row>
    <row r="74" spans="5:13">
      <c r="E74" s="155" t="str">
        <f t="shared" si="146"/>
        <v>Van EV as % of EV</v>
      </c>
      <c r="F74" s="489">
        <f t="shared" si="146"/>
        <v>6.3814180929095354E-2</v>
      </c>
      <c r="G74" s="481">
        <f t="shared" si="146"/>
        <v>5.2213868003341685E-2</v>
      </c>
      <c r="H74" s="481">
        <f t="shared" si="146"/>
        <v>9.4242982995287848E-3</v>
      </c>
      <c r="I74" s="481">
        <f t="shared" ref="I74:L74" si="148">I46</f>
        <v>1.2838801711840228E-2</v>
      </c>
      <c r="J74" s="481">
        <f t="shared" si="148"/>
        <v>1.4245158673831491E-2</v>
      </c>
      <c r="K74" s="481">
        <f t="shared" si="148"/>
        <v>1.7979562799120424E-2</v>
      </c>
      <c r="L74" s="482">
        <f t="shared" si="148"/>
        <v>2.2609079774310783E-2</v>
      </c>
      <c r="M74" s="162" t="s">
        <v>384</v>
      </c>
    </row>
    <row r="75" spans="5:13">
      <c r="E75" s="165" t="str">
        <f t="shared" si="146"/>
        <v>Pickup Truck EV as % of EV</v>
      </c>
      <c r="F75" s="490">
        <f t="shared" si="146"/>
        <v>0</v>
      </c>
      <c r="G75" s="491">
        <f t="shared" si="146"/>
        <v>0</v>
      </c>
      <c r="H75" s="491">
        <f t="shared" si="146"/>
        <v>0</v>
      </c>
      <c r="I75" s="491">
        <f t="shared" ref="I75:L75" si="149">I47</f>
        <v>0</v>
      </c>
      <c r="J75" s="491">
        <f t="shared" si="149"/>
        <v>0</v>
      </c>
      <c r="K75" s="491">
        <f t="shared" si="149"/>
        <v>2.2584400465657743E-2</v>
      </c>
      <c r="L75" s="492">
        <f t="shared" si="149"/>
        <v>3.6303033953777882E-2</v>
      </c>
      <c r="M75" s="175" t="s">
        <v>385</v>
      </c>
    </row>
    <row r="79" spans="5:13">
      <c r="E79" s="457"/>
      <c r="F79" s="296">
        <f t="shared" ref="F79:L79" si="150">F7</f>
        <v>2017</v>
      </c>
      <c r="G79" s="296">
        <f t="shared" si="150"/>
        <v>2018</v>
      </c>
      <c r="H79" s="296">
        <f t="shared" si="150"/>
        <v>2019</v>
      </c>
      <c r="I79" s="296">
        <f t="shared" si="150"/>
        <v>2020</v>
      </c>
      <c r="J79" s="296">
        <f t="shared" si="150"/>
        <v>2021</v>
      </c>
      <c r="K79" s="296">
        <f t="shared" si="150"/>
        <v>2022</v>
      </c>
      <c r="L79" s="296">
        <f t="shared" si="150"/>
        <v>2023</v>
      </c>
    </row>
    <row r="80" spans="5:13">
      <c r="E80" s="526" t="s">
        <v>386</v>
      </c>
      <c r="F80" s="527"/>
      <c r="G80" s="527"/>
      <c r="H80" s="527"/>
      <c r="I80" s="527"/>
      <c r="J80" s="527"/>
      <c r="K80" s="527"/>
      <c r="L80" s="527"/>
      <c r="M80" s="527"/>
    </row>
    <row r="81" spans="5:13">
      <c r="E81" s="494" t="s">
        <v>140</v>
      </c>
      <c r="F81" s="458">
        <f t="shared" ref="F81:L81" si="151">F9</f>
        <v>52</v>
      </c>
      <c r="G81" s="458">
        <f t="shared" si="151"/>
        <v>69</v>
      </c>
      <c r="H81" s="458">
        <f t="shared" si="151"/>
        <v>36</v>
      </c>
      <c r="I81" s="458">
        <f t="shared" si="151"/>
        <v>52</v>
      </c>
      <c r="J81" s="458">
        <f t="shared" si="151"/>
        <v>110</v>
      </c>
      <c r="K81" s="458">
        <f t="shared" si="151"/>
        <v>211</v>
      </c>
      <c r="L81" s="458">
        <f t="shared" si="151"/>
        <v>276</v>
      </c>
      <c r="M81" t="s">
        <v>387</v>
      </c>
    </row>
    <row r="82" spans="5:13">
      <c r="E82" s="296" t="s">
        <v>388</v>
      </c>
      <c r="F82" s="457">
        <f t="shared" ref="F82:L82" si="152">F12</f>
        <v>48.681662591687044</v>
      </c>
      <c r="G82" s="457">
        <f t="shared" si="152"/>
        <v>65.397243107769427</v>
      </c>
      <c r="H82" s="457">
        <f t="shared" si="152"/>
        <v>35.66072526121696</v>
      </c>
      <c r="I82" s="457">
        <f t="shared" si="152"/>
        <v>51.332382310984315</v>
      </c>
      <c r="J82" s="457">
        <f t="shared" si="152"/>
        <v>108.43303254587853</v>
      </c>
      <c r="K82" s="457">
        <f t="shared" si="152"/>
        <v>202.44100375113177</v>
      </c>
      <c r="L82" s="457">
        <f t="shared" si="152"/>
        <v>259.74025661104753</v>
      </c>
      <c r="M82" t="s">
        <v>389</v>
      </c>
    </row>
    <row r="83" spans="5:13">
      <c r="E83" s="296" t="s">
        <v>345</v>
      </c>
      <c r="F83" s="457">
        <f>F17</f>
        <v>3.3183374083129582</v>
      </c>
      <c r="G83" s="457">
        <f t="shared" ref="G83:L83" si="153">G17</f>
        <v>3.6027568922305764</v>
      </c>
      <c r="H83" s="457">
        <f t="shared" si="153"/>
        <v>0.33927473878303627</v>
      </c>
      <c r="I83" s="457">
        <f t="shared" si="153"/>
        <v>0.66761768901569185</v>
      </c>
      <c r="J83" s="457">
        <f t="shared" si="153"/>
        <v>1.566967454121464</v>
      </c>
      <c r="K83" s="457">
        <f t="shared" si="153"/>
        <v>3.7936877506144095</v>
      </c>
      <c r="L83" s="457">
        <f t="shared" si="153"/>
        <v>6.2401060177097758</v>
      </c>
      <c r="M83" t="s">
        <v>390</v>
      </c>
    </row>
    <row r="84" spans="5:13">
      <c r="E84" s="296" t="s">
        <v>391</v>
      </c>
      <c r="F84" s="493">
        <f>F22</f>
        <v>0</v>
      </c>
      <c r="G84" s="493">
        <f t="shared" ref="G84:L84" si="154">G22</f>
        <v>0</v>
      </c>
      <c r="H84" s="493">
        <f t="shared" si="154"/>
        <v>0</v>
      </c>
      <c r="I84" s="493">
        <f t="shared" si="154"/>
        <v>0</v>
      </c>
      <c r="J84" s="493">
        <f t="shared" si="154"/>
        <v>0</v>
      </c>
      <c r="K84" s="493">
        <f t="shared" si="154"/>
        <v>4.7653084982537841</v>
      </c>
      <c r="L84" s="493">
        <f t="shared" si="154"/>
        <v>10.019637371242695</v>
      </c>
      <c r="M84" t="s">
        <v>392</v>
      </c>
    </row>
    <row r="86" spans="5:13">
      <c r="E86" s="457"/>
      <c r="F86" s="495">
        <f>L7</f>
        <v>2023</v>
      </c>
      <c r="G86" s="296">
        <f>M7</f>
        <v>2024</v>
      </c>
      <c r="H86" s="296">
        <f>N7</f>
        <v>2025</v>
      </c>
      <c r="I86" s="495">
        <f>O7</f>
        <v>2026</v>
      </c>
      <c r="K86" t="s">
        <v>393</v>
      </c>
    </row>
    <row r="87" spans="5:13">
      <c r="E87" s="457" t="s">
        <v>394</v>
      </c>
      <c r="F87" s="459">
        <f>L35</f>
        <v>677031</v>
      </c>
      <c r="G87" s="459">
        <f t="shared" ref="G87:I87" si="155">M35</f>
        <v>699326.14285714284</v>
      </c>
      <c r="H87" s="459">
        <f t="shared" si="155"/>
        <v>699326.14285714284</v>
      </c>
      <c r="I87" s="459">
        <f t="shared" si="155"/>
        <v>699326.14285714284</v>
      </c>
      <c r="J87" t="s">
        <v>395</v>
      </c>
      <c r="K87" t="s">
        <v>396</v>
      </c>
    </row>
    <row r="88" spans="5:13">
      <c r="E88" s="457" t="s">
        <v>397</v>
      </c>
      <c r="F88" s="464">
        <f>L42</f>
        <v>7.3560885690610922E-2</v>
      </c>
      <c r="G88" s="463">
        <f>M42</f>
        <v>0.11570725712707394</v>
      </c>
      <c r="H88" s="463">
        <f>N42</f>
        <v>0.15785362856353696</v>
      </c>
      <c r="I88" s="464">
        <f>O42</f>
        <v>0.2</v>
      </c>
      <c r="J88" t="s">
        <v>398</v>
      </c>
      <c r="K88" t="s">
        <v>399</v>
      </c>
    </row>
    <row r="89" spans="5:13">
      <c r="E89" s="457" t="str">
        <f>D41</f>
        <v>Essex % of ON EVs</v>
      </c>
      <c r="F89" s="462">
        <f>L41</f>
        <v>5.5418348292271546E-3</v>
      </c>
      <c r="G89" s="461">
        <f>M41</f>
        <v>5.5418348292271546E-3</v>
      </c>
      <c r="H89" s="461">
        <f>N41</f>
        <v>6.6103945440900615E-3</v>
      </c>
      <c r="I89" s="462">
        <f>O41</f>
        <v>7.6789542589529684E-3</v>
      </c>
      <c r="J89" t="s">
        <v>400</v>
      </c>
      <c r="K89" t="s">
        <v>401</v>
      </c>
    </row>
    <row r="90" spans="5:13">
      <c r="E90" s="296" t="s">
        <v>402</v>
      </c>
      <c r="F90" s="460">
        <f>SUM(F91:F93)</f>
        <v>276</v>
      </c>
      <c r="G90" s="458">
        <f>SUM(G91:G93)</f>
        <v>621.35878513017451</v>
      </c>
      <c r="H90" s="458">
        <f>SUM(H91:H93)</f>
        <v>847.68873887408813</v>
      </c>
      <c r="I90" s="460">
        <f>SUM(I91:I93)</f>
        <v>1074.0186926180018</v>
      </c>
      <c r="J90" t="s">
        <v>403</v>
      </c>
      <c r="K90" t="s">
        <v>404</v>
      </c>
    </row>
    <row r="91" spans="5:13">
      <c r="E91" s="296" t="s">
        <v>388</v>
      </c>
      <c r="F91" s="459">
        <f>L12</f>
        <v>259.74025661104753</v>
      </c>
      <c r="G91" s="457">
        <f>M12</f>
        <v>584.75322571463869</v>
      </c>
      <c r="H91" s="457">
        <f>N12</f>
        <v>797.74960348351783</v>
      </c>
      <c r="I91" s="459">
        <f>O12</f>
        <v>1010.745981252397</v>
      </c>
      <c r="J91" t="s">
        <v>405</v>
      </c>
      <c r="K91" t="s">
        <v>406</v>
      </c>
    </row>
    <row r="92" spans="5:13">
      <c r="E92" s="296" t="s">
        <v>345</v>
      </c>
      <c r="F92" s="459">
        <f>L17</f>
        <v>6.2401060177097758</v>
      </c>
      <c r="G92" s="459">
        <f t="shared" ref="G92:I92" si="156">M17</f>
        <v>14.048350341476951</v>
      </c>
      <c r="H92" s="459">
        <f t="shared" si="156"/>
        <v>19.16546232098916</v>
      </c>
      <c r="I92" s="459">
        <f t="shared" si="156"/>
        <v>24.282574300501377</v>
      </c>
      <c r="J92" t="s">
        <v>407</v>
      </c>
      <c r="K92" t="s">
        <v>406</v>
      </c>
    </row>
    <row r="93" spans="5:13">
      <c r="E93" s="296" t="s">
        <v>408</v>
      </c>
      <c r="F93" s="459">
        <f>L22</f>
        <v>10.019637371242695</v>
      </c>
      <c r="G93" s="459">
        <f>M22</f>
        <v>22.557209074058903</v>
      </c>
      <c r="H93" s="459">
        <f>N22</f>
        <v>30.773673069581179</v>
      </c>
      <c r="I93" s="459">
        <f>O22</f>
        <v>38.990137065103454</v>
      </c>
      <c r="J93" t="s">
        <v>409</v>
      </c>
      <c r="K93" t="s">
        <v>406</v>
      </c>
    </row>
    <row r="96" spans="5:13">
      <c r="F96">
        <v>2023</v>
      </c>
      <c r="G96">
        <v>2024</v>
      </c>
      <c r="H96">
        <v>2025</v>
      </c>
      <c r="I96">
        <v>2026</v>
      </c>
    </row>
    <row r="97" spans="5:14">
      <c r="E97" t="str">
        <f>E91</f>
        <v>Passenger &amp; Multi-Purpose EVs</v>
      </c>
      <c r="F97" s="16">
        <f t="shared" ref="F97:I98" si="157">L12</f>
        <v>259.74025661104753</v>
      </c>
      <c r="G97" s="16">
        <f t="shared" si="157"/>
        <v>584.75322571463869</v>
      </c>
      <c r="H97" s="16">
        <f t="shared" si="157"/>
        <v>797.74960348351783</v>
      </c>
      <c r="I97" s="16">
        <f t="shared" si="157"/>
        <v>1010.745981252397</v>
      </c>
      <c r="J97" t="s">
        <v>370</v>
      </c>
    </row>
    <row r="98" spans="5:14">
      <c r="E98" t="s">
        <v>410</v>
      </c>
      <c r="F98" s="16">
        <f t="shared" si="157"/>
        <v>771.68630617971553</v>
      </c>
      <c r="G98" s="16">
        <f t="shared" si="157"/>
        <v>1356.4395318943543</v>
      </c>
      <c r="H98" s="16">
        <f t="shared" si="157"/>
        <v>2154.1891353778719</v>
      </c>
      <c r="I98" s="16">
        <f t="shared" si="157"/>
        <v>3164.935116630269</v>
      </c>
      <c r="J98" t="s">
        <v>372</v>
      </c>
      <c r="K98" s="465"/>
    </row>
    <row r="99" spans="5:14">
      <c r="E99" t="s">
        <v>411</v>
      </c>
      <c r="F99" s="16">
        <f>L16</f>
        <v>2331616.3621174418</v>
      </c>
      <c r="G99" s="16">
        <f t="shared" ref="G99" si="158">M16</f>
        <v>3865571.7912357124</v>
      </c>
      <c r="H99" s="16">
        <f>N16</f>
        <v>6376778.5264015067</v>
      </c>
      <c r="I99" s="16">
        <f>O16</f>
        <v>9661767.3141210079</v>
      </c>
      <c r="J99" s="465" t="s">
        <v>412</v>
      </c>
      <c r="K99" s="465"/>
      <c r="L99" s="497">
        <f>(H98+I97/2)*4000</f>
        <v>10638248.50401628</v>
      </c>
    </row>
    <row r="100" spans="5:14">
      <c r="E100" t="s">
        <v>413</v>
      </c>
      <c r="G100" s="16">
        <f>G99-F99</f>
        <v>1533955.4291182705</v>
      </c>
      <c r="H100" s="16">
        <f>H99-G99</f>
        <v>2511206.7351657944</v>
      </c>
      <c r="I100" s="16">
        <f>I99-H99</f>
        <v>3284988.7877195012</v>
      </c>
      <c r="J100" t="s">
        <v>414</v>
      </c>
      <c r="L100" s="497"/>
    </row>
    <row r="101" spans="5:14">
      <c r="E101" t="str">
        <f>E92</f>
        <v>Van EVs</v>
      </c>
      <c r="F101" s="16">
        <f>F92</f>
        <v>6.2401060177097758</v>
      </c>
      <c r="G101" s="16">
        <f>G92</f>
        <v>14.048350341476951</v>
      </c>
      <c r="H101" s="16">
        <f>H92</f>
        <v>19.16546232098916</v>
      </c>
      <c r="I101" s="16">
        <f>I92</f>
        <v>24.282574300501377</v>
      </c>
      <c r="J101" t="s">
        <v>377</v>
      </c>
      <c r="L101" s="497"/>
    </row>
    <row r="102" spans="5:14">
      <c r="E102" t="s">
        <v>410</v>
      </c>
      <c r="F102" s="321">
        <f>L18</f>
        <v>19.52874795078791</v>
      </c>
      <c r="G102" s="321">
        <f t="shared" ref="G102:I102" si="159">M18</f>
        <v>33.577098292264864</v>
      </c>
      <c r="H102" s="321">
        <f t="shared" si="159"/>
        <v>52.742560613254028</v>
      </c>
      <c r="I102" s="321">
        <f t="shared" si="159"/>
        <v>77.025134913755409</v>
      </c>
      <c r="J102" t="s">
        <v>379</v>
      </c>
      <c r="L102" s="497"/>
    </row>
    <row r="103" spans="5:14">
      <c r="E103" t="s">
        <v>411</v>
      </c>
      <c r="F103" s="16">
        <f>L21</f>
        <v>55232.917864123447</v>
      </c>
      <c r="G103" s="16">
        <f t="shared" ref="G103:I103" si="160">M21</f>
        <v>89379.163121359103</v>
      </c>
      <c r="H103" s="16">
        <f t="shared" si="160"/>
        <v>145279.27562976623</v>
      </c>
      <c r="I103" s="16">
        <f t="shared" si="160"/>
        <v>218403.97709336452</v>
      </c>
      <c r="J103" s="465" t="s">
        <v>415</v>
      </c>
      <c r="L103" s="499">
        <f>(H102+I101/2)*5000</f>
        <v>324419.23881752358</v>
      </c>
    </row>
    <row r="104" spans="5:14">
      <c r="E104" t="s">
        <v>413</v>
      </c>
      <c r="F104" s="16"/>
      <c r="G104" s="16">
        <f>G103-F103</f>
        <v>34146.245257235656</v>
      </c>
      <c r="H104" s="16">
        <f t="shared" ref="H104" si="161">H103-G103</f>
        <v>55900.112508407125</v>
      </c>
      <c r="I104" s="16">
        <f t="shared" ref="I104" si="162">I103-H103</f>
        <v>73124.701463598292</v>
      </c>
      <c r="J104" t="s">
        <v>416</v>
      </c>
      <c r="L104" s="497"/>
    </row>
    <row r="105" spans="5:14">
      <c r="E105" t="str">
        <f>E93</f>
        <v>Pickup Truck EVs</v>
      </c>
      <c r="F105" s="16">
        <f>F93</f>
        <v>10.019637371242695</v>
      </c>
      <c r="G105" s="16">
        <f>G93</f>
        <v>22.557209074058903</v>
      </c>
      <c r="H105" s="16">
        <f>H93</f>
        <v>30.773673069581179</v>
      </c>
      <c r="I105" s="16">
        <f>I93</f>
        <v>38.990137065103454</v>
      </c>
      <c r="J105" t="s">
        <v>417</v>
      </c>
      <c r="L105" s="497"/>
    </row>
    <row r="106" spans="5:14">
      <c r="E106" t="s">
        <v>410</v>
      </c>
      <c r="F106" s="16">
        <f>L23</f>
        <v>14.784945869496479</v>
      </c>
      <c r="G106" s="16">
        <f t="shared" ref="G106:I106" si="163">M23</f>
        <v>37.342154943555386</v>
      </c>
      <c r="H106" s="16">
        <f t="shared" si="163"/>
        <v>68.115828013136564</v>
      </c>
      <c r="I106" s="16">
        <f t="shared" si="163"/>
        <v>107.10596507824002</v>
      </c>
      <c r="J106" t="s">
        <v>418</v>
      </c>
      <c r="L106" s="497"/>
    </row>
    <row r="107" spans="5:14">
      <c r="E107" t="s">
        <v>411</v>
      </c>
      <c r="F107" s="16">
        <f>L26</f>
        <v>58650.763103250778</v>
      </c>
      <c r="G107" s="16">
        <f t="shared" ref="G107:I107" si="164">M26</f>
        <v>156381.30243915558</v>
      </c>
      <c r="H107" s="16">
        <f t="shared" si="164"/>
        <v>316373.94887007587</v>
      </c>
      <c r="I107" s="16">
        <f t="shared" si="164"/>
        <v>525665.37927412987</v>
      </c>
      <c r="J107" t="s">
        <v>419</v>
      </c>
      <c r="L107" s="499">
        <f>(H106+I105/2)*6000</f>
        <v>525665.37927412975</v>
      </c>
    </row>
    <row r="108" spans="5:14">
      <c r="E108" t="s">
        <v>413</v>
      </c>
      <c r="G108" s="16">
        <f>G107-F107</f>
        <v>97730.539335904803</v>
      </c>
      <c r="H108" s="16">
        <f t="shared" ref="H108" si="165">H107-G107</f>
        <v>159992.64643092029</v>
      </c>
      <c r="I108" s="16">
        <f t="shared" ref="I108" si="166">I107-H107</f>
        <v>209291.430404054</v>
      </c>
      <c r="J108" t="s">
        <v>420</v>
      </c>
    </row>
    <row r="109" spans="5:14">
      <c r="L109" s="6"/>
    </row>
    <row r="110" spans="5:14">
      <c r="J110">
        <v>2024</v>
      </c>
      <c r="M110">
        <v>2025</v>
      </c>
    </row>
    <row r="111" spans="5:14">
      <c r="F111" s="8" t="str">
        <f t="shared" ref="F111:H114" si="167">S52</f>
        <v>Passenger/SUV</v>
      </c>
      <c r="G111" s="8" t="str">
        <f t="shared" si="167"/>
        <v>Van</v>
      </c>
      <c r="H111" s="8" t="str">
        <f t="shared" si="167"/>
        <v>Pick-up Truck</v>
      </c>
      <c r="I111" t="str">
        <f>F111</f>
        <v>Passenger/SUV</v>
      </c>
      <c r="J111" t="str">
        <f t="shared" ref="J111:N111" si="168">G111</f>
        <v>Van</v>
      </c>
      <c r="K111" t="str">
        <f t="shared" si="168"/>
        <v>Pick-up Truck</v>
      </c>
      <c r="L111" t="str">
        <f t="shared" si="168"/>
        <v>Passenger/SUV</v>
      </c>
      <c r="M111" t="str">
        <f t="shared" si="168"/>
        <v>Van</v>
      </c>
      <c r="N111" t="str">
        <f t="shared" si="168"/>
        <v>Pick-up Truck</v>
      </c>
    </row>
    <row r="112" spans="5:14">
      <c r="E112" t="str">
        <f t="shared" ref="E112:E114" si="169">R53</f>
        <v>Residential</v>
      </c>
      <c r="F112" s="496">
        <f t="shared" si="167"/>
        <v>0.7</v>
      </c>
      <c r="G112" s="496">
        <f t="shared" si="167"/>
        <v>0.2</v>
      </c>
      <c r="H112" s="496">
        <f t="shared" si="167"/>
        <v>0.33333333333333337</v>
      </c>
      <c r="I112" s="497">
        <f>F112*I$115</f>
        <v>1073768.8003827892</v>
      </c>
      <c r="J112" s="497">
        <f>G112*J$115</f>
        <v>6829.2490514471319</v>
      </c>
      <c r="K112" s="497">
        <f>H112*K$115</f>
        <v>32576.846445301606</v>
      </c>
      <c r="L112" s="497">
        <f>F112*L$115</f>
        <v>1757844.7146160561</v>
      </c>
      <c r="M112" s="497">
        <f>G112*M$115</f>
        <v>11180.022501681426</v>
      </c>
      <c r="N112" s="497">
        <f>H112*N$115</f>
        <v>53330.882143640098</v>
      </c>
    </row>
    <row r="113" spans="5:14">
      <c r="E113" t="str">
        <f t="shared" si="169"/>
        <v>GS&lt;50</v>
      </c>
      <c r="F113" s="496">
        <f t="shared" si="167"/>
        <v>0.15</v>
      </c>
      <c r="G113" s="496">
        <f t="shared" si="167"/>
        <v>0.5</v>
      </c>
      <c r="H113" s="496">
        <f t="shared" si="167"/>
        <v>0.33333333333333337</v>
      </c>
      <c r="I113" s="497">
        <f t="shared" ref="I113:I114" si="170">F113*I$115</f>
        <v>230093.31436774056</v>
      </c>
      <c r="J113" s="497">
        <f t="shared" ref="J113:K114" si="171">G113*J$115</f>
        <v>17073.122628617828</v>
      </c>
      <c r="K113" s="497">
        <f t="shared" si="171"/>
        <v>32576.846445301606</v>
      </c>
      <c r="L113" s="497">
        <f t="shared" ref="L113:L114" si="172">F113*L$115</f>
        <v>376681.01027486916</v>
      </c>
      <c r="M113" s="497">
        <f t="shared" ref="M113:N114" si="173">G113*M$115</f>
        <v>27950.056254203562</v>
      </c>
      <c r="N113" s="497">
        <f t="shared" si="173"/>
        <v>53330.882143640098</v>
      </c>
    </row>
    <row r="114" spans="5:14">
      <c r="E114" t="str">
        <f t="shared" si="169"/>
        <v>GS&gt;50</v>
      </c>
      <c r="F114" s="496">
        <f t="shared" si="167"/>
        <v>0.15</v>
      </c>
      <c r="G114" s="496">
        <f t="shared" si="167"/>
        <v>0.3</v>
      </c>
      <c r="H114" s="496">
        <f t="shared" si="167"/>
        <v>0.33333333333333298</v>
      </c>
      <c r="I114" s="497">
        <f t="shared" si="170"/>
        <v>230093.31436774056</v>
      </c>
      <c r="J114" s="497">
        <f t="shared" si="171"/>
        <v>10243.873577170696</v>
      </c>
      <c r="K114" s="497">
        <f t="shared" si="171"/>
        <v>32576.846445301566</v>
      </c>
      <c r="L114" s="497">
        <f t="shared" si="172"/>
        <v>376681.01027486916</v>
      </c>
      <c r="M114" s="497">
        <f t="shared" si="173"/>
        <v>16770.033752522137</v>
      </c>
      <c r="N114" s="497">
        <f>H114*N$115</f>
        <v>53330.882143640039</v>
      </c>
    </row>
    <row r="115" spans="5:14">
      <c r="I115" s="16">
        <f>G100</f>
        <v>1533955.4291182705</v>
      </c>
      <c r="J115" s="16">
        <f>G104</f>
        <v>34146.245257235656</v>
      </c>
      <c r="K115" s="16">
        <f>G108</f>
        <v>97730.539335904803</v>
      </c>
      <c r="L115" s="16">
        <f>H100</f>
        <v>2511206.7351657944</v>
      </c>
      <c r="M115" s="16">
        <f>H104</f>
        <v>55900.112508407125</v>
      </c>
      <c r="N115" s="16">
        <f>H108</f>
        <v>159992.64643092029</v>
      </c>
    </row>
    <row r="118" spans="5:14">
      <c r="F118" t="s">
        <v>421</v>
      </c>
      <c r="G118" t="s">
        <v>422</v>
      </c>
      <c r="H118" s="8" t="s">
        <v>423</v>
      </c>
    </row>
    <row r="119" spans="5:14">
      <c r="E119" t="str">
        <f>E112</f>
        <v>Residential</v>
      </c>
      <c r="F119" s="497">
        <f>SUM(I112:K112)</f>
        <v>1113174.8958795378</v>
      </c>
      <c r="G119" s="497">
        <f>SUM(L112:N112)</f>
        <v>1822355.6192613777</v>
      </c>
      <c r="H119" s="497">
        <f>F119*2+G119</f>
        <v>4048705.4110204531</v>
      </c>
    </row>
    <row r="120" spans="5:14">
      <c r="E120" t="str">
        <f t="shared" ref="E120:E121" si="174">E113</f>
        <v>GS&lt;50</v>
      </c>
      <c r="F120" s="497">
        <f t="shared" ref="F120:F121" si="175">SUM(I113:K113)</f>
        <v>279743.28344165999</v>
      </c>
      <c r="G120" s="497">
        <f t="shared" ref="G120:G121" si="176">SUM(L113:N113)</f>
        <v>457961.94867271278</v>
      </c>
      <c r="H120" s="497">
        <f t="shared" ref="H120:H122" si="177">F120*2+G120</f>
        <v>1017448.5155560328</v>
      </c>
    </row>
    <row r="121" spans="5:14">
      <c r="E121" t="str">
        <f t="shared" si="174"/>
        <v>GS&gt;50</v>
      </c>
      <c r="F121" s="497">
        <f t="shared" si="175"/>
        <v>272914.03439021279</v>
      </c>
      <c r="G121" s="497">
        <f t="shared" si="176"/>
        <v>446781.92617103131</v>
      </c>
      <c r="H121" s="497">
        <f t="shared" si="177"/>
        <v>992609.9949514569</v>
      </c>
    </row>
    <row r="122" spans="5:14">
      <c r="E122" t="s">
        <v>140</v>
      </c>
      <c r="F122" s="498">
        <f>SUM(F119:F121)</f>
        <v>1665832.2137114105</v>
      </c>
      <c r="G122" s="498">
        <f>SUM(G119:G121)</f>
        <v>2727099.4941051216</v>
      </c>
      <c r="H122" s="498">
        <f t="shared" si="177"/>
        <v>6058763.9215279426</v>
      </c>
    </row>
  </sheetData>
  <mergeCells count="6">
    <mergeCell ref="E80:M80"/>
    <mergeCell ref="C9:C10"/>
    <mergeCell ref="C12:C16"/>
    <mergeCell ref="C53:C55"/>
    <mergeCell ref="C17:C21"/>
    <mergeCell ref="C22:C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5E7-8E6C-41BE-936C-CB04FC4B3EC5}">
  <sheetPr codeName="Sheet4">
    <tabColor theme="2" tint="-9.9978637043366805E-2"/>
  </sheetPr>
  <dimension ref="A1:DT181"/>
  <sheetViews>
    <sheetView zoomScaleNormal="100" workbookViewId="0">
      <pane xSplit="1" ySplit="1" topLeftCell="M2" activePane="bottomRight" state="frozen"/>
      <selection pane="bottomRight" activeCell="T16" sqref="T16"/>
      <selection pane="bottomLeft" activeCell="AE3" sqref="AE3"/>
      <selection pane="topRight" activeCell="AE3" sqref="AE3"/>
    </sheetView>
  </sheetViews>
  <sheetFormatPr defaultRowHeight="14.45"/>
  <cols>
    <col min="1" max="1" width="8.7109375" customWidth="1"/>
    <col min="2" max="2" width="6.140625" customWidth="1"/>
    <col min="3" max="3" width="15.140625" style="6" bestFit="1" customWidth="1"/>
    <col min="4" max="5" width="15.140625" style="6" customWidth="1"/>
    <col min="6" max="6" width="10.85546875" style="6" bestFit="1" customWidth="1"/>
    <col min="7" max="7" width="15.140625" style="6" bestFit="1" customWidth="1"/>
    <col min="8" max="9" width="15.140625" style="6" customWidth="1"/>
    <col min="10" max="10" width="10.85546875" style="6" bestFit="1" customWidth="1"/>
    <col min="11" max="11" width="15" style="6" bestFit="1" customWidth="1"/>
    <col min="12" max="13" width="15" style="6" customWidth="1"/>
    <col min="14" max="14" width="11.5703125" style="6" bestFit="1" customWidth="1"/>
    <col min="15" max="15" width="10.85546875" style="6" bestFit="1" customWidth="1"/>
    <col min="16" max="16" width="12.85546875" style="6" bestFit="1" customWidth="1"/>
    <col min="17" max="17" width="13.42578125" style="6" bestFit="1" customWidth="1"/>
    <col min="18" max="18" width="10.85546875" style="6" bestFit="1" customWidth="1"/>
    <col min="19" max="19" width="11.28515625" style="6" bestFit="1" customWidth="1"/>
    <col min="20" max="20" width="9.42578125" style="6" bestFit="1" customWidth="1"/>
    <col min="21" max="21" width="10.85546875" style="6" bestFit="1" customWidth="1"/>
    <col min="22" max="22" width="12.85546875" style="6" bestFit="1" customWidth="1"/>
    <col min="23" max="23" width="10.85546875" bestFit="1" customWidth="1"/>
    <col min="24" max="24" width="15" style="6" customWidth="1"/>
    <col min="25" max="25" width="11.28515625" style="6" bestFit="1" customWidth="1"/>
    <col min="26" max="26" width="10.85546875" style="6" bestFit="1" customWidth="1"/>
    <col min="42" max="42" width="10.28515625" bestFit="1" customWidth="1"/>
    <col min="43" max="45" width="10.140625" customWidth="1"/>
    <col min="46" max="46" width="10.5703125" bestFit="1" customWidth="1"/>
    <col min="47" max="61" width="10.5703125" customWidth="1"/>
    <col min="63" max="63" width="9.140625" style="101"/>
    <col min="81" max="81" width="11.140625" customWidth="1"/>
    <col min="82" max="82" width="8.140625" bestFit="1" customWidth="1"/>
    <col min="83" max="83" width="12.140625" bestFit="1" customWidth="1"/>
    <col min="84" max="84" width="12.140625" customWidth="1"/>
    <col min="85" max="85" width="12.140625" bestFit="1" customWidth="1"/>
    <col min="86" max="99" width="9.85546875" customWidth="1"/>
    <col min="100" max="100" width="9.5703125" bestFit="1" customWidth="1"/>
    <col min="101" max="101" width="12.42578125" bestFit="1" customWidth="1"/>
    <col min="102" max="102" width="14.42578125" bestFit="1" customWidth="1"/>
    <col min="103" max="103" width="10.7109375" bestFit="1" customWidth="1"/>
    <col min="104" max="104" width="15" bestFit="1" customWidth="1"/>
    <col min="105" max="105" width="12.140625" bestFit="1" customWidth="1"/>
    <col min="106" max="106" width="16.42578125" bestFit="1" customWidth="1"/>
    <col min="107" max="107" width="16.28515625" bestFit="1" customWidth="1"/>
    <col min="108" max="108" width="16.42578125" bestFit="1" customWidth="1"/>
    <col min="109" max="109" width="16.28515625" bestFit="1" customWidth="1"/>
    <col min="110" max="110" width="16.42578125" bestFit="1" customWidth="1"/>
    <col min="111" max="111" width="16.28515625" bestFit="1" customWidth="1"/>
    <col min="112" max="112" width="16.42578125" bestFit="1" customWidth="1"/>
    <col min="113" max="113" width="16.28515625" bestFit="1" customWidth="1"/>
    <col min="114" max="114" width="16.42578125" bestFit="1" customWidth="1"/>
    <col min="115" max="115" width="16.28515625" bestFit="1" customWidth="1"/>
    <col min="116" max="116" width="16.42578125" bestFit="1" customWidth="1"/>
    <col min="117" max="117" width="16.28515625" bestFit="1" customWidth="1"/>
    <col min="118" max="118" width="16.42578125" bestFit="1" customWidth="1"/>
    <col min="119" max="119" width="16.28515625" bestFit="1" customWidth="1"/>
  </cols>
  <sheetData>
    <row r="1" spans="1:124">
      <c r="A1" s="1" t="s">
        <v>0</v>
      </c>
      <c r="B1" s="1" t="s">
        <v>1</v>
      </c>
      <c r="C1" s="2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1" t="s">
        <v>22</v>
      </c>
      <c r="X1" s="181" t="s">
        <v>23</v>
      </c>
      <c r="Y1" s="181" t="s">
        <v>24</v>
      </c>
      <c r="Z1" s="5" t="s">
        <v>25</v>
      </c>
      <c r="AA1" t="str">
        <f>""&amp;'Weather Data'!D1</f>
        <v>HDD20</v>
      </c>
      <c r="AB1" t="str">
        <f>""&amp;'Weather Data'!E1</f>
        <v>CDD20</v>
      </c>
      <c r="AC1" t="str">
        <f>""&amp;'Weather Data'!F1</f>
        <v>HDD18</v>
      </c>
      <c r="AD1" t="str">
        <f>""&amp;'Weather Data'!G1</f>
        <v>CDD18</v>
      </c>
      <c r="AE1" t="str">
        <f>""&amp;'Weather Data'!H1</f>
        <v>HDD16</v>
      </c>
      <c r="AF1" t="str">
        <f>""&amp;'Weather Data'!I1</f>
        <v>CDD16</v>
      </c>
      <c r="AG1" t="str">
        <f>""&amp;'Weather Data'!J1</f>
        <v>HDD14</v>
      </c>
      <c r="AH1" t="str">
        <f>""&amp;'Weather Data'!K1</f>
        <v>CDD14</v>
      </c>
      <c r="AI1" t="str">
        <f>""&amp;'Weather Data'!L1</f>
        <v>HDD12</v>
      </c>
      <c r="AJ1" t="str">
        <f>""&amp;'Weather Data'!M1</f>
        <v>CDD12</v>
      </c>
      <c r="AK1" t="str">
        <f>""&amp;'Weather Data'!N1</f>
        <v>HDD10</v>
      </c>
      <c r="AL1" t="str">
        <f>""&amp;'Weather Data'!O1</f>
        <v>CDD10</v>
      </c>
      <c r="AM1" t="str">
        <f>""&amp;'Weather Data'!P1</f>
        <v>HDD8</v>
      </c>
      <c r="AN1" t="str">
        <f>""&amp;'Weather Data'!Q1</f>
        <v>CDD8</v>
      </c>
      <c r="AO1" t="str">
        <f>""&amp;'Weather Data'!R1</f>
        <v>MeanTemp</v>
      </c>
      <c r="AP1" s="68" t="s">
        <v>42</v>
      </c>
      <c r="AQ1" s="68" t="s">
        <v>41</v>
      </c>
      <c r="AR1" s="68" t="s">
        <v>127</v>
      </c>
      <c r="AS1" s="68" t="s">
        <v>43</v>
      </c>
      <c r="AT1" s="68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70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69" t="s">
        <v>85</v>
      </c>
      <c r="CI1" s="69" t="s">
        <v>86</v>
      </c>
      <c r="CJ1" s="69" t="s">
        <v>87</v>
      </c>
      <c r="CK1" s="69" t="s">
        <v>88</v>
      </c>
      <c r="CL1" s="69" t="s">
        <v>89</v>
      </c>
      <c r="CM1" s="69" t="s">
        <v>90</v>
      </c>
      <c r="CN1" s="69" t="s">
        <v>91</v>
      </c>
      <c r="CO1" s="69" t="s">
        <v>92</v>
      </c>
      <c r="CP1" s="69" t="s">
        <v>93</v>
      </c>
      <c r="CQ1" s="69" t="s">
        <v>94</v>
      </c>
      <c r="CR1" s="69" t="s">
        <v>95</v>
      </c>
      <c r="CS1" s="69" t="s">
        <v>96</v>
      </c>
      <c r="CT1" s="69" t="s">
        <v>97</v>
      </c>
      <c r="CU1" s="69" t="s">
        <v>98</v>
      </c>
      <c r="CV1" s="69" t="s">
        <v>99</v>
      </c>
      <c r="CW1" s="69" t="s">
        <v>100</v>
      </c>
      <c r="CX1" s="69" t="s">
        <v>101</v>
      </c>
      <c r="CY1" s="69" t="s">
        <v>102</v>
      </c>
      <c r="CZ1" s="69" t="s">
        <v>103</v>
      </c>
      <c r="DA1" s="69" t="s">
        <v>104</v>
      </c>
      <c r="DB1" t="str">
        <f t="shared" ref="DB1:DO1" si="0">"CWFH_"&amp;RIGHT(AA1,5)</f>
        <v>CWFH_HDD20</v>
      </c>
      <c r="DC1" t="str">
        <f t="shared" si="0"/>
        <v>CWFH_CDD20</v>
      </c>
      <c r="DD1" t="str">
        <f t="shared" si="0"/>
        <v>CWFH_HDD18</v>
      </c>
      <c r="DE1" t="str">
        <f t="shared" si="0"/>
        <v>CWFH_CDD18</v>
      </c>
      <c r="DF1" t="str">
        <f t="shared" si="0"/>
        <v>CWFH_HDD16</v>
      </c>
      <c r="DG1" t="str">
        <f t="shared" si="0"/>
        <v>CWFH_CDD16</v>
      </c>
      <c r="DH1" t="str">
        <f t="shared" si="0"/>
        <v>CWFH_HDD14</v>
      </c>
      <c r="DI1" t="str">
        <f t="shared" si="0"/>
        <v>CWFH_CDD14</v>
      </c>
      <c r="DJ1" t="str">
        <f t="shared" si="0"/>
        <v>CWFH_HDD12</v>
      </c>
      <c r="DK1" t="str">
        <f t="shared" si="0"/>
        <v>CWFH_CDD12</v>
      </c>
      <c r="DL1" t="str">
        <f t="shared" si="0"/>
        <v>CWFH_HDD10</v>
      </c>
      <c r="DM1" t="str">
        <f t="shared" si="0"/>
        <v>CWFH_CDD10</v>
      </c>
      <c r="DN1" t="str">
        <f t="shared" si="0"/>
        <v>CWFH_HDD8</v>
      </c>
      <c r="DO1" t="str">
        <f t="shared" si="0"/>
        <v>CWFH_CDD8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</row>
    <row r="2" spans="1:124">
      <c r="A2" s="3">
        <v>39814</v>
      </c>
      <c r="B2">
        <f t="shared" ref="B2:B49" si="1">YEAR(A2)</f>
        <v>2009</v>
      </c>
      <c r="C2" s="2">
        <v>22882790</v>
      </c>
      <c r="D2" s="225">
        <v>0</v>
      </c>
      <c r="E2" s="5">
        <f>C2+D2</f>
        <v>22882790</v>
      </c>
      <c r="F2" s="5">
        <v>25903</v>
      </c>
      <c r="G2" s="5">
        <v>6161945</v>
      </c>
      <c r="H2" s="225">
        <v>0</v>
      </c>
      <c r="I2" s="5">
        <f>G2+H2</f>
        <v>6161945</v>
      </c>
      <c r="J2" s="220">
        <v>1878</v>
      </c>
      <c r="K2" s="5">
        <v>14205704</v>
      </c>
      <c r="L2" s="225">
        <v>0</v>
      </c>
      <c r="M2" s="5">
        <f t="shared" ref="M2:M33" si="2">K2+L2</f>
        <v>14205704</v>
      </c>
      <c r="N2" s="5">
        <v>36752</v>
      </c>
      <c r="O2" s="5">
        <v>226</v>
      </c>
      <c r="P2" s="5">
        <v>611904</v>
      </c>
      <c r="Q2" s="5">
        <v>1462</v>
      </c>
      <c r="R2" s="5">
        <v>7582</v>
      </c>
      <c r="S2" s="5">
        <v>33568</v>
      </c>
      <c r="T2" s="5">
        <v>74</v>
      </c>
      <c r="U2" s="5">
        <v>174</v>
      </c>
      <c r="V2" s="5">
        <v>129846</v>
      </c>
      <c r="W2" s="1">
        <v>141</v>
      </c>
      <c r="X2" s="5">
        <v>4183868</v>
      </c>
      <c r="Y2" s="181">
        <v>8756</v>
      </c>
      <c r="Z2" s="5">
        <v>6</v>
      </c>
      <c r="AA2" s="100">
        <f>'Weather Data'!D98</f>
        <v>861.0999999999998</v>
      </c>
      <c r="AB2" s="100">
        <f>'Weather Data'!E98</f>
        <v>0</v>
      </c>
      <c r="AC2" s="100">
        <f>'Weather Data'!F98</f>
        <v>799.0999999999998</v>
      </c>
      <c r="AD2" s="100">
        <f>'Weather Data'!G98</f>
        <v>0</v>
      </c>
      <c r="AE2" s="100">
        <f>'Weather Data'!H98</f>
        <v>737.0999999999998</v>
      </c>
      <c r="AF2" s="100">
        <f>'Weather Data'!I98</f>
        <v>0</v>
      </c>
      <c r="AG2" s="100">
        <f>'Weather Data'!J98</f>
        <v>675.0999999999998</v>
      </c>
      <c r="AH2" s="100">
        <f>'Weather Data'!K98</f>
        <v>0</v>
      </c>
      <c r="AI2" s="100">
        <f>'Weather Data'!L98</f>
        <v>613.09999999999991</v>
      </c>
      <c r="AJ2" s="100">
        <f>'Weather Data'!M98</f>
        <v>0</v>
      </c>
      <c r="AK2" s="100">
        <f>'Weather Data'!N98</f>
        <v>551.1</v>
      </c>
      <c r="AL2" s="100">
        <f>'Weather Data'!O98</f>
        <v>0</v>
      </c>
      <c r="AM2" s="100">
        <f>'Weather Data'!P98</f>
        <v>489.09999999999997</v>
      </c>
      <c r="AN2" s="100">
        <f>'Weather Data'!Q98</f>
        <v>0</v>
      </c>
      <c r="AO2" s="100">
        <f>'Weather Data'!R98</f>
        <v>-7.7774193548387114</v>
      </c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70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</row>
    <row r="3" spans="1:124">
      <c r="A3" s="3">
        <v>39845</v>
      </c>
      <c r="B3">
        <f t="shared" si="1"/>
        <v>2009</v>
      </c>
      <c r="C3" s="2">
        <v>19102195</v>
      </c>
      <c r="D3" s="225">
        <v>0</v>
      </c>
      <c r="E3" s="5">
        <f t="shared" ref="E3:E49" si="3">C3+D3</f>
        <v>19102195</v>
      </c>
      <c r="F3" s="5">
        <v>25877</v>
      </c>
      <c r="G3" s="5">
        <v>5512592</v>
      </c>
      <c r="H3" s="225">
        <v>0</v>
      </c>
      <c r="I3" s="5">
        <f t="shared" ref="I3:I49" si="4">G3+H3</f>
        <v>5512592</v>
      </c>
      <c r="J3" s="220">
        <v>1869</v>
      </c>
      <c r="K3" s="5">
        <v>12667057</v>
      </c>
      <c r="L3" s="225">
        <v>0</v>
      </c>
      <c r="M3" s="5">
        <f t="shared" si="2"/>
        <v>12667057</v>
      </c>
      <c r="N3" s="5">
        <v>34023</v>
      </c>
      <c r="O3" s="5">
        <v>238</v>
      </c>
      <c r="P3" s="5">
        <v>552560</v>
      </c>
      <c r="Q3" s="5">
        <v>1462</v>
      </c>
      <c r="R3" s="5">
        <v>7583</v>
      </c>
      <c r="S3" s="5">
        <v>34393</v>
      </c>
      <c r="T3" s="5">
        <v>74</v>
      </c>
      <c r="U3" s="5">
        <v>174</v>
      </c>
      <c r="V3" s="5">
        <v>129846</v>
      </c>
      <c r="W3" s="1">
        <v>141</v>
      </c>
      <c r="X3" s="5">
        <v>3596867</v>
      </c>
      <c r="Y3" s="181">
        <v>8283</v>
      </c>
      <c r="Z3" s="5">
        <v>6</v>
      </c>
      <c r="AA3" s="100">
        <f>'Weather Data'!D99</f>
        <v>608.89999999999986</v>
      </c>
      <c r="AB3" s="100">
        <f>'Weather Data'!E99</f>
        <v>0</v>
      </c>
      <c r="AC3" s="100">
        <f>'Weather Data'!F99</f>
        <v>552.9</v>
      </c>
      <c r="AD3" s="100">
        <f>'Weather Data'!G99</f>
        <v>0</v>
      </c>
      <c r="AE3" s="100">
        <f>'Weather Data'!H99</f>
        <v>496.90000000000003</v>
      </c>
      <c r="AF3" s="100">
        <f>'Weather Data'!I99</f>
        <v>0</v>
      </c>
      <c r="AG3" s="100">
        <f>'Weather Data'!J99</f>
        <v>440.9</v>
      </c>
      <c r="AH3" s="100">
        <f>'Weather Data'!K99</f>
        <v>0</v>
      </c>
      <c r="AI3" s="100">
        <f>'Weather Data'!L99</f>
        <v>384.90000000000003</v>
      </c>
      <c r="AJ3" s="100">
        <f>'Weather Data'!M99</f>
        <v>0</v>
      </c>
      <c r="AK3" s="100">
        <f>'Weather Data'!N99</f>
        <v>328.9</v>
      </c>
      <c r="AL3" s="100">
        <f>'Weather Data'!O99</f>
        <v>0</v>
      </c>
      <c r="AM3" s="100">
        <f>'Weather Data'!P99</f>
        <v>274.60000000000002</v>
      </c>
      <c r="AN3" s="100">
        <f>'Weather Data'!Q99</f>
        <v>1.6999999999999993</v>
      </c>
      <c r="AO3" s="100">
        <f>'Weather Data'!R99</f>
        <v>-1.7464285714285712</v>
      </c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70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</row>
    <row r="4" spans="1:124">
      <c r="A4" s="3">
        <v>39873</v>
      </c>
      <c r="B4">
        <f t="shared" si="1"/>
        <v>2009</v>
      </c>
      <c r="C4" s="2">
        <v>18968326</v>
      </c>
      <c r="D4" s="225">
        <v>0</v>
      </c>
      <c r="E4" s="5">
        <f t="shared" si="3"/>
        <v>18968326</v>
      </c>
      <c r="F4" s="5">
        <v>25892</v>
      </c>
      <c r="G4" s="5">
        <v>5659381</v>
      </c>
      <c r="H4" s="225">
        <v>0</v>
      </c>
      <c r="I4" s="5">
        <f t="shared" si="4"/>
        <v>5659381</v>
      </c>
      <c r="J4" s="220">
        <v>1877</v>
      </c>
      <c r="K4" s="5">
        <v>13381421</v>
      </c>
      <c r="L4" s="225">
        <v>0</v>
      </c>
      <c r="M4" s="5">
        <f t="shared" si="2"/>
        <v>13381421</v>
      </c>
      <c r="N4" s="5">
        <v>33527</v>
      </c>
      <c r="O4" s="5">
        <v>214</v>
      </c>
      <c r="P4" s="5">
        <v>515832</v>
      </c>
      <c r="Q4" s="5">
        <v>1465</v>
      </c>
      <c r="R4" s="5">
        <v>7605</v>
      </c>
      <c r="S4" s="5">
        <v>33433</v>
      </c>
      <c r="T4" s="5">
        <v>74</v>
      </c>
      <c r="U4" s="5">
        <v>174</v>
      </c>
      <c r="V4" s="5">
        <v>129846</v>
      </c>
      <c r="W4" s="1">
        <v>141</v>
      </c>
      <c r="X4" s="5">
        <v>4022163</v>
      </c>
      <c r="Y4" s="181">
        <v>8682</v>
      </c>
      <c r="Z4" s="5">
        <v>6</v>
      </c>
      <c r="AA4" s="100">
        <f>'Weather Data'!D100</f>
        <v>525.80000000000018</v>
      </c>
      <c r="AB4" s="100">
        <f>'Weather Data'!E100</f>
        <v>0</v>
      </c>
      <c r="AC4" s="100">
        <f>'Weather Data'!F100</f>
        <v>463.80000000000007</v>
      </c>
      <c r="AD4" s="100">
        <f>'Weather Data'!G100</f>
        <v>0</v>
      </c>
      <c r="AE4" s="100">
        <f>'Weather Data'!H100</f>
        <v>401.8</v>
      </c>
      <c r="AF4" s="100">
        <f>'Weather Data'!I100</f>
        <v>0</v>
      </c>
      <c r="AG4" s="100">
        <f>'Weather Data'!J100</f>
        <v>339.8</v>
      </c>
      <c r="AH4" s="100">
        <f>'Weather Data'!K100</f>
        <v>0</v>
      </c>
      <c r="AI4" s="100">
        <f>'Weather Data'!L100</f>
        <v>277.7999999999999</v>
      </c>
      <c r="AJ4" s="100">
        <f>'Weather Data'!M100</f>
        <v>0</v>
      </c>
      <c r="AK4" s="100">
        <f>'Weather Data'!N100</f>
        <v>217.69999999999993</v>
      </c>
      <c r="AL4" s="100">
        <f>'Weather Data'!O100</f>
        <v>1.8999999999999986</v>
      </c>
      <c r="AM4" s="100">
        <f>'Weather Data'!P100</f>
        <v>162.39999999999998</v>
      </c>
      <c r="AN4" s="100">
        <f>'Weather Data'!Q100</f>
        <v>8.6</v>
      </c>
      <c r="AO4" s="100">
        <f>'Weather Data'!R100</f>
        <v>3.0387096774193547</v>
      </c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70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</row>
    <row r="5" spans="1:124">
      <c r="A5" s="3">
        <v>39904</v>
      </c>
      <c r="B5">
        <f t="shared" si="1"/>
        <v>2009</v>
      </c>
      <c r="C5" s="2">
        <v>16932455</v>
      </c>
      <c r="D5" s="225">
        <v>0</v>
      </c>
      <c r="E5" s="5">
        <f t="shared" si="3"/>
        <v>16932455</v>
      </c>
      <c r="F5" s="5">
        <v>25952</v>
      </c>
      <c r="G5" s="5">
        <v>5147101</v>
      </c>
      <c r="H5" s="225">
        <v>0</v>
      </c>
      <c r="I5" s="5">
        <f t="shared" si="4"/>
        <v>5147101</v>
      </c>
      <c r="J5" s="220">
        <v>1876</v>
      </c>
      <c r="K5" s="5">
        <v>12233956</v>
      </c>
      <c r="L5" s="225">
        <v>0</v>
      </c>
      <c r="M5" s="5">
        <f t="shared" si="2"/>
        <v>12233956</v>
      </c>
      <c r="N5" s="5">
        <v>33624</v>
      </c>
      <c r="O5" s="5">
        <v>217</v>
      </c>
      <c r="P5" s="5">
        <v>432795</v>
      </c>
      <c r="Q5" s="5">
        <v>1465</v>
      </c>
      <c r="R5" s="5">
        <v>7605</v>
      </c>
      <c r="S5" s="5">
        <v>33697</v>
      </c>
      <c r="T5" s="5">
        <v>74</v>
      </c>
      <c r="U5" s="5">
        <v>174</v>
      </c>
      <c r="V5" s="5">
        <v>129846</v>
      </c>
      <c r="W5" s="1">
        <v>141</v>
      </c>
      <c r="X5" s="5">
        <v>3483280</v>
      </c>
      <c r="Y5" s="181">
        <v>7997</v>
      </c>
      <c r="Z5" s="5">
        <v>6</v>
      </c>
      <c r="AA5" s="100">
        <f>'Weather Data'!D101</f>
        <v>316.7</v>
      </c>
      <c r="AB5" s="100">
        <f>'Weather Data'!E101</f>
        <v>4.3999999999999986</v>
      </c>
      <c r="AC5" s="100">
        <f>'Weather Data'!F101</f>
        <v>263.39999999999992</v>
      </c>
      <c r="AD5" s="100">
        <f>'Weather Data'!G101</f>
        <v>11.099999999999998</v>
      </c>
      <c r="AE5" s="100">
        <f>'Weather Data'!H101</f>
        <v>212.2</v>
      </c>
      <c r="AF5" s="100">
        <f>'Weather Data'!I101</f>
        <v>19.899999999999999</v>
      </c>
      <c r="AG5" s="100">
        <f>'Weather Data'!J101</f>
        <v>162.99999999999997</v>
      </c>
      <c r="AH5" s="100">
        <f>'Weather Data'!K101</f>
        <v>30.7</v>
      </c>
      <c r="AI5" s="100">
        <f>'Weather Data'!L101</f>
        <v>116.5</v>
      </c>
      <c r="AJ5" s="100">
        <f>'Weather Data'!M101</f>
        <v>44.2</v>
      </c>
      <c r="AK5" s="100">
        <f>'Weather Data'!N101</f>
        <v>74.499999999999986</v>
      </c>
      <c r="AL5" s="100">
        <f>'Weather Data'!O101</f>
        <v>62.2</v>
      </c>
      <c r="AM5" s="100">
        <f>'Weather Data'!P101</f>
        <v>39.900000000000006</v>
      </c>
      <c r="AN5" s="100">
        <f>'Weather Data'!Q101</f>
        <v>87.6</v>
      </c>
      <c r="AO5" s="100">
        <f>'Weather Data'!R101</f>
        <v>9.5900000000000016</v>
      </c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70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</row>
    <row r="6" spans="1:124">
      <c r="A6" s="3">
        <v>39934</v>
      </c>
      <c r="B6">
        <f t="shared" si="1"/>
        <v>2009</v>
      </c>
      <c r="C6" s="2">
        <v>17320560</v>
      </c>
      <c r="D6" s="225">
        <v>0</v>
      </c>
      <c r="E6" s="5">
        <f t="shared" si="3"/>
        <v>17320560</v>
      </c>
      <c r="F6" s="5">
        <v>25978</v>
      </c>
      <c r="G6" s="5">
        <v>5340105</v>
      </c>
      <c r="H6" s="225">
        <v>0</v>
      </c>
      <c r="I6" s="5">
        <f t="shared" si="4"/>
        <v>5340105</v>
      </c>
      <c r="J6" s="220">
        <v>1878</v>
      </c>
      <c r="K6" s="5">
        <v>12552707</v>
      </c>
      <c r="L6" s="225">
        <v>0</v>
      </c>
      <c r="M6" s="5">
        <f t="shared" si="2"/>
        <v>12552707</v>
      </c>
      <c r="N6" s="5">
        <v>34011</v>
      </c>
      <c r="O6" s="5">
        <v>212</v>
      </c>
      <c r="P6" s="5">
        <v>389616</v>
      </c>
      <c r="Q6" s="5">
        <v>1465</v>
      </c>
      <c r="R6" s="5">
        <v>7605</v>
      </c>
      <c r="S6" s="5">
        <v>33333</v>
      </c>
      <c r="T6" s="5">
        <v>74</v>
      </c>
      <c r="U6" s="5">
        <v>174</v>
      </c>
      <c r="V6" s="5">
        <v>129546</v>
      </c>
      <c r="W6" s="1">
        <v>140</v>
      </c>
      <c r="X6" s="5">
        <v>3184772</v>
      </c>
      <c r="Y6" s="181">
        <v>7393</v>
      </c>
      <c r="Z6" s="5">
        <v>7</v>
      </c>
      <c r="AA6" s="100">
        <f>'Weather Data'!D102</f>
        <v>128.29999999999998</v>
      </c>
      <c r="AB6" s="100">
        <f>'Weather Data'!E102</f>
        <v>5.3000000000000043</v>
      </c>
      <c r="AC6" s="100">
        <f>'Weather Data'!F102</f>
        <v>75.8</v>
      </c>
      <c r="AD6" s="100">
        <f>'Weather Data'!G102</f>
        <v>14.800000000000004</v>
      </c>
      <c r="AE6" s="100">
        <f>'Weather Data'!H102</f>
        <v>35.9</v>
      </c>
      <c r="AF6" s="100">
        <f>'Weather Data'!I102</f>
        <v>36.900000000000006</v>
      </c>
      <c r="AG6" s="100">
        <f>'Weather Data'!J102</f>
        <v>11.099999999999998</v>
      </c>
      <c r="AH6" s="100">
        <f>'Weather Data'!K102</f>
        <v>74.100000000000023</v>
      </c>
      <c r="AI6" s="100">
        <f>'Weather Data'!L102</f>
        <v>1.7999999999999989</v>
      </c>
      <c r="AJ6" s="100">
        <f>'Weather Data'!M102</f>
        <v>126.80000000000001</v>
      </c>
      <c r="AK6" s="100">
        <f>'Weather Data'!N102</f>
        <v>0</v>
      </c>
      <c r="AL6" s="100">
        <f>'Weather Data'!O102</f>
        <v>186.99999999999997</v>
      </c>
      <c r="AM6" s="100">
        <f>'Weather Data'!P102</f>
        <v>0</v>
      </c>
      <c r="AN6" s="100">
        <f>'Weather Data'!Q102</f>
        <v>248.99999999999997</v>
      </c>
      <c r="AO6" s="100">
        <f>'Weather Data'!R102</f>
        <v>16.032258064516132</v>
      </c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70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</row>
    <row r="7" spans="1:124">
      <c r="A7" s="3">
        <v>39965</v>
      </c>
      <c r="B7">
        <f t="shared" si="1"/>
        <v>2009</v>
      </c>
      <c r="C7" s="2">
        <v>21202856</v>
      </c>
      <c r="D7" s="225">
        <v>0</v>
      </c>
      <c r="E7" s="5">
        <f t="shared" si="3"/>
        <v>21202856</v>
      </c>
      <c r="F7" s="5">
        <v>25987</v>
      </c>
      <c r="G7" s="5">
        <v>5644671</v>
      </c>
      <c r="H7" s="225">
        <v>0</v>
      </c>
      <c r="I7" s="5">
        <f t="shared" si="4"/>
        <v>5644671</v>
      </c>
      <c r="J7" s="220">
        <v>1876</v>
      </c>
      <c r="K7" s="5">
        <v>13522337</v>
      </c>
      <c r="L7" s="225">
        <v>0</v>
      </c>
      <c r="M7" s="5">
        <f t="shared" si="2"/>
        <v>13522337</v>
      </c>
      <c r="N7" s="5">
        <v>39991</v>
      </c>
      <c r="O7" s="5">
        <v>222</v>
      </c>
      <c r="P7" s="5">
        <v>343747</v>
      </c>
      <c r="Q7" s="5">
        <v>1469</v>
      </c>
      <c r="R7" s="5">
        <v>7638</v>
      </c>
      <c r="S7" s="5">
        <v>33289</v>
      </c>
      <c r="T7" s="5">
        <v>74</v>
      </c>
      <c r="U7" s="5">
        <v>174</v>
      </c>
      <c r="V7" s="5">
        <v>129546</v>
      </c>
      <c r="W7" s="1">
        <v>140</v>
      </c>
      <c r="X7" s="5">
        <v>3784645</v>
      </c>
      <c r="Y7" s="181">
        <v>11211</v>
      </c>
      <c r="Z7" s="5">
        <v>7</v>
      </c>
      <c r="AA7" s="100">
        <f>'Weather Data'!D103</f>
        <v>53.000000000000007</v>
      </c>
      <c r="AB7" s="100">
        <f>'Weather Data'!E103</f>
        <v>37.799999999999997</v>
      </c>
      <c r="AC7" s="100">
        <f>'Weather Data'!F103</f>
        <v>25.300000000000004</v>
      </c>
      <c r="AD7" s="100">
        <f>'Weather Data'!G103</f>
        <v>70.099999999999994</v>
      </c>
      <c r="AE7" s="100">
        <f>'Weather Data'!H103</f>
        <v>10.5</v>
      </c>
      <c r="AF7" s="100">
        <f>'Weather Data'!I103</f>
        <v>115.30000000000001</v>
      </c>
      <c r="AG7" s="100">
        <f>'Weather Data'!J103</f>
        <v>3.6999999999999993</v>
      </c>
      <c r="AH7" s="100">
        <f>'Weather Data'!K103</f>
        <v>168.5</v>
      </c>
      <c r="AI7" s="100">
        <f>'Weather Data'!L103</f>
        <v>0</v>
      </c>
      <c r="AJ7" s="100">
        <f>'Weather Data'!M103</f>
        <v>224.79999999999998</v>
      </c>
      <c r="AK7" s="100">
        <f>'Weather Data'!N103</f>
        <v>0</v>
      </c>
      <c r="AL7" s="100">
        <f>'Weather Data'!O103</f>
        <v>284.8</v>
      </c>
      <c r="AM7" s="100">
        <f>'Weather Data'!P103</f>
        <v>0</v>
      </c>
      <c r="AN7" s="100">
        <f>'Weather Data'!Q103</f>
        <v>344.80000000000007</v>
      </c>
      <c r="AO7" s="100">
        <f>'Weather Data'!R103</f>
        <v>19.493333333333336</v>
      </c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70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</row>
    <row r="8" spans="1:124">
      <c r="A8" s="3">
        <v>39995</v>
      </c>
      <c r="B8">
        <f t="shared" si="1"/>
        <v>2009</v>
      </c>
      <c r="C8" s="2">
        <v>25716679</v>
      </c>
      <c r="D8" s="225">
        <v>0</v>
      </c>
      <c r="E8" s="5">
        <f t="shared" si="3"/>
        <v>25716679</v>
      </c>
      <c r="F8" s="5">
        <v>25968</v>
      </c>
      <c r="G8" s="5">
        <v>6181680</v>
      </c>
      <c r="H8" s="225">
        <v>0</v>
      </c>
      <c r="I8" s="5">
        <f t="shared" si="4"/>
        <v>6181680</v>
      </c>
      <c r="J8" s="220">
        <v>1858</v>
      </c>
      <c r="K8" s="5">
        <v>15465664</v>
      </c>
      <c r="L8" s="225">
        <v>0</v>
      </c>
      <c r="M8" s="5">
        <f t="shared" si="2"/>
        <v>15465664</v>
      </c>
      <c r="N8" s="5">
        <v>40363</v>
      </c>
      <c r="O8" s="5">
        <v>220</v>
      </c>
      <c r="P8" s="5">
        <v>363643</v>
      </c>
      <c r="Q8" s="5">
        <v>1469</v>
      </c>
      <c r="R8" s="5">
        <v>7638</v>
      </c>
      <c r="S8" s="5">
        <v>33479</v>
      </c>
      <c r="T8" s="5">
        <v>74</v>
      </c>
      <c r="U8" s="5">
        <v>174</v>
      </c>
      <c r="V8" s="5">
        <v>129546</v>
      </c>
      <c r="W8" s="1">
        <v>140</v>
      </c>
      <c r="X8" s="5">
        <v>4303434</v>
      </c>
      <c r="Y8" s="181">
        <v>10797</v>
      </c>
      <c r="Z8" s="5">
        <v>7</v>
      </c>
      <c r="AA8" s="100">
        <f>'Weather Data'!D104</f>
        <v>13.8</v>
      </c>
      <c r="AB8" s="100">
        <f>'Weather Data'!E104</f>
        <v>38.400000000000006</v>
      </c>
      <c r="AC8" s="100">
        <f>'Weather Data'!F104</f>
        <v>1.4000000000000021</v>
      </c>
      <c r="AD8" s="100">
        <f>'Weather Data'!G104</f>
        <v>87.999999999999986</v>
      </c>
      <c r="AE8" s="100">
        <f>'Weather Data'!H104</f>
        <v>0</v>
      </c>
      <c r="AF8" s="100">
        <f>'Weather Data'!I104</f>
        <v>148.60000000000002</v>
      </c>
      <c r="AG8" s="100">
        <f>'Weather Data'!J104</f>
        <v>0</v>
      </c>
      <c r="AH8" s="100">
        <f>'Weather Data'!K104</f>
        <v>210.60000000000002</v>
      </c>
      <c r="AI8" s="100">
        <f>'Weather Data'!L104</f>
        <v>0</v>
      </c>
      <c r="AJ8" s="100">
        <f>'Weather Data'!M104</f>
        <v>272.60000000000002</v>
      </c>
      <c r="AK8" s="100">
        <f>'Weather Data'!N104</f>
        <v>0</v>
      </c>
      <c r="AL8" s="100">
        <f>'Weather Data'!O104</f>
        <v>334.59999999999997</v>
      </c>
      <c r="AM8" s="100">
        <f>'Weather Data'!P104</f>
        <v>0</v>
      </c>
      <c r="AN8" s="100">
        <f>'Weather Data'!Q104</f>
        <v>396.59999999999997</v>
      </c>
      <c r="AO8" s="100">
        <f>'Weather Data'!R104</f>
        <v>20.79354838709677</v>
      </c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70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</row>
    <row r="9" spans="1:124">
      <c r="A9" s="3">
        <v>40026</v>
      </c>
      <c r="B9">
        <f t="shared" si="1"/>
        <v>2009</v>
      </c>
      <c r="C9" s="2">
        <v>27425636</v>
      </c>
      <c r="D9" s="225">
        <v>0</v>
      </c>
      <c r="E9" s="5">
        <f t="shared" si="3"/>
        <v>27425636</v>
      </c>
      <c r="F9" s="5">
        <v>25983</v>
      </c>
      <c r="G9" s="5">
        <v>6242209</v>
      </c>
      <c r="H9" s="225">
        <v>0</v>
      </c>
      <c r="I9" s="5">
        <f t="shared" si="4"/>
        <v>6242209</v>
      </c>
      <c r="J9" s="220">
        <v>1863</v>
      </c>
      <c r="K9" s="5">
        <v>16317842</v>
      </c>
      <c r="L9" s="225">
        <v>0</v>
      </c>
      <c r="M9" s="5">
        <f t="shared" si="2"/>
        <v>16317842</v>
      </c>
      <c r="N9" s="5">
        <v>44094</v>
      </c>
      <c r="O9" s="5">
        <v>232</v>
      </c>
      <c r="P9" s="5">
        <v>407406</v>
      </c>
      <c r="Q9" s="5">
        <v>1471</v>
      </c>
      <c r="R9" s="5">
        <v>7654</v>
      </c>
      <c r="S9" s="5">
        <v>32956</v>
      </c>
      <c r="T9" s="5">
        <v>74</v>
      </c>
      <c r="U9" s="5">
        <v>174</v>
      </c>
      <c r="V9" s="5">
        <v>129546</v>
      </c>
      <c r="W9" s="1">
        <v>140</v>
      </c>
      <c r="X9" s="5">
        <v>3566484</v>
      </c>
      <c r="Y9" s="181">
        <v>12252</v>
      </c>
      <c r="Z9" s="5">
        <v>7</v>
      </c>
      <c r="AA9" s="100">
        <f>'Weather Data'!D105</f>
        <v>21</v>
      </c>
      <c r="AB9" s="100">
        <f>'Weather Data'!E105</f>
        <v>76.599999999999994</v>
      </c>
      <c r="AC9" s="100">
        <f>'Weather Data'!F105</f>
        <v>6.6999999999999993</v>
      </c>
      <c r="AD9" s="100">
        <f>'Weather Data'!G105</f>
        <v>124.30000000000003</v>
      </c>
      <c r="AE9" s="100">
        <f>'Weather Data'!H105</f>
        <v>1.1999999999999993</v>
      </c>
      <c r="AF9" s="100">
        <f>'Weather Data'!I105</f>
        <v>180.79999999999998</v>
      </c>
      <c r="AG9" s="100">
        <f>'Weather Data'!J105</f>
        <v>0</v>
      </c>
      <c r="AH9" s="100">
        <f>'Weather Data'!K105</f>
        <v>241.6</v>
      </c>
      <c r="AI9" s="100">
        <f>'Weather Data'!L105</f>
        <v>0</v>
      </c>
      <c r="AJ9" s="100">
        <f>'Weather Data'!M105</f>
        <v>303.59999999999991</v>
      </c>
      <c r="AK9" s="100">
        <f>'Weather Data'!N105</f>
        <v>0</v>
      </c>
      <c r="AL9" s="100">
        <f>'Weather Data'!O105</f>
        <v>365.59999999999997</v>
      </c>
      <c r="AM9" s="100">
        <f>'Weather Data'!P105</f>
        <v>0</v>
      </c>
      <c r="AN9" s="100">
        <f>'Weather Data'!Q105</f>
        <v>427.59999999999991</v>
      </c>
      <c r="AO9" s="100">
        <f>'Weather Data'!R105</f>
        <v>21.793548387096774</v>
      </c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70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</row>
    <row r="10" spans="1:124">
      <c r="A10" s="3">
        <v>40057</v>
      </c>
      <c r="B10">
        <f t="shared" si="1"/>
        <v>2009</v>
      </c>
      <c r="C10" s="2">
        <v>20684614</v>
      </c>
      <c r="D10" s="225">
        <v>0</v>
      </c>
      <c r="E10" s="5">
        <f t="shared" si="3"/>
        <v>20684614</v>
      </c>
      <c r="F10" s="5">
        <v>25989</v>
      </c>
      <c r="G10" s="5">
        <v>5572266</v>
      </c>
      <c r="H10" s="225">
        <v>0</v>
      </c>
      <c r="I10" s="5">
        <f t="shared" si="4"/>
        <v>5572266</v>
      </c>
      <c r="J10" s="220">
        <v>1861</v>
      </c>
      <c r="K10" s="5">
        <v>16518553</v>
      </c>
      <c r="L10" s="225">
        <v>0</v>
      </c>
      <c r="M10" s="5">
        <f t="shared" si="2"/>
        <v>16518553</v>
      </c>
      <c r="N10" s="5">
        <v>41677</v>
      </c>
      <c r="O10" s="5">
        <v>224</v>
      </c>
      <c r="P10" s="5">
        <v>458942</v>
      </c>
      <c r="Q10" s="5">
        <v>1471</v>
      </c>
      <c r="R10" s="5">
        <v>7674</v>
      </c>
      <c r="S10" s="5">
        <v>33859</v>
      </c>
      <c r="T10" s="5">
        <v>74</v>
      </c>
      <c r="U10" s="5">
        <v>174</v>
      </c>
      <c r="V10" s="5">
        <v>128898</v>
      </c>
      <c r="W10" s="1">
        <v>138</v>
      </c>
      <c r="X10" s="5">
        <v>2721768</v>
      </c>
      <c r="Y10" s="181">
        <v>9906</v>
      </c>
      <c r="Z10" s="5">
        <v>7</v>
      </c>
      <c r="AA10" s="100">
        <f>'Weather Data'!D106</f>
        <v>59.800000000000004</v>
      </c>
      <c r="AB10" s="100">
        <f>'Weather Data'!E106</f>
        <v>19.299999999999997</v>
      </c>
      <c r="AC10" s="100">
        <f>'Weather Data'!F106</f>
        <v>28</v>
      </c>
      <c r="AD10" s="100">
        <f>'Weather Data'!G106</f>
        <v>47.499999999999986</v>
      </c>
      <c r="AE10" s="100">
        <f>'Weather Data'!H106</f>
        <v>12.899999999999999</v>
      </c>
      <c r="AF10" s="100">
        <f>'Weather Data'!I106</f>
        <v>92.399999999999991</v>
      </c>
      <c r="AG10" s="100">
        <f>'Weather Data'!J106</f>
        <v>5.6999999999999993</v>
      </c>
      <c r="AH10" s="100">
        <f>'Weather Data'!K106</f>
        <v>145.20000000000002</v>
      </c>
      <c r="AI10" s="100">
        <f>'Weather Data'!L106</f>
        <v>2.0999999999999996</v>
      </c>
      <c r="AJ10" s="100">
        <f>'Weather Data'!M106</f>
        <v>201.60000000000002</v>
      </c>
      <c r="AK10" s="100">
        <f>'Weather Data'!N106</f>
        <v>9.9999999999999645E-2</v>
      </c>
      <c r="AL10" s="100">
        <f>'Weather Data'!O106</f>
        <v>259.59999999999997</v>
      </c>
      <c r="AM10" s="100">
        <f>'Weather Data'!P106</f>
        <v>0</v>
      </c>
      <c r="AN10" s="100">
        <f>'Weather Data'!Q106</f>
        <v>319.49999999999994</v>
      </c>
      <c r="AO10" s="100">
        <f>'Weather Data'!R106</f>
        <v>18.649999999999995</v>
      </c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70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</row>
    <row r="11" spans="1:124">
      <c r="A11" s="3">
        <v>40087</v>
      </c>
      <c r="B11">
        <f t="shared" si="1"/>
        <v>2009</v>
      </c>
      <c r="C11" s="2">
        <v>18011355</v>
      </c>
      <c r="D11" s="225">
        <v>0</v>
      </c>
      <c r="E11" s="5">
        <f t="shared" si="3"/>
        <v>18011355</v>
      </c>
      <c r="F11" s="5">
        <v>26007</v>
      </c>
      <c r="G11" s="5">
        <v>5167044</v>
      </c>
      <c r="H11" s="225">
        <v>0</v>
      </c>
      <c r="I11" s="5">
        <f t="shared" si="4"/>
        <v>5167044</v>
      </c>
      <c r="J11" s="220">
        <v>1863</v>
      </c>
      <c r="K11" s="5">
        <v>14805842</v>
      </c>
      <c r="L11" s="225">
        <v>0</v>
      </c>
      <c r="M11" s="5">
        <f t="shared" si="2"/>
        <v>14805842</v>
      </c>
      <c r="N11" s="5">
        <v>36846</v>
      </c>
      <c r="O11" s="5">
        <v>214</v>
      </c>
      <c r="P11" s="5">
        <v>542756</v>
      </c>
      <c r="Q11" s="5">
        <v>1471</v>
      </c>
      <c r="R11" s="5">
        <v>7674</v>
      </c>
      <c r="S11" s="5">
        <v>33331</v>
      </c>
      <c r="T11" s="5">
        <v>74</v>
      </c>
      <c r="U11" s="5">
        <v>174</v>
      </c>
      <c r="V11" s="5">
        <v>128898</v>
      </c>
      <c r="W11" s="1">
        <v>138</v>
      </c>
      <c r="X11" s="5">
        <v>3691303</v>
      </c>
      <c r="Y11" s="181">
        <v>8168</v>
      </c>
      <c r="Z11" s="5">
        <v>7</v>
      </c>
      <c r="AA11" s="100">
        <f>'Weather Data'!D107</f>
        <v>309.59999999999991</v>
      </c>
      <c r="AB11" s="100">
        <f>'Weather Data'!E107</f>
        <v>0</v>
      </c>
      <c r="AC11" s="100">
        <f>'Weather Data'!F107</f>
        <v>247.60000000000002</v>
      </c>
      <c r="AD11" s="100">
        <f>'Weather Data'!G107</f>
        <v>0</v>
      </c>
      <c r="AE11" s="100">
        <f>'Weather Data'!H107</f>
        <v>186.3</v>
      </c>
      <c r="AF11" s="100">
        <f>'Weather Data'!I107</f>
        <v>0.69999999999999929</v>
      </c>
      <c r="AG11" s="100">
        <f>'Weather Data'!J107</f>
        <v>128.30000000000001</v>
      </c>
      <c r="AH11" s="100">
        <f>'Weather Data'!K107</f>
        <v>4.6999999999999993</v>
      </c>
      <c r="AI11" s="100">
        <f>'Weather Data'!L107</f>
        <v>74.700000000000017</v>
      </c>
      <c r="AJ11" s="100">
        <f>'Weather Data'!M107</f>
        <v>13.1</v>
      </c>
      <c r="AK11" s="100">
        <f>'Weather Data'!N107</f>
        <v>39.400000000000006</v>
      </c>
      <c r="AL11" s="100">
        <f>'Weather Data'!O107</f>
        <v>39.799999999999997</v>
      </c>
      <c r="AM11" s="100">
        <f>'Weather Data'!P107</f>
        <v>19.899999999999999</v>
      </c>
      <c r="AN11" s="100">
        <f>'Weather Data'!Q107</f>
        <v>82.3</v>
      </c>
      <c r="AO11" s="100">
        <f>'Weather Data'!R107</f>
        <v>10.012903225806452</v>
      </c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70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</row>
    <row r="12" spans="1:124">
      <c r="A12" s="3">
        <v>40118</v>
      </c>
      <c r="B12">
        <f t="shared" si="1"/>
        <v>2009</v>
      </c>
      <c r="C12" s="2">
        <v>18003856</v>
      </c>
      <c r="D12" s="225">
        <v>0</v>
      </c>
      <c r="E12" s="5">
        <f t="shared" si="3"/>
        <v>18003856</v>
      </c>
      <c r="F12" s="5">
        <v>26005</v>
      </c>
      <c r="G12" s="5">
        <v>5112549</v>
      </c>
      <c r="H12" s="225">
        <v>0</v>
      </c>
      <c r="I12" s="5">
        <f t="shared" si="4"/>
        <v>5112549</v>
      </c>
      <c r="J12" s="220">
        <v>1870</v>
      </c>
      <c r="K12" s="5">
        <v>13894239</v>
      </c>
      <c r="L12" s="225">
        <v>0</v>
      </c>
      <c r="M12" s="5">
        <f t="shared" si="2"/>
        <v>13894239</v>
      </c>
      <c r="N12" s="5">
        <v>38415</v>
      </c>
      <c r="O12" s="5">
        <v>236</v>
      </c>
      <c r="P12" s="5">
        <v>570710</v>
      </c>
      <c r="Q12" s="5">
        <v>1471</v>
      </c>
      <c r="R12" s="5">
        <v>7674</v>
      </c>
      <c r="S12" s="5">
        <v>30819</v>
      </c>
      <c r="T12" s="5">
        <v>73</v>
      </c>
      <c r="U12" s="5">
        <v>173</v>
      </c>
      <c r="V12" s="5">
        <v>128898</v>
      </c>
      <c r="W12" s="1">
        <v>138</v>
      </c>
      <c r="X12" s="5">
        <v>4008230</v>
      </c>
      <c r="Y12" s="181">
        <v>12207</v>
      </c>
      <c r="Z12" s="5">
        <v>7</v>
      </c>
      <c r="AA12" s="100">
        <f>'Weather Data'!D108</f>
        <v>380.49999999999989</v>
      </c>
      <c r="AB12" s="100">
        <f>'Weather Data'!E108</f>
        <v>0</v>
      </c>
      <c r="AC12" s="100">
        <f>'Weather Data'!F108</f>
        <v>320.49999999999994</v>
      </c>
      <c r="AD12" s="100">
        <f>'Weather Data'!G108</f>
        <v>0</v>
      </c>
      <c r="AE12" s="100">
        <f>'Weather Data'!H108</f>
        <v>260.5</v>
      </c>
      <c r="AF12" s="100">
        <f>'Weather Data'!I108</f>
        <v>0</v>
      </c>
      <c r="AG12" s="100">
        <f>'Weather Data'!J108</f>
        <v>200.9</v>
      </c>
      <c r="AH12" s="100">
        <f>'Weather Data'!K108</f>
        <v>0.40000000000000036</v>
      </c>
      <c r="AI12" s="100">
        <f>'Weather Data'!L108</f>
        <v>144.40000000000003</v>
      </c>
      <c r="AJ12" s="100">
        <f>'Weather Data'!M108</f>
        <v>3.9000000000000004</v>
      </c>
      <c r="AK12" s="100">
        <f>'Weather Data'!N108</f>
        <v>90.90000000000002</v>
      </c>
      <c r="AL12" s="100">
        <f>'Weather Data'!O108</f>
        <v>10.4</v>
      </c>
      <c r="AM12" s="100">
        <f>'Weather Data'!P108</f>
        <v>46.599999999999987</v>
      </c>
      <c r="AN12" s="100">
        <f>'Weather Data'!Q108</f>
        <v>26.1</v>
      </c>
      <c r="AO12" s="100">
        <f>'Weather Data'!R108</f>
        <v>7.3166666666666655</v>
      </c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70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</row>
    <row r="13" spans="1:124">
      <c r="A13" s="3">
        <v>40148</v>
      </c>
      <c r="B13">
        <f t="shared" si="1"/>
        <v>2009</v>
      </c>
      <c r="C13" s="2">
        <v>22148566</v>
      </c>
      <c r="D13" s="225">
        <v>0</v>
      </c>
      <c r="E13" s="5">
        <f t="shared" si="3"/>
        <v>22148566</v>
      </c>
      <c r="F13" s="5">
        <v>25938</v>
      </c>
      <c r="G13" s="5">
        <v>5669860</v>
      </c>
      <c r="H13" s="225">
        <v>0</v>
      </c>
      <c r="I13" s="5">
        <f t="shared" si="4"/>
        <v>5669860</v>
      </c>
      <c r="J13" s="220">
        <v>1867</v>
      </c>
      <c r="K13" s="5">
        <v>13814082</v>
      </c>
      <c r="L13" s="225">
        <v>0</v>
      </c>
      <c r="M13" s="5">
        <f t="shared" si="2"/>
        <v>13814082</v>
      </c>
      <c r="N13" s="5">
        <v>34797</v>
      </c>
      <c r="O13" s="5">
        <v>214</v>
      </c>
      <c r="P13" s="5">
        <v>624777</v>
      </c>
      <c r="Q13" s="5">
        <v>1471</v>
      </c>
      <c r="R13" s="5">
        <v>7674</v>
      </c>
      <c r="S13" s="5">
        <v>32013</v>
      </c>
      <c r="T13" s="5">
        <v>73</v>
      </c>
      <c r="U13" s="5">
        <v>173</v>
      </c>
      <c r="V13" s="5">
        <v>128898</v>
      </c>
      <c r="W13" s="1">
        <v>138</v>
      </c>
      <c r="X13" s="5">
        <v>4161075</v>
      </c>
      <c r="Y13" s="181">
        <v>9134</v>
      </c>
      <c r="Z13" s="5">
        <v>7</v>
      </c>
      <c r="AA13" s="100">
        <f>'Weather Data'!D109</f>
        <v>665.4</v>
      </c>
      <c r="AB13" s="100">
        <f>'Weather Data'!E109</f>
        <v>0</v>
      </c>
      <c r="AC13" s="100">
        <f>'Weather Data'!F109</f>
        <v>603.4</v>
      </c>
      <c r="AD13" s="100">
        <f>'Weather Data'!G109</f>
        <v>0</v>
      </c>
      <c r="AE13" s="100">
        <f>'Weather Data'!H109</f>
        <v>541.4</v>
      </c>
      <c r="AF13" s="100">
        <f>'Weather Data'!I109</f>
        <v>0</v>
      </c>
      <c r="AG13" s="100">
        <f>'Weather Data'!J109</f>
        <v>479.4</v>
      </c>
      <c r="AH13" s="100">
        <f>'Weather Data'!K109</f>
        <v>0</v>
      </c>
      <c r="AI13" s="100">
        <f>'Weather Data'!L109</f>
        <v>417.4</v>
      </c>
      <c r="AJ13" s="100">
        <f>'Weather Data'!M109</f>
        <v>0</v>
      </c>
      <c r="AK13" s="100">
        <f>'Weather Data'!N109</f>
        <v>355.4</v>
      </c>
      <c r="AL13" s="100">
        <f>'Weather Data'!O109</f>
        <v>0</v>
      </c>
      <c r="AM13" s="100">
        <f>'Weather Data'!P109</f>
        <v>293.39999999999998</v>
      </c>
      <c r="AN13" s="100">
        <f>'Weather Data'!Q109</f>
        <v>0</v>
      </c>
      <c r="AO13" s="100">
        <f>'Weather Data'!R109</f>
        <v>-1.4645161290322577</v>
      </c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70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</row>
    <row r="14" spans="1:124">
      <c r="A14" s="3">
        <v>40179</v>
      </c>
      <c r="B14">
        <f t="shared" si="1"/>
        <v>2010</v>
      </c>
      <c r="C14" s="2">
        <v>22191708</v>
      </c>
      <c r="D14" s="225">
        <v>0</v>
      </c>
      <c r="E14" s="5">
        <f t="shared" si="3"/>
        <v>22191708</v>
      </c>
      <c r="F14" s="5">
        <v>25980</v>
      </c>
      <c r="G14" s="5">
        <v>5836407</v>
      </c>
      <c r="H14" s="225">
        <v>0</v>
      </c>
      <c r="I14" s="5">
        <f t="shared" si="4"/>
        <v>5836407</v>
      </c>
      <c r="J14" s="220">
        <v>1885</v>
      </c>
      <c r="K14" s="5">
        <v>14067754</v>
      </c>
      <c r="L14" s="225">
        <v>0</v>
      </c>
      <c r="M14" s="5">
        <f t="shared" si="2"/>
        <v>14067754</v>
      </c>
      <c r="N14" s="5">
        <v>32941</v>
      </c>
      <c r="O14" s="5">
        <v>214</v>
      </c>
      <c r="P14" s="5">
        <v>615928</v>
      </c>
      <c r="Q14" s="5">
        <v>1471</v>
      </c>
      <c r="R14" s="5">
        <v>7674</v>
      </c>
      <c r="S14" s="5">
        <v>35989</v>
      </c>
      <c r="T14" s="5">
        <v>74</v>
      </c>
      <c r="U14" s="5">
        <v>174</v>
      </c>
      <c r="V14" s="5">
        <v>129846</v>
      </c>
      <c r="W14" s="1">
        <v>141</v>
      </c>
      <c r="X14" s="5">
        <v>4287365</v>
      </c>
      <c r="Y14" s="181">
        <v>8844</v>
      </c>
      <c r="Z14" s="5">
        <v>7</v>
      </c>
      <c r="AA14" s="100">
        <f>'Weather Data'!D110</f>
        <v>741.69999999999993</v>
      </c>
      <c r="AB14" s="100">
        <f>'Weather Data'!E110</f>
        <v>0</v>
      </c>
      <c r="AC14" s="100">
        <f>'Weather Data'!F110</f>
        <v>679.7</v>
      </c>
      <c r="AD14" s="100">
        <f>'Weather Data'!G110</f>
        <v>0</v>
      </c>
      <c r="AE14" s="100">
        <f>'Weather Data'!H110</f>
        <v>617.70000000000005</v>
      </c>
      <c r="AF14" s="100">
        <f>'Weather Data'!I110</f>
        <v>0</v>
      </c>
      <c r="AG14" s="100">
        <f>'Weather Data'!J110</f>
        <v>555.70000000000005</v>
      </c>
      <c r="AH14" s="100">
        <f>'Weather Data'!K110</f>
        <v>0</v>
      </c>
      <c r="AI14" s="100">
        <f>'Weather Data'!L110</f>
        <v>493.7</v>
      </c>
      <c r="AJ14" s="100">
        <f>'Weather Data'!M110</f>
        <v>0</v>
      </c>
      <c r="AK14" s="100">
        <f>'Weather Data'!N110</f>
        <v>431.70000000000005</v>
      </c>
      <c r="AL14" s="100">
        <f>'Weather Data'!O110</f>
        <v>0</v>
      </c>
      <c r="AM14" s="100">
        <f>'Weather Data'!P110</f>
        <v>369.70000000000005</v>
      </c>
      <c r="AN14" s="100">
        <f>'Weather Data'!Q110</f>
        <v>0</v>
      </c>
      <c r="AO14" s="100">
        <f>'Weather Data'!R110</f>
        <v>-3.9258064516129036</v>
      </c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70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</row>
    <row r="15" spans="1:124">
      <c r="A15" s="3">
        <v>40210</v>
      </c>
      <c r="B15">
        <f t="shared" si="1"/>
        <v>2010</v>
      </c>
      <c r="C15" s="2">
        <v>18569247</v>
      </c>
      <c r="D15" s="225">
        <v>0</v>
      </c>
      <c r="E15" s="5">
        <f t="shared" si="3"/>
        <v>18569247</v>
      </c>
      <c r="F15" s="5">
        <v>25992</v>
      </c>
      <c r="G15" s="5">
        <v>5222366</v>
      </c>
      <c r="H15" s="225">
        <v>0</v>
      </c>
      <c r="I15" s="5">
        <f t="shared" si="4"/>
        <v>5222366</v>
      </c>
      <c r="J15" s="220">
        <v>1889</v>
      </c>
      <c r="K15" s="5">
        <v>12660176</v>
      </c>
      <c r="L15" s="225">
        <v>0</v>
      </c>
      <c r="M15" s="5">
        <f t="shared" si="2"/>
        <v>12660176</v>
      </c>
      <c r="N15" s="5">
        <v>29202</v>
      </c>
      <c r="O15" s="5">
        <v>214</v>
      </c>
      <c r="P15" s="5">
        <v>576846</v>
      </c>
      <c r="Q15" s="5">
        <v>1528</v>
      </c>
      <c r="R15" s="5">
        <v>8090</v>
      </c>
      <c r="S15" s="5">
        <v>32797</v>
      </c>
      <c r="T15" s="5">
        <v>74</v>
      </c>
      <c r="U15" s="5">
        <v>175</v>
      </c>
      <c r="V15" s="5">
        <v>129846</v>
      </c>
      <c r="W15" s="1">
        <v>141</v>
      </c>
      <c r="X15" s="5">
        <v>3864102</v>
      </c>
      <c r="Y15" s="181">
        <v>8659</v>
      </c>
      <c r="Z15" s="5">
        <v>7</v>
      </c>
      <c r="AA15" s="100">
        <f>'Weather Data'!D111</f>
        <v>626.9</v>
      </c>
      <c r="AB15" s="100">
        <f>'Weather Data'!E111</f>
        <v>0</v>
      </c>
      <c r="AC15" s="100">
        <f>'Weather Data'!F111</f>
        <v>570.89999999999986</v>
      </c>
      <c r="AD15" s="100">
        <f>'Weather Data'!G111</f>
        <v>0</v>
      </c>
      <c r="AE15" s="100">
        <f>'Weather Data'!H111</f>
        <v>514.9</v>
      </c>
      <c r="AF15" s="100">
        <f>'Weather Data'!I111</f>
        <v>0</v>
      </c>
      <c r="AG15" s="100">
        <f>'Weather Data'!J111</f>
        <v>458.9</v>
      </c>
      <c r="AH15" s="100">
        <f>'Weather Data'!K111</f>
        <v>0</v>
      </c>
      <c r="AI15" s="100">
        <f>'Weather Data'!L111</f>
        <v>402.89999999999992</v>
      </c>
      <c r="AJ15" s="100">
        <f>'Weather Data'!M111</f>
        <v>0</v>
      </c>
      <c r="AK15" s="100">
        <f>'Weather Data'!N111</f>
        <v>346.9</v>
      </c>
      <c r="AL15" s="100">
        <f>'Weather Data'!O111</f>
        <v>0</v>
      </c>
      <c r="AM15" s="100">
        <f>'Weather Data'!P111</f>
        <v>290.90000000000003</v>
      </c>
      <c r="AN15" s="100">
        <f>'Weather Data'!Q111</f>
        <v>0</v>
      </c>
      <c r="AO15" s="100">
        <f>'Weather Data'!R111</f>
        <v>-2.3892857142857147</v>
      </c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70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</row>
    <row r="16" spans="1:124">
      <c r="A16" s="3">
        <v>40238</v>
      </c>
      <c r="B16">
        <f t="shared" si="1"/>
        <v>2010</v>
      </c>
      <c r="C16" s="2">
        <v>18172162</v>
      </c>
      <c r="D16" s="225">
        <v>0</v>
      </c>
      <c r="E16" s="5">
        <f t="shared" si="3"/>
        <v>18172162</v>
      </c>
      <c r="F16" s="5">
        <v>26054</v>
      </c>
      <c r="G16" s="5">
        <v>5307171</v>
      </c>
      <c r="H16" s="225">
        <v>0</v>
      </c>
      <c r="I16" s="5">
        <f t="shared" si="4"/>
        <v>5307171</v>
      </c>
      <c r="J16" s="220">
        <v>1886</v>
      </c>
      <c r="K16" s="5">
        <v>13665209</v>
      </c>
      <c r="L16" s="225">
        <v>0</v>
      </c>
      <c r="M16" s="5">
        <f t="shared" si="2"/>
        <v>13665209</v>
      </c>
      <c r="N16" s="5">
        <v>32096</v>
      </c>
      <c r="O16" s="5">
        <v>214</v>
      </c>
      <c r="P16" s="5">
        <v>538208</v>
      </c>
      <c r="Q16" s="5">
        <v>1528</v>
      </c>
      <c r="R16" s="5">
        <v>8090</v>
      </c>
      <c r="S16" s="5">
        <v>32902</v>
      </c>
      <c r="T16" s="5">
        <v>74</v>
      </c>
      <c r="U16" s="5">
        <v>175</v>
      </c>
      <c r="V16" s="5">
        <v>129846</v>
      </c>
      <c r="W16" s="1">
        <v>141</v>
      </c>
      <c r="X16" s="5">
        <v>4021189</v>
      </c>
      <c r="Y16" s="181">
        <v>8272</v>
      </c>
      <c r="Z16" s="5">
        <v>7</v>
      </c>
      <c r="AA16" s="100">
        <f>'Weather Data'!D112</f>
        <v>459.10000000000008</v>
      </c>
      <c r="AB16" s="100">
        <f>'Weather Data'!E112</f>
        <v>0</v>
      </c>
      <c r="AC16" s="100">
        <f>'Weather Data'!F112</f>
        <v>397.1</v>
      </c>
      <c r="AD16" s="100">
        <f>'Weather Data'!G112</f>
        <v>0</v>
      </c>
      <c r="AE16" s="100">
        <f>'Weather Data'!H112</f>
        <v>335.1</v>
      </c>
      <c r="AF16" s="100">
        <f>'Weather Data'!I112</f>
        <v>0</v>
      </c>
      <c r="AG16" s="100">
        <f>'Weather Data'!J112</f>
        <v>273.09999999999997</v>
      </c>
      <c r="AH16" s="100">
        <f>'Weather Data'!K112</f>
        <v>0</v>
      </c>
      <c r="AI16" s="100">
        <f>'Weather Data'!L112</f>
        <v>211.30000000000004</v>
      </c>
      <c r="AJ16" s="100">
        <f>'Weather Data'!M112</f>
        <v>0.19999999999999929</v>
      </c>
      <c r="AK16" s="100">
        <f>'Weather Data'!N112</f>
        <v>154.19999999999999</v>
      </c>
      <c r="AL16" s="100">
        <f>'Weather Data'!O112</f>
        <v>5.0999999999999996</v>
      </c>
      <c r="AM16" s="100">
        <f>'Weather Data'!P112</f>
        <v>103.89999999999996</v>
      </c>
      <c r="AN16" s="100">
        <f>'Weather Data'!Q112</f>
        <v>16.8</v>
      </c>
      <c r="AO16" s="100">
        <f>'Weather Data'!R112</f>
        <v>5.1903225806451605</v>
      </c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70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</row>
    <row r="17" spans="1:105">
      <c r="A17" s="3">
        <v>40269</v>
      </c>
      <c r="B17">
        <f t="shared" si="1"/>
        <v>2010</v>
      </c>
      <c r="C17" s="2">
        <v>16291039</v>
      </c>
      <c r="D17" s="225">
        <v>0</v>
      </c>
      <c r="E17" s="5">
        <f t="shared" si="3"/>
        <v>16291039</v>
      </c>
      <c r="F17" s="5">
        <v>26018</v>
      </c>
      <c r="G17" s="5">
        <v>4988560</v>
      </c>
      <c r="H17" s="225">
        <v>0</v>
      </c>
      <c r="I17" s="5">
        <f t="shared" si="4"/>
        <v>4988560</v>
      </c>
      <c r="J17" s="220">
        <v>1885</v>
      </c>
      <c r="K17" s="5">
        <v>12071109</v>
      </c>
      <c r="L17" s="225">
        <v>0</v>
      </c>
      <c r="M17" s="5">
        <f t="shared" si="2"/>
        <v>12071109</v>
      </c>
      <c r="N17" s="5">
        <v>33678</v>
      </c>
      <c r="O17" s="5">
        <v>215</v>
      </c>
      <c r="P17" s="5">
        <v>426160</v>
      </c>
      <c r="Q17" s="5">
        <v>1506</v>
      </c>
      <c r="R17" s="5">
        <v>7636</v>
      </c>
      <c r="S17" s="5">
        <v>29403</v>
      </c>
      <c r="T17" s="5">
        <v>74</v>
      </c>
      <c r="U17" s="5">
        <v>175</v>
      </c>
      <c r="V17" s="5">
        <v>129846</v>
      </c>
      <c r="W17" s="1">
        <v>141</v>
      </c>
      <c r="X17" s="5">
        <v>3597798</v>
      </c>
      <c r="Y17" s="181">
        <v>8678</v>
      </c>
      <c r="Z17" s="5">
        <v>7</v>
      </c>
      <c r="AA17" s="100">
        <f>'Weather Data'!D113</f>
        <v>242</v>
      </c>
      <c r="AB17" s="100">
        <f>'Weather Data'!E113</f>
        <v>0</v>
      </c>
      <c r="AC17" s="100">
        <f>'Weather Data'!F113</f>
        <v>183.4</v>
      </c>
      <c r="AD17" s="100">
        <f>'Weather Data'!G113</f>
        <v>1.4000000000000021</v>
      </c>
      <c r="AE17" s="100">
        <f>'Weather Data'!H113</f>
        <v>135.59999999999997</v>
      </c>
      <c r="AF17" s="100">
        <f>'Weather Data'!I113</f>
        <v>13.599999999999998</v>
      </c>
      <c r="AG17" s="100">
        <f>'Weather Data'!J113</f>
        <v>91.6</v>
      </c>
      <c r="AH17" s="100">
        <f>'Weather Data'!K113</f>
        <v>29.599999999999998</v>
      </c>
      <c r="AI17" s="100">
        <f>'Weather Data'!L113</f>
        <v>51.2</v>
      </c>
      <c r="AJ17" s="100">
        <f>'Weather Data'!M113</f>
        <v>49.199999999999989</v>
      </c>
      <c r="AK17" s="100">
        <f>'Weather Data'!N113</f>
        <v>22.500000000000007</v>
      </c>
      <c r="AL17" s="100">
        <f>'Weather Data'!O113</f>
        <v>80.5</v>
      </c>
      <c r="AM17" s="100">
        <f>'Weather Data'!P113</f>
        <v>7.1999999999999993</v>
      </c>
      <c r="AN17" s="100">
        <f>'Weather Data'!Q113</f>
        <v>125.20000000000002</v>
      </c>
      <c r="AO17" s="100">
        <f>'Weather Data'!R113</f>
        <v>11.933333333333332</v>
      </c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70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</row>
    <row r="18" spans="1:105">
      <c r="A18" s="3">
        <v>40299</v>
      </c>
      <c r="B18">
        <f t="shared" si="1"/>
        <v>2010</v>
      </c>
      <c r="C18" s="2">
        <v>19711136</v>
      </c>
      <c r="D18" s="225">
        <v>0</v>
      </c>
      <c r="E18" s="5">
        <f t="shared" si="3"/>
        <v>19711136</v>
      </c>
      <c r="F18" s="5">
        <v>26025</v>
      </c>
      <c r="G18" s="5">
        <v>5569353</v>
      </c>
      <c r="H18" s="225">
        <v>0</v>
      </c>
      <c r="I18" s="5">
        <f t="shared" si="4"/>
        <v>5569353</v>
      </c>
      <c r="J18" s="220">
        <v>1879</v>
      </c>
      <c r="K18" s="5">
        <v>12877781</v>
      </c>
      <c r="L18" s="225">
        <v>0</v>
      </c>
      <c r="M18" s="5">
        <f t="shared" si="2"/>
        <v>12877781</v>
      </c>
      <c r="N18" s="5">
        <v>36730</v>
      </c>
      <c r="O18" s="5">
        <v>215</v>
      </c>
      <c r="P18" s="5">
        <v>382735</v>
      </c>
      <c r="Q18" s="5">
        <v>1439</v>
      </c>
      <c r="R18" s="5">
        <v>6907</v>
      </c>
      <c r="S18" s="5">
        <v>32763</v>
      </c>
      <c r="T18" s="5">
        <v>74</v>
      </c>
      <c r="U18" s="5">
        <v>174</v>
      </c>
      <c r="V18" s="5">
        <v>129846</v>
      </c>
      <c r="W18" s="1">
        <v>141</v>
      </c>
      <c r="X18" s="5">
        <v>4005544</v>
      </c>
      <c r="Y18" s="181">
        <v>20409</v>
      </c>
      <c r="Z18" s="5">
        <v>7</v>
      </c>
      <c r="AA18" s="100">
        <f>'Weather Data'!D114</f>
        <v>125.70000000000002</v>
      </c>
      <c r="AB18" s="100">
        <f>'Weather Data'!E114</f>
        <v>21.700000000000003</v>
      </c>
      <c r="AC18" s="100">
        <f>'Weather Data'!F114</f>
        <v>91.9</v>
      </c>
      <c r="AD18" s="100">
        <f>'Weather Data'!G114</f>
        <v>49.9</v>
      </c>
      <c r="AE18" s="100">
        <f>'Weather Data'!H114</f>
        <v>63.699999999999996</v>
      </c>
      <c r="AF18" s="100">
        <f>'Weather Data'!I114</f>
        <v>83.699999999999989</v>
      </c>
      <c r="AG18" s="100">
        <f>'Weather Data'!J114</f>
        <v>39.299999999999997</v>
      </c>
      <c r="AH18" s="100">
        <f>'Weather Data'!K114</f>
        <v>121.30000000000001</v>
      </c>
      <c r="AI18" s="100">
        <f>'Weather Data'!L114</f>
        <v>21.9</v>
      </c>
      <c r="AJ18" s="100">
        <f>'Weather Data'!M114</f>
        <v>165.9</v>
      </c>
      <c r="AK18" s="100">
        <f>'Weather Data'!N114</f>
        <v>10.900000000000002</v>
      </c>
      <c r="AL18" s="100">
        <f>'Weather Data'!O114</f>
        <v>216.9</v>
      </c>
      <c r="AM18" s="100">
        <f>'Weather Data'!P114</f>
        <v>1.1000000000000005</v>
      </c>
      <c r="AN18" s="100">
        <f>'Weather Data'!Q114</f>
        <v>269.10000000000002</v>
      </c>
      <c r="AO18" s="100">
        <f>'Weather Data'!R114</f>
        <v>16.64516129032258</v>
      </c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70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</row>
    <row r="19" spans="1:105">
      <c r="A19" s="3">
        <v>40330</v>
      </c>
      <c r="B19">
        <f t="shared" si="1"/>
        <v>2010</v>
      </c>
      <c r="C19" s="2">
        <v>27578432</v>
      </c>
      <c r="D19" s="225">
        <v>0</v>
      </c>
      <c r="E19" s="5">
        <f t="shared" si="3"/>
        <v>27578432</v>
      </c>
      <c r="F19" s="5">
        <v>26076</v>
      </c>
      <c r="G19" s="5">
        <v>6232423</v>
      </c>
      <c r="H19" s="225">
        <v>0</v>
      </c>
      <c r="I19" s="5">
        <f t="shared" si="4"/>
        <v>6232423</v>
      </c>
      <c r="J19" s="220">
        <v>1884</v>
      </c>
      <c r="K19" s="5">
        <v>14967315</v>
      </c>
      <c r="L19" s="225">
        <v>0</v>
      </c>
      <c r="M19" s="5">
        <f t="shared" si="2"/>
        <v>14967315</v>
      </c>
      <c r="N19" s="5">
        <v>42396</v>
      </c>
      <c r="O19" s="5">
        <v>215</v>
      </c>
      <c r="P19" s="5">
        <v>336701</v>
      </c>
      <c r="Q19" s="5">
        <v>1439</v>
      </c>
      <c r="R19" s="5">
        <v>6907</v>
      </c>
      <c r="S19" s="5">
        <v>33574</v>
      </c>
      <c r="T19" s="5">
        <v>74</v>
      </c>
      <c r="U19" s="5">
        <v>174</v>
      </c>
      <c r="V19" s="5">
        <v>129846</v>
      </c>
      <c r="W19" s="1">
        <v>141</v>
      </c>
      <c r="X19" s="5">
        <v>4623646</v>
      </c>
      <c r="Y19" s="181">
        <v>11898</v>
      </c>
      <c r="Z19" s="5">
        <v>7</v>
      </c>
      <c r="AA19" s="100">
        <f>'Weather Data'!D115</f>
        <v>14.700000000000003</v>
      </c>
      <c r="AB19" s="100">
        <f>'Weather Data'!E115</f>
        <v>73.199999999999989</v>
      </c>
      <c r="AC19" s="100">
        <f>'Weather Data'!F115</f>
        <v>5.7000000000000028</v>
      </c>
      <c r="AD19" s="100">
        <f>'Weather Data'!G115</f>
        <v>124.20000000000002</v>
      </c>
      <c r="AE19" s="100">
        <f>'Weather Data'!H115</f>
        <v>0.5</v>
      </c>
      <c r="AF19" s="100">
        <f>'Weather Data'!I115</f>
        <v>178.99999999999997</v>
      </c>
      <c r="AG19" s="100">
        <f>'Weather Data'!J115</f>
        <v>0</v>
      </c>
      <c r="AH19" s="100">
        <f>'Weather Data'!K115</f>
        <v>238.49999999999997</v>
      </c>
      <c r="AI19" s="100">
        <f>'Weather Data'!L115</f>
        <v>0</v>
      </c>
      <c r="AJ19" s="100">
        <f>'Weather Data'!M115</f>
        <v>298.5</v>
      </c>
      <c r="AK19" s="100">
        <f>'Weather Data'!N115</f>
        <v>0</v>
      </c>
      <c r="AL19" s="100">
        <f>'Weather Data'!O115</f>
        <v>358.5</v>
      </c>
      <c r="AM19" s="100">
        <f>'Weather Data'!P115</f>
        <v>0</v>
      </c>
      <c r="AN19" s="100">
        <f>'Weather Data'!Q115</f>
        <v>418.5</v>
      </c>
      <c r="AO19" s="100">
        <f>'Weather Data'!R115</f>
        <v>21.950000000000003</v>
      </c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70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</row>
    <row r="20" spans="1:105">
      <c r="A20" s="3">
        <v>40360</v>
      </c>
      <c r="B20">
        <f t="shared" si="1"/>
        <v>2010</v>
      </c>
      <c r="C20" s="2">
        <v>33984761</v>
      </c>
      <c r="D20" s="225">
        <v>0</v>
      </c>
      <c r="E20" s="5">
        <f t="shared" si="3"/>
        <v>33984761</v>
      </c>
      <c r="F20" s="5">
        <v>26109</v>
      </c>
      <c r="G20" s="5">
        <v>6991682</v>
      </c>
      <c r="H20" s="225">
        <v>0</v>
      </c>
      <c r="I20" s="5">
        <f t="shared" si="4"/>
        <v>6991682</v>
      </c>
      <c r="J20" s="220">
        <v>1908</v>
      </c>
      <c r="K20" s="5">
        <v>16763382</v>
      </c>
      <c r="L20" s="225">
        <v>0</v>
      </c>
      <c r="M20" s="5">
        <f t="shared" si="2"/>
        <v>16763382</v>
      </c>
      <c r="N20" s="5">
        <v>43204</v>
      </c>
      <c r="O20" s="5">
        <v>218</v>
      </c>
      <c r="P20" s="5">
        <v>356151</v>
      </c>
      <c r="Q20" s="5">
        <v>1439</v>
      </c>
      <c r="R20" s="5">
        <v>6907</v>
      </c>
      <c r="S20" s="5">
        <v>32030</v>
      </c>
      <c r="T20" s="5">
        <v>74</v>
      </c>
      <c r="U20" s="5">
        <v>174</v>
      </c>
      <c r="V20" s="5">
        <v>129846</v>
      </c>
      <c r="W20" s="1">
        <v>141</v>
      </c>
      <c r="X20" s="5">
        <v>5419427</v>
      </c>
      <c r="Y20" s="181">
        <v>13333</v>
      </c>
      <c r="Z20" s="5">
        <v>7</v>
      </c>
      <c r="AA20" s="100">
        <f>'Weather Data'!D116</f>
        <v>2.7000000000000028</v>
      </c>
      <c r="AB20" s="100">
        <f>'Weather Data'!E116</f>
        <v>156.80000000000001</v>
      </c>
      <c r="AC20" s="100">
        <f>'Weather Data'!F116</f>
        <v>0.10000000000000142</v>
      </c>
      <c r="AD20" s="100">
        <f>'Weather Data'!G116</f>
        <v>216.20000000000005</v>
      </c>
      <c r="AE20" s="100">
        <f>'Weather Data'!H116</f>
        <v>0</v>
      </c>
      <c r="AF20" s="100">
        <f>'Weather Data'!I116</f>
        <v>278.10000000000002</v>
      </c>
      <c r="AG20" s="100">
        <f>'Weather Data'!J116</f>
        <v>0</v>
      </c>
      <c r="AH20" s="100">
        <f>'Weather Data'!K116</f>
        <v>340.09999999999997</v>
      </c>
      <c r="AI20" s="100">
        <f>'Weather Data'!L116</f>
        <v>0</v>
      </c>
      <c r="AJ20" s="100">
        <f>'Weather Data'!M116</f>
        <v>402.1</v>
      </c>
      <c r="AK20" s="100">
        <f>'Weather Data'!N116</f>
        <v>0</v>
      </c>
      <c r="AL20" s="100">
        <f>'Weather Data'!O116</f>
        <v>464.1</v>
      </c>
      <c r="AM20" s="100">
        <f>'Weather Data'!P116</f>
        <v>0</v>
      </c>
      <c r="AN20" s="100">
        <f>'Weather Data'!Q116</f>
        <v>526.1</v>
      </c>
      <c r="AO20" s="100">
        <f>'Weather Data'!R116</f>
        <v>24.970967741935478</v>
      </c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70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05">
      <c r="A21" s="3">
        <v>40391</v>
      </c>
      <c r="B21">
        <f t="shared" si="1"/>
        <v>2010</v>
      </c>
      <c r="C21" s="2">
        <v>31353991</v>
      </c>
      <c r="D21" s="225">
        <v>0</v>
      </c>
      <c r="E21" s="5">
        <f t="shared" si="3"/>
        <v>31353991</v>
      </c>
      <c r="F21" s="5">
        <v>26117</v>
      </c>
      <c r="G21" s="5">
        <v>6831476</v>
      </c>
      <c r="H21" s="225">
        <v>0</v>
      </c>
      <c r="I21" s="5">
        <f t="shared" si="4"/>
        <v>6831476</v>
      </c>
      <c r="J21" s="220">
        <v>1898</v>
      </c>
      <c r="K21" s="5">
        <v>18038979</v>
      </c>
      <c r="L21" s="225">
        <v>0</v>
      </c>
      <c r="M21" s="5">
        <f t="shared" si="2"/>
        <v>18038979</v>
      </c>
      <c r="N21" s="5">
        <v>43009</v>
      </c>
      <c r="O21" s="5">
        <v>216</v>
      </c>
      <c r="P21" s="5">
        <v>398582</v>
      </c>
      <c r="Q21" s="5">
        <v>1439</v>
      </c>
      <c r="R21" s="5">
        <v>6907</v>
      </c>
      <c r="S21" s="5">
        <v>32867</v>
      </c>
      <c r="T21" s="5">
        <v>74</v>
      </c>
      <c r="U21" s="5">
        <v>174</v>
      </c>
      <c r="V21" s="5">
        <v>129846</v>
      </c>
      <c r="W21" s="1">
        <v>141</v>
      </c>
      <c r="X21" s="5">
        <v>5368700</v>
      </c>
      <c r="Y21" s="181">
        <v>15606</v>
      </c>
      <c r="Z21" s="5">
        <v>7</v>
      </c>
      <c r="AA21" s="100">
        <f>'Weather Data'!D117</f>
        <v>3</v>
      </c>
      <c r="AB21" s="100">
        <f>'Weather Data'!E117</f>
        <v>130.30000000000001</v>
      </c>
      <c r="AC21" s="100">
        <f>'Weather Data'!F117</f>
        <v>0</v>
      </c>
      <c r="AD21" s="100">
        <f>'Weather Data'!G117</f>
        <v>189.29999999999995</v>
      </c>
      <c r="AE21" s="100">
        <f>'Weather Data'!H117</f>
        <v>0</v>
      </c>
      <c r="AF21" s="100">
        <f>'Weather Data'!I117</f>
        <v>251.29999999999995</v>
      </c>
      <c r="AG21" s="100">
        <f>'Weather Data'!J117</f>
        <v>0</v>
      </c>
      <c r="AH21" s="100">
        <f>'Weather Data'!K117</f>
        <v>313.29999999999995</v>
      </c>
      <c r="AI21" s="100">
        <f>'Weather Data'!L117</f>
        <v>0</v>
      </c>
      <c r="AJ21" s="100">
        <f>'Weather Data'!M117</f>
        <v>375.3</v>
      </c>
      <c r="AK21" s="100">
        <f>'Weather Data'!N117</f>
        <v>0</v>
      </c>
      <c r="AL21" s="100">
        <f>'Weather Data'!O117</f>
        <v>437.3</v>
      </c>
      <c r="AM21" s="100">
        <f>'Weather Data'!P117</f>
        <v>0</v>
      </c>
      <c r="AN21" s="100">
        <f>'Weather Data'!Q117</f>
        <v>499.3</v>
      </c>
      <c r="AO21" s="100">
        <f>'Weather Data'!R117</f>
        <v>24.106451612903228</v>
      </c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70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05">
      <c r="A22" s="3">
        <v>40422</v>
      </c>
      <c r="B22">
        <f t="shared" si="1"/>
        <v>2010</v>
      </c>
      <c r="C22" s="2">
        <v>20904657</v>
      </c>
      <c r="D22" s="225">
        <v>0</v>
      </c>
      <c r="E22" s="5">
        <f t="shared" si="3"/>
        <v>20904657</v>
      </c>
      <c r="F22" s="5">
        <v>26151</v>
      </c>
      <c r="G22" s="5">
        <v>5591688</v>
      </c>
      <c r="H22" s="225">
        <v>0</v>
      </c>
      <c r="I22" s="5">
        <f t="shared" si="4"/>
        <v>5591688</v>
      </c>
      <c r="J22" s="220">
        <v>1899</v>
      </c>
      <c r="K22" s="5">
        <v>16667342</v>
      </c>
      <c r="L22" s="225">
        <v>0</v>
      </c>
      <c r="M22" s="5">
        <f t="shared" si="2"/>
        <v>16667342</v>
      </c>
      <c r="N22" s="5">
        <v>43190</v>
      </c>
      <c r="O22" s="5">
        <v>215</v>
      </c>
      <c r="P22" s="5">
        <v>448931</v>
      </c>
      <c r="Q22" s="5">
        <v>1439</v>
      </c>
      <c r="R22" s="5">
        <v>5581</v>
      </c>
      <c r="S22" s="5">
        <v>36208</v>
      </c>
      <c r="T22" s="5">
        <v>74</v>
      </c>
      <c r="U22" s="5">
        <v>174</v>
      </c>
      <c r="V22" s="5">
        <v>129846</v>
      </c>
      <c r="W22" s="1">
        <v>141</v>
      </c>
      <c r="X22" s="5">
        <v>3865573</v>
      </c>
      <c r="Y22" s="181">
        <v>16187</v>
      </c>
      <c r="Z22" s="5">
        <v>7</v>
      </c>
      <c r="AA22" s="100">
        <f>'Weather Data'!D118</f>
        <v>81.7</v>
      </c>
      <c r="AB22" s="100">
        <f>'Weather Data'!E118</f>
        <v>28.799999999999997</v>
      </c>
      <c r="AC22" s="100">
        <f>'Weather Data'!F118</f>
        <v>42.900000000000006</v>
      </c>
      <c r="AD22" s="100">
        <f>'Weather Data'!G118</f>
        <v>50</v>
      </c>
      <c r="AE22" s="100">
        <f>'Weather Data'!H118</f>
        <v>14</v>
      </c>
      <c r="AF22" s="100">
        <f>'Weather Data'!I118</f>
        <v>81.100000000000009</v>
      </c>
      <c r="AG22" s="100">
        <f>'Weather Data'!J118</f>
        <v>3.5</v>
      </c>
      <c r="AH22" s="100">
        <f>'Weather Data'!K118</f>
        <v>130.60000000000002</v>
      </c>
      <c r="AI22" s="100">
        <f>'Weather Data'!L118</f>
        <v>9.9999999999999645E-2</v>
      </c>
      <c r="AJ22" s="100">
        <f>'Weather Data'!M118</f>
        <v>187.20000000000002</v>
      </c>
      <c r="AK22" s="100">
        <f>'Weather Data'!N118</f>
        <v>0</v>
      </c>
      <c r="AL22" s="100">
        <f>'Weather Data'!O118</f>
        <v>247.09999999999997</v>
      </c>
      <c r="AM22" s="100">
        <f>'Weather Data'!P118</f>
        <v>0</v>
      </c>
      <c r="AN22" s="100">
        <f>'Weather Data'!Q118</f>
        <v>307.09999999999997</v>
      </c>
      <c r="AO22" s="100">
        <f>'Weather Data'!R118</f>
        <v>18.236666666666661</v>
      </c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70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05">
      <c r="A23" s="3">
        <v>40452</v>
      </c>
      <c r="B23">
        <f t="shared" si="1"/>
        <v>2010</v>
      </c>
      <c r="C23" s="2">
        <v>17041707</v>
      </c>
      <c r="D23" s="225">
        <v>0</v>
      </c>
      <c r="E23" s="5">
        <f t="shared" si="3"/>
        <v>17041707</v>
      </c>
      <c r="F23" s="5">
        <v>26166</v>
      </c>
      <c r="G23" s="5">
        <v>5195062</v>
      </c>
      <c r="H23" s="225">
        <v>0</v>
      </c>
      <c r="I23" s="5">
        <f t="shared" si="4"/>
        <v>5195062</v>
      </c>
      <c r="J23" s="220">
        <v>1911</v>
      </c>
      <c r="K23" s="5">
        <v>13664471</v>
      </c>
      <c r="L23" s="225">
        <v>0</v>
      </c>
      <c r="M23" s="5">
        <f t="shared" si="2"/>
        <v>13664471</v>
      </c>
      <c r="N23" s="5">
        <v>35299</v>
      </c>
      <c r="O23" s="5">
        <v>217</v>
      </c>
      <c r="P23" s="5">
        <v>530915</v>
      </c>
      <c r="Q23" s="5">
        <v>1439</v>
      </c>
      <c r="R23" s="5">
        <v>5581</v>
      </c>
      <c r="S23" s="5">
        <v>29947</v>
      </c>
      <c r="T23" s="5">
        <v>74</v>
      </c>
      <c r="U23" s="5">
        <v>174</v>
      </c>
      <c r="V23" s="5">
        <v>129846</v>
      </c>
      <c r="W23" s="1">
        <v>141</v>
      </c>
      <c r="X23" s="5">
        <v>3338217</v>
      </c>
      <c r="Y23" s="181">
        <v>9398</v>
      </c>
      <c r="Z23" s="5">
        <v>7</v>
      </c>
      <c r="AA23" s="100">
        <f>'Weather Data'!D119</f>
        <v>226.39999999999995</v>
      </c>
      <c r="AB23" s="100">
        <f>'Weather Data'!E119</f>
        <v>0</v>
      </c>
      <c r="AC23" s="100">
        <f>'Weather Data'!F119</f>
        <v>165.7</v>
      </c>
      <c r="AD23" s="100">
        <f>'Weather Data'!G119</f>
        <v>1.3000000000000007</v>
      </c>
      <c r="AE23" s="100">
        <f>'Weather Data'!H119</f>
        <v>112.2</v>
      </c>
      <c r="AF23" s="100">
        <f>'Weather Data'!I119</f>
        <v>9.8000000000000007</v>
      </c>
      <c r="AG23" s="100">
        <f>'Weather Data'!J119</f>
        <v>67.399999999999991</v>
      </c>
      <c r="AH23" s="100">
        <f>'Weather Data'!K119</f>
        <v>27</v>
      </c>
      <c r="AI23" s="100">
        <f>'Weather Data'!L119</f>
        <v>32</v>
      </c>
      <c r="AJ23" s="100">
        <f>'Weather Data'!M119</f>
        <v>53.599999999999994</v>
      </c>
      <c r="AK23" s="100">
        <f>'Weather Data'!N119</f>
        <v>11.099999999999996</v>
      </c>
      <c r="AL23" s="100">
        <f>'Weather Data'!O119</f>
        <v>94.7</v>
      </c>
      <c r="AM23" s="100">
        <f>'Weather Data'!P119</f>
        <v>2.5999999999999996</v>
      </c>
      <c r="AN23" s="100">
        <f>'Weather Data'!Q119</f>
        <v>148.20000000000002</v>
      </c>
      <c r="AO23" s="100">
        <f>'Weather Data'!R119</f>
        <v>12.696774193548386</v>
      </c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70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05">
      <c r="A24" s="3">
        <v>40483</v>
      </c>
      <c r="B24">
        <f t="shared" si="1"/>
        <v>2010</v>
      </c>
      <c r="C24" s="2">
        <v>17817978</v>
      </c>
      <c r="D24" s="225">
        <v>0</v>
      </c>
      <c r="E24" s="5">
        <f t="shared" si="3"/>
        <v>17817978</v>
      </c>
      <c r="F24" s="5">
        <v>26109</v>
      </c>
      <c r="G24" s="5">
        <v>5191431</v>
      </c>
      <c r="H24" s="225">
        <v>0</v>
      </c>
      <c r="I24" s="5">
        <f t="shared" si="4"/>
        <v>5191431</v>
      </c>
      <c r="J24" s="220">
        <v>1904</v>
      </c>
      <c r="K24" s="5">
        <v>13832331</v>
      </c>
      <c r="L24" s="225">
        <v>0</v>
      </c>
      <c r="M24" s="5">
        <f t="shared" si="2"/>
        <v>13832331</v>
      </c>
      <c r="N24" s="5">
        <v>34325</v>
      </c>
      <c r="O24" s="5">
        <v>216</v>
      </c>
      <c r="P24" s="5">
        <v>558233</v>
      </c>
      <c r="Q24" s="5">
        <v>1439</v>
      </c>
      <c r="R24" s="5">
        <v>5581</v>
      </c>
      <c r="S24" s="5">
        <v>34572</v>
      </c>
      <c r="T24" s="5">
        <v>73</v>
      </c>
      <c r="U24" s="5">
        <v>173</v>
      </c>
      <c r="V24" s="5">
        <v>129846</v>
      </c>
      <c r="W24" s="1">
        <v>141</v>
      </c>
      <c r="X24" s="5">
        <v>3501661</v>
      </c>
      <c r="Y24" s="181">
        <v>8304</v>
      </c>
      <c r="Z24" s="5">
        <v>7</v>
      </c>
      <c r="AA24" s="100">
        <f>'Weather Data'!D120</f>
        <v>437.69999999999987</v>
      </c>
      <c r="AB24" s="100">
        <f>'Weather Data'!E120</f>
        <v>0</v>
      </c>
      <c r="AC24" s="100">
        <f>'Weather Data'!F120</f>
        <v>377.69999999999987</v>
      </c>
      <c r="AD24" s="100">
        <f>'Weather Data'!G120</f>
        <v>0</v>
      </c>
      <c r="AE24" s="100">
        <f>'Weather Data'!H120</f>
        <v>317.7</v>
      </c>
      <c r="AF24" s="100">
        <f>'Weather Data'!I120</f>
        <v>0</v>
      </c>
      <c r="AG24" s="100">
        <f>'Weather Data'!J120</f>
        <v>258.3</v>
      </c>
      <c r="AH24" s="100">
        <f>'Weather Data'!K120</f>
        <v>0.59999999999999964</v>
      </c>
      <c r="AI24" s="100">
        <f>'Weather Data'!L120</f>
        <v>200.30000000000004</v>
      </c>
      <c r="AJ24" s="100">
        <f>'Weather Data'!M120</f>
        <v>2.5999999999999996</v>
      </c>
      <c r="AK24" s="100">
        <f>'Weather Data'!N120</f>
        <v>142.30000000000004</v>
      </c>
      <c r="AL24" s="100">
        <f>'Weather Data'!O120</f>
        <v>4.5999999999999996</v>
      </c>
      <c r="AM24" s="100">
        <f>'Weather Data'!P120</f>
        <v>87.800000000000011</v>
      </c>
      <c r="AN24" s="100">
        <f>'Weather Data'!Q120</f>
        <v>10.1</v>
      </c>
      <c r="AO24" s="100">
        <f>'Weather Data'!R120</f>
        <v>5.4099999999999984</v>
      </c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70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05">
      <c r="A25" s="3">
        <v>40513</v>
      </c>
      <c r="B25">
        <f t="shared" si="1"/>
        <v>2010</v>
      </c>
      <c r="C25" s="2">
        <v>21599750</v>
      </c>
      <c r="D25" s="225">
        <v>0</v>
      </c>
      <c r="E25" s="5">
        <f t="shared" si="3"/>
        <v>21599750</v>
      </c>
      <c r="F25" s="5">
        <v>26107</v>
      </c>
      <c r="G25" s="5">
        <v>5784811</v>
      </c>
      <c r="H25" s="225">
        <v>0</v>
      </c>
      <c r="I25" s="5">
        <f t="shared" si="4"/>
        <v>5784811</v>
      </c>
      <c r="J25" s="220">
        <v>1915</v>
      </c>
      <c r="K25" s="5">
        <v>13703959</v>
      </c>
      <c r="L25" s="225">
        <v>0</v>
      </c>
      <c r="M25" s="5">
        <f t="shared" si="2"/>
        <v>13703959</v>
      </c>
      <c r="N25" s="5">
        <v>34445</v>
      </c>
      <c r="O25" s="5">
        <v>215</v>
      </c>
      <c r="P25" s="5">
        <v>611117</v>
      </c>
      <c r="Q25" s="5">
        <v>1439</v>
      </c>
      <c r="R25" s="5">
        <v>5581</v>
      </c>
      <c r="S25" s="5">
        <v>30089</v>
      </c>
      <c r="T25" s="5">
        <v>73</v>
      </c>
      <c r="U25" s="5">
        <v>173</v>
      </c>
      <c r="V25" s="5">
        <v>129846</v>
      </c>
      <c r="W25" s="1">
        <v>141</v>
      </c>
      <c r="X25" s="5">
        <v>3745631</v>
      </c>
      <c r="Y25" s="181">
        <v>9167</v>
      </c>
      <c r="Z25" s="5">
        <v>7</v>
      </c>
      <c r="AA25" s="100">
        <f>'Weather Data'!D121</f>
        <v>726.3</v>
      </c>
      <c r="AB25" s="100">
        <f>'Weather Data'!E121</f>
        <v>0</v>
      </c>
      <c r="AC25" s="100">
        <f>'Weather Data'!F121</f>
        <v>664.29999999999984</v>
      </c>
      <c r="AD25" s="100">
        <f>'Weather Data'!G121</f>
        <v>0</v>
      </c>
      <c r="AE25" s="100">
        <f>'Weather Data'!H121</f>
        <v>602.29999999999995</v>
      </c>
      <c r="AF25" s="100">
        <f>'Weather Data'!I121</f>
        <v>0</v>
      </c>
      <c r="AG25" s="100">
        <f>'Weather Data'!J121</f>
        <v>540.29999999999995</v>
      </c>
      <c r="AH25" s="100">
        <f>'Weather Data'!K121</f>
        <v>0</v>
      </c>
      <c r="AI25" s="100">
        <f>'Weather Data'!L121</f>
        <v>478.29999999999995</v>
      </c>
      <c r="AJ25" s="100">
        <f>'Weather Data'!M121</f>
        <v>0</v>
      </c>
      <c r="AK25" s="100">
        <f>'Weather Data'!N121</f>
        <v>416.3</v>
      </c>
      <c r="AL25" s="100">
        <f>'Weather Data'!O121</f>
        <v>0</v>
      </c>
      <c r="AM25" s="100">
        <f>'Weather Data'!P121</f>
        <v>354.3</v>
      </c>
      <c r="AN25" s="100">
        <f>'Weather Data'!Q121</f>
        <v>0</v>
      </c>
      <c r="AO25" s="100">
        <f>'Weather Data'!R121</f>
        <v>-3.4290322580645163</v>
      </c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70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05">
      <c r="A26" s="3">
        <v>40544</v>
      </c>
      <c r="B26">
        <f t="shared" si="1"/>
        <v>2011</v>
      </c>
      <c r="C26" s="2">
        <v>21967474</v>
      </c>
      <c r="D26" s="225">
        <f>VLOOKUP(B26,'Historic CDM'!$B$135:$H$147,2,FALSE)/12</f>
        <v>32303.802450958523</v>
      </c>
      <c r="E26" s="5">
        <f t="shared" si="3"/>
        <v>21999777.802450959</v>
      </c>
      <c r="F26" s="5">
        <v>26070</v>
      </c>
      <c r="G26" s="5">
        <v>5941401</v>
      </c>
      <c r="H26" s="2">
        <f>VLOOKUP(B26,'Historic CDM'!$B$135:$H$147,3,FALSE)/12</f>
        <v>27218.197761662206</v>
      </c>
      <c r="I26" s="5">
        <f t="shared" si="4"/>
        <v>5968619.1977616623</v>
      </c>
      <c r="J26" s="220">
        <v>1923</v>
      </c>
      <c r="K26" s="5">
        <v>14138537</v>
      </c>
      <c r="L26" s="225">
        <f>VLOOKUP(B26,'Historic CDM'!$B$135:$H$147,4,FALSE)/12</f>
        <v>23773.160538656568</v>
      </c>
      <c r="M26" s="5">
        <f t="shared" si="2"/>
        <v>14162310.160538657</v>
      </c>
      <c r="N26" s="5">
        <v>32129</v>
      </c>
      <c r="O26" s="5">
        <v>220</v>
      </c>
      <c r="P26" s="5">
        <v>603394</v>
      </c>
      <c r="Q26" s="5">
        <v>1441</v>
      </c>
      <c r="R26" s="5">
        <v>5581</v>
      </c>
      <c r="S26" s="5">
        <v>32730</v>
      </c>
      <c r="T26" s="5">
        <v>74</v>
      </c>
      <c r="U26" s="5">
        <v>175</v>
      </c>
      <c r="V26" s="5">
        <v>129846</v>
      </c>
      <c r="W26" s="1">
        <v>141</v>
      </c>
      <c r="X26" s="5">
        <v>3929247</v>
      </c>
      <c r="Y26" s="181">
        <v>8448</v>
      </c>
      <c r="Z26" s="5">
        <v>7</v>
      </c>
      <c r="AA26" s="100">
        <f>'Weather Data'!D122</f>
        <v>792.89999999999986</v>
      </c>
      <c r="AB26" s="100">
        <f>'Weather Data'!E122</f>
        <v>0</v>
      </c>
      <c r="AC26" s="100">
        <f>'Weather Data'!F122</f>
        <v>730.89999999999986</v>
      </c>
      <c r="AD26" s="100">
        <f>'Weather Data'!G122</f>
        <v>0</v>
      </c>
      <c r="AE26" s="100">
        <f>'Weather Data'!H122</f>
        <v>668.9</v>
      </c>
      <c r="AF26" s="100">
        <f>'Weather Data'!I122</f>
        <v>0</v>
      </c>
      <c r="AG26" s="100">
        <f>'Weather Data'!J122</f>
        <v>606.9</v>
      </c>
      <c r="AH26" s="100">
        <f>'Weather Data'!K122</f>
        <v>0</v>
      </c>
      <c r="AI26" s="100">
        <f>'Weather Data'!L122</f>
        <v>544.9</v>
      </c>
      <c r="AJ26" s="100">
        <f>'Weather Data'!M122</f>
        <v>0</v>
      </c>
      <c r="AK26" s="100">
        <f>'Weather Data'!N122</f>
        <v>482.90000000000003</v>
      </c>
      <c r="AL26" s="100">
        <f>'Weather Data'!O122</f>
        <v>0</v>
      </c>
      <c r="AM26" s="100">
        <f>'Weather Data'!P122</f>
        <v>420.89999999999992</v>
      </c>
      <c r="AN26" s="100">
        <f>'Weather Data'!Q122</f>
        <v>0</v>
      </c>
      <c r="AO26" s="100">
        <f>'Weather Data'!R122</f>
        <v>-5.5774193548387094</v>
      </c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70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05">
      <c r="A27" s="3">
        <v>40575</v>
      </c>
      <c r="B27">
        <f t="shared" si="1"/>
        <v>2011</v>
      </c>
      <c r="C27" s="2">
        <v>18744691</v>
      </c>
      <c r="D27" s="225">
        <f>VLOOKUP(B27,'Historic CDM'!$B$135:$H$147,2,FALSE)/12</f>
        <v>32303.802450958523</v>
      </c>
      <c r="E27" s="5">
        <f t="shared" si="3"/>
        <v>18776994.802450959</v>
      </c>
      <c r="F27" s="5">
        <v>26066</v>
      </c>
      <c r="G27" s="5">
        <v>5277784</v>
      </c>
      <c r="H27" s="2">
        <f>VLOOKUP(B27,'Historic CDM'!$B$135:$H$147,3,FALSE)/12</f>
        <v>27218.197761662206</v>
      </c>
      <c r="I27" s="5">
        <f t="shared" si="4"/>
        <v>5305002.1977616623</v>
      </c>
      <c r="J27" s="220">
        <v>1914</v>
      </c>
      <c r="K27" s="5">
        <v>12662404</v>
      </c>
      <c r="L27" s="225">
        <f>VLOOKUP(B27,'Historic CDM'!$B$135:$H$147,4,FALSE)/12</f>
        <v>23773.160538656568</v>
      </c>
      <c r="M27" s="5">
        <f t="shared" si="2"/>
        <v>12686177.160538657</v>
      </c>
      <c r="N27" s="5">
        <v>31979</v>
      </c>
      <c r="O27" s="5">
        <v>221</v>
      </c>
      <c r="P27" s="5">
        <v>567365</v>
      </c>
      <c r="Q27" s="5">
        <v>1503</v>
      </c>
      <c r="R27" s="5">
        <v>2649</v>
      </c>
      <c r="S27" s="5">
        <v>35668</v>
      </c>
      <c r="T27" s="5">
        <v>74</v>
      </c>
      <c r="U27" s="5">
        <v>175</v>
      </c>
      <c r="V27" s="5">
        <v>129846</v>
      </c>
      <c r="W27" s="1">
        <v>141</v>
      </c>
      <c r="X27" s="5">
        <v>3505388</v>
      </c>
      <c r="Y27" s="181">
        <v>8669</v>
      </c>
      <c r="Z27" s="5">
        <v>7</v>
      </c>
      <c r="AA27" s="100">
        <f>'Weather Data'!D123</f>
        <v>670.6</v>
      </c>
      <c r="AB27" s="100">
        <f>'Weather Data'!E123</f>
        <v>0</v>
      </c>
      <c r="AC27" s="100">
        <f>'Weather Data'!F123</f>
        <v>614.6</v>
      </c>
      <c r="AD27" s="100">
        <f>'Weather Data'!G123</f>
        <v>0</v>
      </c>
      <c r="AE27" s="100">
        <f>'Weather Data'!H123</f>
        <v>558.59999999999991</v>
      </c>
      <c r="AF27" s="100">
        <f>'Weather Data'!I123</f>
        <v>0</v>
      </c>
      <c r="AG27" s="100">
        <f>'Weather Data'!J123</f>
        <v>502.60000000000008</v>
      </c>
      <c r="AH27" s="100">
        <f>'Weather Data'!K123</f>
        <v>0</v>
      </c>
      <c r="AI27" s="100">
        <f>'Weather Data'!L123</f>
        <v>446.6</v>
      </c>
      <c r="AJ27" s="100">
        <f>'Weather Data'!M123</f>
        <v>0</v>
      </c>
      <c r="AK27" s="100">
        <f>'Weather Data'!N123</f>
        <v>390.6</v>
      </c>
      <c r="AL27" s="100">
        <f>'Weather Data'!O123</f>
        <v>0</v>
      </c>
      <c r="AM27" s="100">
        <f>'Weather Data'!P123</f>
        <v>334.60000000000008</v>
      </c>
      <c r="AN27" s="100">
        <f>'Weather Data'!Q123</f>
        <v>0</v>
      </c>
      <c r="AO27" s="100">
        <f>'Weather Data'!R123</f>
        <v>-3.9499999999999997</v>
      </c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70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05">
      <c r="A28" s="3">
        <v>40603</v>
      </c>
      <c r="B28">
        <f t="shared" si="1"/>
        <v>2011</v>
      </c>
      <c r="C28" s="2">
        <v>18809256</v>
      </c>
      <c r="D28" s="225">
        <f>VLOOKUP(B28,'Historic CDM'!$B$135:$H$147,2,FALSE)/12</f>
        <v>32303.802450958523</v>
      </c>
      <c r="E28" s="5">
        <f t="shared" si="3"/>
        <v>18841559.802450959</v>
      </c>
      <c r="F28" s="5">
        <v>26095</v>
      </c>
      <c r="G28" s="5">
        <v>5545713</v>
      </c>
      <c r="H28" s="2">
        <f>VLOOKUP(B28,'Historic CDM'!$B$135:$H$147,3,FALSE)/12</f>
        <v>27218.197761662206</v>
      </c>
      <c r="I28" s="5">
        <f t="shared" si="4"/>
        <v>5572931.1977616623</v>
      </c>
      <c r="J28" s="220">
        <v>1922</v>
      </c>
      <c r="K28" s="5">
        <v>13568070</v>
      </c>
      <c r="L28" s="225">
        <f>VLOOKUP(B28,'Historic CDM'!$B$135:$H$147,4,FALSE)/12</f>
        <v>23773.160538656568</v>
      </c>
      <c r="M28" s="5">
        <f t="shared" si="2"/>
        <v>13591843.160538657</v>
      </c>
      <c r="N28" s="5">
        <v>32047</v>
      </c>
      <c r="O28" s="5">
        <v>222</v>
      </c>
      <c r="P28" s="5">
        <v>529435</v>
      </c>
      <c r="Q28" s="5">
        <v>1503</v>
      </c>
      <c r="R28" s="5">
        <v>2649</v>
      </c>
      <c r="S28" s="5">
        <v>32688</v>
      </c>
      <c r="T28" s="5">
        <v>74</v>
      </c>
      <c r="U28" s="5">
        <v>175</v>
      </c>
      <c r="V28" s="5">
        <v>129846</v>
      </c>
      <c r="W28" s="1">
        <v>141</v>
      </c>
      <c r="X28" s="5">
        <v>3765209</v>
      </c>
      <c r="Y28" s="181">
        <v>8493</v>
      </c>
      <c r="Z28" s="5">
        <v>7</v>
      </c>
      <c r="AA28" s="100">
        <f>'Weather Data'!D124</f>
        <v>582.1</v>
      </c>
      <c r="AB28" s="100">
        <f>'Weather Data'!E124</f>
        <v>0</v>
      </c>
      <c r="AC28" s="100">
        <f>'Weather Data'!F124</f>
        <v>520.09999999999991</v>
      </c>
      <c r="AD28" s="100">
        <f>'Weather Data'!G124</f>
        <v>0</v>
      </c>
      <c r="AE28" s="100">
        <f>'Weather Data'!H124</f>
        <v>458.09999999999991</v>
      </c>
      <c r="AF28" s="100">
        <f>'Weather Data'!I124</f>
        <v>0</v>
      </c>
      <c r="AG28" s="100">
        <f>'Weather Data'!J124</f>
        <v>396.09999999999997</v>
      </c>
      <c r="AH28" s="100">
        <f>'Weather Data'!K124</f>
        <v>0</v>
      </c>
      <c r="AI28" s="100">
        <f>'Weather Data'!L124</f>
        <v>334.09999999999997</v>
      </c>
      <c r="AJ28" s="100">
        <f>'Weather Data'!M124</f>
        <v>0</v>
      </c>
      <c r="AK28" s="100">
        <f>'Weather Data'!N124</f>
        <v>274.30000000000007</v>
      </c>
      <c r="AL28" s="100">
        <f>'Weather Data'!O124</f>
        <v>2.2000000000000011</v>
      </c>
      <c r="AM28" s="100">
        <f>'Weather Data'!P124</f>
        <v>216.70000000000002</v>
      </c>
      <c r="AN28" s="100">
        <f>'Weather Data'!Q124</f>
        <v>6.6000000000000014</v>
      </c>
      <c r="AO28" s="100">
        <f>'Weather Data'!R124</f>
        <v>1.2225806451612906</v>
      </c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70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05">
      <c r="A29" s="3">
        <v>40634</v>
      </c>
      <c r="B29">
        <f t="shared" si="1"/>
        <v>2011</v>
      </c>
      <c r="C29" s="2">
        <v>16914582</v>
      </c>
      <c r="D29" s="225">
        <f>VLOOKUP(B29,'Historic CDM'!$B$135:$H$147,2,FALSE)/12</f>
        <v>32303.802450958523</v>
      </c>
      <c r="E29" s="5">
        <f t="shared" si="3"/>
        <v>16946885.802450959</v>
      </c>
      <c r="F29" s="5">
        <v>26233</v>
      </c>
      <c r="G29" s="5">
        <v>5089895</v>
      </c>
      <c r="H29" s="2">
        <f>VLOOKUP(B29,'Historic CDM'!$B$135:$H$147,3,FALSE)/12</f>
        <v>27218.197761662206</v>
      </c>
      <c r="I29" s="5">
        <f t="shared" si="4"/>
        <v>5117113.1977616623</v>
      </c>
      <c r="J29" s="220">
        <v>1926</v>
      </c>
      <c r="K29" s="5">
        <v>12210910</v>
      </c>
      <c r="L29" s="225">
        <f>VLOOKUP(B29,'Historic CDM'!$B$135:$H$147,4,FALSE)/12</f>
        <v>23773.160538656568</v>
      </c>
      <c r="M29" s="5">
        <f t="shared" si="2"/>
        <v>12234683.160538657</v>
      </c>
      <c r="N29" s="5">
        <v>11621</v>
      </c>
      <c r="O29" s="5">
        <v>223</v>
      </c>
      <c r="P29" s="5">
        <v>444596</v>
      </c>
      <c r="Q29" s="5">
        <v>1504</v>
      </c>
      <c r="R29" s="5">
        <v>2649</v>
      </c>
      <c r="S29" s="5">
        <v>32631</v>
      </c>
      <c r="T29" s="5">
        <v>74</v>
      </c>
      <c r="U29" s="5">
        <v>174</v>
      </c>
      <c r="V29" s="5">
        <v>129846</v>
      </c>
      <c r="W29" s="1">
        <v>141</v>
      </c>
      <c r="X29" s="5">
        <v>3392080</v>
      </c>
      <c r="Y29" s="181">
        <v>653</v>
      </c>
      <c r="Z29" s="5">
        <v>7</v>
      </c>
      <c r="AA29" s="100">
        <f>'Weather Data'!D125</f>
        <v>353.79999999999995</v>
      </c>
      <c r="AB29" s="100">
        <f>'Weather Data'!E125</f>
        <v>0</v>
      </c>
      <c r="AC29" s="100">
        <f>'Weather Data'!F125</f>
        <v>293.8</v>
      </c>
      <c r="AD29" s="100">
        <f>'Weather Data'!G125</f>
        <v>0</v>
      </c>
      <c r="AE29" s="100">
        <f>'Weather Data'!H125</f>
        <v>235.50000000000003</v>
      </c>
      <c r="AF29" s="100">
        <f>'Weather Data'!I125</f>
        <v>1.6999999999999993</v>
      </c>
      <c r="AG29" s="100">
        <f>'Weather Data'!J125</f>
        <v>182.40000000000003</v>
      </c>
      <c r="AH29" s="100">
        <f>'Weather Data'!K125</f>
        <v>8.6</v>
      </c>
      <c r="AI29" s="100">
        <f>'Weather Data'!L125</f>
        <v>132.4</v>
      </c>
      <c r="AJ29" s="100">
        <f>'Weather Data'!M125</f>
        <v>18.600000000000001</v>
      </c>
      <c r="AK29" s="100">
        <f>'Weather Data'!N125</f>
        <v>86</v>
      </c>
      <c r="AL29" s="100">
        <f>'Weather Data'!O125</f>
        <v>32.199999999999996</v>
      </c>
      <c r="AM29" s="100">
        <f>'Weather Data'!P125</f>
        <v>48.599999999999994</v>
      </c>
      <c r="AN29" s="100">
        <f>'Weather Data'!Q125</f>
        <v>54.8</v>
      </c>
      <c r="AO29" s="100">
        <f>'Weather Data'!R125</f>
        <v>8.2066666666666652</v>
      </c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70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05">
      <c r="A30" s="3">
        <v>40664</v>
      </c>
      <c r="B30">
        <f t="shared" si="1"/>
        <v>2011</v>
      </c>
      <c r="C30" s="2">
        <v>18380460</v>
      </c>
      <c r="D30" s="225">
        <f>VLOOKUP(B30,'Historic CDM'!$B$135:$H$147,2,FALSE)/12</f>
        <v>32303.802450958523</v>
      </c>
      <c r="E30" s="5">
        <f t="shared" si="3"/>
        <v>18412763.802450959</v>
      </c>
      <c r="F30" s="5">
        <v>26151</v>
      </c>
      <c r="G30" s="5">
        <v>5377947</v>
      </c>
      <c r="H30" s="2">
        <f>VLOOKUP(B30,'Historic CDM'!$B$135:$H$147,3,FALSE)/12</f>
        <v>27218.197761662206</v>
      </c>
      <c r="I30" s="5">
        <f t="shared" si="4"/>
        <v>5405165.1977616623</v>
      </c>
      <c r="J30" s="220">
        <v>1919</v>
      </c>
      <c r="K30" s="5">
        <v>12797589</v>
      </c>
      <c r="L30" s="225">
        <f>VLOOKUP(B30,'Historic CDM'!$B$135:$H$147,4,FALSE)/12</f>
        <v>23773.160538656568</v>
      </c>
      <c r="M30" s="5">
        <f t="shared" si="2"/>
        <v>12821362.160538657</v>
      </c>
      <c r="N30" s="5">
        <v>36971</v>
      </c>
      <c r="O30" s="5">
        <v>223</v>
      </c>
      <c r="P30" s="5">
        <v>400254</v>
      </c>
      <c r="Q30" s="5">
        <v>1505</v>
      </c>
      <c r="R30" s="5">
        <v>2649</v>
      </c>
      <c r="S30" s="5">
        <v>32621</v>
      </c>
      <c r="T30" s="5">
        <v>74</v>
      </c>
      <c r="U30" s="5">
        <v>174</v>
      </c>
      <c r="V30" s="5">
        <v>129846</v>
      </c>
      <c r="W30" s="1">
        <v>141</v>
      </c>
      <c r="X30" s="5">
        <v>3418203</v>
      </c>
      <c r="Y30" s="181">
        <v>9609</v>
      </c>
      <c r="Z30" s="5">
        <v>7</v>
      </c>
      <c r="AA30" s="100">
        <f>'Weather Data'!D126</f>
        <v>159.70000000000002</v>
      </c>
      <c r="AB30" s="100">
        <f>'Weather Data'!E126</f>
        <v>18.8</v>
      </c>
      <c r="AC30" s="100">
        <f>'Weather Data'!F126</f>
        <v>112.29999999999998</v>
      </c>
      <c r="AD30" s="100">
        <f>'Weather Data'!G126</f>
        <v>33.4</v>
      </c>
      <c r="AE30" s="100">
        <f>'Weather Data'!H126</f>
        <v>70.399999999999991</v>
      </c>
      <c r="AF30" s="100">
        <f>'Weather Data'!I126</f>
        <v>53.499999999999993</v>
      </c>
      <c r="AG30" s="100">
        <f>'Weather Data'!J126</f>
        <v>37.199999999999996</v>
      </c>
      <c r="AH30" s="100">
        <f>'Weather Data'!K126</f>
        <v>82.300000000000011</v>
      </c>
      <c r="AI30" s="100">
        <f>'Weather Data'!L126</f>
        <v>19.200000000000003</v>
      </c>
      <c r="AJ30" s="100">
        <f>'Weather Data'!M126</f>
        <v>126.30000000000001</v>
      </c>
      <c r="AK30" s="100">
        <f>'Weather Data'!N126</f>
        <v>7.9999999999999982</v>
      </c>
      <c r="AL30" s="100">
        <f>'Weather Data'!O126</f>
        <v>177.10000000000002</v>
      </c>
      <c r="AM30" s="100">
        <f>'Weather Data'!P126</f>
        <v>2.0999999999999996</v>
      </c>
      <c r="AN30" s="100">
        <f>'Weather Data'!Q126</f>
        <v>233.19999999999996</v>
      </c>
      <c r="AO30" s="100">
        <f>'Weather Data'!R126</f>
        <v>15.45483870967742</v>
      </c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70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05">
      <c r="A31" s="3">
        <v>40695</v>
      </c>
      <c r="B31">
        <f t="shared" si="1"/>
        <v>2011</v>
      </c>
      <c r="C31" s="2">
        <v>24677832</v>
      </c>
      <c r="D31" s="225">
        <f>VLOOKUP(B31,'Historic CDM'!$B$135:$H$147,2,FALSE)/12</f>
        <v>32303.802450958523</v>
      </c>
      <c r="E31" s="5">
        <f t="shared" si="3"/>
        <v>24710135.802450959</v>
      </c>
      <c r="F31" s="5">
        <v>26263</v>
      </c>
      <c r="G31" s="5">
        <v>5890940</v>
      </c>
      <c r="H31" s="2">
        <f>VLOOKUP(B31,'Historic CDM'!$B$135:$H$147,3,FALSE)/12</f>
        <v>27218.197761662206</v>
      </c>
      <c r="I31" s="5">
        <f t="shared" si="4"/>
        <v>5918158.1977616623</v>
      </c>
      <c r="J31" s="220">
        <v>1925</v>
      </c>
      <c r="K31" s="5">
        <v>13652963</v>
      </c>
      <c r="L31" s="225">
        <f>VLOOKUP(B31,'Historic CDM'!$B$135:$H$147,4,FALSE)/12</f>
        <v>23773.160538656568</v>
      </c>
      <c r="M31" s="5">
        <f t="shared" si="2"/>
        <v>13676736.160538657</v>
      </c>
      <c r="N31" s="5">
        <v>39965</v>
      </c>
      <c r="O31" s="5">
        <v>224</v>
      </c>
      <c r="P31" s="5">
        <v>352114</v>
      </c>
      <c r="Q31" s="5">
        <v>1505</v>
      </c>
      <c r="R31" s="5">
        <v>2649</v>
      </c>
      <c r="S31" s="5">
        <v>32450</v>
      </c>
      <c r="T31" s="5">
        <v>74</v>
      </c>
      <c r="U31" s="5">
        <v>174</v>
      </c>
      <c r="V31" s="5">
        <v>129846</v>
      </c>
      <c r="W31" s="1">
        <v>141</v>
      </c>
      <c r="X31" s="5">
        <v>3393710</v>
      </c>
      <c r="Y31" s="181">
        <v>9876</v>
      </c>
      <c r="Z31" s="5">
        <v>7</v>
      </c>
      <c r="AA31" s="100">
        <f>'Weather Data'!D127</f>
        <v>24.399999999999995</v>
      </c>
      <c r="AB31" s="100">
        <f>'Weather Data'!E127</f>
        <v>59.100000000000009</v>
      </c>
      <c r="AC31" s="100">
        <f>'Weather Data'!F127</f>
        <v>10.099999999999994</v>
      </c>
      <c r="AD31" s="100">
        <f>'Weather Data'!G127</f>
        <v>104.80000000000001</v>
      </c>
      <c r="AE31" s="100">
        <f>'Weather Data'!H127</f>
        <v>1</v>
      </c>
      <c r="AF31" s="100">
        <f>'Weather Data'!I127</f>
        <v>155.69999999999999</v>
      </c>
      <c r="AG31" s="100">
        <f>'Weather Data'!J127</f>
        <v>0</v>
      </c>
      <c r="AH31" s="100">
        <f>'Weather Data'!K127</f>
        <v>214.70000000000002</v>
      </c>
      <c r="AI31" s="100">
        <f>'Weather Data'!L127</f>
        <v>0</v>
      </c>
      <c r="AJ31" s="100">
        <f>'Weather Data'!M127</f>
        <v>274.7</v>
      </c>
      <c r="AK31" s="100">
        <f>'Weather Data'!N127</f>
        <v>0</v>
      </c>
      <c r="AL31" s="100">
        <f>'Weather Data'!O127</f>
        <v>334.7</v>
      </c>
      <c r="AM31" s="100">
        <f>'Weather Data'!P127</f>
        <v>0</v>
      </c>
      <c r="AN31" s="100">
        <f>'Weather Data'!Q127</f>
        <v>394.7</v>
      </c>
      <c r="AO31" s="100">
        <f>'Weather Data'!R127</f>
        <v>21.15666666666667</v>
      </c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70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05">
      <c r="A32" s="3">
        <v>40725</v>
      </c>
      <c r="B32">
        <f t="shared" si="1"/>
        <v>2011</v>
      </c>
      <c r="C32" s="2">
        <v>33147849</v>
      </c>
      <c r="D32" s="225">
        <f>VLOOKUP(B32,'Historic CDM'!$B$135:$H$147,2,FALSE)/12</f>
        <v>32303.802450958523</v>
      </c>
      <c r="E32" s="5">
        <f t="shared" si="3"/>
        <v>33180152.802450959</v>
      </c>
      <c r="F32" s="5">
        <v>26274</v>
      </c>
      <c r="G32" s="5">
        <v>6792353</v>
      </c>
      <c r="H32" s="2">
        <f>VLOOKUP(B32,'Historic CDM'!$B$135:$H$147,3,FALSE)/12</f>
        <v>27218.197761662206</v>
      </c>
      <c r="I32" s="5">
        <f t="shared" si="4"/>
        <v>6819571.1977616623</v>
      </c>
      <c r="J32" s="220">
        <v>1925</v>
      </c>
      <c r="K32" s="5">
        <v>16448699</v>
      </c>
      <c r="L32" s="225">
        <f>VLOOKUP(B32,'Historic CDM'!$B$135:$H$147,4,FALSE)/12</f>
        <v>23773.160538656568</v>
      </c>
      <c r="M32" s="5">
        <f t="shared" si="2"/>
        <v>16472472.160538657</v>
      </c>
      <c r="N32" s="5">
        <v>43278</v>
      </c>
      <c r="O32" s="5">
        <v>228</v>
      </c>
      <c r="P32" s="5">
        <v>372454</v>
      </c>
      <c r="Q32" s="5">
        <v>1505</v>
      </c>
      <c r="R32" s="5">
        <v>2649</v>
      </c>
      <c r="S32" s="5">
        <v>29033</v>
      </c>
      <c r="T32" s="5">
        <v>74</v>
      </c>
      <c r="U32" s="5">
        <v>174</v>
      </c>
      <c r="V32" s="5">
        <v>129846</v>
      </c>
      <c r="W32" s="1">
        <v>141</v>
      </c>
      <c r="X32" s="5">
        <v>4348161</v>
      </c>
      <c r="Y32" s="181">
        <v>12954</v>
      </c>
      <c r="Z32" s="5">
        <v>7</v>
      </c>
      <c r="AA32" s="100">
        <f>'Weather Data'!D128</f>
        <v>0</v>
      </c>
      <c r="AB32" s="100">
        <f>'Weather Data'!E128</f>
        <v>180.29999999999995</v>
      </c>
      <c r="AC32" s="100">
        <f>'Weather Data'!F128</f>
        <v>0</v>
      </c>
      <c r="AD32" s="100">
        <f>'Weather Data'!G128</f>
        <v>242.29999999999998</v>
      </c>
      <c r="AE32" s="100">
        <f>'Weather Data'!H128</f>
        <v>0</v>
      </c>
      <c r="AF32" s="100">
        <f>'Weather Data'!I128</f>
        <v>304.29999999999995</v>
      </c>
      <c r="AG32" s="100">
        <f>'Weather Data'!J128</f>
        <v>0</v>
      </c>
      <c r="AH32" s="100">
        <f>'Weather Data'!K128</f>
        <v>366.29999999999995</v>
      </c>
      <c r="AI32" s="100">
        <f>'Weather Data'!L128</f>
        <v>0</v>
      </c>
      <c r="AJ32" s="100">
        <f>'Weather Data'!M128</f>
        <v>428.29999999999995</v>
      </c>
      <c r="AK32" s="100">
        <f>'Weather Data'!N128</f>
        <v>0</v>
      </c>
      <c r="AL32" s="100">
        <f>'Weather Data'!O128</f>
        <v>490.3</v>
      </c>
      <c r="AM32" s="100">
        <f>'Weather Data'!P128</f>
        <v>0</v>
      </c>
      <c r="AN32" s="100">
        <f>'Weather Data'!Q128</f>
        <v>552.30000000000007</v>
      </c>
      <c r="AO32" s="100">
        <f>'Weather Data'!R128</f>
        <v>25.816129032258072</v>
      </c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70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1:105">
      <c r="A33" s="3">
        <v>40756</v>
      </c>
      <c r="B33">
        <f t="shared" si="1"/>
        <v>2011</v>
      </c>
      <c r="C33" s="2">
        <v>30203972</v>
      </c>
      <c r="D33" s="225">
        <f>VLOOKUP(B33,'Historic CDM'!$B$135:$H$147,2,FALSE)/12</f>
        <v>32303.802450958523</v>
      </c>
      <c r="E33" s="5">
        <f t="shared" si="3"/>
        <v>30236275.802450959</v>
      </c>
      <c r="F33" s="5">
        <v>26305</v>
      </c>
      <c r="G33" s="5">
        <v>6518442</v>
      </c>
      <c r="H33" s="2">
        <f>VLOOKUP(B33,'Historic CDM'!$B$135:$H$147,3,FALSE)/12</f>
        <v>27218.197761662206</v>
      </c>
      <c r="I33" s="5">
        <f t="shared" si="4"/>
        <v>6545660.1977616623</v>
      </c>
      <c r="J33" s="220">
        <v>1915</v>
      </c>
      <c r="K33" s="5">
        <v>16773832</v>
      </c>
      <c r="L33" s="225">
        <f>VLOOKUP(B33,'Historic CDM'!$B$135:$H$147,4,FALSE)/12</f>
        <v>23773.160538656568</v>
      </c>
      <c r="M33" s="5">
        <f t="shared" si="2"/>
        <v>16797605.160538655</v>
      </c>
      <c r="N33" s="5">
        <v>46085</v>
      </c>
      <c r="O33" s="5">
        <v>228</v>
      </c>
      <c r="P33" s="5">
        <v>416828</v>
      </c>
      <c r="Q33" s="5">
        <v>1505</v>
      </c>
      <c r="R33" s="5">
        <v>2649</v>
      </c>
      <c r="S33" s="5">
        <v>32589</v>
      </c>
      <c r="T33" s="5">
        <v>73</v>
      </c>
      <c r="U33" s="5">
        <v>173</v>
      </c>
      <c r="V33" s="5">
        <v>129846</v>
      </c>
      <c r="W33" s="1">
        <v>141</v>
      </c>
      <c r="X33" s="5">
        <v>3865736</v>
      </c>
      <c r="Y33" s="181">
        <v>9251</v>
      </c>
      <c r="Z33" s="5">
        <v>7</v>
      </c>
      <c r="AA33" s="100">
        <f>'Weather Data'!D129</f>
        <v>0.90000000000000213</v>
      </c>
      <c r="AB33" s="100">
        <f>'Weather Data'!E129</f>
        <v>83.300000000000011</v>
      </c>
      <c r="AC33" s="100">
        <f>'Weather Data'!F129</f>
        <v>0</v>
      </c>
      <c r="AD33" s="100">
        <f>'Weather Data'!G129</f>
        <v>144.4</v>
      </c>
      <c r="AE33" s="100">
        <f>'Weather Data'!H129</f>
        <v>0</v>
      </c>
      <c r="AF33" s="100">
        <f>'Weather Data'!I129</f>
        <v>206.4</v>
      </c>
      <c r="AG33" s="100">
        <f>'Weather Data'!J129</f>
        <v>0</v>
      </c>
      <c r="AH33" s="100">
        <f>'Weather Data'!K129</f>
        <v>268.40000000000009</v>
      </c>
      <c r="AI33" s="100">
        <f>'Weather Data'!L129</f>
        <v>0</v>
      </c>
      <c r="AJ33" s="100">
        <f>'Weather Data'!M129</f>
        <v>330.40000000000003</v>
      </c>
      <c r="AK33" s="100">
        <f>'Weather Data'!N129</f>
        <v>0</v>
      </c>
      <c r="AL33" s="100">
        <f>'Weather Data'!O129</f>
        <v>392.40000000000003</v>
      </c>
      <c r="AM33" s="100">
        <f>'Weather Data'!P129</f>
        <v>0</v>
      </c>
      <c r="AN33" s="100">
        <f>'Weather Data'!Q129</f>
        <v>454.4</v>
      </c>
      <c r="AO33" s="100">
        <f>'Weather Data'!R129</f>
        <v>22.658064516129031</v>
      </c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70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1:105">
      <c r="A34" s="3">
        <v>40787</v>
      </c>
      <c r="B34">
        <f t="shared" si="1"/>
        <v>2011</v>
      </c>
      <c r="C34" s="2">
        <v>20719035</v>
      </c>
      <c r="D34" s="225">
        <f>VLOOKUP(B34,'Historic CDM'!$B$135:$H$147,2,FALSE)/12</f>
        <v>32303.802450958523</v>
      </c>
      <c r="E34" s="5">
        <f t="shared" si="3"/>
        <v>20751338.802450959</v>
      </c>
      <c r="F34" s="5">
        <v>26278</v>
      </c>
      <c r="G34" s="5">
        <v>5533120</v>
      </c>
      <c r="H34" s="2">
        <f>VLOOKUP(B34,'Historic CDM'!$B$135:$H$147,3,FALSE)/12</f>
        <v>27218.197761662206</v>
      </c>
      <c r="I34" s="5">
        <f t="shared" si="4"/>
        <v>5560338.1977616623</v>
      </c>
      <c r="J34" s="220">
        <v>2510</v>
      </c>
      <c r="K34" s="5">
        <v>16460736</v>
      </c>
      <c r="L34" s="225">
        <f>VLOOKUP(B34,'Historic CDM'!$B$135:$H$147,4,FALSE)/12</f>
        <v>23773.160538656568</v>
      </c>
      <c r="M34" s="5">
        <f t="shared" ref="M34:M65" si="5">K34+L34</f>
        <v>16484509.160538657</v>
      </c>
      <c r="N34" s="5">
        <v>44580</v>
      </c>
      <c r="O34" s="5">
        <v>227</v>
      </c>
      <c r="P34" s="5">
        <v>472660</v>
      </c>
      <c r="Q34" s="5">
        <v>1515</v>
      </c>
      <c r="R34" s="5">
        <v>2658</v>
      </c>
      <c r="S34" s="5">
        <v>35655</v>
      </c>
      <c r="T34" s="5">
        <v>73</v>
      </c>
      <c r="U34" s="5">
        <v>173</v>
      </c>
      <c r="V34" s="5">
        <v>129846</v>
      </c>
      <c r="W34" s="1">
        <v>141</v>
      </c>
      <c r="X34" s="5">
        <v>4925030</v>
      </c>
      <c r="Y34" s="181">
        <v>25467</v>
      </c>
      <c r="Z34" s="5">
        <v>7</v>
      </c>
      <c r="AA34" s="100">
        <f>'Weather Data'!D130</f>
        <v>100.2</v>
      </c>
      <c r="AB34" s="100">
        <f>'Weather Data'!E130</f>
        <v>28.6</v>
      </c>
      <c r="AC34" s="100">
        <f>'Weather Data'!F130</f>
        <v>59.3</v>
      </c>
      <c r="AD34" s="100">
        <f>'Weather Data'!G130</f>
        <v>47.7</v>
      </c>
      <c r="AE34" s="100">
        <f>'Weather Data'!H130</f>
        <v>28.200000000000003</v>
      </c>
      <c r="AF34" s="100">
        <f>'Weather Data'!I130</f>
        <v>76.599999999999994</v>
      </c>
      <c r="AG34" s="100">
        <f>'Weather Data'!J130</f>
        <v>9.6</v>
      </c>
      <c r="AH34" s="100">
        <f>'Weather Data'!K130</f>
        <v>117.99999999999996</v>
      </c>
      <c r="AI34" s="100">
        <f>'Weather Data'!L130</f>
        <v>3.1999999999999993</v>
      </c>
      <c r="AJ34" s="100">
        <f>'Weather Data'!M130</f>
        <v>171.59999999999997</v>
      </c>
      <c r="AK34" s="100">
        <f>'Weather Data'!N130</f>
        <v>0.40000000000000036</v>
      </c>
      <c r="AL34" s="100">
        <f>'Weather Data'!O130</f>
        <v>228.79999999999998</v>
      </c>
      <c r="AM34" s="100">
        <f>'Weather Data'!P130</f>
        <v>0</v>
      </c>
      <c r="AN34" s="100">
        <f>'Weather Data'!Q130</f>
        <v>288.40000000000003</v>
      </c>
      <c r="AO34" s="100">
        <f>'Weather Data'!R130</f>
        <v>17.613333333333337</v>
      </c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70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1:105">
      <c r="A35" s="3">
        <v>40817</v>
      </c>
      <c r="B35">
        <f t="shared" si="1"/>
        <v>2011</v>
      </c>
      <c r="C35" s="2">
        <v>16906747</v>
      </c>
      <c r="D35" s="225">
        <f>VLOOKUP(B35,'Historic CDM'!$B$135:$H$147,2,FALSE)/12</f>
        <v>32303.802450958523</v>
      </c>
      <c r="E35" s="5">
        <f t="shared" si="3"/>
        <v>16939050.802450959</v>
      </c>
      <c r="F35" s="5">
        <v>26251</v>
      </c>
      <c r="G35" s="5">
        <v>5028370</v>
      </c>
      <c r="H35" s="2">
        <f>VLOOKUP(B35,'Historic CDM'!$B$135:$H$147,3,FALSE)/12</f>
        <v>27218.197761662206</v>
      </c>
      <c r="I35" s="5">
        <f t="shared" si="4"/>
        <v>5055588.1977616623</v>
      </c>
      <c r="J35" s="220">
        <v>1974</v>
      </c>
      <c r="K35" s="5">
        <v>14595775</v>
      </c>
      <c r="L35" s="225">
        <f>VLOOKUP(B35,'Historic CDM'!$B$135:$H$147,4,FALSE)/12</f>
        <v>23773.160538656568</v>
      </c>
      <c r="M35" s="5">
        <f t="shared" si="5"/>
        <v>14619548.160538657</v>
      </c>
      <c r="N35" s="5">
        <v>38428</v>
      </c>
      <c r="O35" s="5">
        <v>223</v>
      </c>
      <c r="P35" s="5">
        <v>559088</v>
      </c>
      <c r="Q35" s="5">
        <v>1515</v>
      </c>
      <c r="R35" s="5">
        <v>2658</v>
      </c>
      <c r="S35" s="5">
        <v>32106</v>
      </c>
      <c r="T35" s="5">
        <v>73</v>
      </c>
      <c r="U35" s="5">
        <v>173</v>
      </c>
      <c r="V35" s="5">
        <v>129846</v>
      </c>
      <c r="W35" s="1">
        <v>141</v>
      </c>
      <c r="X35" s="5">
        <v>4252152</v>
      </c>
      <c r="Y35" s="181">
        <v>16935</v>
      </c>
      <c r="Z35" s="5">
        <v>7</v>
      </c>
      <c r="AA35" s="100">
        <f>'Weather Data'!D131</f>
        <v>246.9</v>
      </c>
      <c r="AB35" s="100">
        <f>'Weather Data'!E131</f>
        <v>0</v>
      </c>
      <c r="AC35" s="100">
        <f>'Weather Data'!F131</f>
        <v>189.50000000000003</v>
      </c>
      <c r="AD35" s="100">
        <f>'Weather Data'!G131</f>
        <v>4.6000000000000014</v>
      </c>
      <c r="AE35" s="100">
        <f>'Weather Data'!H131</f>
        <v>138.80000000000001</v>
      </c>
      <c r="AF35" s="100">
        <f>'Weather Data'!I131</f>
        <v>15.899999999999999</v>
      </c>
      <c r="AG35" s="100">
        <f>'Weather Data'!J131</f>
        <v>96.2</v>
      </c>
      <c r="AH35" s="100">
        <f>'Weather Data'!K131</f>
        <v>35.299999999999997</v>
      </c>
      <c r="AI35" s="100">
        <f>'Weather Data'!L131</f>
        <v>55.399999999999991</v>
      </c>
      <c r="AJ35" s="100">
        <f>'Weather Data'!M131</f>
        <v>56.500000000000014</v>
      </c>
      <c r="AK35" s="100">
        <f>'Weather Data'!N131</f>
        <v>27.2</v>
      </c>
      <c r="AL35" s="100">
        <f>'Weather Data'!O131</f>
        <v>90.300000000000011</v>
      </c>
      <c r="AM35" s="100">
        <f>'Weather Data'!P131</f>
        <v>10.8</v>
      </c>
      <c r="AN35" s="100">
        <f>'Weather Data'!Q131</f>
        <v>135.9</v>
      </c>
      <c r="AO35" s="100">
        <f>'Weather Data'!R131</f>
        <v>12.03548387096774</v>
      </c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70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1:105">
      <c r="A36" s="3">
        <v>40848</v>
      </c>
      <c r="B36">
        <f t="shared" si="1"/>
        <v>2011</v>
      </c>
      <c r="C36" s="2">
        <v>17311756</v>
      </c>
      <c r="D36" s="225">
        <f>VLOOKUP(B36,'Historic CDM'!$B$135:$H$147,2,FALSE)/12</f>
        <v>32303.802450958523</v>
      </c>
      <c r="E36" s="5">
        <f t="shared" si="3"/>
        <v>17344059.802450959</v>
      </c>
      <c r="F36" s="5">
        <v>26224</v>
      </c>
      <c r="G36" s="5">
        <v>5027221</v>
      </c>
      <c r="H36" s="2">
        <f>VLOOKUP(B36,'Historic CDM'!$B$135:$H$147,3,FALSE)/12</f>
        <v>27218.197761662206</v>
      </c>
      <c r="I36" s="5">
        <f t="shared" si="4"/>
        <v>5054439.1977616623</v>
      </c>
      <c r="J36" s="220">
        <v>2701</v>
      </c>
      <c r="K36" s="5">
        <v>14156583</v>
      </c>
      <c r="L36" s="225">
        <f>VLOOKUP(B36,'Historic CDM'!$B$135:$H$147,4,FALSE)/12</f>
        <v>23773.160538656568</v>
      </c>
      <c r="M36" s="5">
        <f t="shared" si="5"/>
        <v>14180356.160538657</v>
      </c>
      <c r="N36" s="5">
        <v>35546</v>
      </c>
      <c r="O36" s="5">
        <v>218</v>
      </c>
      <c r="P36" s="5">
        <v>597113</v>
      </c>
      <c r="Q36" s="5">
        <v>1540</v>
      </c>
      <c r="R36" s="5">
        <v>2658</v>
      </c>
      <c r="S36" s="5">
        <v>28458</v>
      </c>
      <c r="T36" s="5">
        <v>73</v>
      </c>
      <c r="U36" s="5">
        <v>172</v>
      </c>
      <c r="V36" s="5">
        <v>129846</v>
      </c>
      <c r="W36" s="1">
        <v>141</v>
      </c>
      <c r="X36" s="5">
        <v>1064462</v>
      </c>
      <c r="Y36" s="181">
        <v>7613</v>
      </c>
      <c r="Z36" s="5">
        <v>7</v>
      </c>
      <c r="AA36" s="100">
        <f>'Weather Data'!D132</f>
        <v>374.09999999999985</v>
      </c>
      <c r="AB36" s="100">
        <f>'Weather Data'!E132</f>
        <v>0</v>
      </c>
      <c r="AC36" s="100">
        <f>'Weather Data'!F132</f>
        <v>314.09999999999991</v>
      </c>
      <c r="AD36" s="100">
        <f>'Weather Data'!G132</f>
        <v>0</v>
      </c>
      <c r="AE36" s="100">
        <f>'Weather Data'!H132</f>
        <v>254.1</v>
      </c>
      <c r="AF36" s="100">
        <f>'Weather Data'!I132</f>
        <v>0</v>
      </c>
      <c r="AG36" s="100">
        <f>'Weather Data'!J132</f>
        <v>195.6</v>
      </c>
      <c r="AH36" s="100">
        <f>'Weather Data'!K132</f>
        <v>1.5</v>
      </c>
      <c r="AI36" s="100">
        <f>'Weather Data'!L132</f>
        <v>141.80000000000001</v>
      </c>
      <c r="AJ36" s="100">
        <f>'Weather Data'!M132</f>
        <v>7.6999999999999993</v>
      </c>
      <c r="AK36" s="100">
        <f>'Weather Data'!N132</f>
        <v>94.500000000000043</v>
      </c>
      <c r="AL36" s="100">
        <f>'Weather Data'!O132</f>
        <v>20.399999999999999</v>
      </c>
      <c r="AM36" s="100">
        <f>'Weather Data'!P132</f>
        <v>55.699999999999996</v>
      </c>
      <c r="AN36" s="100">
        <f>'Weather Data'!Q132</f>
        <v>41.599999999999994</v>
      </c>
      <c r="AO36" s="100">
        <f>'Weather Data'!R132</f>
        <v>7.5300000000000011</v>
      </c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70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1:105">
      <c r="A37" s="3">
        <v>40878</v>
      </c>
      <c r="B37">
        <f t="shared" si="1"/>
        <v>2011</v>
      </c>
      <c r="C37" s="2">
        <v>20626073</v>
      </c>
      <c r="D37" s="225">
        <f>VLOOKUP(B37,'Historic CDM'!$B$135:$H$147,2,FALSE)/12</f>
        <v>32303.802450958523</v>
      </c>
      <c r="E37" s="5">
        <f t="shared" si="3"/>
        <v>20658376.802450959</v>
      </c>
      <c r="F37" s="5">
        <v>26197</v>
      </c>
      <c r="G37" s="5">
        <v>5534956</v>
      </c>
      <c r="H37" s="2">
        <f>VLOOKUP(B37,'Historic CDM'!$B$135:$H$147,3,FALSE)/12</f>
        <v>27218.197761662206</v>
      </c>
      <c r="I37" s="5">
        <f t="shared" si="4"/>
        <v>5562174.1977616623</v>
      </c>
      <c r="J37" s="220">
        <v>2115</v>
      </c>
      <c r="K37" s="5">
        <v>13879898</v>
      </c>
      <c r="L37" s="225">
        <f>VLOOKUP(B37,'Historic CDM'!$B$135:$H$147,4,FALSE)/12</f>
        <v>23773.160538656568</v>
      </c>
      <c r="M37" s="5">
        <f t="shared" si="5"/>
        <v>13903671.160538657</v>
      </c>
      <c r="N37" s="5">
        <v>35640</v>
      </c>
      <c r="O37" s="5">
        <v>221</v>
      </c>
      <c r="P37" s="5">
        <v>654003</v>
      </c>
      <c r="Q37" s="5">
        <v>1540</v>
      </c>
      <c r="R37" s="5">
        <v>2656</v>
      </c>
      <c r="S37" s="5">
        <v>26184</v>
      </c>
      <c r="T37" s="5">
        <v>73</v>
      </c>
      <c r="U37" s="5">
        <v>172</v>
      </c>
      <c r="V37" s="5">
        <v>129846</v>
      </c>
      <c r="W37" s="1">
        <v>141</v>
      </c>
      <c r="X37" s="5">
        <v>2961142</v>
      </c>
      <c r="Y37" s="181">
        <v>7742</v>
      </c>
      <c r="Z37" s="5">
        <v>7</v>
      </c>
      <c r="AA37" s="100">
        <f>'Weather Data'!D133</f>
        <v>557.60000000000014</v>
      </c>
      <c r="AB37" s="100">
        <f>'Weather Data'!E133</f>
        <v>0</v>
      </c>
      <c r="AC37" s="100">
        <f>'Weather Data'!F133</f>
        <v>495.60000000000014</v>
      </c>
      <c r="AD37" s="100">
        <f>'Weather Data'!G133</f>
        <v>0</v>
      </c>
      <c r="AE37" s="100">
        <f>'Weather Data'!H133</f>
        <v>433.60000000000008</v>
      </c>
      <c r="AF37" s="100">
        <f>'Weather Data'!I133</f>
        <v>0</v>
      </c>
      <c r="AG37" s="100">
        <f>'Weather Data'!J133</f>
        <v>371.60000000000008</v>
      </c>
      <c r="AH37" s="100">
        <f>'Weather Data'!K133</f>
        <v>0</v>
      </c>
      <c r="AI37" s="100">
        <f>'Weather Data'!L133</f>
        <v>309.60000000000002</v>
      </c>
      <c r="AJ37" s="100">
        <f>'Weather Data'!M133</f>
        <v>0</v>
      </c>
      <c r="AK37" s="100">
        <f>'Weather Data'!N133</f>
        <v>247.6</v>
      </c>
      <c r="AL37" s="100">
        <f>'Weather Data'!O133</f>
        <v>0</v>
      </c>
      <c r="AM37" s="100">
        <f>'Weather Data'!P133</f>
        <v>185.79999999999998</v>
      </c>
      <c r="AN37" s="100">
        <f>'Weather Data'!Q133</f>
        <v>0.19999999999999929</v>
      </c>
      <c r="AO37" s="100">
        <f>'Weather Data'!R133</f>
        <v>2.0129032258064514</v>
      </c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70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1:105">
      <c r="A38" s="3">
        <v>40909</v>
      </c>
      <c r="B38">
        <f t="shared" si="1"/>
        <v>2012</v>
      </c>
      <c r="C38" s="2">
        <v>20556067</v>
      </c>
      <c r="D38" s="225">
        <f>VLOOKUP(B38,'Historic CDM'!$B$135:$H$147,2,FALSE)/12</f>
        <v>87407.600969188337</v>
      </c>
      <c r="E38" s="5">
        <f t="shared" si="3"/>
        <v>20643474.600969188</v>
      </c>
      <c r="F38" s="5">
        <v>26250</v>
      </c>
      <c r="G38" s="5">
        <v>5558037</v>
      </c>
      <c r="H38" s="2">
        <f>VLOOKUP(B38,'Historic CDM'!$B$135:$H$147,3,FALSE)/12</f>
        <v>93745.802263243415</v>
      </c>
      <c r="I38" s="5">
        <f t="shared" si="4"/>
        <v>5651782.8022632431</v>
      </c>
      <c r="J38" s="220">
        <v>1927</v>
      </c>
      <c r="K38" s="5">
        <v>13576452</v>
      </c>
      <c r="L38" s="225">
        <f>VLOOKUP(B38,'Historic CDM'!$B$135:$H$147,4,FALSE)/12</f>
        <v>82137.640139130745</v>
      </c>
      <c r="M38" s="5">
        <f t="shared" si="5"/>
        <v>13658589.640139131</v>
      </c>
      <c r="N38" s="5">
        <v>33328</v>
      </c>
      <c r="O38" s="5">
        <v>219</v>
      </c>
      <c r="P38" s="5">
        <v>644740</v>
      </c>
      <c r="Q38" s="5">
        <v>1540</v>
      </c>
      <c r="R38" s="5">
        <v>2656</v>
      </c>
      <c r="S38" s="5">
        <v>34706</v>
      </c>
      <c r="T38" s="5">
        <v>74</v>
      </c>
      <c r="U38" s="5">
        <v>175</v>
      </c>
      <c r="V38" s="5">
        <v>129846</v>
      </c>
      <c r="W38" s="1">
        <v>141</v>
      </c>
      <c r="X38" s="5">
        <v>3282076</v>
      </c>
      <c r="Y38" s="181">
        <v>7683</v>
      </c>
      <c r="Z38" s="5">
        <v>7</v>
      </c>
      <c r="AA38" s="100">
        <f>'Weather Data'!D134</f>
        <v>648.79999999999995</v>
      </c>
      <c r="AB38" s="100">
        <f>'Weather Data'!E134</f>
        <v>0</v>
      </c>
      <c r="AC38" s="100">
        <f>'Weather Data'!F134</f>
        <v>586.79999999999995</v>
      </c>
      <c r="AD38" s="100">
        <f>'Weather Data'!G134</f>
        <v>0</v>
      </c>
      <c r="AE38" s="100">
        <f>'Weather Data'!H134</f>
        <v>524.80000000000007</v>
      </c>
      <c r="AF38" s="100">
        <f>'Weather Data'!I134</f>
        <v>0</v>
      </c>
      <c r="AG38" s="100">
        <f>'Weather Data'!J134</f>
        <v>462.8</v>
      </c>
      <c r="AH38" s="100">
        <f>'Weather Data'!K134</f>
        <v>0</v>
      </c>
      <c r="AI38" s="100">
        <f>'Weather Data'!L134</f>
        <v>400.79999999999995</v>
      </c>
      <c r="AJ38" s="100">
        <f>'Weather Data'!M134</f>
        <v>0</v>
      </c>
      <c r="AK38" s="100">
        <f>'Weather Data'!N134</f>
        <v>338.8</v>
      </c>
      <c r="AL38" s="100">
        <f>'Weather Data'!O134</f>
        <v>0</v>
      </c>
      <c r="AM38" s="100">
        <f>'Weather Data'!P134</f>
        <v>276.79999999999995</v>
      </c>
      <c r="AN38" s="100">
        <f>'Weather Data'!Q134</f>
        <v>0</v>
      </c>
      <c r="AO38" s="100">
        <f>'Weather Data'!R134</f>
        <v>-0.92903225806451584</v>
      </c>
      <c r="AP38" s="5">
        <f>'Economic Data'!D4</f>
        <v>6662.5</v>
      </c>
      <c r="AQ38" s="5">
        <f>'Economic Data'!E4</f>
        <v>6626</v>
      </c>
      <c r="AR38" s="5">
        <f>'Economic Data'!F4</f>
        <v>149</v>
      </c>
      <c r="AS38" s="5">
        <f>'Economic Data'!G4</f>
        <v>148.6</v>
      </c>
      <c r="AT38" s="5">
        <f>'Economic Data'!H4</f>
        <v>682023.2</v>
      </c>
      <c r="AU38" s="5">
        <f>'Economic Data'!I4</f>
        <v>6116.3</v>
      </c>
      <c r="AV38" s="5">
        <f>'Economic Data'!J4</f>
        <v>5057.7</v>
      </c>
      <c r="AW38" s="5">
        <f>'Economic Data'!K4</f>
        <v>3672.7</v>
      </c>
      <c r="AX38" s="5">
        <f>'Economic Data'!L4</f>
        <v>801.1</v>
      </c>
      <c r="AY38" s="5">
        <f>'Economic Data'!M4</f>
        <v>309.3</v>
      </c>
      <c r="AZ38" s="5">
        <f>'Economic Data'!N4</f>
        <v>7653.4</v>
      </c>
      <c r="BA38" s="5">
        <f>'Economic Data'!O4</f>
        <v>16.600000000000001</v>
      </c>
      <c r="BB38" s="5">
        <f>'Economic Data'!P4</f>
        <v>355.9</v>
      </c>
      <c r="BC38" s="5">
        <f>'Economic Data'!Q4</f>
        <v>681365</v>
      </c>
      <c r="BD38" s="5">
        <f>'Economic Data'!R4</f>
        <v>6071</v>
      </c>
      <c r="BE38" s="5">
        <f>'Economic Data'!S4</f>
        <v>3890</v>
      </c>
      <c r="BF38" s="5">
        <f>'Economic Data'!T4</f>
        <v>12590</v>
      </c>
      <c r="BG38" s="5">
        <v>0</v>
      </c>
      <c r="BH38" s="5">
        <v>0</v>
      </c>
      <c r="BI38" s="5">
        <v>0</v>
      </c>
      <c r="BJ38" s="5"/>
      <c r="BK38" s="70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1:105">
      <c r="A39" s="3">
        <v>40940</v>
      </c>
      <c r="B39">
        <f t="shared" si="1"/>
        <v>2012</v>
      </c>
      <c r="C39" s="2">
        <v>18125661</v>
      </c>
      <c r="D39" s="225">
        <f>VLOOKUP(B39,'Historic CDM'!$B$135:$H$147,2,FALSE)/12</f>
        <v>87407.600969188337</v>
      </c>
      <c r="E39" s="5">
        <f t="shared" si="3"/>
        <v>18213068.600969188</v>
      </c>
      <c r="F39" s="5">
        <v>26243</v>
      </c>
      <c r="G39" s="5">
        <v>5258835</v>
      </c>
      <c r="H39" s="2">
        <f>VLOOKUP(B39,'Historic CDM'!$B$135:$H$147,3,FALSE)/12</f>
        <v>93745.802263243415</v>
      </c>
      <c r="I39" s="5">
        <f t="shared" si="4"/>
        <v>5352580.8022632431</v>
      </c>
      <c r="J39" s="220">
        <v>1942</v>
      </c>
      <c r="K39" s="5">
        <v>12423681</v>
      </c>
      <c r="L39" s="225">
        <f>VLOOKUP(B39,'Historic CDM'!$B$135:$H$147,4,FALSE)/12</f>
        <v>82137.640139130745</v>
      </c>
      <c r="M39" s="5">
        <f t="shared" si="5"/>
        <v>12505818.640139131</v>
      </c>
      <c r="N39" s="5">
        <v>30982</v>
      </c>
      <c r="O39" s="5">
        <v>220</v>
      </c>
      <c r="P39" s="5">
        <v>609748</v>
      </c>
      <c r="Q39" s="5">
        <v>1558</v>
      </c>
      <c r="R39" s="5">
        <v>2453</v>
      </c>
      <c r="S39" s="5">
        <v>37437</v>
      </c>
      <c r="T39" s="5">
        <v>74</v>
      </c>
      <c r="U39" s="5">
        <v>175</v>
      </c>
      <c r="V39" s="5">
        <v>129846</v>
      </c>
      <c r="W39" s="1">
        <v>141</v>
      </c>
      <c r="X39" s="5">
        <v>3038305</v>
      </c>
      <c r="Y39" s="181">
        <v>7259</v>
      </c>
      <c r="Z39" s="5">
        <v>7</v>
      </c>
      <c r="AA39" s="100">
        <f>'Weather Data'!D135</f>
        <v>565.09999999999991</v>
      </c>
      <c r="AB39" s="100">
        <f>'Weather Data'!E135</f>
        <v>0</v>
      </c>
      <c r="AC39" s="100">
        <f>'Weather Data'!F135</f>
        <v>507.1</v>
      </c>
      <c r="AD39" s="100">
        <f>'Weather Data'!G135</f>
        <v>0</v>
      </c>
      <c r="AE39" s="100">
        <f>'Weather Data'!H135</f>
        <v>449.1</v>
      </c>
      <c r="AF39" s="100">
        <f>'Weather Data'!I135</f>
        <v>0</v>
      </c>
      <c r="AG39" s="100">
        <f>'Weather Data'!J135</f>
        <v>391.10000000000008</v>
      </c>
      <c r="AH39" s="100">
        <f>'Weather Data'!K135</f>
        <v>0</v>
      </c>
      <c r="AI39" s="100">
        <f>'Weather Data'!L135</f>
        <v>333.1</v>
      </c>
      <c r="AJ39" s="100">
        <f>'Weather Data'!M135</f>
        <v>0</v>
      </c>
      <c r="AK39" s="100">
        <f>'Weather Data'!N135</f>
        <v>275.09999999999997</v>
      </c>
      <c r="AL39" s="100">
        <f>'Weather Data'!O135</f>
        <v>0</v>
      </c>
      <c r="AM39" s="100">
        <f>'Weather Data'!P135</f>
        <v>217.1</v>
      </c>
      <c r="AN39" s="100">
        <f>'Weather Data'!Q135</f>
        <v>0</v>
      </c>
      <c r="AO39" s="100">
        <f>'Weather Data'!R135</f>
        <v>0.51379310344827578</v>
      </c>
      <c r="AP39" s="5">
        <f>'Economic Data'!D5</f>
        <v>6656.6</v>
      </c>
      <c r="AQ39" s="5">
        <f>'Economic Data'!E5</f>
        <v>6581.8</v>
      </c>
      <c r="AR39" s="5">
        <f>'Economic Data'!F5</f>
        <v>149.5</v>
      </c>
      <c r="AS39" s="5">
        <f>'Economic Data'!G5</f>
        <v>147.4</v>
      </c>
      <c r="AT39" s="5">
        <f>'Economic Data'!H5</f>
        <v>682023.2</v>
      </c>
      <c r="AU39" s="5">
        <f>'Economic Data'!I5</f>
        <v>6116.3</v>
      </c>
      <c r="AV39" s="5">
        <f>'Economic Data'!J5</f>
        <v>5057.7</v>
      </c>
      <c r="AW39" s="5">
        <f>'Economic Data'!K5</f>
        <v>3672.7</v>
      </c>
      <c r="AX39" s="5">
        <f>'Economic Data'!L5</f>
        <v>801.1</v>
      </c>
      <c r="AY39" s="5">
        <f>'Economic Data'!M5</f>
        <v>309.3</v>
      </c>
      <c r="AZ39" s="5">
        <f>'Economic Data'!N5</f>
        <v>7653.4</v>
      </c>
      <c r="BA39" s="5">
        <f>'Economic Data'!O5</f>
        <v>16.600000000000001</v>
      </c>
      <c r="BB39" s="5">
        <f>'Economic Data'!P5</f>
        <v>355.9</v>
      </c>
      <c r="BC39" s="5">
        <f>'Economic Data'!Q5</f>
        <v>681365</v>
      </c>
      <c r="BD39" s="5">
        <f>'Economic Data'!R5</f>
        <v>6071</v>
      </c>
      <c r="BE39" s="5">
        <f>'Economic Data'!S5</f>
        <v>3890</v>
      </c>
      <c r="BF39" s="5">
        <f>'Economic Data'!T5</f>
        <v>12590</v>
      </c>
      <c r="BG39" s="5">
        <v>0</v>
      </c>
      <c r="BH39" s="5">
        <v>0</v>
      </c>
      <c r="BI39" s="5">
        <v>0</v>
      </c>
      <c r="BJ39" s="5"/>
      <c r="BK39" s="70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1:105">
      <c r="A40" s="3">
        <v>40969</v>
      </c>
      <c r="B40">
        <f t="shared" si="1"/>
        <v>2012</v>
      </c>
      <c r="C40" s="2">
        <v>17194171</v>
      </c>
      <c r="D40" s="225">
        <f>VLOOKUP(B40,'Historic CDM'!$B$135:$H$147,2,FALSE)/12</f>
        <v>87407.600969188337</v>
      </c>
      <c r="E40" s="5">
        <f t="shared" si="3"/>
        <v>17281578.600969188</v>
      </c>
      <c r="F40" s="5">
        <v>26287</v>
      </c>
      <c r="G40" s="5">
        <v>5311202</v>
      </c>
      <c r="H40" s="2">
        <f>VLOOKUP(B40,'Historic CDM'!$B$135:$H$147,3,FALSE)/12</f>
        <v>93745.802263243415</v>
      </c>
      <c r="I40" s="5">
        <f t="shared" si="4"/>
        <v>5404947.8022632431</v>
      </c>
      <c r="J40" s="220">
        <v>1916</v>
      </c>
      <c r="K40" s="5">
        <v>12530135</v>
      </c>
      <c r="L40" s="225">
        <f>VLOOKUP(B40,'Historic CDM'!$B$135:$H$147,4,FALSE)/12</f>
        <v>82137.640139130745</v>
      </c>
      <c r="M40" s="5">
        <f t="shared" si="5"/>
        <v>12612272.640139131</v>
      </c>
      <c r="N40" s="5">
        <v>32354</v>
      </c>
      <c r="O40" s="5">
        <v>209</v>
      </c>
      <c r="P40" s="5">
        <v>550539</v>
      </c>
      <c r="Q40" s="5">
        <v>1563</v>
      </c>
      <c r="R40" s="5">
        <v>2457</v>
      </c>
      <c r="S40" s="5">
        <v>28453</v>
      </c>
      <c r="T40" s="5">
        <v>74</v>
      </c>
      <c r="U40" s="5">
        <v>175</v>
      </c>
      <c r="V40" s="5">
        <v>129846</v>
      </c>
      <c r="W40" s="1">
        <v>141</v>
      </c>
      <c r="X40" s="5">
        <v>2978707</v>
      </c>
      <c r="Y40" s="181">
        <v>7073</v>
      </c>
      <c r="Z40" s="5">
        <v>7</v>
      </c>
      <c r="AA40" s="100">
        <f>'Weather Data'!D136</f>
        <v>323.90000000000003</v>
      </c>
      <c r="AB40" s="100">
        <f>'Weather Data'!E136</f>
        <v>0</v>
      </c>
      <c r="AC40" s="100">
        <f>'Weather Data'!F136</f>
        <v>267.8</v>
      </c>
      <c r="AD40" s="100">
        <f>'Weather Data'!G136</f>
        <v>5.8999999999999986</v>
      </c>
      <c r="AE40" s="100">
        <f>'Weather Data'!H136</f>
        <v>215.6</v>
      </c>
      <c r="AF40" s="100">
        <f>'Weather Data'!I136</f>
        <v>15.7</v>
      </c>
      <c r="AG40" s="100">
        <f>'Weather Data'!J136</f>
        <v>171.39999999999998</v>
      </c>
      <c r="AH40" s="100">
        <f>'Weather Data'!K136</f>
        <v>33.5</v>
      </c>
      <c r="AI40" s="100">
        <f>'Weather Data'!L136</f>
        <v>133</v>
      </c>
      <c r="AJ40" s="100">
        <f>'Weather Data'!M136</f>
        <v>57.099999999999994</v>
      </c>
      <c r="AK40" s="100">
        <f>'Weather Data'!N136</f>
        <v>101.89999999999999</v>
      </c>
      <c r="AL40" s="100">
        <f>'Weather Data'!O136</f>
        <v>87.999999999999986</v>
      </c>
      <c r="AM40" s="100">
        <f>'Weather Data'!P136</f>
        <v>73.3</v>
      </c>
      <c r="AN40" s="100">
        <f>'Weather Data'!Q136</f>
        <v>121.39999999999999</v>
      </c>
      <c r="AO40" s="100">
        <f>'Weather Data'!R136</f>
        <v>9.5516129032258075</v>
      </c>
      <c r="AP40" s="5">
        <f>'Economic Data'!D6</f>
        <v>6667.9</v>
      </c>
      <c r="AQ40" s="5">
        <f>'Economic Data'!E6</f>
        <v>6559.2</v>
      </c>
      <c r="AR40" s="5">
        <f>'Economic Data'!F6</f>
        <v>151</v>
      </c>
      <c r="AS40" s="5">
        <f>'Economic Data'!G6</f>
        <v>147.30000000000001</v>
      </c>
      <c r="AT40" s="5">
        <f>'Economic Data'!H6</f>
        <v>682023.2</v>
      </c>
      <c r="AU40" s="5">
        <f>'Economic Data'!I6</f>
        <v>6116.3</v>
      </c>
      <c r="AV40" s="5">
        <f>'Economic Data'!J6</f>
        <v>5057.7</v>
      </c>
      <c r="AW40" s="5">
        <f>'Economic Data'!K6</f>
        <v>3672.7</v>
      </c>
      <c r="AX40" s="5">
        <f>'Economic Data'!L6</f>
        <v>801.1</v>
      </c>
      <c r="AY40" s="5">
        <f>'Economic Data'!M6</f>
        <v>309.3</v>
      </c>
      <c r="AZ40" s="5">
        <f>'Economic Data'!N6</f>
        <v>7653.4</v>
      </c>
      <c r="BA40" s="5">
        <f>'Economic Data'!O6</f>
        <v>16.600000000000001</v>
      </c>
      <c r="BB40" s="5">
        <f>'Economic Data'!P6</f>
        <v>355.9</v>
      </c>
      <c r="BC40" s="5">
        <f>'Economic Data'!Q6</f>
        <v>681365</v>
      </c>
      <c r="BD40" s="5">
        <f>'Economic Data'!R6</f>
        <v>6071</v>
      </c>
      <c r="BE40" s="5">
        <f>'Economic Data'!S6</f>
        <v>3890</v>
      </c>
      <c r="BF40" s="5">
        <f>'Economic Data'!T6</f>
        <v>12590</v>
      </c>
      <c r="BG40" s="5">
        <v>0</v>
      </c>
      <c r="BH40" s="5">
        <v>0</v>
      </c>
      <c r="BI40" s="5">
        <v>0</v>
      </c>
      <c r="BJ40" s="5"/>
      <c r="BK40" s="70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1:105">
      <c r="A41" s="3">
        <v>41000</v>
      </c>
      <c r="B41">
        <f t="shared" si="1"/>
        <v>2012</v>
      </c>
      <c r="C41" s="2">
        <v>15832667</v>
      </c>
      <c r="D41" s="225">
        <f>VLOOKUP(B41,'Historic CDM'!$B$135:$H$147,2,FALSE)/12</f>
        <v>87407.600969188337</v>
      </c>
      <c r="E41" s="5">
        <f t="shared" si="3"/>
        <v>15920074.600969188</v>
      </c>
      <c r="F41" s="5">
        <v>26301</v>
      </c>
      <c r="G41" s="5">
        <v>4875847</v>
      </c>
      <c r="H41" s="2">
        <f>VLOOKUP(B41,'Historic CDM'!$B$135:$H$147,3,FALSE)/12</f>
        <v>93745.802263243415</v>
      </c>
      <c r="I41" s="5">
        <f t="shared" si="4"/>
        <v>4969592.8022632431</v>
      </c>
      <c r="J41" s="220">
        <v>1902</v>
      </c>
      <c r="K41" s="5">
        <v>11148662</v>
      </c>
      <c r="L41" s="225">
        <f>VLOOKUP(B41,'Historic CDM'!$B$135:$H$147,4,FALSE)/12</f>
        <v>82137.640139130745</v>
      </c>
      <c r="M41" s="5">
        <f t="shared" si="5"/>
        <v>11230799.640139131</v>
      </c>
      <c r="N41" s="5">
        <v>29910</v>
      </c>
      <c r="O41" s="5">
        <v>207</v>
      </c>
      <c r="P41" s="5">
        <v>461940</v>
      </c>
      <c r="Q41" s="5">
        <v>1563</v>
      </c>
      <c r="R41" s="5">
        <v>2457</v>
      </c>
      <c r="S41" s="5">
        <v>26267</v>
      </c>
      <c r="T41" s="5">
        <v>74</v>
      </c>
      <c r="U41" s="5">
        <v>175</v>
      </c>
      <c r="V41" s="5">
        <v>129846</v>
      </c>
      <c r="W41" s="1">
        <v>141</v>
      </c>
      <c r="X41" s="5">
        <v>2368232</v>
      </c>
      <c r="Y41" s="181">
        <v>7072</v>
      </c>
      <c r="Z41" s="5">
        <v>7</v>
      </c>
      <c r="AA41" s="100">
        <f>'Weather Data'!D137</f>
        <v>323.39999999999998</v>
      </c>
      <c r="AB41" s="100">
        <f>'Weather Data'!E137</f>
        <v>0</v>
      </c>
      <c r="AC41" s="100">
        <f>'Weather Data'!F137</f>
        <v>264.29999999999995</v>
      </c>
      <c r="AD41" s="100">
        <f>'Weather Data'!G137</f>
        <v>0.89999999999999858</v>
      </c>
      <c r="AE41" s="100">
        <f>'Weather Data'!H137</f>
        <v>206.29999999999998</v>
      </c>
      <c r="AF41" s="100">
        <f>'Weather Data'!I137</f>
        <v>2.8999999999999986</v>
      </c>
      <c r="AG41" s="100">
        <f>'Weather Data'!J137</f>
        <v>151.60000000000002</v>
      </c>
      <c r="AH41" s="100">
        <f>'Weather Data'!K137</f>
        <v>8.1999999999999993</v>
      </c>
      <c r="AI41" s="100">
        <f>'Weather Data'!L137</f>
        <v>99.6</v>
      </c>
      <c r="AJ41" s="100">
        <f>'Weather Data'!M137</f>
        <v>16.2</v>
      </c>
      <c r="AK41" s="100">
        <f>'Weather Data'!N137</f>
        <v>52.400000000000006</v>
      </c>
      <c r="AL41" s="100">
        <f>'Weather Data'!O137</f>
        <v>28.999999999999996</v>
      </c>
      <c r="AM41" s="100">
        <f>'Weather Data'!P137</f>
        <v>20.799999999999997</v>
      </c>
      <c r="AN41" s="100">
        <f>'Weather Data'!Q137</f>
        <v>57.399999999999991</v>
      </c>
      <c r="AO41" s="100">
        <f>'Weather Data'!R137</f>
        <v>9.2199999999999989</v>
      </c>
      <c r="AP41" s="5">
        <f>'Economic Data'!D7</f>
        <v>6681</v>
      </c>
      <c r="AQ41" s="5">
        <f>'Economic Data'!E7</f>
        <v>6594.3</v>
      </c>
      <c r="AR41" s="5">
        <f>'Economic Data'!F7</f>
        <v>150.80000000000001</v>
      </c>
      <c r="AS41" s="5">
        <f>'Economic Data'!G7</f>
        <v>149.19999999999999</v>
      </c>
      <c r="AT41" s="5">
        <f>'Economic Data'!H7</f>
        <v>682023.2</v>
      </c>
      <c r="AU41" s="5">
        <f>'Economic Data'!I7</f>
        <v>6116.3</v>
      </c>
      <c r="AV41" s="5">
        <f>'Economic Data'!J7</f>
        <v>5057.7</v>
      </c>
      <c r="AW41" s="5">
        <f>'Economic Data'!K7</f>
        <v>3672.7</v>
      </c>
      <c r="AX41" s="5">
        <f>'Economic Data'!L7</f>
        <v>801.1</v>
      </c>
      <c r="AY41" s="5">
        <f>'Economic Data'!M7</f>
        <v>309.3</v>
      </c>
      <c r="AZ41" s="5">
        <f>'Economic Data'!N7</f>
        <v>7653.4</v>
      </c>
      <c r="BA41" s="5">
        <f>'Economic Data'!O7</f>
        <v>16.600000000000001</v>
      </c>
      <c r="BB41" s="5">
        <f>'Economic Data'!P7</f>
        <v>355.9</v>
      </c>
      <c r="BC41" s="5">
        <f>'Economic Data'!Q7</f>
        <v>682343</v>
      </c>
      <c r="BD41" s="5">
        <f>'Economic Data'!R7</f>
        <v>6194</v>
      </c>
      <c r="BE41" s="5">
        <f>'Economic Data'!S7</f>
        <v>3938</v>
      </c>
      <c r="BF41" s="5">
        <f>'Economic Data'!T7</f>
        <v>12714</v>
      </c>
      <c r="BG41" s="5">
        <v>0</v>
      </c>
      <c r="BH41" s="5">
        <v>0</v>
      </c>
      <c r="BI41" s="5">
        <v>0</v>
      </c>
      <c r="BJ41" s="5"/>
      <c r="BK41" s="70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1:105">
      <c r="A42" s="3">
        <v>41030</v>
      </c>
      <c r="B42">
        <f t="shared" si="1"/>
        <v>2012</v>
      </c>
      <c r="C42" s="2">
        <v>19162131</v>
      </c>
      <c r="D42" s="225">
        <f>VLOOKUP(B42,'Historic CDM'!$B$135:$H$147,2,FALSE)/12</f>
        <v>87407.600969188337</v>
      </c>
      <c r="E42" s="5">
        <f t="shared" si="3"/>
        <v>19249538.600969188</v>
      </c>
      <c r="F42" s="5">
        <v>26315</v>
      </c>
      <c r="G42" s="5">
        <v>5526063</v>
      </c>
      <c r="H42" s="2">
        <f>VLOOKUP(B42,'Historic CDM'!$B$135:$H$147,3,FALSE)/12</f>
        <v>93745.802263243415</v>
      </c>
      <c r="I42" s="5">
        <f t="shared" si="4"/>
        <v>5619808.8022632431</v>
      </c>
      <c r="J42" s="220">
        <v>1905</v>
      </c>
      <c r="K42" s="5">
        <v>12633800</v>
      </c>
      <c r="L42" s="225">
        <f>VLOOKUP(B42,'Historic CDM'!$B$135:$H$147,4,FALSE)/12</f>
        <v>82137.640139130745</v>
      </c>
      <c r="M42" s="5">
        <f t="shared" si="5"/>
        <v>12715937.640139131</v>
      </c>
      <c r="N42" s="5">
        <v>37386</v>
      </c>
      <c r="O42" s="5">
        <v>209</v>
      </c>
      <c r="P42" s="5">
        <v>415853</v>
      </c>
      <c r="Q42" s="5">
        <v>1563</v>
      </c>
      <c r="R42" s="5">
        <v>2457</v>
      </c>
      <c r="S42" s="5">
        <v>39916</v>
      </c>
      <c r="T42" s="5">
        <v>74</v>
      </c>
      <c r="U42" s="5">
        <v>175</v>
      </c>
      <c r="V42" s="5">
        <v>129846</v>
      </c>
      <c r="W42" s="1">
        <v>141</v>
      </c>
      <c r="X42" s="5">
        <v>3061301</v>
      </c>
      <c r="Y42" s="181">
        <v>8423</v>
      </c>
      <c r="Z42" s="5">
        <v>7</v>
      </c>
      <c r="AA42" s="100">
        <f>'Weather Data'!D138</f>
        <v>88.799999999999983</v>
      </c>
      <c r="AB42" s="100">
        <f>'Weather Data'!E138</f>
        <v>28.100000000000005</v>
      </c>
      <c r="AC42" s="100">
        <f>'Weather Data'!F138</f>
        <v>50.400000000000006</v>
      </c>
      <c r="AD42" s="100">
        <f>'Weather Data'!G138</f>
        <v>51.7</v>
      </c>
      <c r="AE42" s="100">
        <f>'Weather Data'!H138</f>
        <v>23.3</v>
      </c>
      <c r="AF42" s="100">
        <f>'Weather Data'!I138</f>
        <v>86.6</v>
      </c>
      <c r="AG42" s="100">
        <f>'Weather Data'!J138</f>
        <v>6.6999999999999993</v>
      </c>
      <c r="AH42" s="100">
        <f>'Weather Data'!K138</f>
        <v>132</v>
      </c>
      <c r="AI42" s="100">
        <f>'Weather Data'!L138</f>
        <v>0</v>
      </c>
      <c r="AJ42" s="100">
        <f>'Weather Data'!M138</f>
        <v>187.30000000000004</v>
      </c>
      <c r="AK42" s="100">
        <f>'Weather Data'!N138</f>
        <v>0</v>
      </c>
      <c r="AL42" s="100">
        <f>'Weather Data'!O138</f>
        <v>249.30000000000007</v>
      </c>
      <c r="AM42" s="100">
        <f>'Weather Data'!P138</f>
        <v>0</v>
      </c>
      <c r="AN42" s="100">
        <f>'Weather Data'!Q138</f>
        <v>311.30000000000007</v>
      </c>
      <c r="AO42" s="100">
        <f>'Weather Data'!R138</f>
        <v>18.041935483870965</v>
      </c>
      <c r="AP42" s="5">
        <f>'Economic Data'!D8</f>
        <v>6690.2</v>
      </c>
      <c r="AQ42" s="5">
        <f>'Economic Data'!E8</f>
        <v>6657.6</v>
      </c>
      <c r="AR42" s="5">
        <f>'Economic Data'!F8</f>
        <v>150.6</v>
      </c>
      <c r="AS42" s="5">
        <f>'Economic Data'!G8</f>
        <v>149.4</v>
      </c>
      <c r="AT42" s="5">
        <f>'Economic Data'!H8</f>
        <v>682023.2</v>
      </c>
      <c r="AU42" s="5">
        <f>'Economic Data'!I8</f>
        <v>6116.3</v>
      </c>
      <c r="AV42" s="5">
        <f>'Economic Data'!J8</f>
        <v>5057.7</v>
      </c>
      <c r="AW42" s="5">
        <f>'Economic Data'!K8</f>
        <v>3672.7</v>
      </c>
      <c r="AX42" s="5">
        <f>'Economic Data'!L8</f>
        <v>801.1</v>
      </c>
      <c r="AY42" s="5">
        <f>'Economic Data'!M8</f>
        <v>309.3</v>
      </c>
      <c r="AZ42" s="5">
        <f>'Economic Data'!N8</f>
        <v>7653.4</v>
      </c>
      <c r="BA42" s="5">
        <f>'Economic Data'!O8</f>
        <v>16.600000000000001</v>
      </c>
      <c r="BB42" s="5">
        <f>'Economic Data'!P8</f>
        <v>355.9</v>
      </c>
      <c r="BC42" s="5">
        <f>'Economic Data'!Q8</f>
        <v>682343</v>
      </c>
      <c r="BD42" s="5">
        <f>'Economic Data'!R8</f>
        <v>6194</v>
      </c>
      <c r="BE42" s="5">
        <f>'Economic Data'!S8</f>
        <v>3938</v>
      </c>
      <c r="BF42" s="5">
        <f>'Economic Data'!T8</f>
        <v>12714</v>
      </c>
      <c r="BG42" s="5">
        <v>0</v>
      </c>
      <c r="BH42" s="5">
        <v>0</v>
      </c>
      <c r="BI42" s="5">
        <v>0</v>
      </c>
      <c r="BJ42" s="5"/>
      <c r="BK42" s="70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1:105">
      <c r="A43" s="3">
        <v>41061</v>
      </c>
      <c r="B43">
        <f t="shared" si="1"/>
        <v>2012</v>
      </c>
      <c r="C43" s="2">
        <v>26907909</v>
      </c>
      <c r="D43" s="225">
        <f>VLOOKUP(B43,'Historic CDM'!$B$135:$H$147,2,FALSE)/12</f>
        <v>87407.600969188337</v>
      </c>
      <c r="E43" s="5">
        <f t="shared" si="3"/>
        <v>26995316.600969188</v>
      </c>
      <c r="F43" s="5">
        <v>26446</v>
      </c>
      <c r="G43" s="5">
        <v>6262399</v>
      </c>
      <c r="H43" s="2">
        <f>VLOOKUP(B43,'Historic CDM'!$B$135:$H$147,3,FALSE)/12</f>
        <v>93745.802263243415</v>
      </c>
      <c r="I43" s="5">
        <f t="shared" si="4"/>
        <v>6356144.8022632431</v>
      </c>
      <c r="J43" s="220">
        <v>1912</v>
      </c>
      <c r="K43" s="5">
        <v>14491752</v>
      </c>
      <c r="L43" s="225">
        <f>VLOOKUP(B43,'Historic CDM'!$B$135:$H$147,4,FALSE)/12</f>
        <v>82137.640139130745</v>
      </c>
      <c r="M43" s="5">
        <f t="shared" si="5"/>
        <v>14573889.640139131</v>
      </c>
      <c r="N43" s="5">
        <v>42231</v>
      </c>
      <c r="O43" s="5">
        <v>207</v>
      </c>
      <c r="P43" s="5">
        <v>365836</v>
      </c>
      <c r="Q43" s="5">
        <v>1563</v>
      </c>
      <c r="R43" s="5">
        <v>2457</v>
      </c>
      <c r="S43" s="5">
        <v>28587</v>
      </c>
      <c r="T43" s="5">
        <v>74</v>
      </c>
      <c r="U43" s="5">
        <v>175</v>
      </c>
      <c r="V43" s="5">
        <v>129846</v>
      </c>
      <c r="W43" s="1">
        <v>141</v>
      </c>
      <c r="X43" s="5">
        <v>3707453</v>
      </c>
      <c r="Y43" s="181">
        <v>20971</v>
      </c>
      <c r="Z43" s="5">
        <v>7</v>
      </c>
      <c r="AA43" s="100">
        <f>'Weather Data'!D139</f>
        <v>26.900000000000009</v>
      </c>
      <c r="AB43" s="100">
        <f>'Weather Data'!E139</f>
        <v>90.300000000000011</v>
      </c>
      <c r="AC43" s="100">
        <f>'Weather Data'!F139</f>
        <v>11.900000000000004</v>
      </c>
      <c r="AD43" s="100">
        <f>'Weather Data'!G139</f>
        <v>135.29999999999998</v>
      </c>
      <c r="AE43" s="100">
        <f>'Weather Data'!H139</f>
        <v>2.4000000000000004</v>
      </c>
      <c r="AF43" s="100">
        <f>'Weather Data'!I139</f>
        <v>185.79999999999998</v>
      </c>
      <c r="AG43" s="100">
        <f>'Weather Data'!J139</f>
        <v>0</v>
      </c>
      <c r="AH43" s="100">
        <f>'Weather Data'!K139</f>
        <v>243.4</v>
      </c>
      <c r="AI43" s="100">
        <f>'Weather Data'!L139</f>
        <v>0</v>
      </c>
      <c r="AJ43" s="100">
        <f>'Weather Data'!M139</f>
        <v>303.40000000000003</v>
      </c>
      <c r="AK43" s="100">
        <f>'Weather Data'!N139</f>
        <v>0</v>
      </c>
      <c r="AL43" s="100">
        <f>'Weather Data'!O139</f>
        <v>363.4</v>
      </c>
      <c r="AM43" s="100">
        <f>'Weather Data'!P139</f>
        <v>0</v>
      </c>
      <c r="AN43" s="100">
        <f>'Weather Data'!Q139</f>
        <v>423.4</v>
      </c>
      <c r="AO43" s="100">
        <f>'Weather Data'!R139</f>
        <v>22.113333333333333</v>
      </c>
      <c r="AP43" s="5">
        <f>'Economic Data'!D9</f>
        <v>6685.4</v>
      </c>
      <c r="AQ43" s="5">
        <f>'Economic Data'!E9</f>
        <v>6727.5</v>
      </c>
      <c r="AR43" s="5">
        <f>'Economic Data'!F9</f>
        <v>149.9</v>
      </c>
      <c r="AS43" s="5">
        <f>'Economic Data'!G9</f>
        <v>150</v>
      </c>
      <c r="AT43" s="5">
        <f>'Economic Data'!H9</f>
        <v>682023.2</v>
      </c>
      <c r="AU43" s="5">
        <f>'Economic Data'!I9</f>
        <v>6116.3</v>
      </c>
      <c r="AV43" s="5">
        <f>'Economic Data'!J9</f>
        <v>5057.7</v>
      </c>
      <c r="AW43" s="5">
        <f>'Economic Data'!K9</f>
        <v>3672.7</v>
      </c>
      <c r="AX43" s="5">
        <f>'Economic Data'!L9</f>
        <v>801.1</v>
      </c>
      <c r="AY43" s="5">
        <f>'Economic Data'!M9</f>
        <v>309.3</v>
      </c>
      <c r="AZ43" s="5">
        <f>'Economic Data'!N9</f>
        <v>7653.4</v>
      </c>
      <c r="BA43" s="5">
        <f>'Economic Data'!O9</f>
        <v>16.600000000000001</v>
      </c>
      <c r="BB43" s="5">
        <f>'Economic Data'!P9</f>
        <v>355.9</v>
      </c>
      <c r="BC43" s="5">
        <f>'Economic Data'!Q9</f>
        <v>682343</v>
      </c>
      <c r="BD43" s="5">
        <f>'Economic Data'!R9</f>
        <v>6194</v>
      </c>
      <c r="BE43" s="5">
        <f>'Economic Data'!S9</f>
        <v>3938</v>
      </c>
      <c r="BF43" s="5">
        <f>'Economic Data'!T9</f>
        <v>12714</v>
      </c>
      <c r="BG43" s="5">
        <v>0</v>
      </c>
      <c r="BH43" s="5">
        <v>0</v>
      </c>
      <c r="BI43" s="5">
        <v>0</v>
      </c>
      <c r="BJ43" s="5"/>
      <c r="BK43" s="70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1:105">
      <c r="A44" s="3">
        <v>41091</v>
      </c>
      <c r="B44">
        <f t="shared" si="1"/>
        <v>2012</v>
      </c>
      <c r="C44" s="2">
        <v>33852450</v>
      </c>
      <c r="D44" s="225">
        <f>VLOOKUP(B44,'Historic CDM'!$B$135:$H$147,2,FALSE)/12</f>
        <v>87407.600969188337</v>
      </c>
      <c r="E44" s="5">
        <f t="shared" si="3"/>
        <v>33939857.600969188</v>
      </c>
      <c r="F44" s="5">
        <v>26481</v>
      </c>
      <c r="G44" s="5">
        <v>6997612</v>
      </c>
      <c r="H44" s="2">
        <f>VLOOKUP(B44,'Historic CDM'!$B$135:$H$147,3,FALSE)/12</f>
        <v>93745.802263243415</v>
      </c>
      <c r="I44" s="5">
        <f t="shared" si="4"/>
        <v>7091357.8022632431</v>
      </c>
      <c r="J44" s="220">
        <v>1904</v>
      </c>
      <c r="K44" s="5">
        <v>16501645</v>
      </c>
      <c r="L44" s="225">
        <f>VLOOKUP(B44,'Historic CDM'!$B$135:$H$147,4,FALSE)/12</f>
        <v>82137.640139130745</v>
      </c>
      <c r="M44" s="5">
        <f t="shared" si="5"/>
        <v>16583782.640139131</v>
      </c>
      <c r="N44" s="5">
        <v>36912</v>
      </c>
      <c r="O44" s="5">
        <v>209</v>
      </c>
      <c r="P44" s="5">
        <v>387551</v>
      </c>
      <c r="Q44" s="5">
        <v>1566</v>
      </c>
      <c r="R44" s="5">
        <v>2460</v>
      </c>
      <c r="S44" s="5">
        <v>32372</v>
      </c>
      <c r="T44" s="5">
        <v>74</v>
      </c>
      <c r="U44" s="5">
        <v>175</v>
      </c>
      <c r="V44" s="5">
        <v>129846</v>
      </c>
      <c r="W44" s="1">
        <v>141</v>
      </c>
      <c r="X44" s="5">
        <v>3835132</v>
      </c>
      <c r="Y44" s="181">
        <v>11237</v>
      </c>
      <c r="Z44" s="5">
        <v>7</v>
      </c>
      <c r="AA44" s="100">
        <f>'Weather Data'!D140</f>
        <v>0</v>
      </c>
      <c r="AB44" s="100">
        <f>'Weather Data'!E140</f>
        <v>155.80000000000001</v>
      </c>
      <c r="AC44" s="100">
        <f>'Weather Data'!F140</f>
        <v>0</v>
      </c>
      <c r="AD44" s="100">
        <f>'Weather Data'!G140</f>
        <v>217.80000000000007</v>
      </c>
      <c r="AE44" s="100">
        <f>'Weather Data'!H140</f>
        <v>0</v>
      </c>
      <c r="AF44" s="100">
        <f>'Weather Data'!I140</f>
        <v>279.8</v>
      </c>
      <c r="AG44" s="100">
        <f>'Weather Data'!J140</f>
        <v>0</v>
      </c>
      <c r="AH44" s="100">
        <f>'Weather Data'!K140</f>
        <v>341.8</v>
      </c>
      <c r="AI44" s="100">
        <f>'Weather Data'!L140</f>
        <v>0</v>
      </c>
      <c r="AJ44" s="100">
        <f>'Weather Data'!M140</f>
        <v>403.79999999999995</v>
      </c>
      <c r="AK44" s="100">
        <f>'Weather Data'!N140</f>
        <v>0</v>
      </c>
      <c r="AL44" s="100">
        <f>'Weather Data'!O140</f>
        <v>465.79999999999995</v>
      </c>
      <c r="AM44" s="100">
        <f>'Weather Data'!P140</f>
        <v>0</v>
      </c>
      <c r="AN44" s="100">
        <f>'Weather Data'!Q140</f>
        <v>527.79999999999995</v>
      </c>
      <c r="AO44" s="100">
        <f>'Weather Data'!R140</f>
        <v>25.025806451612894</v>
      </c>
      <c r="AP44" s="5">
        <f>'Economic Data'!D10</f>
        <v>6687.7</v>
      </c>
      <c r="AQ44" s="5">
        <f>'Economic Data'!E10</f>
        <v>6772.9</v>
      </c>
      <c r="AR44" s="5">
        <f>'Economic Data'!F10</f>
        <v>151.6</v>
      </c>
      <c r="AS44" s="5">
        <f>'Economic Data'!G10</f>
        <v>151.5</v>
      </c>
      <c r="AT44" s="5">
        <f>'Economic Data'!H10</f>
        <v>682023.2</v>
      </c>
      <c r="AU44" s="5">
        <f>'Economic Data'!I10</f>
        <v>6116.3</v>
      </c>
      <c r="AV44" s="5">
        <f>'Economic Data'!J10</f>
        <v>5057.7</v>
      </c>
      <c r="AW44" s="5">
        <f>'Economic Data'!K10</f>
        <v>3672.7</v>
      </c>
      <c r="AX44" s="5">
        <f>'Economic Data'!L10</f>
        <v>801.1</v>
      </c>
      <c r="AY44" s="5">
        <f>'Economic Data'!M10</f>
        <v>309.3</v>
      </c>
      <c r="AZ44" s="5">
        <f>'Economic Data'!N10</f>
        <v>7653.4</v>
      </c>
      <c r="BA44" s="5">
        <f>'Economic Data'!O10</f>
        <v>16.600000000000001</v>
      </c>
      <c r="BB44" s="5">
        <f>'Economic Data'!P10</f>
        <v>355.9</v>
      </c>
      <c r="BC44" s="5">
        <f>'Economic Data'!Q10</f>
        <v>682199</v>
      </c>
      <c r="BD44" s="5">
        <f>'Economic Data'!R10</f>
        <v>6103</v>
      </c>
      <c r="BE44" s="5">
        <f>'Economic Data'!S10</f>
        <v>3987</v>
      </c>
      <c r="BF44" s="5">
        <f>'Economic Data'!T10</f>
        <v>12349</v>
      </c>
      <c r="BG44" s="5">
        <v>0</v>
      </c>
      <c r="BH44" s="5">
        <v>0</v>
      </c>
      <c r="BI44" s="5">
        <v>0</v>
      </c>
      <c r="BJ44" s="5"/>
      <c r="BK44" s="70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1:105">
      <c r="A45" s="3">
        <v>41122</v>
      </c>
      <c r="B45">
        <f t="shared" si="1"/>
        <v>2012</v>
      </c>
      <c r="C45" s="2">
        <v>28503562</v>
      </c>
      <c r="D45" s="225">
        <f>VLOOKUP(B45,'Historic CDM'!$B$135:$H$147,2,FALSE)/12</f>
        <v>87407.600969188337</v>
      </c>
      <c r="E45" s="5">
        <f t="shared" si="3"/>
        <v>28590969.600969188</v>
      </c>
      <c r="F45" s="5">
        <v>26447</v>
      </c>
      <c r="G45" s="5">
        <v>6438899</v>
      </c>
      <c r="H45" s="2">
        <f>VLOOKUP(B45,'Historic CDM'!$B$135:$H$147,3,FALSE)/12</f>
        <v>93745.802263243415</v>
      </c>
      <c r="I45" s="5">
        <f t="shared" si="4"/>
        <v>6532644.8022632431</v>
      </c>
      <c r="J45" s="220">
        <v>1902</v>
      </c>
      <c r="K45" s="5">
        <v>16544906</v>
      </c>
      <c r="L45" s="225">
        <f>VLOOKUP(B45,'Historic CDM'!$B$135:$H$147,4,FALSE)/12</f>
        <v>82137.640139130745</v>
      </c>
      <c r="M45" s="5">
        <f t="shared" si="5"/>
        <v>16627043.640139131</v>
      </c>
      <c r="N45" s="5">
        <v>41307</v>
      </c>
      <c r="O45" s="5">
        <v>208</v>
      </c>
      <c r="P45" s="5">
        <v>433745</v>
      </c>
      <c r="Q45" s="5">
        <v>1566</v>
      </c>
      <c r="R45" s="5">
        <v>2460</v>
      </c>
      <c r="S45" s="5">
        <v>31103</v>
      </c>
      <c r="T45" s="5">
        <v>74</v>
      </c>
      <c r="U45" s="5">
        <v>175</v>
      </c>
      <c r="V45" s="5">
        <v>129846</v>
      </c>
      <c r="W45" s="1">
        <v>141</v>
      </c>
      <c r="X45" s="5">
        <v>1448101</v>
      </c>
      <c r="Y45" s="181">
        <v>9756</v>
      </c>
      <c r="Z45" s="5">
        <v>7</v>
      </c>
      <c r="AA45" s="100">
        <f>'Weather Data'!D141</f>
        <v>6.2000000000000028</v>
      </c>
      <c r="AB45" s="100">
        <f>'Weather Data'!E141</f>
        <v>75.399999999999991</v>
      </c>
      <c r="AC45" s="100">
        <f>'Weather Data'!F141</f>
        <v>0.60000000000000142</v>
      </c>
      <c r="AD45" s="100">
        <f>'Weather Data'!G141</f>
        <v>131.79999999999998</v>
      </c>
      <c r="AE45" s="100">
        <f>'Weather Data'!H141</f>
        <v>0</v>
      </c>
      <c r="AF45" s="100">
        <f>'Weather Data'!I141</f>
        <v>193.19999999999996</v>
      </c>
      <c r="AG45" s="100">
        <f>'Weather Data'!J141</f>
        <v>0</v>
      </c>
      <c r="AH45" s="100">
        <f>'Weather Data'!K141</f>
        <v>255.19999999999996</v>
      </c>
      <c r="AI45" s="100">
        <f>'Weather Data'!L141</f>
        <v>0</v>
      </c>
      <c r="AJ45" s="100">
        <f>'Weather Data'!M141</f>
        <v>317.2</v>
      </c>
      <c r="AK45" s="100">
        <f>'Weather Data'!N141</f>
        <v>0</v>
      </c>
      <c r="AL45" s="100">
        <f>'Weather Data'!O141</f>
        <v>379.2</v>
      </c>
      <c r="AM45" s="100">
        <f>'Weather Data'!P141</f>
        <v>0</v>
      </c>
      <c r="AN45" s="100">
        <f>'Weather Data'!Q141</f>
        <v>441.19999999999993</v>
      </c>
      <c r="AO45" s="100">
        <f>'Weather Data'!R141</f>
        <v>22.232258064516131</v>
      </c>
      <c r="AP45" s="5">
        <f>'Economic Data'!D11</f>
        <v>6696.7</v>
      </c>
      <c r="AQ45" s="5">
        <f>'Economic Data'!E11</f>
        <v>6792.8</v>
      </c>
      <c r="AR45" s="5">
        <f>'Economic Data'!F11</f>
        <v>152.9</v>
      </c>
      <c r="AS45" s="5">
        <f>'Economic Data'!G11</f>
        <v>153.69999999999999</v>
      </c>
      <c r="AT45" s="5">
        <f>'Economic Data'!H11</f>
        <v>682023.2</v>
      </c>
      <c r="AU45" s="5">
        <f>'Economic Data'!I11</f>
        <v>6116.3</v>
      </c>
      <c r="AV45" s="5">
        <f>'Economic Data'!J11</f>
        <v>5057.7</v>
      </c>
      <c r="AW45" s="5">
        <f>'Economic Data'!K11</f>
        <v>3672.7</v>
      </c>
      <c r="AX45" s="5">
        <f>'Economic Data'!L11</f>
        <v>801.1</v>
      </c>
      <c r="AY45" s="5">
        <f>'Economic Data'!M11</f>
        <v>309.3</v>
      </c>
      <c r="AZ45" s="5">
        <f>'Economic Data'!N11</f>
        <v>7653.4</v>
      </c>
      <c r="BA45" s="5">
        <f>'Economic Data'!O11</f>
        <v>16.600000000000001</v>
      </c>
      <c r="BB45" s="5">
        <f>'Economic Data'!P11</f>
        <v>355.9</v>
      </c>
      <c r="BC45" s="5">
        <f>'Economic Data'!Q11</f>
        <v>682199</v>
      </c>
      <c r="BD45" s="5">
        <f>'Economic Data'!R11</f>
        <v>6103</v>
      </c>
      <c r="BE45" s="5">
        <f>'Economic Data'!S11</f>
        <v>3987</v>
      </c>
      <c r="BF45" s="5">
        <f>'Economic Data'!T11</f>
        <v>12349</v>
      </c>
      <c r="BG45" s="5">
        <v>0</v>
      </c>
      <c r="BH45" s="5">
        <v>0</v>
      </c>
      <c r="BI45" s="5">
        <v>0</v>
      </c>
      <c r="BJ45" s="5"/>
      <c r="BK45" s="70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1:105">
      <c r="A46" s="3">
        <v>41153</v>
      </c>
      <c r="B46">
        <f t="shared" si="1"/>
        <v>2012</v>
      </c>
      <c r="C46" s="2">
        <v>20857544</v>
      </c>
      <c r="D46" s="225">
        <f>VLOOKUP(B46,'Historic CDM'!$B$135:$H$147,2,FALSE)/12</f>
        <v>87407.600969188337</v>
      </c>
      <c r="E46" s="5">
        <f t="shared" si="3"/>
        <v>20944951.600969188</v>
      </c>
      <c r="F46" s="5">
        <v>26348</v>
      </c>
      <c r="G46" s="5">
        <v>5458525</v>
      </c>
      <c r="H46" s="2">
        <f>VLOOKUP(B46,'Historic CDM'!$B$135:$H$147,3,FALSE)/12</f>
        <v>93745.802263243415</v>
      </c>
      <c r="I46" s="5">
        <f t="shared" si="4"/>
        <v>5552270.8022632431</v>
      </c>
      <c r="J46" s="220">
        <v>1891</v>
      </c>
      <c r="K46" s="5">
        <v>16314627</v>
      </c>
      <c r="L46" s="225">
        <f>VLOOKUP(B46,'Historic CDM'!$B$135:$H$147,4,FALSE)/12</f>
        <v>82137.640139130745</v>
      </c>
      <c r="M46" s="5">
        <f t="shared" si="5"/>
        <v>16396764.640139131</v>
      </c>
      <c r="N46" s="5">
        <v>41707</v>
      </c>
      <c r="O46" s="5">
        <v>206</v>
      </c>
      <c r="P46" s="5">
        <v>488654</v>
      </c>
      <c r="Q46" s="5">
        <v>1566</v>
      </c>
      <c r="R46" s="5">
        <v>2461</v>
      </c>
      <c r="S46" s="5">
        <v>30705</v>
      </c>
      <c r="T46" s="5">
        <v>74</v>
      </c>
      <c r="U46" s="5">
        <v>175</v>
      </c>
      <c r="V46" s="5">
        <v>129846</v>
      </c>
      <c r="W46" s="1">
        <v>141</v>
      </c>
      <c r="X46" s="5">
        <v>2961190</v>
      </c>
      <c r="Y46" s="181">
        <v>8599</v>
      </c>
      <c r="Z46" s="5">
        <v>7</v>
      </c>
      <c r="AA46" s="100">
        <f>'Weather Data'!D142</f>
        <v>99.100000000000023</v>
      </c>
      <c r="AB46" s="100">
        <f>'Weather Data'!E142</f>
        <v>28.599999999999998</v>
      </c>
      <c r="AC46" s="100">
        <f>'Weather Data'!F142</f>
        <v>59.599999999999994</v>
      </c>
      <c r="AD46" s="100">
        <f>'Weather Data'!G142</f>
        <v>49.099999999999994</v>
      </c>
      <c r="AE46" s="100">
        <f>'Weather Data'!H142</f>
        <v>29.999999999999993</v>
      </c>
      <c r="AF46" s="100">
        <f>'Weather Data'!I142</f>
        <v>79.5</v>
      </c>
      <c r="AG46" s="100">
        <f>'Weather Data'!J142</f>
        <v>12.299999999999999</v>
      </c>
      <c r="AH46" s="100">
        <f>'Weather Data'!K142</f>
        <v>121.79999999999997</v>
      </c>
      <c r="AI46" s="100">
        <f>'Weather Data'!L142</f>
        <v>2</v>
      </c>
      <c r="AJ46" s="100">
        <f>'Weather Data'!M142</f>
        <v>171.50000000000006</v>
      </c>
      <c r="AK46" s="100">
        <f>'Weather Data'!N142</f>
        <v>0</v>
      </c>
      <c r="AL46" s="100">
        <f>'Weather Data'!O142</f>
        <v>229.50000000000006</v>
      </c>
      <c r="AM46" s="100">
        <f>'Weather Data'!P142</f>
        <v>0</v>
      </c>
      <c r="AN46" s="100">
        <f>'Weather Data'!Q142</f>
        <v>289.50000000000011</v>
      </c>
      <c r="AO46" s="100">
        <f>'Weather Data'!R142</f>
        <v>17.649999999999999</v>
      </c>
      <c r="AP46" s="5">
        <f>'Economic Data'!D12</f>
        <v>6714.6</v>
      </c>
      <c r="AQ46" s="5">
        <f>'Economic Data'!E12</f>
        <v>6769.1</v>
      </c>
      <c r="AR46" s="5">
        <f>'Economic Data'!F12</f>
        <v>155</v>
      </c>
      <c r="AS46" s="5">
        <f>'Economic Data'!G12</f>
        <v>156.1</v>
      </c>
      <c r="AT46" s="5">
        <f>'Economic Data'!H12</f>
        <v>682023.2</v>
      </c>
      <c r="AU46" s="5">
        <f>'Economic Data'!I12</f>
        <v>6116.3</v>
      </c>
      <c r="AV46" s="5">
        <f>'Economic Data'!J12</f>
        <v>5057.7</v>
      </c>
      <c r="AW46" s="5">
        <f>'Economic Data'!K12</f>
        <v>3672.7</v>
      </c>
      <c r="AX46" s="5">
        <f>'Economic Data'!L12</f>
        <v>801.1</v>
      </c>
      <c r="AY46" s="5">
        <f>'Economic Data'!M12</f>
        <v>309.3</v>
      </c>
      <c r="AZ46" s="5">
        <f>'Economic Data'!N12</f>
        <v>7653.4</v>
      </c>
      <c r="BA46" s="5">
        <f>'Economic Data'!O12</f>
        <v>16.600000000000001</v>
      </c>
      <c r="BB46" s="5">
        <f>'Economic Data'!P12</f>
        <v>355.9</v>
      </c>
      <c r="BC46" s="5">
        <f>'Economic Data'!Q12</f>
        <v>682199</v>
      </c>
      <c r="BD46" s="5">
        <f>'Economic Data'!R12</f>
        <v>6103</v>
      </c>
      <c r="BE46" s="5">
        <f>'Economic Data'!S12</f>
        <v>3987</v>
      </c>
      <c r="BF46" s="5">
        <f>'Economic Data'!T12</f>
        <v>12349</v>
      </c>
      <c r="BG46" s="5">
        <v>0</v>
      </c>
      <c r="BH46" s="5">
        <v>0</v>
      </c>
      <c r="BI46" s="5">
        <v>0</v>
      </c>
      <c r="BJ46" s="5"/>
      <c r="BK46" s="70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1:105">
      <c r="A47" s="3">
        <v>41183</v>
      </c>
      <c r="B47">
        <f t="shared" si="1"/>
        <v>2012</v>
      </c>
      <c r="C47" s="2">
        <v>16824907</v>
      </c>
      <c r="D47" s="225">
        <f>VLOOKUP(B47,'Historic CDM'!$B$135:$H$147,2,FALSE)/12</f>
        <v>87407.600969188337</v>
      </c>
      <c r="E47" s="5">
        <f t="shared" si="3"/>
        <v>16912314.600969188</v>
      </c>
      <c r="F47" s="5">
        <v>26356</v>
      </c>
      <c r="G47" s="5">
        <v>5032979</v>
      </c>
      <c r="H47" s="2">
        <f>VLOOKUP(B47,'Historic CDM'!$B$135:$H$147,3,FALSE)/12</f>
        <v>93745.802263243415</v>
      </c>
      <c r="I47" s="5">
        <f t="shared" si="4"/>
        <v>5126724.8022632431</v>
      </c>
      <c r="J47" s="220">
        <v>1895</v>
      </c>
      <c r="K47" s="5">
        <v>14010241</v>
      </c>
      <c r="L47" s="225">
        <f>VLOOKUP(B47,'Historic CDM'!$B$135:$H$147,4,FALSE)/12</f>
        <v>82137.640139130745</v>
      </c>
      <c r="M47" s="5">
        <f t="shared" si="5"/>
        <v>14092378.640139131</v>
      </c>
      <c r="N47" s="5">
        <v>34817</v>
      </c>
      <c r="O47" s="5">
        <v>205</v>
      </c>
      <c r="P47" s="5">
        <v>578111</v>
      </c>
      <c r="Q47" s="5">
        <v>1567</v>
      </c>
      <c r="R47" s="5">
        <v>2463</v>
      </c>
      <c r="S47" s="5">
        <v>26792</v>
      </c>
      <c r="T47" s="5">
        <v>74</v>
      </c>
      <c r="U47" s="5">
        <v>175</v>
      </c>
      <c r="V47" s="5">
        <v>129846</v>
      </c>
      <c r="W47" s="1">
        <v>141</v>
      </c>
      <c r="X47" s="5">
        <v>2758353</v>
      </c>
      <c r="Y47" s="181">
        <v>6731</v>
      </c>
      <c r="Z47" s="5">
        <v>7</v>
      </c>
      <c r="AA47" s="100">
        <f>'Weather Data'!D143</f>
        <v>263.80000000000007</v>
      </c>
      <c r="AB47" s="100">
        <f>'Weather Data'!E143</f>
        <v>0</v>
      </c>
      <c r="AC47" s="100">
        <f>'Weather Data'!F143</f>
        <v>205.90000000000003</v>
      </c>
      <c r="AD47" s="100">
        <f>'Weather Data'!G143</f>
        <v>4.1000000000000014</v>
      </c>
      <c r="AE47" s="100">
        <f>'Weather Data'!H143</f>
        <v>155.80000000000001</v>
      </c>
      <c r="AF47" s="100">
        <f>'Weather Data'!I143</f>
        <v>16.000000000000004</v>
      </c>
      <c r="AG47" s="100">
        <f>'Weather Data'!J143</f>
        <v>109.80000000000001</v>
      </c>
      <c r="AH47" s="100">
        <f>'Weather Data'!K143</f>
        <v>32</v>
      </c>
      <c r="AI47" s="100">
        <f>'Weather Data'!L143</f>
        <v>70.499999999999986</v>
      </c>
      <c r="AJ47" s="100">
        <f>'Weather Data'!M143</f>
        <v>54.7</v>
      </c>
      <c r="AK47" s="100">
        <f>'Weather Data'!N143</f>
        <v>37.499999999999993</v>
      </c>
      <c r="AL47" s="100">
        <f>'Weather Data'!O143</f>
        <v>83.7</v>
      </c>
      <c r="AM47" s="100">
        <f>'Weather Data'!P143</f>
        <v>15.399999999999999</v>
      </c>
      <c r="AN47" s="100">
        <f>'Weather Data'!Q143</f>
        <v>123.60000000000001</v>
      </c>
      <c r="AO47" s="100">
        <f>'Weather Data'!R143</f>
        <v>11.490322580645161</v>
      </c>
      <c r="AP47" s="5">
        <f>'Economic Data'!D13</f>
        <v>6719.1</v>
      </c>
      <c r="AQ47" s="5">
        <f>'Economic Data'!E13</f>
        <v>6748.7</v>
      </c>
      <c r="AR47" s="5">
        <f>'Economic Data'!F13</f>
        <v>154.69999999999999</v>
      </c>
      <c r="AS47" s="5">
        <f>'Economic Data'!G13</f>
        <v>157.19999999999999</v>
      </c>
      <c r="AT47" s="5">
        <f>'Economic Data'!H13</f>
        <v>682023.2</v>
      </c>
      <c r="AU47" s="5">
        <f>'Economic Data'!I13</f>
        <v>6116.3</v>
      </c>
      <c r="AV47" s="5">
        <f>'Economic Data'!J13</f>
        <v>5057.7</v>
      </c>
      <c r="AW47" s="5">
        <f>'Economic Data'!K13</f>
        <v>3672.7</v>
      </c>
      <c r="AX47" s="5">
        <f>'Economic Data'!L13</f>
        <v>801.1</v>
      </c>
      <c r="AY47" s="5">
        <f>'Economic Data'!M13</f>
        <v>309.3</v>
      </c>
      <c r="AZ47" s="5">
        <f>'Economic Data'!N13</f>
        <v>7653.4</v>
      </c>
      <c r="BA47" s="5">
        <f>'Economic Data'!O13</f>
        <v>16.600000000000001</v>
      </c>
      <c r="BB47" s="5">
        <f>'Economic Data'!P13</f>
        <v>355.9</v>
      </c>
      <c r="BC47" s="5">
        <f>'Economic Data'!Q13</f>
        <v>682186</v>
      </c>
      <c r="BD47" s="5">
        <f>'Economic Data'!R13</f>
        <v>6097</v>
      </c>
      <c r="BE47" s="5">
        <f>'Economic Data'!S13</f>
        <v>3866</v>
      </c>
      <c r="BF47" s="5">
        <f>'Economic Data'!T13</f>
        <v>12337</v>
      </c>
      <c r="BG47" s="5">
        <v>0</v>
      </c>
      <c r="BH47" s="5">
        <v>0</v>
      </c>
      <c r="BI47" s="5">
        <v>0</v>
      </c>
      <c r="BJ47" s="5"/>
      <c r="BK47" s="70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1:105">
      <c r="A48" s="3">
        <v>41214</v>
      </c>
      <c r="B48">
        <f t="shared" si="1"/>
        <v>2012</v>
      </c>
      <c r="C48" s="2">
        <v>17732502</v>
      </c>
      <c r="D48" s="225">
        <f>VLOOKUP(B48,'Historic CDM'!$B$135:$H$147,2,FALSE)/12</f>
        <v>87407.600969188337</v>
      </c>
      <c r="E48" s="5">
        <f t="shared" si="3"/>
        <v>17819909.600969188</v>
      </c>
      <c r="F48" s="5">
        <v>26332</v>
      </c>
      <c r="G48" s="5">
        <v>5020403</v>
      </c>
      <c r="H48" s="2">
        <f>VLOOKUP(B48,'Historic CDM'!$B$135:$H$147,3,FALSE)/12</f>
        <v>93745.802263243415</v>
      </c>
      <c r="I48" s="5">
        <f t="shared" si="4"/>
        <v>5114148.8022632431</v>
      </c>
      <c r="J48" s="220">
        <v>1893</v>
      </c>
      <c r="K48" s="5">
        <v>13924131</v>
      </c>
      <c r="L48" s="225">
        <f>VLOOKUP(B48,'Historic CDM'!$B$135:$H$147,4,FALSE)/12</f>
        <v>82137.640139130745</v>
      </c>
      <c r="M48" s="5">
        <f t="shared" si="5"/>
        <v>14006268.640139131</v>
      </c>
      <c r="N48" s="5">
        <v>33603</v>
      </c>
      <c r="O48" s="5">
        <v>207</v>
      </c>
      <c r="P48" s="5">
        <v>605833</v>
      </c>
      <c r="Q48" s="5">
        <v>1565</v>
      </c>
      <c r="R48" s="5">
        <v>2456</v>
      </c>
      <c r="S48" s="5">
        <v>34340</v>
      </c>
      <c r="T48" s="5">
        <v>74</v>
      </c>
      <c r="U48" s="5">
        <v>175</v>
      </c>
      <c r="V48" s="5">
        <v>129846</v>
      </c>
      <c r="W48" s="1">
        <v>141</v>
      </c>
      <c r="X48" s="5">
        <v>2992764</v>
      </c>
      <c r="Y48" s="181">
        <v>7146</v>
      </c>
      <c r="Z48" s="5">
        <v>7</v>
      </c>
      <c r="AA48" s="100">
        <f>'Weather Data'!D144</f>
        <v>467.20000000000005</v>
      </c>
      <c r="AB48" s="100">
        <f>'Weather Data'!E144</f>
        <v>0</v>
      </c>
      <c r="AC48" s="100">
        <f>'Weather Data'!F144</f>
        <v>407.2</v>
      </c>
      <c r="AD48" s="100">
        <f>'Weather Data'!G144</f>
        <v>0</v>
      </c>
      <c r="AE48" s="100">
        <f>'Weather Data'!H144</f>
        <v>347.2</v>
      </c>
      <c r="AF48" s="100">
        <f>'Weather Data'!I144</f>
        <v>0</v>
      </c>
      <c r="AG48" s="100">
        <f>'Weather Data'!J144</f>
        <v>287.8</v>
      </c>
      <c r="AH48" s="100">
        <f>'Weather Data'!K144</f>
        <v>0.59999999999999964</v>
      </c>
      <c r="AI48" s="100">
        <f>'Weather Data'!L144</f>
        <v>229.80000000000004</v>
      </c>
      <c r="AJ48" s="100">
        <f>'Weather Data'!M144</f>
        <v>2.5999999999999996</v>
      </c>
      <c r="AK48" s="100">
        <f>'Weather Data'!N144</f>
        <v>173.40000000000003</v>
      </c>
      <c r="AL48" s="100">
        <f>'Weather Data'!O144</f>
        <v>6.1999999999999993</v>
      </c>
      <c r="AM48" s="100">
        <f>'Weather Data'!P144</f>
        <v>119.89999999999999</v>
      </c>
      <c r="AN48" s="100">
        <f>'Weather Data'!Q144</f>
        <v>12.7</v>
      </c>
      <c r="AO48" s="100">
        <f>'Weather Data'!R144</f>
        <v>4.4266666666666659</v>
      </c>
      <c r="AP48" s="5">
        <f>'Economic Data'!D14</f>
        <v>6733</v>
      </c>
      <c r="AQ48" s="5">
        <f>'Economic Data'!E14</f>
        <v>6736.2</v>
      </c>
      <c r="AR48" s="5">
        <f>'Economic Data'!F14</f>
        <v>153.9</v>
      </c>
      <c r="AS48" s="5">
        <f>'Economic Data'!G14</f>
        <v>157.19999999999999</v>
      </c>
      <c r="AT48" s="5">
        <f>'Economic Data'!H14</f>
        <v>682023.2</v>
      </c>
      <c r="AU48" s="5">
        <f>'Economic Data'!I14</f>
        <v>6116.3</v>
      </c>
      <c r="AV48" s="5">
        <f>'Economic Data'!J14</f>
        <v>5057.7</v>
      </c>
      <c r="AW48" s="5">
        <f>'Economic Data'!K14</f>
        <v>3672.7</v>
      </c>
      <c r="AX48" s="5">
        <f>'Economic Data'!L14</f>
        <v>801.1</v>
      </c>
      <c r="AY48" s="5">
        <f>'Economic Data'!M14</f>
        <v>309.3</v>
      </c>
      <c r="AZ48" s="5">
        <f>'Economic Data'!N14</f>
        <v>7653.4</v>
      </c>
      <c r="BA48" s="5">
        <f>'Economic Data'!O14</f>
        <v>16.600000000000001</v>
      </c>
      <c r="BB48" s="5">
        <f>'Economic Data'!P14</f>
        <v>355.9</v>
      </c>
      <c r="BC48" s="5">
        <f>'Economic Data'!Q14</f>
        <v>682186</v>
      </c>
      <c r="BD48" s="5">
        <f>'Economic Data'!R14</f>
        <v>6097</v>
      </c>
      <c r="BE48" s="5">
        <f>'Economic Data'!S14</f>
        <v>3866</v>
      </c>
      <c r="BF48" s="5">
        <f>'Economic Data'!T14</f>
        <v>12337</v>
      </c>
      <c r="BG48" s="5">
        <v>0</v>
      </c>
      <c r="BH48" s="5">
        <v>0</v>
      </c>
      <c r="BI48" s="5">
        <v>0</v>
      </c>
      <c r="BJ48" s="5"/>
      <c r="BK48" s="70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1:124">
      <c r="A49" s="3">
        <v>41244</v>
      </c>
      <c r="B49">
        <f t="shared" si="1"/>
        <v>2012</v>
      </c>
      <c r="C49" s="2">
        <v>20454409</v>
      </c>
      <c r="D49" s="225">
        <f>VLOOKUP(B49,'Historic CDM'!$B$135:$H$147,2,FALSE)/12</f>
        <v>87407.600969188337</v>
      </c>
      <c r="E49" s="5">
        <f t="shared" si="3"/>
        <v>20541816.600969188</v>
      </c>
      <c r="F49" s="5">
        <v>26238</v>
      </c>
      <c r="G49" s="5">
        <v>5315475</v>
      </c>
      <c r="H49" s="2">
        <f>VLOOKUP(B49,'Historic CDM'!$B$135:$H$147,3,FALSE)/12</f>
        <v>93745.802263243415</v>
      </c>
      <c r="I49" s="5">
        <f t="shared" si="4"/>
        <v>5409220.8022632431</v>
      </c>
      <c r="J49" s="220">
        <v>1885</v>
      </c>
      <c r="K49" s="5">
        <v>12672600</v>
      </c>
      <c r="L49" s="225">
        <f>VLOOKUP(B49,'Historic CDM'!$B$135:$H$147,4,FALSE)/12</f>
        <v>82137.640139130745</v>
      </c>
      <c r="M49" s="5">
        <f t="shared" si="5"/>
        <v>12754737.640139131</v>
      </c>
      <c r="N49" s="5">
        <v>32671</v>
      </c>
      <c r="O49" s="5">
        <v>205</v>
      </c>
      <c r="P49" s="5">
        <v>663156</v>
      </c>
      <c r="Q49" s="5">
        <v>1561</v>
      </c>
      <c r="R49" s="5">
        <v>2456</v>
      </c>
      <c r="S49" s="5">
        <v>33317</v>
      </c>
      <c r="T49" s="5">
        <v>74</v>
      </c>
      <c r="U49" s="5">
        <v>175</v>
      </c>
      <c r="V49" s="5">
        <v>129846</v>
      </c>
      <c r="W49" s="1">
        <v>141</v>
      </c>
      <c r="X49" s="5">
        <v>2997921</v>
      </c>
      <c r="Y49" s="181">
        <v>7355</v>
      </c>
      <c r="Z49" s="5">
        <v>7</v>
      </c>
      <c r="AA49" s="100">
        <f>'Weather Data'!D145</f>
        <v>558</v>
      </c>
      <c r="AB49" s="100">
        <f>'Weather Data'!E145</f>
        <v>0</v>
      </c>
      <c r="AC49" s="100">
        <f>'Weather Data'!F145</f>
        <v>495.99999999999994</v>
      </c>
      <c r="AD49" s="100">
        <f>'Weather Data'!G145</f>
        <v>0</v>
      </c>
      <c r="AE49" s="100">
        <f>'Weather Data'!H145</f>
        <v>433.99999999999994</v>
      </c>
      <c r="AF49" s="100">
        <f>'Weather Data'!I145</f>
        <v>0</v>
      </c>
      <c r="AG49" s="100">
        <f>'Weather Data'!J145</f>
        <v>372</v>
      </c>
      <c r="AH49" s="100">
        <f>'Weather Data'!K145</f>
        <v>0</v>
      </c>
      <c r="AI49" s="100">
        <f>'Weather Data'!L145</f>
        <v>310</v>
      </c>
      <c r="AJ49" s="100">
        <f>'Weather Data'!M145</f>
        <v>0</v>
      </c>
      <c r="AK49" s="100">
        <f>'Weather Data'!N145</f>
        <v>249.30000000000004</v>
      </c>
      <c r="AL49" s="100">
        <f>'Weather Data'!O145</f>
        <v>1.3000000000000007</v>
      </c>
      <c r="AM49" s="100">
        <f>'Weather Data'!P145</f>
        <v>195</v>
      </c>
      <c r="AN49" s="100">
        <f>'Weather Data'!Q145</f>
        <v>9.0000000000000018</v>
      </c>
      <c r="AO49" s="100">
        <f>'Weather Data'!R145</f>
        <v>1.9999999999999998</v>
      </c>
      <c r="AP49" s="5">
        <f>'Economic Data'!D15</f>
        <v>6750</v>
      </c>
      <c r="AQ49" s="5">
        <f>'Economic Data'!E15</f>
        <v>6755.9</v>
      </c>
      <c r="AR49" s="5">
        <f>'Economic Data'!F15</f>
        <v>152.30000000000001</v>
      </c>
      <c r="AS49" s="5">
        <f>'Economic Data'!G15</f>
        <v>155.5</v>
      </c>
      <c r="AT49" s="5">
        <f>'Economic Data'!H15</f>
        <v>682023.2</v>
      </c>
      <c r="AU49" s="5">
        <f>'Economic Data'!I15</f>
        <v>6116.3</v>
      </c>
      <c r="AV49" s="5">
        <f>'Economic Data'!J15</f>
        <v>5057.7</v>
      </c>
      <c r="AW49" s="5">
        <f>'Economic Data'!K15</f>
        <v>3672.7</v>
      </c>
      <c r="AX49" s="5">
        <f>'Economic Data'!L15</f>
        <v>801.1</v>
      </c>
      <c r="AY49" s="5">
        <f>'Economic Data'!M15</f>
        <v>309.3</v>
      </c>
      <c r="AZ49" s="5">
        <f>'Economic Data'!N15</f>
        <v>7653.4</v>
      </c>
      <c r="BA49" s="5">
        <f>'Economic Data'!O15</f>
        <v>16.600000000000001</v>
      </c>
      <c r="BB49" s="5">
        <f>'Economic Data'!P15</f>
        <v>355.9</v>
      </c>
      <c r="BC49" s="5">
        <f>'Economic Data'!Q15</f>
        <v>682186</v>
      </c>
      <c r="BD49" s="5">
        <f>'Economic Data'!R15</f>
        <v>6097</v>
      </c>
      <c r="BE49" s="5">
        <f>'Economic Data'!S15</f>
        <v>3866</v>
      </c>
      <c r="BF49" s="5">
        <f>'Economic Data'!T15</f>
        <v>12337</v>
      </c>
      <c r="BG49" s="5">
        <v>0</v>
      </c>
      <c r="BH49" s="5">
        <v>0</v>
      </c>
      <c r="BI49" s="5">
        <v>0</v>
      </c>
      <c r="BJ49" s="5"/>
      <c r="BK49" s="70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1:124" s="2" customFormat="1">
      <c r="A50" s="3">
        <v>41275</v>
      </c>
      <c r="B50">
        <f t="shared" ref="B50:B57" si="6">YEAR(A50)</f>
        <v>2013</v>
      </c>
      <c r="C50" s="2">
        <v>20851199</v>
      </c>
      <c r="D50" s="2">
        <f>VLOOKUP(B50,'Historic CDM'!$B$135:$H$146,2,FALSE)/12</f>
        <v>143519.44192032225</v>
      </c>
      <c r="E50" s="2">
        <f t="shared" ref="E50:E102" si="7">C50+D50</f>
        <v>20994718.441920321</v>
      </c>
      <c r="F50" s="5">
        <v>26309</v>
      </c>
      <c r="G50" s="219">
        <v>5573474</v>
      </c>
      <c r="H50" s="2">
        <f>VLOOKUP(B50,'Historic CDM'!$B$135:$H$147,3,FALSE)/12</f>
        <v>159408.26028913452</v>
      </c>
      <c r="I50" s="2">
        <f t="shared" ref="I50:I102" si="8">G50+H50</f>
        <v>5732882.2602891345</v>
      </c>
      <c r="J50" s="220">
        <v>1898</v>
      </c>
      <c r="K50" s="219">
        <v>13500816</v>
      </c>
      <c r="L50" s="2">
        <f>VLOOKUP(B50,'Historic CDM'!$B$135:$H$146,4,FALSE)/12</f>
        <v>152268.58859158723</v>
      </c>
      <c r="M50" s="2">
        <f t="shared" si="5"/>
        <v>13653084.588591587</v>
      </c>
      <c r="N50" s="222">
        <v>32333</v>
      </c>
      <c r="O50" s="5">
        <v>204</v>
      </c>
      <c r="P50" s="220">
        <v>653826</v>
      </c>
      <c r="Q50" s="2">
        <v>1561</v>
      </c>
      <c r="R50" s="5">
        <v>2456</v>
      </c>
      <c r="S50" s="220">
        <v>22431</v>
      </c>
      <c r="T50" s="2">
        <v>74</v>
      </c>
      <c r="U50" s="5">
        <v>175</v>
      </c>
      <c r="V50" s="221">
        <v>129846</v>
      </c>
      <c r="W50" s="1">
        <v>141</v>
      </c>
      <c r="X50" s="2">
        <v>3347272</v>
      </c>
      <c r="Y50" s="2">
        <v>7603</v>
      </c>
      <c r="Z50" s="5">
        <v>7</v>
      </c>
      <c r="AA50" s="100">
        <f>'Weather Data'!D146</f>
        <v>675.50000000000011</v>
      </c>
      <c r="AB50" s="100">
        <f>'Weather Data'!E146</f>
        <v>0</v>
      </c>
      <c r="AC50" s="100">
        <f>'Weather Data'!F146</f>
        <v>613.5</v>
      </c>
      <c r="AD50" s="100">
        <f>'Weather Data'!G146</f>
        <v>0</v>
      </c>
      <c r="AE50" s="100">
        <f>'Weather Data'!H146</f>
        <v>551.5</v>
      </c>
      <c r="AF50" s="100">
        <f>'Weather Data'!I146</f>
        <v>0</v>
      </c>
      <c r="AG50" s="100">
        <f>'Weather Data'!J146</f>
        <v>489.49999999999994</v>
      </c>
      <c r="AH50" s="100">
        <f>'Weather Data'!K146</f>
        <v>0</v>
      </c>
      <c r="AI50" s="100">
        <f>'Weather Data'!L146</f>
        <v>427.5</v>
      </c>
      <c r="AJ50" s="100">
        <f>'Weather Data'!M146</f>
        <v>0</v>
      </c>
      <c r="AK50" s="100">
        <f>'Weather Data'!N146</f>
        <v>366.09999999999997</v>
      </c>
      <c r="AL50" s="100">
        <f>'Weather Data'!O146</f>
        <v>0.59999999999999964</v>
      </c>
      <c r="AM50" s="100">
        <f>'Weather Data'!P146</f>
        <v>306.79999999999995</v>
      </c>
      <c r="AN50" s="100">
        <f>'Weather Data'!Q146</f>
        <v>3.2999999999999989</v>
      </c>
      <c r="AO50" s="100">
        <f>'Weather Data'!R146</f>
        <v>-1.7903225806451613</v>
      </c>
      <c r="AP50" s="5">
        <f>'Economic Data'!D16</f>
        <v>6764.2</v>
      </c>
      <c r="AQ50" s="5">
        <f>'Economic Data'!E16</f>
        <v>6730.2</v>
      </c>
      <c r="AR50" s="5">
        <f>'Economic Data'!F16</f>
        <v>150.1</v>
      </c>
      <c r="AS50" s="5">
        <f>'Economic Data'!G16</f>
        <v>150.5</v>
      </c>
      <c r="AT50" s="5">
        <f>'Economic Data'!H16</f>
        <v>691682.6</v>
      </c>
      <c r="AU50" s="5">
        <f>'Economic Data'!I16</f>
        <v>6617.6</v>
      </c>
      <c r="AV50" s="5">
        <f>'Economic Data'!J16</f>
        <v>5553.6</v>
      </c>
      <c r="AW50" s="5">
        <f>'Economic Data'!K16</f>
        <v>4143.5</v>
      </c>
      <c r="AX50" s="5">
        <f>'Economic Data'!L16</f>
        <v>903.8</v>
      </c>
      <c r="AY50" s="5">
        <f>'Economic Data'!M16</f>
        <v>371.8</v>
      </c>
      <c r="AZ50" s="5">
        <f>'Economic Data'!N16</f>
        <v>8329.1</v>
      </c>
      <c r="BA50" s="5">
        <f>'Economic Data'!O16</f>
        <v>12</v>
      </c>
      <c r="BB50" s="5">
        <f>'Economic Data'!P16</f>
        <v>327.2</v>
      </c>
      <c r="BC50" s="5">
        <f>'Economic Data'!Q16</f>
        <v>684155</v>
      </c>
      <c r="BD50" s="5">
        <f>'Economic Data'!R16</f>
        <v>6233</v>
      </c>
      <c r="BE50" s="5">
        <f>'Economic Data'!S16</f>
        <v>3912</v>
      </c>
      <c r="BF50" s="5">
        <f>'Economic Data'!T16</f>
        <v>12420</v>
      </c>
      <c r="BG50" s="5">
        <v>0</v>
      </c>
      <c r="BH50" s="5">
        <v>0</v>
      </c>
      <c r="BI50" s="5">
        <v>0</v>
      </c>
      <c r="BJ50" s="5">
        <v>1</v>
      </c>
      <c r="BK50" s="70">
        <f>LOG(BJ50)</f>
        <v>0</v>
      </c>
      <c r="BL50" s="5">
        <f>BJ50^2</f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f t="shared" ref="CA50:CA78" si="9">BY50+BZ50</f>
        <v>0</v>
      </c>
      <c r="CB50">
        <v>31</v>
      </c>
      <c r="CC50">
        <v>22</v>
      </c>
      <c r="CD50">
        <v>0</v>
      </c>
      <c r="CE50">
        <v>0</v>
      </c>
      <c r="CF50">
        <v>0</v>
      </c>
      <c r="CG50">
        <v>0</v>
      </c>
      <c r="CH50" s="64">
        <f t="shared" ref="CH50:CH81" si="10">AA50*$CD50</f>
        <v>0</v>
      </c>
      <c r="CI50" s="64">
        <f t="shared" ref="CI50:CI81" si="11">AB50*$CD50</f>
        <v>0</v>
      </c>
      <c r="CJ50" s="64">
        <f t="shared" ref="CJ50:CJ81" si="12">AC50*$CD50</f>
        <v>0</v>
      </c>
      <c r="CK50" s="64">
        <f t="shared" ref="CK50:CK81" si="13">AD50*$CD50</f>
        <v>0</v>
      </c>
      <c r="CL50" s="64">
        <f t="shared" ref="CL50:CL81" si="14">AE50*$CD50</f>
        <v>0</v>
      </c>
      <c r="CM50" s="64">
        <f t="shared" ref="CM50:CM81" si="15">AF50*$CD50</f>
        <v>0</v>
      </c>
      <c r="CN50" s="64">
        <f t="shared" ref="CN50:CN81" si="16">AG50*$CD50</f>
        <v>0</v>
      </c>
      <c r="CO50" s="64">
        <f t="shared" ref="CO50:CO81" si="17">AH50*$CD50</f>
        <v>0</v>
      </c>
      <c r="CP50" s="64">
        <f t="shared" ref="CP50:CP81" si="18">AI50*$CD50</f>
        <v>0</v>
      </c>
      <c r="CQ50" s="64">
        <f t="shared" ref="CQ50:CQ81" si="19">AJ50*$CD50</f>
        <v>0</v>
      </c>
      <c r="CR50" s="64">
        <f t="shared" ref="CR50:CR81" si="20">AK50*$CD50</f>
        <v>0</v>
      </c>
      <c r="CS50" s="64">
        <f t="shared" ref="CS50:CS81" si="21">AL50*$CD50</f>
        <v>0</v>
      </c>
      <c r="CT50" s="64">
        <f t="shared" ref="CT50:CT81" si="22">AM50*$CD50</f>
        <v>0</v>
      </c>
      <c r="CU50" s="64">
        <f t="shared" ref="CU50:CU81" si="23">AN50*$CD50</f>
        <v>0</v>
      </c>
      <c r="CV50" s="69">
        <f t="shared" ref="CV50:CV81" si="24">E50/$CB50/F50</f>
        <v>25.742102778419163</v>
      </c>
      <c r="CW50" s="69">
        <f t="shared" ref="CW50:CW81" si="25">I50/$CB50/O50</f>
        <v>906.52787164597316</v>
      </c>
      <c r="CX50" s="69">
        <f>M50/$CC50/O50</f>
        <v>3042.1311471906388</v>
      </c>
      <c r="CY50" s="69">
        <f t="shared" ref="CY50:CY81" si="26">X50/$CC50/Z50</f>
        <v>21735.532467532466</v>
      </c>
      <c r="CZ50" s="64">
        <f>M50/$CB50/O50</f>
        <v>2158.9317818772274</v>
      </c>
      <c r="DA50" s="64">
        <f t="shared" ref="DA50:DA81" si="27">X50/$CB50/Z50</f>
        <v>15425.216589861751</v>
      </c>
      <c r="DB50">
        <f t="shared" ref="DB50:DB81" si="28">$CF50*AA50</f>
        <v>0</v>
      </c>
      <c r="DC50">
        <f t="shared" ref="DC50:DC81" si="29">$CF50*AB50</f>
        <v>0</v>
      </c>
      <c r="DD50">
        <f t="shared" ref="DD50:DD81" si="30">$CF50*AC50</f>
        <v>0</v>
      </c>
      <c r="DE50">
        <f t="shared" ref="DE50:DE81" si="31">$CF50*AD50</f>
        <v>0</v>
      </c>
      <c r="DF50">
        <f t="shared" ref="DF50:DF81" si="32">$CF50*AE50</f>
        <v>0</v>
      </c>
      <c r="DG50">
        <f t="shared" ref="DG50:DG81" si="33">$CF50*AF50</f>
        <v>0</v>
      </c>
      <c r="DH50">
        <f t="shared" ref="DH50:DH81" si="34">$CF50*AG50</f>
        <v>0</v>
      </c>
      <c r="DI50">
        <f t="shared" ref="DI50:DI81" si="35">$CF50*AH50</f>
        <v>0</v>
      </c>
      <c r="DJ50">
        <f t="shared" ref="DJ50:DJ81" si="36">$CF50*AI50</f>
        <v>0</v>
      </c>
      <c r="DK50">
        <f t="shared" ref="DK50:DK81" si="37">$CF50*AJ50</f>
        <v>0</v>
      </c>
      <c r="DL50">
        <f t="shared" ref="DL50:DL81" si="38">$CF50*AK50</f>
        <v>0</v>
      </c>
      <c r="DM50">
        <f t="shared" ref="DM50:DM81" si="39">$CF50*AL50</f>
        <v>0</v>
      </c>
      <c r="DN50">
        <f t="shared" ref="DN50:DN81" si="40">$CF50*AM50</f>
        <v>0</v>
      </c>
      <c r="DO50">
        <f t="shared" ref="DO50:DO81" si="41">$CF50*AN50</f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</row>
    <row r="51" spans="1:124" s="2" customFormat="1">
      <c r="A51" s="3">
        <v>41306</v>
      </c>
      <c r="B51">
        <f t="shared" si="6"/>
        <v>2013</v>
      </c>
      <c r="C51" s="2">
        <v>18315849</v>
      </c>
      <c r="D51" s="2">
        <f>VLOOKUP(B51,'Historic CDM'!$B$135:$H$146,2,FALSE)/12</f>
        <v>143519.44192032225</v>
      </c>
      <c r="E51" s="2">
        <f t="shared" si="7"/>
        <v>18459368.441920321</v>
      </c>
      <c r="F51" s="5">
        <v>26330</v>
      </c>
      <c r="G51" s="219">
        <v>5130350</v>
      </c>
      <c r="H51" s="2">
        <f>VLOOKUP(B51,'Historic CDM'!$B$135:$H$147,3,FALSE)/12</f>
        <v>159408.26028913452</v>
      </c>
      <c r="I51" s="2">
        <f t="shared" si="8"/>
        <v>5289758.2602891345</v>
      </c>
      <c r="J51" s="220">
        <v>1896</v>
      </c>
      <c r="K51" s="219">
        <v>12564797</v>
      </c>
      <c r="L51" s="2">
        <f>VLOOKUP(B51,'Historic CDM'!$B$135:$H$146,4,FALSE)/12</f>
        <v>152268.58859158723</v>
      </c>
      <c r="M51" s="2">
        <f t="shared" si="5"/>
        <v>12717065.588591587</v>
      </c>
      <c r="N51" s="222">
        <v>31325</v>
      </c>
      <c r="O51" s="5">
        <v>205</v>
      </c>
      <c r="P51" s="220">
        <v>594528</v>
      </c>
      <c r="Q51" s="2">
        <v>1573</v>
      </c>
      <c r="R51" s="5">
        <v>2479</v>
      </c>
      <c r="S51" s="220">
        <v>28975</v>
      </c>
      <c r="T51" s="2">
        <v>74</v>
      </c>
      <c r="U51" s="5">
        <v>175</v>
      </c>
      <c r="V51" s="221">
        <v>129846</v>
      </c>
      <c r="W51" s="1">
        <v>141</v>
      </c>
      <c r="X51" s="2">
        <v>3098519</v>
      </c>
      <c r="Y51" s="2">
        <v>7562</v>
      </c>
      <c r="Z51" s="5">
        <v>7</v>
      </c>
      <c r="AA51" s="100">
        <f>'Weather Data'!D147</f>
        <v>646.79999999999995</v>
      </c>
      <c r="AB51" s="100">
        <f>'Weather Data'!E147</f>
        <v>0</v>
      </c>
      <c r="AC51" s="100">
        <f>'Weather Data'!F147</f>
        <v>590.79999999999995</v>
      </c>
      <c r="AD51" s="100">
        <f>'Weather Data'!G147</f>
        <v>0</v>
      </c>
      <c r="AE51" s="100">
        <f>'Weather Data'!H147</f>
        <v>534.79999999999995</v>
      </c>
      <c r="AF51" s="100">
        <f>'Weather Data'!I147</f>
        <v>0</v>
      </c>
      <c r="AG51" s="100">
        <f>'Weather Data'!J147</f>
        <v>478.79999999999995</v>
      </c>
      <c r="AH51" s="100">
        <f>'Weather Data'!K147</f>
        <v>0</v>
      </c>
      <c r="AI51" s="100">
        <f>'Weather Data'!L147</f>
        <v>422.79999999999995</v>
      </c>
      <c r="AJ51" s="100">
        <f>'Weather Data'!M147</f>
        <v>0</v>
      </c>
      <c r="AK51" s="100">
        <f>'Weather Data'!N147</f>
        <v>366.79999999999995</v>
      </c>
      <c r="AL51" s="100">
        <f>'Weather Data'!O147</f>
        <v>0</v>
      </c>
      <c r="AM51" s="100">
        <f>'Weather Data'!P147</f>
        <v>310.79999999999995</v>
      </c>
      <c r="AN51" s="100">
        <f>'Weather Data'!Q147</f>
        <v>0</v>
      </c>
      <c r="AO51" s="100">
        <f>'Weather Data'!R147</f>
        <v>-3.1000000000000005</v>
      </c>
      <c r="AP51" s="5">
        <f>'Economic Data'!D17</f>
        <v>6786.9</v>
      </c>
      <c r="AQ51" s="5">
        <f>'Economic Data'!E17</f>
        <v>6713.2</v>
      </c>
      <c r="AR51" s="5">
        <f>'Economic Data'!F17</f>
        <v>151.19999999999999</v>
      </c>
      <c r="AS51" s="5">
        <f>'Economic Data'!G17</f>
        <v>149.9</v>
      </c>
      <c r="AT51" s="5">
        <f>'Economic Data'!H17</f>
        <v>691682.6</v>
      </c>
      <c r="AU51" s="5">
        <f>'Economic Data'!I17</f>
        <v>6617.6</v>
      </c>
      <c r="AV51" s="5">
        <f>'Economic Data'!J17</f>
        <v>5553.6</v>
      </c>
      <c r="AW51" s="5">
        <f>'Economic Data'!K17</f>
        <v>4143.5</v>
      </c>
      <c r="AX51" s="5">
        <f>'Economic Data'!L17</f>
        <v>903.8</v>
      </c>
      <c r="AY51" s="5">
        <f>'Economic Data'!M17</f>
        <v>371.8</v>
      </c>
      <c r="AZ51" s="5">
        <f>'Economic Data'!N17</f>
        <v>8329.1</v>
      </c>
      <c r="BA51" s="5">
        <f>'Economic Data'!O17</f>
        <v>12</v>
      </c>
      <c r="BB51" s="5">
        <f>'Economic Data'!P17</f>
        <v>327.2</v>
      </c>
      <c r="BC51" s="5">
        <f>'Economic Data'!Q17</f>
        <v>684155</v>
      </c>
      <c r="BD51" s="5">
        <f>'Economic Data'!R17</f>
        <v>6233</v>
      </c>
      <c r="BE51" s="5">
        <f>'Economic Data'!S17</f>
        <v>3912</v>
      </c>
      <c r="BF51" s="5">
        <f>'Economic Data'!T17</f>
        <v>12420</v>
      </c>
      <c r="BG51" s="5">
        <v>0</v>
      </c>
      <c r="BH51" s="5">
        <v>0</v>
      </c>
      <c r="BI51" s="5">
        <v>0</v>
      </c>
      <c r="BJ51" s="5">
        <f t="shared" ref="BJ51:BJ78" si="42">BJ50+1</f>
        <v>2</v>
      </c>
      <c r="BK51" s="70">
        <f t="shared" ref="BK51:BK78" si="43">LOG(BJ51)</f>
        <v>0.3010299956639812</v>
      </c>
      <c r="BL51" s="5">
        <f t="shared" ref="BL51:BL78" si="44">BJ51^2</f>
        <v>4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f t="shared" si="9"/>
        <v>0</v>
      </c>
      <c r="CB51">
        <v>28</v>
      </c>
      <c r="CC51">
        <v>19</v>
      </c>
      <c r="CD51">
        <v>0</v>
      </c>
      <c r="CE51">
        <v>0</v>
      </c>
      <c r="CF51">
        <f>CF50</f>
        <v>0</v>
      </c>
      <c r="CG51">
        <v>0</v>
      </c>
      <c r="CH51" s="64">
        <f t="shared" si="10"/>
        <v>0</v>
      </c>
      <c r="CI51" s="64">
        <f t="shared" si="11"/>
        <v>0</v>
      </c>
      <c r="CJ51" s="64">
        <f t="shared" si="12"/>
        <v>0</v>
      </c>
      <c r="CK51" s="64">
        <f t="shared" si="13"/>
        <v>0</v>
      </c>
      <c r="CL51" s="64">
        <f t="shared" si="14"/>
        <v>0</v>
      </c>
      <c r="CM51" s="64">
        <f t="shared" si="15"/>
        <v>0</v>
      </c>
      <c r="CN51" s="64">
        <f t="shared" si="16"/>
        <v>0</v>
      </c>
      <c r="CO51" s="64">
        <f t="shared" si="17"/>
        <v>0</v>
      </c>
      <c r="CP51" s="64">
        <f t="shared" si="18"/>
        <v>0</v>
      </c>
      <c r="CQ51" s="64">
        <f t="shared" si="19"/>
        <v>0</v>
      </c>
      <c r="CR51" s="64">
        <f t="shared" si="20"/>
        <v>0</v>
      </c>
      <c r="CS51" s="64">
        <f t="shared" si="21"/>
        <v>0</v>
      </c>
      <c r="CT51" s="64">
        <f t="shared" si="22"/>
        <v>0</v>
      </c>
      <c r="CU51" s="64">
        <f t="shared" si="23"/>
        <v>0</v>
      </c>
      <c r="CV51" s="69">
        <f t="shared" si="24"/>
        <v>25.03847924952569</v>
      </c>
      <c r="CW51" s="69">
        <f t="shared" si="25"/>
        <v>921.56067252423952</v>
      </c>
      <c r="CX51" s="69">
        <f t="shared" ref="CX51:CX114" si="45">M51/$CC51/O51</f>
        <v>3264.9719097796119</v>
      </c>
      <c r="CY51" s="69">
        <f t="shared" si="26"/>
        <v>23297.135338345863</v>
      </c>
      <c r="CZ51" s="64">
        <f t="shared" ref="CZ51:CZ114" si="46">M51/$CB51/O51</f>
        <v>2215.5166530647361</v>
      </c>
      <c r="DA51" s="64">
        <f t="shared" si="27"/>
        <v>15808.770408163266</v>
      </c>
      <c r="DB51">
        <f t="shared" si="28"/>
        <v>0</v>
      </c>
      <c r="DC51">
        <f t="shared" si="29"/>
        <v>0</v>
      </c>
      <c r="DD51">
        <f t="shared" si="30"/>
        <v>0</v>
      </c>
      <c r="DE51">
        <f t="shared" si="31"/>
        <v>0</v>
      </c>
      <c r="DF51">
        <f t="shared" si="32"/>
        <v>0</v>
      </c>
      <c r="DG51">
        <f t="shared" si="33"/>
        <v>0</v>
      </c>
      <c r="DH51">
        <f t="shared" si="34"/>
        <v>0</v>
      </c>
      <c r="DI51">
        <f t="shared" si="35"/>
        <v>0</v>
      </c>
      <c r="DJ51">
        <f t="shared" si="36"/>
        <v>0</v>
      </c>
      <c r="DK51">
        <f t="shared" si="37"/>
        <v>0</v>
      </c>
      <c r="DL51">
        <f t="shared" si="38"/>
        <v>0</v>
      </c>
      <c r="DM51">
        <f t="shared" si="39"/>
        <v>0</v>
      </c>
      <c r="DN51">
        <f t="shared" si="40"/>
        <v>0</v>
      </c>
      <c r="DO51">
        <f t="shared" si="41"/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</row>
    <row r="52" spans="1:124" s="2" customFormat="1">
      <c r="A52" s="3">
        <v>41334</v>
      </c>
      <c r="B52">
        <f t="shared" si="6"/>
        <v>2013</v>
      </c>
      <c r="C52" s="2">
        <v>18879448</v>
      </c>
      <c r="D52" s="2">
        <f>VLOOKUP(B52,'Historic CDM'!$B$135:$H$146,2,FALSE)/12</f>
        <v>143519.44192032225</v>
      </c>
      <c r="E52" s="2">
        <f t="shared" si="7"/>
        <v>19022967.441920321</v>
      </c>
      <c r="F52" s="5">
        <v>26404</v>
      </c>
      <c r="G52" s="219">
        <v>5419543</v>
      </c>
      <c r="H52" s="2">
        <f>VLOOKUP(B52,'Historic CDM'!$B$135:$H$147,3,FALSE)/12</f>
        <v>159408.26028913452</v>
      </c>
      <c r="I52" s="2">
        <f t="shared" si="8"/>
        <v>5578951.2602891345</v>
      </c>
      <c r="J52" s="220">
        <v>1912</v>
      </c>
      <c r="K52" s="219">
        <v>13296191</v>
      </c>
      <c r="L52" s="2">
        <f>VLOOKUP(B52,'Historic CDM'!$B$135:$H$146,4,FALSE)/12</f>
        <v>152268.58859158723</v>
      </c>
      <c r="M52" s="2">
        <f t="shared" si="5"/>
        <v>13448459.588591587</v>
      </c>
      <c r="N52" s="222">
        <v>12040</v>
      </c>
      <c r="O52" s="5">
        <v>206</v>
      </c>
      <c r="P52" s="220">
        <v>554144</v>
      </c>
      <c r="Q52" s="2">
        <v>1573</v>
      </c>
      <c r="R52" s="5">
        <v>2480</v>
      </c>
      <c r="S52" s="220">
        <v>29326</v>
      </c>
      <c r="T52" s="2">
        <v>74</v>
      </c>
      <c r="U52" s="5">
        <v>175</v>
      </c>
      <c r="V52" s="221">
        <v>129846</v>
      </c>
      <c r="W52" s="1">
        <v>141</v>
      </c>
      <c r="X52" s="2">
        <v>3132706</v>
      </c>
      <c r="Y52" s="2">
        <v>7020</v>
      </c>
      <c r="Z52" s="5">
        <v>7</v>
      </c>
      <c r="AA52" s="100">
        <f>'Weather Data'!D148</f>
        <v>586.20000000000005</v>
      </c>
      <c r="AB52" s="100">
        <f>'Weather Data'!E148</f>
        <v>0</v>
      </c>
      <c r="AC52" s="100">
        <f>'Weather Data'!F148</f>
        <v>524.20000000000016</v>
      </c>
      <c r="AD52" s="100">
        <f>'Weather Data'!G148</f>
        <v>0</v>
      </c>
      <c r="AE52" s="100">
        <f>'Weather Data'!H148</f>
        <v>462.20000000000005</v>
      </c>
      <c r="AF52" s="100">
        <f>'Weather Data'!I148</f>
        <v>0</v>
      </c>
      <c r="AG52" s="100">
        <f>'Weather Data'!J148</f>
        <v>400.20000000000005</v>
      </c>
      <c r="AH52" s="100">
        <f>'Weather Data'!K148</f>
        <v>0</v>
      </c>
      <c r="AI52" s="100">
        <f>'Weather Data'!L148</f>
        <v>338.20000000000005</v>
      </c>
      <c r="AJ52" s="100">
        <f>'Weather Data'!M148</f>
        <v>0</v>
      </c>
      <c r="AK52" s="100">
        <f>'Weather Data'!N148</f>
        <v>276.2</v>
      </c>
      <c r="AL52" s="100">
        <f>'Weather Data'!O148</f>
        <v>0</v>
      </c>
      <c r="AM52" s="100">
        <f>'Weather Data'!P148</f>
        <v>217.3</v>
      </c>
      <c r="AN52" s="100">
        <f>'Weather Data'!Q148</f>
        <v>3.0999999999999996</v>
      </c>
      <c r="AO52" s="100">
        <f>'Weather Data'!R148</f>
        <v>1.0903225806451615</v>
      </c>
      <c r="AP52" s="5">
        <f>'Economic Data'!D18</f>
        <v>6786.1</v>
      </c>
      <c r="AQ52" s="5">
        <f>'Economic Data'!E18</f>
        <v>6677.7</v>
      </c>
      <c r="AR52" s="5">
        <f>'Economic Data'!F18</f>
        <v>151.9</v>
      </c>
      <c r="AS52" s="5">
        <f>'Economic Data'!G18</f>
        <v>149</v>
      </c>
      <c r="AT52" s="5">
        <f>'Economic Data'!H18</f>
        <v>691682.6</v>
      </c>
      <c r="AU52" s="5">
        <f>'Economic Data'!I18</f>
        <v>6617.6</v>
      </c>
      <c r="AV52" s="5">
        <f>'Economic Data'!J18</f>
        <v>5553.6</v>
      </c>
      <c r="AW52" s="5">
        <f>'Economic Data'!K18</f>
        <v>4143.5</v>
      </c>
      <c r="AX52" s="5">
        <f>'Economic Data'!L18</f>
        <v>903.8</v>
      </c>
      <c r="AY52" s="5">
        <f>'Economic Data'!M18</f>
        <v>371.8</v>
      </c>
      <c r="AZ52" s="5">
        <f>'Economic Data'!N18</f>
        <v>8329.1</v>
      </c>
      <c r="BA52" s="5">
        <f>'Economic Data'!O18</f>
        <v>12</v>
      </c>
      <c r="BB52" s="5">
        <f>'Economic Data'!P18</f>
        <v>327.2</v>
      </c>
      <c r="BC52" s="5">
        <f>'Economic Data'!Q18</f>
        <v>684155</v>
      </c>
      <c r="BD52" s="5">
        <f>'Economic Data'!R18</f>
        <v>6233</v>
      </c>
      <c r="BE52" s="5">
        <f>'Economic Data'!S18</f>
        <v>3912</v>
      </c>
      <c r="BF52" s="5">
        <f>'Economic Data'!T18</f>
        <v>12420</v>
      </c>
      <c r="BG52" s="5">
        <v>0</v>
      </c>
      <c r="BH52" s="5">
        <v>0</v>
      </c>
      <c r="BI52" s="5">
        <v>0</v>
      </c>
      <c r="BJ52" s="5">
        <f t="shared" si="42"/>
        <v>3</v>
      </c>
      <c r="BK52" s="70">
        <f t="shared" si="43"/>
        <v>0.47712125471966244</v>
      </c>
      <c r="BL52" s="5">
        <f t="shared" si="44"/>
        <v>9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1</v>
      </c>
      <c r="BZ52">
        <v>0</v>
      </c>
      <c r="CA52">
        <f t="shared" si="9"/>
        <v>1</v>
      </c>
      <c r="CB52">
        <v>31</v>
      </c>
      <c r="CC52">
        <v>19</v>
      </c>
      <c r="CD52">
        <v>0</v>
      </c>
      <c r="CE52">
        <v>0</v>
      </c>
      <c r="CF52">
        <f t="shared" ref="CF52:CF103" si="47">CF51</f>
        <v>0</v>
      </c>
      <c r="CG52">
        <v>0</v>
      </c>
      <c r="CH52" s="64">
        <f t="shared" si="10"/>
        <v>0</v>
      </c>
      <c r="CI52" s="64">
        <f t="shared" si="11"/>
        <v>0</v>
      </c>
      <c r="CJ52" s="64">
        <f t="shared" si="12"/>
        <v>0</v>
      </c>
      <c r="CK52" s="64">
        <f t="shared" si="13"/>
        <v>0</v>
      </c>
      <c r="CL52" s="64">
        <f t="shared" si="14"/>
        <v>0</v>
      </c>
      <c r="CM52" s="64">
        <f t="shared" si="15"/>
        <v>0</v>
      </c>
      <c r="CN52" s="64">
        <f t="shared" si="16"/>
        <v>0</v>
      </c>
      <c r="CO52" s="64">
        <f t="shared" si="17"/>
        <v>0</v>
      </c>
      <c r="CP52" s="64">
        <f t="shared" si="18"/>
        <v>0</v>
      </c>
      <c r="CQ52" s="64">
        <f t="shared" si="19"/>
        <v>0</v>
      </c>
      <c r="CR52" s="64">
        <f t="shared" si="20"/>
        <v>0</v>
      </c>
      <c r="CS52" s="64">
        <f t="shared" si="21"/>
        <v>0</v>
      </c>
      <c r="CT52" s="64">
        <f t="shared" si="22"/>
        <v>0</v>
      </c>
      <c r="CU52" s="64">
        <f t="shared" si="23"/>
        <v>0</v>
      </c>
      <c r="CV52" s="69">
        <f t="shared" si="24"/>
        <v>23.240573815697918</v>
      </c>
      <c r="CW52" s="69">
        <f t="shared" si="25"/>
        <v>873.62218294537024</v>
      </c>
      <c r="CX52" s="69">
        <f t="shared" si="45"/>
        <v>3435.9886531915145</v>
      </c>
      <c r="CY52" s="69">
        <f t="shared" si="26"/>
        <v>23554.180451127821</v>
      </c>
      <c r="CZ52" s="64">
        <f t="shared" si="46"/>
        <v>2105.9285293754442</v>
      </c>
      <c r="DA52" s="64">
        <f t="shared" si="27"/>
        <v>14436.433179723503</v>
      </c>
      <c r="DB52">
        <f t="shared" si="28"/>
        <v>0</v>
      </c>
      <c r="DC52">
        <f t="shared" si="29"/>
        <v>0</v>
      </c>
      <c r="DD52">
        <f t="shared" si="30"/>
        <v>0</v>
      </c>
      <c r="DE52">
        <f t="shared" si="31"/>
        <v>0</v>
      </c>
      <c r="DF52">
        <f t="shared" si="32"/>
        <v>0</v>
      </c>
      <c r="DG52">
        <f t="shared" si="33"/>
        <v>0</v>
      </c>
      <c r="DH52">
        <f t="shared" si="34"/>
        <v>0</v>
      </c>
      <c r="DI52">
        <f t="shared" si="35"/>
        <v>0</v>
      </c>
      <c r="DJ52">
        <f t="shared" si="36"/>
        <v>0</v>
      </c>
      <c r="DK52">
        <f t="shared" si="37"/>
        <v>0</v>
      </c>
      <c r="DL52">
        <f t="shared" si="38"/>
        <v>0</v>
      </c>
      <c r="DM52">
        <f t="shared" si="39"/>
        <v>0</v>
      </c>
      <c r="DN52">
        <f t="shared" si="40"/>
        <v>0</v>
      </c>
      <c r="DO52">
        <f t="shared" si="41"/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</row>
    <row r="53" spans="1:124" s="2" customFormat="1">
      <c r="A53" s="3">
        <v>41365</v>
      </c>
      <c r="B53">
        <f t="shared" si="6"/>
        <v>2013</v>
      </c>
      <c r="C53" s="2">
        <v>16753143</v>
      </c>
      <c r="D53" s="2">
        <f>VLOOKUP(B53,'Historic CDM'!$B$135:$H$146,2,FALSE)/12</f>
        <v>143519.44192032225</v>
      </c>
      <c r="E53" s="2">
        <f t="shared" si="7"/>
        <v>16896662.441920321</v>
      </c>
      <c r="F53" s="5">
        <v>26407</v>
      </c>
      <c r="G53" s="219">
        <v>4992656</v>
      </c>
      <c r="H53" s="2">
        <f>VLOOKUP(B53,'Historic CDM'!$B$135:$H$147,3,FALSE)/12</f>
        <v>159408.26028913452</v>
      </c>
      <c r="I53" s="2">
        <f t="shared" si="8"/>
        <v>5152064.2602891345</v>
      </c>
      <c r="J53" s="220">
        <v>1901</v>
      </c>
      <c r="K53" s="219">
        <v>12168277</v>
      </c>
      <c r="L53" s="2">
        <f>VLOOKUP(B53,'Historic CDM'!$B$135:$H$146,4,FALSE)/12</f>
        <v>152268.58859158723</v>
      </c>
      <c r="M53" s="2">
        <f t="shared" si="5"/>
        <v>12320545.588591587</v>
      </c>
      <c r="N53" s="222">
        <v>31106</v>
      </c>
      <c r="O53" s="5">
        <v>210</v>
      </c>
      <c r="P53" s="220">
        <v>465609</v>
      </c>
      <c r="Q53" s="2">
        <v>1576</v>
      </c>
      <c r="R53" s="5">
        <v>2482</v>
      </c>
      <c r="S53" s="220">
        <v>29553</v>
      </c>
      <c r="T53" s="2">
        <v>74</v>
      </c>
      <c r="U53" s="5">
        <v>175</v>
      </c>
      <c r="V53" s="221">
        <v>129846</v>
      </c>
      <c r="W53" s="1">
        <v>141</v>
      </c>
      <c r="X53" s="2">
        <v>2895411</v>
      </c>
      <c r="Y53" s="2">
        <v>7174</v>
      </c>
      <c r="Z53" s="5">
        <v>7</v>
      </c>
      <c r="AA53" s="100">
        <f>'Weather Data'!D149</f>
        <v>378.29999999999995</v>
      </c>
      <c r="AB53" s="100">
        <f>'Weather Data'!E149</f>
        <v>0</v>
      </c>
      <c r="AC53" s="100">
        <f>'Weather Data'!F149</f>
        <v>318.29999999999995</v>
      </c>
      <c r="AD53" s="100">
        <f>'Weather Data'!G149</f>
        <v>0</v>
      </c>
      <c r="AE53" s="100">
        <f>'Weather Data'!H149</f>
        <v>259.09999999999997</v>
      </c>
      <c r="AF53" s="100">
        <f>'Weather Data'!I149</f>
        <v>0.80000000000000071</v>
      </c>
      <c r="AG53" s="100">
        <f>'Weather Data'!J149</f>
        <v>204.59999999999994</v>
      </c>
      <c r="AH53" s="100">
        <f>'Weather Data'!K149</f>
        <v>6.3000000000000007</v>
      </c>
      <c r="AI53" s="100">
        <f>'Weather Data'!L149</f>
        <v>151.79999999999998</v>
      </c>
      <c r="AJ53" s="100">
        <f>'Weather Data'!M149</f>
        <v>13.5</v>
      </c>
      <c r="AK53" s="100">
        <f>'Weather Data'!N149</f>
        <v>105.1</v>
      </c>
      <c r="AL53" s="100">
        <f>'Weather Data'!O149</f>
        <v>26.8</v>
      </c>
      <c r="AM53" s="100">
        <f>'Weather Data'!P149</f>
        <v>66.900000000000006</v>
      </c>
      <c r="AN53" s="100">
        <f>'Weather Data'!Q149</f>
        <v>48.600000000000009</v>
      </c>
      <c r="AO53" s="100">
        <f>'Weather Data'!R149</f>
        <v>7.39</v>
      </c>
      <c r="AP53" s="5">
        <f>'Economic Data'!D19</f>
        <v>6794.3</v>
      </c>
      <c r="AQ53" s="5">
        <f>'Economic Data'!E19</f>
        <v>6706.3</v>
      </c>
      <c r="AR53" s="5">
        <f>'Economic Data'!F19</f>
        <v>154.4</v>
      </c>
      <c r="AS53" s="5">
        <f>'Economic Data'!G19</f>
        <v>152.6</v>
      </c>
      <c r="AT53" s="5">
        <f>'Economic Data'!H19</f>
        <v>691682.6</v>
      </c>
      <c r="AU53" s="5">
        <f>'Economic Data'!I19</f>
        <v>6617.6</v>
      </c>
      <c r="AV53" s="5">
        <f>'Economic Data'!J19</f>
        <v>5553.6</v>
      </c>
      <c r="AW53" s="5">
        <f>'Economic Data'!K19</f>
        <v>4143.5</v>
      </c>
      <c r="AX53" s="5">
        <f>'Economic Data'!L19</f>
        <v>903.8</v>
      </c>
      <c r="AY53" s="5">
        <f>'Economic Data'!M19</f>
        <v>371.8</v>
      </c>
      <c r="AZ53" s="5">
        <f>'Economic Data'!N19</f>
        <v>8329.1</v>
      </c>
      <c r="BA53" s="5">
        <f>'Economic Data'!O19</f>
        <v>12</v>
      </c>
      <c r="BB53" s="5">
        <f>'Economic Data'!P19</f>
        <v>327.2</v>
      </c>
      <c r="BC53" s="5">
        <f>'Economic Data'!Q19</f>
        <v>689512</v>
      </c>
      <c r="BD53" s="5">
        <f>'Economic Data'!R19</f>
        <v>6626</v>
      </c>
      <c r="BE53" s="5">
        <f>'Economic Data'!S19</f>
        <v>3653</v>
      </c>
      <c r="BF53" s="5">
        <f>'Economic Data'!T19</f>
        <v>12726</v>
      </c>
      <c r="BG53" s="5">
        <v>0</v>
      </c>
      <c r="BH53" s="5">
        <v>0</v>
      </c>
      <c r="BI53" s="5">
        <v>0</v>
      </c>
      <c r="BJ53" s="5">
        <f t="shared" si="42"/>
        <v>4</v>
      </c>
      <c r="BK53" s="70">
        <f t="shared" si="43"/>
        <v>0.6020599913279624</v>
      </c>
      <c r="BL53" s="5">
        <f t="shared" si="44"/>
        <v>16</v>
      </c>
      <c r="BM53">
        <v>0</v>
      </c>
      <c r="BN53">
        <v>0</v>
      </c>
      <c r="BO53">
        <v>0</v>
      </c>
      <c r="BP53">
        <v>1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</v>
      </c>
      <c r="BZ53">
        <v>0</v>
      </c>
      <c r="CA53">
        <f t="shared" si="9"/>
        <v>1</v>
      </c>
      <c r="CB53">
        <v>30</v>
      </c>
      <c r="CC53">
        <v>22</v>
      </c>
      <c r="CD53">
        <v>0</v>
      </c>
      <c r="CE53">
        <v>0</v>
      </c>
      <c r="CF53">
        <f t="shared" si="47"/>
        <v>0</v>
      </c>
      <c r="CG53">
        <v>0</v>
      </c>
      <c r="CH53" s="64">
        <f t="shared" si="10"/>
        <v>0</v>
      </c>
      <c r="CI53" s="64">
        <f t="shared" si="11"/>
        <v>0</v>
      </c>
      <c r="CJ53" s="64">
        <f t="shared" si="12"/>
        <v>0</v>
      </c>
      <c r="CK53" s="64">
        <f t="shared" si="13"/>
        <v>0</v>
      </c>
      <c r="CL53" s="64">
        <f t="shared" si="14"/>
        <v>0</v>
      </c>
      <c r="CM53" s="64">
        <f t="shared" si="15"/>
        <v>0</v>
      </c>
      <c r="CN53" s="64">
        <f t="shared" si="16"/>
        <v>0</v>
      </c>
      <c r="CO53" s="64">
        <f t="shared" si="17"/>
        <v>0</v>
      </c>
      <c r="CP53" s="64">
        <f t="shared" si="18"/>
        <v>0</v>
      </c>
      <c r="CQ53" s="64">
        <f t="shared" si="19"/>
        <v>0</v>
      </c>
      <c r="CR53" s="64">
        <f t="shared" si="20"/>
        <v>0</v>
      </c>
      <c r="CS53" s="64">
        <f t="shared" si="21"/>
        <v>0</v>
      </c>
      <c r="CT53" s="64">
        <f t="shared" si="22"/>
        <v>0</v>
      </c>
      <c r="CU53" s="64">
        <f t="shared" si="23"/>
        <v>0</v>
      </c>
      <c r="CV53" s="69">
        <f t="shared" si="24"/>
        <v>21.328514461973871</v>
      </c>
      <c r="CW53" s="69">
        <f t="shared" si="25"/>
        <v>817.78797782367212</v>
      </c>
      <c r="CX53" s="69">
        <f t="shared" si="45"/>
        <v>2666.7847594354084</v>
      </c>
      <c r="CY53" s="69">
        <f t="shared" si="26"/>
        <v>18801.370129870131</v>
      </c>
      <c r="CZ53" s="64">
        <f t="shared" si="46"/>
        <v>1955.6421569192996</v>
      </c>
      <c r="DA53" s="64">
        <f t="shared" si="27"/>
        <v>13787.671428571428</v>
      </c>
      <c r="DB53">
        <f t="shared" si="28"/>
        <v>0</v>
      </c>
      <c r="DC53">
        <f t="shared" si="29"/>
        <v>0</v>
      </c>
      <c r="DD53">
        <f t="shared" si="30"/>
        <v>0</v>
      </c>
      <c r="DE53">
        <f t="shared" si="31"/>
        <v>0</v>
      </c>
      <c r="DF53">
        <f t="shared" si="32"/>
        <v>0</v>
      </c>
      <c r="DG53">
        <f t="shared" si="33"/>
        <v>0</v>
      </c>
      <c r="DH53">
        <f t="shared" si="34"/>
        <v>0</v>
      </c>
      <c r="DI53">
        <f t="shared" si="35"/>
        <v>0</v>
      </c>
      <c r="DJ53">
        <f t="shared" si="36"/>
        <v>0</v>
      </c>
      <c r="DK53">
        <f t="shared" si="37"/>
        <v>0</v>
      </c>
      <c r="DL53">
        <f t="shared" si="38"/>
        <v>0</v>
      </c>
      <c r="DM53">
        <f t="shared" si="39"/>
        <v>0</v>
      </c>
      <c r="DN53">
        <f t="shared" si="40"/>
        <v>0</v>
      </c>
      <c r="DO53">
        <f t="shared" si="41"/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</row>
    <row r="54" spans="1:124" s="2" customFormat="1">
      <c r="A54" s="3">
        <v>41395</v>
      </c>
      <c r="B54">
        <f t="shared" si="6"/>
        <v>2013</v>
      </c>
      <c r="C54" s="2">
        <v>18133298</v>
      </c>
      <c r="D54" s="2">
        <f>VLOOKUP(B54,'Historic CDM'!$B$135:$H$146,2,FALSE)/12</f>
        <v>143519.44192032225</v>
      </c>
      <c r="E54" s="2">
        <f t="shared" si="7"/>
        <v>18276817.441920321</v>
      </c>
      <c r="F54" s="5">
        <v>26455</v>
      </c>
      <c r="G54" s="219">
        <v>5265331</v>
      </c>
      <c r="H54" s="2">
        <f>VLOOKUP(B54,'Historic CDM'!$B$135:$H$147,3,FALSE)/12</f>
        <v>159408.26028913452</v>
      </c>
      <c r="I54" s="2">
        <f t="shared" si="8"/>
        <v>5424739.2602891345</v>
      </c>
      <c r="J54" s="220">
        <v>1908</v>
      </c>
      <c r="K54" s="219">
        <v>12774228</v>
      </c>
      <c r="L54" s="2">
        <f>VLOOKUP(B54,'Historic CDM'!$B$135:$H$146,4,FALSE)/12</f>
        <v>152268.58859158723</v>
      </c>
      <c r="M54" s="2">
        <f t="shared" si="5"/>
        <v>12926496.588591587</v>
      </c>
      <c r="N54" s="222">
        <v>34039</v>
      </c>
      <c r="O54" s="5">
        <v>206</v>
      </c>
      <c r="P54" s="220">
        <v>426719</v>
      </c>
      <c r="Q54" s="2">
        <v>1605</v>
      </c>
      <c r="R54" s="5">
        <v>2685</v>
      </c>
      <c r="S54" s="220">
        <v>29788</v>
      </c>
      <c r="T54" s="2">
        <v>74</v>
      </c>
      <c r="U54" s="5">
        <v>175</v>
      </c>
      <c r="V54" s="221">
        <v>129846</v>
      </c>
      <c r="W54" s="1">
        <v>141</v>
      </c>
      <c r="X54" s="2">
        <v>2427962</v>
      </c>
      <c r="Y54" s="2">
        <v>7675</v>
      </c>
      <c r="Z54" s="5">
        <v>6</v>
      </c>
      <c r="AA54" s="100">
        <f>'Weather Data'!D150</f>
        <v>122.69999999999999</v>
      </c>
      <c r="AB54" s="100">
        <f>'Weather Data'!E150</f>
        <v>28.599999999999998</v>
      </c>
      <c r="AC54" s="100">
        <f>'Weather Data'!F150</f>
        <v>83.3</v>
      </c>
      <c r="AD54" s="100">
        <f>'Weather Data'!G150</f>
        <v>51.2</v>
      </c>
      <c r="AE54" s="100">
        <f>'Weather Data'!H150</f>
        <v>54.8</v>
      </c>
      <c r="AF54" s="100">
        <f>'Weather Data'!I150</f>
        <v>84.7</v>
      </c>
      <c r="AG54" s="100">
        <f>'Weather Data'!J150</f>
        <v>34.1</v>
      </c>
      <c r="AH54" s="100">
        <f>'Weather Data'!K150</f>
        <v>126</v>
      </c>
      <c r="AI54" s="100">
        <f>'Weather Data'!L150</f>
        <v>19.100000000000001</v>
      </c>
      <c r="AJ54" s="100">
        <f>'Weather Data'!M150</f>
        <v>173</v>
      </c>
      <c r="AK54" s="100">
        <f>'Weather Data'!N150</f>
        <v>9.1000000000000014</v>
      </c>
      <c r="AL54" s="100">
        <f>'Weather Data'!O150</f>
        <v>225</v>
      </c>
      <c r="AM54" s="100">
        <f>'Weather Data'!P150</f>
        <v>3</v>
      </c>
      <c r="AN54" s="100">
        <f>'Weather Data'!Q150</f>
        <v>280.89999999999998</v>
      </c>
      <c r="AO54" s="100">
        <f>'Weather Data'!R150</f>
        <v>16.964516129032255</v>
      </c>
      <c r="AP54" s="5">
        <f>'Economic Data'!D20</f>
        <v>6795.3</v>
      </c>
      <c r="AQ54" s="5">
        <f>'Economic Data'!E20</f>
        <v>6764.2</v>
      </c>
      <c r="AR54" s="5">
        <f>'Economic Data'!F20</f>
        <v>155</v>
      </c>
      <c r="AS54" s="5">
        <f>'Economic Data'!G20</f>
        <v>153.69999999999999</v>
      </c>
      <c r="AT54" s="5">
        <f>'Economic Data'!H20</f>
        <v>691682.6</v>
      </c>
      <c r="AU54" s="5">
        <f>'Economic Data'!I20</f>
        <v>6617.6</v>
      </c>
      <c r="AV54" s="5">
        <f>'Economic Data'!J20</f>
        <v>5553.6</v>
      </c>
      <c r="AW54" s="5">
        <f>'Economic Data'!K20</f>
        <v>4143.5</v>
      </c>
      <c r="AX54" s="5">
        <f>'Economic Data'!L20</f>
        <v>903.8</v>
      </c>
      <c r="AY54" s="5">
        <f>'Economic Data'!M20</f>
        <v>371.8</v>
      </c>
      <c r="AZ54" s="5">
        <f>'Economic Data'!N20</f>
        <v>8329.1</v>
      </c>
      <c r="BA54" s="5">
        <f>'Economic Data'!O20</f>
        <v>12</v>
      </c>
      <c r="BB54" s="5">
        <f>'Economic Data'!P20</f>
        <v>327.2</v>
      </c>
      <c r="BC54" s="5">
        <f>'Economic Data'!Q20</f>
        <v>689512</v>
      </c>
      <c r="BD54" s="5">
        <f>'Economic Data'!R20</f>
        <v>6626</v>
      </c>
      <c r="BE54" s="5">
        <f>'Economic Data'!S20</f>
        <v>3653</v>
      </c>
      <c r="BF54" s="5">
        <f>'Economic Data'!T20</f>
        <v>12726</v>
      </c>
      <c r="BG54" s="5">
        <v>0</v>
      </c>
      <c r="BH54" s="5">
        <v>0</v>
      </c>
      <c r="BI54" s="5">
        <v>0</v>
      </c>
      <c r="BJ54" s="5">
        <f t="shared" si="42"/>
        <v>5</v>
      </c>
      <c r="BK54" s="70">
        <f t="shared" si="43"/>
        <v>0.69897000433601886</v>
      </c>
      <c r="BL54" s="5">
        <f t="shared" si="44"/>
        <v>25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1</v>
      </c>
      <c r="BZ54">
        <v>0</v>
      </c>
      <c r="CA54">
        <f t="shared" si="9"/>
        <v>1</v>
      </c>
      <c r="CB54">
        <v>31</v>
      </c>
      <c r="CC54">
        <v>22</v>
      </c>
      <c r="CD54">
        <v>0</v>
      </c>
      <c r="CE54">
        <v>0</v>
      </c>
      <c r="CF54">
        <f t="shared" si="47"/>
        <v>0</v>
      </c>
      <c r="CG54">
        <v>0</v>
      </c>
      <c r="CH54" s="64">
        <f t="shared" si="10"/>
        <v>0</v>
      </c>
      <c r="CI54" s="64">
        <f t="shared" si="11"/>
        <v>0</v>
      </c>
      <c r="CJ54" s="64">
        <f t="shared" si="12"/>
        <v>0</v>
      </c>
      <c r="CK54" s="64">
        <f t="shared" si="13"/>
        <v>0</v>
      </c>
      <c r="CL54" s="64">
        <f t="shared" si="14"/>
        <v>0</v>
      </c>
      <c r="CM54" s="64">
        <f t="shared" si="15"/>
        <v>0</v>
      </c>
      <c r="CN54" s="64">
        <f t="shared" si="16"/>
        <v>0</v>
      </c>
      <c r="CO54" s="64">
        <f t="shared" si="17"/>
        <v>0</v>
      </c>
      <c r="CP54" s="64">
        <f t="shared" si="18"/>
        <v>0</v>
      </c>
      <c r="CQ54" s="64">
        <f t="shared" si="19"/>
        <v>0</v>
      </c>
      <c r="CR54" s="64">
        <f t="shared" si="20"/>
        <v>0</v>
      </c>
      <c r="CS54" s="64">
        <f t="shared" si="21"/>
        <v>0</v>
      </c>
      <c r="CT54" s="64">
        <f t="shared" si="22"/>
        <v>0</v>
      </c>
      <c r="CU54" s="64">
        <f t="shared" si="23"/>
        <v>0</v>
      </c>
      <c r="CV54" s="69">
        <f t="shared" si="24"/>
        <v>22.285948069967041</v>
      </c>
      <c r="CW54" s="69">
        <f t="shared" si="25"/>
        <v>849.47373321157761</v>
      </c>
      <c r="CX54" s="69">
        <f t="shared" si="45"/>
        <v>2852.2719745347722</v>
      </c>
      <c r="CY54" s="69">
        <f t="shared" si="26"/>
        <v>18393.651515151516</v>
      </c>
      <c r="CZ54" s="64">
        <f t="shared" si="46"/>
        <v>2024.1930141859673</v>
      </c>
      <c r="DA54" s="64">
        <f t="shared" si="27"/>
        <v>13053.559139784948</v>
      </c>
      <c r="DB54">
        <f t="shared" si="28"/>
        <v>0</v>
      </c>
      <c r="DC54">
        <f t="shared" si="29"/>
        <v>0</v>
      </c>
      <c r="DD54">
        <f t="shared" si="30"/>
        <v>0</v>
      </c>
      <c r="DE54">
        <f t="shared" si="31"/>
        <v>0</v>
      </c>
      <c r="DF54">
        <f t="shared" si="32"/>
        <v>0</v>
      </c>
      <c r="DG54">
        <f t="shared" si="33"/>
        <v>0</v>
      </c>
      <c r="DH54">
        <f t="shared" si="34"/>
        <v>0</v>
      </c>
      <c r="DI54">
        <f t="shared" si="35"/>
        <v>0</v>
      </c>
      <c r="DJ54">
        <f t="shared" si="36"/>
        <v>0</v>
      </c>
      <c r="DK54">
        <f t="shared" si="37"/>
        <v>0</v>
      </c>
      <c r="DL54">
        <f t="shared" si="38"/>
        <v>0</v>
      </c>
      <c r="DM54">
        <f t="shared" si="39"/>
        <v>0</v>
      </c>
      <c r="DN54">
        <f t="shared" si="40"/>
        <v>0</v>
      </c>
      <c r="DO54">
        <f t="shared" si="41"/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</row>
    <row r="55" spans="1:124" s="2" customFormat="1">
      <c r="A55" s="3">
        <v>41426</v>
      </c>
      <c r="B55">
        <f t="shared" si="6"/>
        <v>2013</v>
      </c>
      <c r="C55" s="2">
        <v>23414322</v>
      </c>
      <c r="D55" s="2">
        <f>VLOOKUP(B55,'Historic CDM'!$B$135:$H$146,2,FALSE)/12</f>
        <v>143519.44192032225</v>
      </c>
      <c r="E55" s="2">
        <f t="shared" si="7"/>
        <v>23557841.441920321</v>
      </c>
      <c r="F55" s="5">
        <v>26473</v>
      </c>
      <c r="G55" s="219">
        <v>5660665</v>
      </c>
      <c r="H55" s="2">
        <f>VLOOKUP(B55,'Historic CDM'!$B$135:$H$147,3,FALSE)/12</f>
        <v>159408.26028913452</v>
      </c>
      <c r="I55" s="2">
        <f t="shared" si="8"/>
        <v>5820073.2602891345</v>
      </c>
      <c r="J55" s="220">
        <v>1917</v>
      </c>
      <c r="K55" s="219">
        <v>13515267</v>
      </c>
      <c r="L55" s="2">
        <f>VLOOKUP(B55,'Historic CDM'!$B$135:$H$146,4,FALSE)/12</f>
        <v>152268.58859158723</v>
      </c>
      <c r="M55" s="2">
        <f t="shared" si="5"/>
        <v>13667535.588591587</v>
      </c>
      <c r="N55" s="222">
        <v>37751</v>
      </c>
      <c r="O55" s="5">
        <v>209</v>
      </c>
      <c r="P55" s="220">
        <v>375648</v>
      </c>
      <c r="Q55" s="2">
        <v>1605</v>
      </c>
      <c r="R55" s="5">
        <v>2685</v>
      </c>
      <c r="S55" s="220">
        <v>29340</v>
      </c>
      <c r="T55" s="2">
        <v>74</v>
      </c>
      <c r="U55" s="5">
        <v>175</v>
      </c>
      <c r="V55" s="221">
        <v>128680</v>
      </c>
      <c r="W55" s="1">
        <v>140</v>
      </c>
      <c r="X55" s="2">
        <v>3103998</v>
      </c>
      <c r="Y55" s="2">
        <v>8770</v>
      </c>
      <c r="Z55" s="5">
        <v>6</v>
      </c>
      <c r="AA55" s="100">
        <f>'Weather Data'!D151</f>
        <v>41.6</v>
      </c>
      <c r="AB55" s="100">
        <f>'Weather Data'!E151</f>
        <v>49.099999999999994</v>
      </c>
      <c r="AC55" s="100">
        <f>'Weather Data'!F151</f>
        <v>18.200000000000003</v>
      </c>
      <c r="AD55" s="100">
        <f>'Weather Data'!G151</f>
        <v>85.700000000000017</v>
      </c>
      <c r="AE55" s="100">
        <f>'Weather Data'!H151</f>
        <v>6</v>
      </c>
      <c r="AF55" s="100">
        <f>'Weather Data'!I151</f>
        <v>133.49999999999997</v>
      </c>
      <c r="AG55" s="100">
        <f>'Weather Data'!J151</f>
        <v>0.40000000000000036</v>
      </c>
      <c r="AH55" s="100">
        <f>'Weather Data'!K151</f>
        <v>187.9</v>
      </c>
      <c r="AI55" s="100">
        <f>'Weather Data'!L151</f>
        <v>0</v>
      </c>
      <c r="AJ55" s="100">
        <f>'Weather Data'!M151</f>
        <v>247.50000000000003</v>
      </c>
      <c r="AK55" s="100">
        <f>'Weather Data'!N151</f>
        <v>0</v>
      </c>
      <c r="AL55" s="100">
        <f>'Weather Data'!O151</f>
        <v>307.50000000000006</v>
      </c>
      <c r="AM55" s="100">
        <f>'Weather Data'!P151</f>
        <v>0</v>
      </c>
      <c r="AN55" s="100">
        <f>'Weather Data'!Q151</f>
        <v>367.50000000000011</v>
      </c>
      <c r="AO55" s="100">
        <f>'Weather Data'!R151</f>
        <v>20.25</v>
      </c>
      <c r="AP55" s="5">
        <f>'Economic Data'!D21</f>
        <v>6807.1</v>
      </c>
      <c r="AQ55" s="5">
        <f>'Economic Data'!E21</f>
        <v>6849.6</v>
      </c>
      <c r="AR55" s="5">
        <f>'Economic Data'!F21</f>
        <v>156</v>
      </c>
      <c r="AS55" s="5">
        <f>'Economic Data'!G21</f>
        <v>156.30000000000001</v>
      </c>
      <c r="AT55" s="5">
        <f>'Economic Data'!H21</f>
        <v>691682.6</v>
      </c>
      <c r="AU55" s="5">
        <f>'Economic Data'!I21</f>
        <v>6617.6</v>
      </c>
      <c r="AV55" s="5">
        <f>'Economic Data'!J21</f>
        <v>5553.6</v>
      </c>
      <c r="AW55" s="5">
        <f>'Economic Data'!K21</f>
        <v>4143.5</v>
      </c>
      <c r="AX55" s="5">
        <f>'Economic Data'!L21</f>
        <v>903.8</v>
      </c>
      <c r="AY55" s="5">
        <f>'Economic Data'!M21</f>
        <v>371.8</v>
      </c>
      <c r="AZ55" s="5">
        <f>'Economic Data'!N21</f>
        <v>8329.1</v>
      </c>
      <c r="BA55" s="5">
        <f>'Economic Data'!O21</f>
        <v>12</v>
      </c>
      <c r="BB55" s="5">
        <f>'Economic Data'!P21</f>
        <v>327.2</v>
      </c>
      <c r="BC55" s="5">
        <f>'Economic Data'!Q21</f>
        <v>689512</v>
      </c>
      <c r="BD55" s="5">
        <f>'Economic Data'!R21</f>
        <v>6626</v>
      </c>
      <c r="BE55" s="5">
        <f>'Economic Data'!S21</f>
        <v>3653</v>
      </c>
      <c r="BF55" s="5">
        <f>'Economic Data'!T21</f>
        <v>12726</v>
      </c>
      <c r="BG55" s="5">
        <v>0</v>
      </c>
      <c r="BH55" s="5">
        <v>0</v>
      </c>
      <c r="BI55" s="5">
        <v>0</v>
      </c>
      <c r="BJ55" s="5">
        <f t="shared" si="42"/>
        <v>6</v>
      </c>
      <c r="BK55" s="70">
        <f t="shared" si="43"/>
        <v>0.77815125038364363</v>
      </c>
      <c r="BL55" s="5">
        <f t="shared" si="44"/>
        <v>36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f t="shared" si="9"/>
        <v>0</v>
      </c>
      <c r="CB55">
        <v>30</v>
      </c>
      <c r="CC55">
        <v>20</v>
      </c>
      <c r="CD55">
        <v>0</v>
      </c>
      <c r="CE55">
        <v>0</v>
      </c>
      <c r="CF55">
        <f t="shared" si="47"/>
        <v>0</v>
      </c>
      <c r="CG55">
        <v>0</v>
      </c>
      <c r="CH55" s="64">
        <f t="shared" si="10"/>
        <v>0</v>
      </c>
      <c r="CI55" s="64">
        <f t="shared" si="11"/>
        <v>0</v>
      </c>
      <c r="CJ55" s="64">
        <f t="shared" si="12"/>
        <v>0</v>
      </c>
      <c r="CK55" s="64">
        <f t="shared" si="13"/>
        <v>0</v>
      </c>
      <c r="CL55" s="64">
        <f t="shared" si="14"/>
        <v>0</v>
      </c>
      <c r="CM55" s="64">
        <f t="shared" si="15"/>
        <v>0</v>
      </c>
      <c r="CN55" s="64">
        <f t="shared" si="16"/>
        <v>0</v>
      </c>
      <c r="CO55" s="64">
        <f t="shared" si="17"/>
        <v>0</v>
      </c>
      <c r="CP55" s="64">
        <f t="shared" si="18"/>
        <v>0</v>
      </c>
      <c r="CQ55" s="64">
        <f t="shared" si="19"/>
        <v>0</v>
      </c>
      <c r="CR55" s="64">
        <f t="shared" si="20"/>
        <v>0</v>
      </c>
      <c r="CS55" s="64">
        <f t="shared" si="21"/>
        <v>0</v>
      </c>
      <c r="CT55" s="64">
        <f t="shared" si="22"/>
        <v>0</v>
      </c>
      <c r="CU55" s="64">
        <f t="shared" si="23"/>
        <v>0</v>
      </c>
      <c r="CV55" s="69">
        <f t="shared" si="24"/>
        <v>29.662727359851321</v>
      </c>
      <c r="CW55" s="69">
        <f t="shared" si="25"/>
        <v>928.24134932841048</v>
      </c>
      <c r="CX55" s="69">
        <f t="shared" si="45"/>
        <v>3269.7453561223892</v>
      </c>
      <c r="CY55" s="69">
        <f t="shared" si="26"/>
        <v>25866.649999999998</v>
      </c>
      <c r="CZ55" s="64">
        <f t="shared" si="46"/>
        <v>2179.8302374149262</v>
      </c>
      <c r="DA55" s="64">
        <f t="shared" si="27"/>
        <v>17244.433333333334</v>
      </c>
      <c r="DB55">
        <f t="shared" si="28"/>
        <v>0</v>
      </c>
      <c r="DC55">
        <f t="shared" si="29"/>
        <v>0</v>
      </c>
      <c r="DD55">
        <f t="shared" si="30"/>
        <v>0</v>
      </c>
      <c r="DE55">
        <f t="shared" si="31"/>
        <v>0</v>
      </c>
      <c r="DF55">
        <f t="shared" si="32"/>
        <v>0</v>
      </c>
      <c r="DG55">
        <f t="shared" si="33"/>
        <v>0</v>
      </c>
      <c r="DH55">
        <f t="shared" si="34"/>
        <v>0</v>
      </c>
      <c r="DI55">
        <f t="shared" si="35"/>
        <v>0</v>
      </c>
      <c r="DJ55">
        <f t="shared" si="36"/>
        <v>0</v>
      </c>
      <c r="DK55">
        <f t="shared" si="37"/>
        <v>0</v>
      </c>
      <c r="DL55">
        <f t="shared" si="38"/>
        <v>0</v>
      </c>
      <c r="DM55">
        <f t="shared" si="39"/>
        <v>0</v>
      </c>
      <c r="DN55">
        <f t="shared" si="40"/>
        <v>0</v>
      </c>
      <c r="DO55">
        <f t="shared" si="41"/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</row>
    <row r="56" spans="1:124" s="2" customFormat="1">
      <c r="A56" s="3">
        <v>41456</v>
      </c>
      <c r="B56">
        <f t="shared" si="6"/>
        <v>2013</v>
      </c>
      <c r="C56" s="2">
        <v>28668719</v>
      </c>
      <c r="D56" s="2">
        <f>VLOOKUP(B56,'Historic CDM'!$B$135:$H$146,2,FALSE)/12</f>
        <v>143519.44192032225</v>
      </c>
      <c r="E56" s="2">
        <f t="shared" si="7"/>
        <v>28812238.441920321</v>
      </c>
      <c r="F56" s="5">
        <v>26504</v>
      </c>
      <c r="G56" s="219">
        <v>6207319</v>
      </c>
      <c r="H56" s="2">
        <f>VLOOKUP(B56,'Historic CDM'!$B$135:$H$147,3,FALSE)/12</f>
        <v>159408.26028913452</v>
      </c>
      <c r="I56" s="2">
        <f t="shared" si="8"/>
        <v>6366727.2602891345</v>
      </c>
      <c r="J56" s="220">
        <v>1924</v>
      </c>
      <c r="K56" s="219">
        <v>15095502</v>
      </c>
      <c r="L56" s="2">
        <f>VLOOKUP(B56,'Historic CDM'!$B$135:$H$146,4,FALSE)/12</f>
        <v>152268.58859158723</v>
      </c>
      <c r="M56" s="2">
        <f t="shared" si="5"/>
        <v>15247770.588591587</v>
      </c>
      <c r="N56" s="222">
        <v>41709</v>
      </c>
      <c r="O56" s="5">
        <v>210</v>
      </c>
      <c r="P56" s="220">
        <v>390922</v>
      </c>
      <c r="Q56" s="2">
        <v>1599</v>
      </c>
      <c r="R56" s="5">
        <v>2684</v>
      </c>
      <c r="S56" s="220">
        <v>28702</v>
      </c>
      <c r="T56" s="2">
        <v>74</v>
      </c>
      <c r="U56" s="5">
        <v>175</v>
      </c>
      <c r="V56" s="221">
        <v>128680</v>
      </c>
      <c r="W56" s="1">
        <v>140</v>
      </c>
      <c r="X56" s="2">
        <v>3661712</v>
      </c>
      <c r="Y56" s="2">
        <v>10241</v>
      </c>
      <c r="Z56" s="5">
        <v>6</v>
      </c>
      <c r="AA56" s="100">
        <f>'Weather Data'!D152</f>
        <v>14</v>
      </c>
      <c r="AB56" s="100">
        <f>'Weather Data'!E152</f>
        <v>98.200000000000017</v>
      </c>
      <c r="AC56" s="100">
        <f>'Weather Data'!F152</f>
        <v>2.6000000000000014</v>
      </c>
      <c r="AD56" s="100">
        <f>'Weather Data'!G152</f>
        <v>148.79999999999995</v>
      </c>
      <c r="AE56" s="100">
        <f>'Weather Data'!H152</f>
        <v>0</v>
      </c>
      <c r="AF56" s="100">
        <f>'Weather Data'!I152</f>
        <v>208.19999999999993</v>
      </c>
      <c r="AG56" s="100">
        <f>'Weather Data'!J152</f>
        <v>0</v>
      </c>
      <c r="AH56" s="100">
        <f>'Weather Data'!K152</f>
        <v>270.2</v>
      </c>
      <c r="AI56" s="100">
        <f>'Weather Data'!L152</f>
        <v>0</v>
      </c>
      <c r="AJ56" s="100">
        <f>'Weather Data'!M152</f>
        <v>332.20000000000005</v>
      </c>
      <c r="AK56" s="100">
        <f>'Weather Data'!N152</f>
        <v>0</v>
      </c>
      <c r="AL56" s="100">
        <f>'Weather Data'!O152</f>
        <v>394.2</v>
      </c>
      <c r="AM56" s="100">
        <f>'Weather Data'!P152</f>
        <v>0</v>
      </c>
      <c r="AN56" s="100">
        <f>'Weather Data'!Q152</f>
        <v>456.2</v>
      </c>
      <c r="AO56" s="100">
        <f>'Weather Data'!R152</f>
        <v>22.716129032258067</v>
      </c>
      <c r="AP56" s="5">
        <f>'Economic Data'!D22</f>
        <v>6810.7</v>
      </c>
      <c r="AQ56" s="5">
        <f>'Economic Data'!E22</f>
        <v>6898</v>
      </c>
      <c r="AR56" s="5">
        <f>'Economic Data'!F22</f>
        <v>156</v>
      </c>
      <c r="AS56" s="5">
        <f>'Economic Data'!G22</f>
        <v>157</v>
      </c>
      <c r="AT56" s="5">
        <f>'Economic Data'!H22</f>
        <v>691682.6</v>
      </c>
      <c r="AU56" s="5">
        <f>'Economic Data'!I22</f>
        <v>6617.6</v>
      </c>
      <c r="AV56" s="5">
        <f>'Economic Data'!J22</f>
        <v>5553.6</v>
      </c>
      <c r="AW56" s="5">
        <f>'Economic Data'!K22</f>
        <v>4143.5</v>
      </c>
      <c r="AX56" s="5">
        <f>'Economic Data'!L22</f>
        <v>903.8</v>
      </c>
      <c r="AY56" s="5">
        <f>'Economic Data'!M22</f>
        <v>371.8</v>
      </c>
      <c r="AZ56" s="5">
        <f>'Economic Data'!N22</f>
        <v>8329.1</v>
      </c>
      <c r="BA56" s="5">
        <f>'Economic Data'!O22</f>
        <v>12</v>
      </c>
      <c r="BB56" s="5">
        <f>'Economic Data'!P22</f>
        <v>327.2</v>
      </c>
      <c r="BC56" s="5">
        <f>'Economic Data'!Q22</f>
        <v>694293</v>
      </c>
      <c r="BD56" s="5">
        <f>'Economic Data'!R22</f>
        <v>6842</v>
      </c>
      <c r="BE56" s="5">
        <f>'Economic Data'!S22</f>
        <v>3555</v>
      </c>
      <c r="BF56" s="5">
        <f>'Economic Data'!T22</f>
        <v>12735</v>
      </c>
      <c r="BG56" s="5">
        <v>0</v>
      </c>
      <c r="BH56" s="5">
        <v>0</v>
      </c>
      <c r="BI56" s="5">
        <v>0</v>
      </c>
      <c r="BJ56" s="5">
        <f t="shared" si="42"/>
        <v>7</v>
      </c>
      <c r="BK56" s="70">
        <f t="shared" si="43"/>
        <v>0.84509804001425681</v>
      </c>
      <c r="BL56" s="5">
        <f t="shared" si="44"/>
        <v>49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f t="shared" si="9"/>
        <v>0</v>
      </c>
      <c r="CB56">
        <v>31</v>
      </c>
      <c r="CC56">
        <v>22</v>
      </c>
      <c r="CD56">
        <v>0</v>
      </c>
      <c r="CE56">
        <v>0</v>
      </c>
      <c r="CF56">
        <f t="shared" si="47"/>
        <v>0</v>
      </c>
      <c r="CG56">
        <v>0</v>
      </c>
      <c r="CH56" s="64">
        <f t="shared" si="10"/>
        <v>0</v>
      </c>
      <c r="CI56" s="64">
        <f t="shared" si="11"/>
        <v>0</v>
      </c>
      <c r="CJ56" s="64">
        <f t="shared" si="12"/>
        <v>0</v>
      </c>
      <c r="CK56" s="64">
        <f t="shared" si="13"/>
        <v>0</v>
      </c>
      <c r="CL56" s="64">
        <f t="shared" si="14"/>
        <v>0</v>
      </c>
      <c r="CM56" s="64">
        <f t="shared" si="15"/>
        <v>0</v>
      </c>
      <c r="CN56" s="64">
        <f t="shared" si="16"/>
        <v>0</v>
      </c>
      <c r="CO56" s="64">
        <f t="shared" si="17"/>
        <v>0</v>
      </c>
      <c r="CP56" s="64">
        <f t="shared" si="18"/>
        <v>0</v>
      </c>
      <c r="CQ56" s="64">
        <f t="shared" si="19"/>
        <v>0</v>
      </c>
      <c r="CR56" s="64">
        <f t="shared" si="20"/>
        <v>0</v>
      </c>
      <c r="CS56" s="64">
        <f t="shared" si="21"/>
        <v>0</v>
      </c>
      <c r="CT56" s="64">
        <f t="shared" si="22"/>
        <v>0</v>
      </c>
      <c r="CU56" s="64">
        <f t="shared" si="23"/>
        <v>0</v>
      </c>
      <c r="CV56" s="69">
        <f t="shared" si="24"/>
        <v>35.067425540052774</v>
      </c>
      <c r="CW56" s="69">
        <f t="shared" si="25"/>
        <v>977.99189866192546</v>
      </c>
      <c r="CX56" s="69">
        <f t="shared" si="45"/>
        <v>3300.383244283893</v>
      </c>
      <c r="CY56" s="69">
        <f t="shared" si="26"/>
        <v>27740.242424242428</v>
      </c>
      <c r="CZ56" s="64">
        <f t="shared" si="46"/>
        <v>2342.2074636853436</v>
      </c>
      <c r="DA56" s="64">
        <f t="shared" si="27"/>
        <v>19686.623655913976</v>
      </c>
      <c r="DB56">
        <f t="shared" si="28"/>
        <v>0</v>
      </c>
      <c r="DC56">
        <f t="shared" si="29"/>
        <v>0</v>
      </c>
      <c r="DD56">
        <f t="shared" si="30"/>
        <v>0</v>
      </c>
      <c r="DE56">
        <f t="shared" si="31"/>
        <v>0</v>
      </c>
      <c r="DF56">
        <f t="shared" si="32"/>
        <v>0</v>
      </c>
      <c r="DG56">
        <f t="shared" si="33"/>
        <v>0</v>
      </c>
      <c r="DH56">
        <f t="shared" si="34"/>
        <v>0</v>
      </c>
      <c r="DI56">
        <f t="shared" si="35"/>
        <v>0</v>
      </c>
      <c r="DJ56">
        <f t="shared" si="36"/>
        <v>0</v>
      </c>
      <c r="DK56">
        <f t="shared" si="37"/>
        <v>0</v>
      </c>
      <c r="DL56">
        <f t="shared" si="38"/>
        <v>0</v>
      </c>
      <c r="DM56">
        <f t="shared" si="39"/>
        <v>0</v>
      </c>
      <c r="DN56">
        <f t="shared" si="40"/>
        <v>0</v>
      </c>
      <c r="DO56">
        <f t="shared" si="41"/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</row>
    <row r="57" spans="1:124" s="2" customFormat="1">
      <c r="A57" s="3">
        <v>41487</v>
      </c>
      <c r="B57">
        <f t="shared" si="6"/>
        <v>2013</v>
      </c>
      <c r="C57" s="2">
        <v>26070666</v>
      </c>
      <c r="D57" s="2">
        <f>VLOOKUP(B57,'Historic CDM'!$B$135:$H$146,2,FALSE)/12</f>
        <v>143519.44192032225</v>
      </c>
      <c r="E57" s="2">
        <f t="shared" si="7"/>
        <v>26214185.441920321</v>
      </c>
      <c r="F57" s="5">
        <v>26591</v>
      </c>
      <c r="G57" s="219">
        <v>6054535</v>
      </c>
      <c r="H57" s="2">
        <f>VLOOKUP(B57,'Historic CDM'!$B$135:$H$147,3,FALSE)/12</f>
        <v>159408.26028913452</v>
      </c>
      <c r="I57" s="2">
        <f t="shared" si="8"/>
        <v>6213943.2602891345</v>
      </c>
      <c r="J57" s="220">
        <v>1901</v>
      </c>
      <c r="K57" s="219">
        <v>15420558</v>
      </c>
      <c r="L57" s="2">
        <f>VLOOKUP(B57,'Historic CDM'!$B$135:$H$146,4,FALSE)/12</f>
        <v>152268.58859158723</v>
      </c>
      <c r="M57" s="2">
        <f t="shared" si="5"/>
        <v>15572826.588591587</v>
      </c>
      <c r="N57" s="222">
        <v>41873</v>
      </c>
      <c r="O57" s="5">
        <v>209</v>
      </c>
      <c r="P57" s="220">
        <v>437339</v>
      </c>
      <c r="Q57" s="2">
        <v>1579</v>
      </c>
      <c r="R57" s="5">
        <v>2683</v>
      </c>
      <c r="S57" s="220">
        <v>30245</v>
      </c>
      <c r="T57" s="2">
        <v>74</v>
      </c>
      <c r="U57" s="5">
        <v>175</v>
      </c>
      <c r="V57" s="221">
        <v>128680</v>
      </c>
      <c r="W57" s="1">
        <v>140</v>
      </c>
      <c r="X57" s="2">
        <v>3280259</v>
      </c>
      <c r="Y57" s="2">
        <v>9295</v>
      </c>
      <c r="Z57" s="5">
        <v>6</v>
      </c>
      <c r="AA57" s="100">
        <f>'Weather Data'!D153</f>
        <v>14.700000000000003</v>
      </c>
      <c r="AB57" s="100">
        <f>'Weather Data'!E153</f>
        <v>64.100000000000009</v>
      </c>
      <c r="AC57" s="100">
        <f>'Weather Data'!F153</f>
        <v>3.9000000000000021</v>
      </c>
      <c r="AD57" s="100">
        <f>'Weather Data'!G153</f>
        <v>115.29999999999998</v>
      </c>
      <c r="AE57" s="100">
        <f>'Weather Data'!H153</f>
        <v>0</v>
      </c>
      <c r="AF57" s="100">
        <f>'Weather Data'!I153</f>
        <v>173.40000000000003</v>
      </c>
      <c r="AG57" s="100">
        <f>'Weather Data'!J153</f>
        <v>0</v>
      </c>
      <c r="AH57" s="100">
        <f>'Weather Data'!K153</f>
        <v>235.4</v>
      </c>
      <c r="AI57" s="100">
        <f>'Weather Data'!L153</f>
        <v>0</v>
      </c>
      <c r="AJ57" s="100">
        <f>'Weather Data'!M153</f>
        <v>297.40000000000003</v>
      </c>
      <c r="AK57" s="100">
        <f>'Weather Data'!N153</f>
        <v>0</v>
      </c>
      <c r="AL57" s="100">
        <f>'Weather Data'!O153</f>
        <v>359.40000000000003</v>
      </c>
      <c r="AM57" s="100">
        <f>'Weather Data'!P153</f>
        <v>0</v>
      </c>
      <c r="AN57" s="100">
        <f>'Weather Data'!Q153</f>
        <v>421.40000000000003</v>
      </c>
      <c r="AO57" s="100">
        <f>'Weather Data'!R153</f>
        <v>21.593548387096774</v>
      </c>
      <c r="AP57" s="5">
        <f>'Economic Data'!D23</f>
        <v>6812.5</v>
      </c>
      <c r="AQ57" s="5">
        <f>'Economic Data'!E23</f>
        <v>6910.2</v>
      </c>
      <c r="AR57" s="5">
        <f>'Economic Data'!F23</f>
        <v>156.30000000000001</v>
      </c>
      <c r="AS57" s="5">
        <f>'Economic Data'!G23</f>
        <v>157.69999999999999</v>
      </c>
      <c r="AT57" s="5">
        <f>'Economic Data'!H23</f>
        <v>691682.6</v>
      </c>
      <c r="AU57" s="5">
        <f>'Economic Data'!I23</f>
        <v>6617.6</v>
      </c>
      <c r="AV57" s="5">
        <f>'Economic Data'!J23</f>
        <v>5553.6</v>
      </c>
      <c r="AW57" s="5">
        <f>'Economic Data'!K23</f>
        <v>4143.5</v>
      </c>
      <c r="AX57" s="5">
        <f>'Economic Data'!L23</f>
        <v>903.8</v>
      </c>
      <c r="AY57" s="5">
        <f>'Economic Data'!M23</f>
        <v>371.8</v>
      </c>
      <c r="AZ57" s="5">
        <f>'Economic Data'!N23</f>
        <v>8329.1</v>
      </c>
      <c r="BA57" s="5">
        <f>'Economic Data'!O23</f>
        <v>12</v>
      </c>
      <c r="BB57" s="5">
        <f>'Economic Data'!P23</f>
        <v>327.2</v>
      </c>
      <c r="BC57" s="5">
        <f>'Economic Data'!Q23</f>
        <v>694293</v>
      </c>
      <c r="BD57" s="5">
        <f>'Economic Data'!R23</f>
        <v>6842</v>
      </c>
      <c r="BE57" s="5">
        <f>'Economic Data'!S23</f>
        <v>3555</v>
      </c>
      <c r="BF57" s="5">
        <f>'Economic Data'!T23</f>
        <v>12735</v>
      </c>
      <c r="BG57" s="5">
        <v>0</v>
      </c>
      <c r="BH57" s="5">
        <v>0</v>
      </c>
      <c r="BI57" s="5">
        <v>0</v>
      </c>
      <c r="BJ57" s="5">
        <f t="shared" si="42"/>
        <v>8</v>
      </c>
      <c r="BK57" s="70">
        <f t="shared" si="43"/>
        <v>0.90308998699194354</v>
      </c>
      <c r="BL57" s="5">
        <f t="shared" si="44"/>
        <v>64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f t="shared" si="9"/>
        <v>0</v>
      </c>
      <c r="CB57">
        <v>31</v>
      </c>
      <c r="CC57">
        <v>21</v>
      </c>
      <c r="CD57">
        <v>0</v>
      </c>
      <c r="CE57">
        <v>0</v>
      </c>
      <c r="CF57">
        <f t="shared" si="47"/>
        <v>0</v>
      </c>
      <c r="CG57">
        <v>0</v>
      </c>
      <c r="CH57" s="64">
        <f t="shared" si="10"/>
        <v>0</v>
      </c>
      <c r="CI57" s="64">
        <f t="shared" si="11"/>
        <v>0</v>
      </c>
      <c r="CJ57" s="64">
        <f t="shared" si="12"/>
        <v>0</v>
      </c>
      <c r="CK57" s="64">
        <f t="shared" si="13"/>
        <v>0</v>
      </c>
      <c r="CL57" s="64">
        <f t="shared" si="14"/>
        <v>0</v>
      </c>
      <c r="CM57" s="64">
        <f t="shared" si="15"/>
        <v>0</v>
      </c>
      <c r="CN57" s="64">
        <f t="shared" si="16"/>
        <v>0</v>
      </c>
      <c r="CO57" s="64">
        <f t="shared" si="17"/>
        <v>0</v>
      </c>
      <c r="CP57" s="64">
        <f t="shared" si="18"/>
        <v>0</v>
      </c>
      <c r="CQ57" s="64">
        <f t="shared" si="19"/>
        <v>0</v>
      </c>
      <c r="CR57" s="64">
        <f t="shared" si="20"/>
        <v>0</v>
      </c>
      <c r="CS57" s="64">
        <f t="shared" si="21"/>
        <v>0</v>
      </c>
      <c r="CT57" s="64">
        <f t="shared" si="22"/>
        <v>0</v>
      </c>
      <c r="CU57" s="64">
        <f t="shared" si="23"/>
        <v>0</v>
      </c>
      <c r="CV57" s="69">
        <f t="shared" si="24"/>
        <v>31.800943372691368</v>
      </c>
      <c r="CW57" s="69">
        <f t="shared" si="25"/>
        <v>959.08986885154104</v>
      </c>
      <c r="CX57" s="69">
        <f t="shared" si="45"/>
        <v>3548.1491429919315</v>
      </c>
      <c r="CY57" s="69">
        <f t="shared" si="26"/>
        <v>26033.801587301587</v>
      </c>
      <c r="CZ57" s="64">
        <f t="shared" si="46"/>
        <v>2403.5849033171148</v>
      </c>
      <c r="DA57" s="64">
        <f t="shared" si="27"/>
        <v>17635.801075268817</v>
      </c>
      <c r="DB57">
        <f t="shared" si="28"/>
        <v>0</v>
      </c>
      <c r="DC57">
        <f t="shared" si="29"/>
        <v>0</v>
      </c>
      <c r="DD57">
        <f t="shared" si="30"/>
        <v>0</v>
      </c>
      <c r="DE57">
        <f t="shared" si="31"/>
        <v>0</v>
      </c>
      <c r="DF57">
        <f t="shared" si="32"/>
        <v>0</v>
      </c>
      <c r="DG57">
        <f t="shared" si="33"/>
        <v>0</v>
      </c>
      <c r="DH57">
        <f t="shared" si="34"/>
        <v>0</v>
      </c>
      <c r="DI57">
        <f t="shared" si="35"/>
        <v>0</v>
      </c>
      <c r="DJ57">
        <f t="shared" si="36"/>
        <v>0</v>
      </c>
      <c r="DK57">
        <f t="shared" si="37"/>
        <v>0</v>
      </c>
      <c r="DL57">
        <f t="shared" si="38"/>
        <v>0</v>
      </c>
      <c r="DM57">
        <f t="shared" si="39"/>
        <v>0</v>
      </c>
      <c r="DN57">
        <f t="shared" si="40"/>
        <v>0</v>
      </c>
      <c r="DO57">
        <f t="shared" si="41"/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</row>
    <row r="58" spans="1:124" s="2" customFormat="1">
      <c r="A58" s="3">
        <v>41518</v>
      </c>
      <c r="B58">
        <f t="shared" ref="B58:B121" si="48">YEAR(A58)</f>
        <v>2013</v>
      </c>
      <c r="C58" s="2">
        <v>21758981</v>
      </c>
      <c r="D58" s="2">
        <f>VLOOKUP(B58,'Historic CDM'!$B$135:$H$146,2,FALSE)/12</f>
        <v>143519.44192032225</v>
      </c>
      <c r="E58" s="2">
        <f t="shared" si="7"/>
        <v>21902500.441920321</v>
      </c>
      <c r="F58" s="5">
        <v>26486</v>
      </c>
      <c r="G58" s="219">
        <v>5476769</v>
      </c>
      <c r="H58" s="2">
        <f>VLOOKUP(B58,'Historic CDM'!$B$135:$H$147,3,FALSE)/12</f>
        <v>159408.26028913452</v>
      </c>
      <c r="I58" s="2">
        <f t="shared" si="8"/>
        <v>5636177.2602891345</v>
      </c>
      <c r="J58" s="220">
        <v>1892</v>
      </c>
      <c r="K58" s="219">
        <v>18628025</v>
      </c>
      <c r="L58" s="2">
        <f>VLOOKUP(B58,'Historic CDM'!$B$135:$H$146,4,FALSE)/12</f>
        <v>152268.58859158723</v>
      </c>
      <c r="M58" s="2">
        <f t="shared" si="5"/>
        <v>18780293.588591587</v>
      </c>
      <c r="N58" s="222">
        <v>43510</v>
      </c>
      <c r="O58" s="5">
        <v>213</v>
      </c>
      <c r="P58" s="220">
        <v>492585</v>
      </c>
      <c r="Q58" s="2">
        <v>1579</v>
      </c>
      <c r="R58" s="5">
        <v>2683</v>
      </c>
      <c r="S58" s="220">
        <v>29456</v>
      </c>
      <c r="T58" s="2">
        <v>74</v>
      </c>
      <c r="U58" s="5">
        <v>175</v>
      </c>
      <c r="V58" s="221">
        <v>128680</v>
      </c>
      <c r="W58" s="1">
        <v>140</v>
      </c>
      <c r="X58" s="2">
        <v>3028725</v>
      </c>
      <c r="Y58" s="2">
        <v>9274</v>
      </c>
      <c r="Z58" s="5">
        <v>6</v>
      </c>
      <c r="AA58" s="100">
        <f>'Weather Data'!D154</f>
        <v>93.899999999999991</v>
      </c>
      <c r="AB58" s="100">
        <f>'Weather Data'!E154</f>
        <v>26.299999999999997</v>
      </c>
      <c r="AC58" s="100">
        <f>'Weather Data'!F154</f>
        <v>53.7</v>
      </c>
      <c r="AD58" s="100">
        <f>'Weather Data'!G154</f>
        <v>46.099999999999994</v>
      </c>
      <c r="AE58" s="100">
        <f>'Weather Data'!H154</f>
        <v>25.700000000000003</v>
      </c>
      <c r="AF58" s="100">
        <f>'Weather Data'!I154</f>
        <v>78.100000000000009</v>
      </c>
      <c r="AG58" s="100">
        <f>'Weather Data'!J154</f>
        <v>9.1000000000000014</v>
      </c>
      <c r="AH58" s="100">
        <f>'Weather Data'!K154</f>
        <v>121.49999999999999</v>
      </c>
      <c r="AI58" s="100">
        <f>'Weather Data'!L154</f>
        <v>0</v>
      </c>
      <c r="AJ58" s="100">
        <f>'Weather Data'!M154</f>
        <v>172.39999999999998</v>
      </c>
      <c r="AK58" s="100">
        <f>'Weather Data'!N154</f>
        <v>0</v>
      </c>
      <c r="AL58" s="100">
        <f>'Weather Data'!O154</f>
        <v>232.39999999999998</v>
      </c>
      <c r="AM58" s="100">
        <f>'Weather Data'!P154</f>
        <v>0</v>
      </c>
      <c r="AN58" s="100">
        <f>'Weather Data'!Q154</f>
        <v>292.39999999999998</v>
      </c>
      <c r="AO58" s="100">
        <f>'Weather Data'!R154</f>
        <v>17.74666666666667</v>
      </c>
      <c r="AP58" s="5">
        <f>'Economic Data'!D24</f>
        <v>6813.6</v>
      </c>
      <c r="AQ58" s="5">
        <f>'Economic Data'!E24</f>
        <v>6881.2</v>
      </c>
      <c r="AR58" s="5">
        <f>'Economic Data'!F24</f>
        <v>155.5</v>
      </c>
      <c r="AS58" s="5">
        <f>'Economic Data'!G24</f>
        <v>156</v>
      </c>
      <c r="AT58" s="5">
        <f>'Economic Data'!H24</f>
        <v>691682.6</v>
      </c>
      <c r="AU58" s="5">
        <f>'Economic Data'!I24</f>
        <v>6617.6</v>
      </c>
      <c r="AV58" s="5">
        <f>'Economic Data'!J24</f>
        <v>5553.6</v>
      </c>
      <c r="AW58" s="5">
        <f>'Economic Data'!K24</f>
        <v>4143.5</v>
      </c>
      <c r="AX58" s="5">
        <f>'Economic Data'!L24</f>
        <v>903.8</v>
      </c>
      <c r="AY58" s="5">
        <f>'Economic Data'!M24</f>
        <v>371.8</v>
      </c>
      <c r="AZ58" s="5">
        <f>'Economic Data'!N24</f>
        <v>8329.1</v>
      </c>
      <c r="BA58" s="5">
        <f>'Economic Data'!O24</f>
        <v>12</v>
      </c>
      <c r="BB58" s="5">
        <f>'Economic Data'!P24</f>
        <v>327.2</v>
      </c>
      <c r="BC58" s="5">
        <f>'Economic Data'!Q24</f>
        <v>694293</v>
      </c>
      <c r="BD58" s="5">
        <f>'Economic Data'!R24</f>
        <v>6842</v>
      </c>
      <c r="BE58" s="5">
        <f>'Economic Data'!S24</f>
        <v>3555</v>
      </c>
      <c r="BF58" s="5">
        <f>'Economic Data'!T24</f>
        <v>12735</v>
      </c>
      <c r="BG58" s="5">
        <v>0</v>
      </c>
      <c r="BH58" s="5">
        <v>0</v>
      </c>
      <c r="BI58" s="5">
        <v>0</v>
      </c>
      <c r="BJ58" s="5">
        <f t="shared" si="42"/>
        <v>9</v>
      </c>
      <c r="BK58" s="70">
        <f t="shared" si="43"/>
        <v>0.95424250943932487</v>
      </c>
      <c r="BL58" s="5">
        <f t="shared" si="44"/>
        <v>81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0</v>
      </c>
      <c r="BX58">
        <v>0</v>
      </c>
      <c r="BY58">
        <v>0</v>
      </c>
      <c r="BZ58">
        <v>0</v>
      </c>
      <c r="CA58">
        <f t="shared" si="9"/>
        <v>0</v>
      </c>
      <c r="CB58">
        <v>30</v>
      </c>
      <c r="CC58">
        <v>20</v>
      </c>
      <c r="CD58">
        <v>0</v>
      </c>
      <c r="CE58">
        <v>0</v>
      </c>
      <c r="CF58">
        <f t="shared" si="47"/>
        <v>0</v>
      </c>
      <c r="CG58">
        <v>0</v>
      </c>
      <c r="CH58" s="64">
        <f t="shared" si="10"/>
        <v>0</v>
      </c>
      <c r="CI58" s="64">
        <f t="shared" si="11"/>
        <v>0</v>
      </c>
      <c r="CJ58" s="64">
        <f t="shared" si="12"/>
        <v>0</v>
      </c>
      <c r="CK58" s="64">
        <f t="shared" si="13"/>
        <v>0</v>
      </c>
      <c r="CL58" s="64">
        <f t="shared" si="14"/>
        <v>0</v>
      </c>
      <c r="CM58" s="64">
        <f t="shared" si="15"/>
        <v>0</v>
      </c>
      <c r="CN58" s="64">
        <f t="shared" si="16"/>
        <v>0</v>
      </c>
      <c r="CO58" s="64">
        <f t="shared" si="17"/>
        <v>0</v>
      </c>
      <c r="CP58" s="64">
        <f t="shared" si="18"/>
        <v>0</v>
      </c>
      <c r="CQ58" s="64">
        <f t="shared" si="19"/>
        <v>0</v>
      </c>
      <c r="CR58" s="64">
        <f t="shared" si="20"/>
        <v>0</v>
      </c>
      <c r="CS58" s="64">
        <f t="shared" si="21"/>
        <v>0</v>
      </c>
      <c r="CT58" s="64">
        <f t="shared" si="22"/>
        <v>0</v>
      </c>
      <c r="CU58" s="64">
        <f t="shared" si="23"/>
        <v>0</v>
      </c>
      <c r="CV58" s="69">
        <f t="shared" si="24"/>
        <v>27.564877598127719</v>
      </c>
      <c r="CW58" s="69">
        <f t="shared" si="25"/>
        <v>882.03087015479423</v>
      </c>
      <c r="CX58" s="69">
        <f t="shared" si="45"/>
        <v>4408.519621735114</v>
      </c>
      <c r="CY58" s="69">
        <f t="shared" si="26"/>
        <v>25239.375</v>
      </c>
      <c r="CZ58" s="64">
        <f t="shared" si="46"/>
        <v>2939.0130811567428</v>
      </c>
      <c r="DA58" s="64">
        <f t="shared" si="27"/>
        <v>16826.25</v>
      </c>
      <c r="DB58">
        <f t="shared" si="28"/>
        <v>0</v>
      </c>
      <c r="DC58">
        <f t="shared" si="29"/>
        <v>0</v>
      </c>
      <c r="DD58">
        <f t="shared" si="30"/>
        <v>0</v>
      </c>
      <c r="DE58">
        <f t="shared" si="31"/>
        <v>0</v>
      </c>
      <c r="DF58">
        <f t="shared" si="32"/>
        <v>0</v>
      </c>
      <c r="DG58">
        <f t="shared" si="33"/>
        <v>0</v>
      </c>
      <c r="DH58">
        <f t="shared" si="34"/>
        <v>0</v>
      </c>
      <c r="DI58">
        <f t="shared" si="35"/>
        <v>0</v>
      </c>
      <c r="DJ58">
        <f t="shared" si="36"/>
        <v>0</v>
      </c>
      <c r="DK58">
        <f t="shared" si="37"/>
        <v>0</v>
      </c>
      <c r="DL58">
        <f t="shared" si="38"/>
        <v>0</v>
      </c>
      <c r="DM58">
        <f t="shared" si="39"/>
        <v>0</v>
      </c>
      <c r="DN58">
        <f t="shared" si="40"/>
        <v>0</v>
      </c>
      <c r="DO58">
        <f t="shared" si="41"/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</row>
    <row r="59" spans="1:124" s="2" customFormat="1">
      <c r="A59" s="3">
        <v>41548</v>
      </c>
      <c r="B59">
        <f t="shared" si="48"/>
        <v>2013</v>
      </c>
      <c r="C59" s="2">
        <v>17428874</v>
      </c>
      <c r="D59" s="2">
        <f>VLOOKUP(B59,'Historic CDM'!$B$135:$H$146,2,FALSE)/12</f>
        <v>143519.44192032225</v>
      </c>
      <c r="E59" s="2">
        <f t="shared" si="7"/>
        <v>17572393.441920321</v>
      </c>
      <c r="F59" s="5">
        <v>26526</v>
      </c>
      <c r="G59" s="219">
        <v>5085645</v>
      </c>
      <c r="H59" s="2">
        <f>VLOOKUP(B59,'Historic CDM'!$B$135:$H$147,3,FALSE)/12</f>
        <v>159408.26028913452</v>
      </c>
      <c r="I59" s="2">
        <f t="shared" si="8"/>
        <v>5245053.2602891345</v>
      </c>
      <c r="J59" s="220">
        <v>1892</v>
      </c>
      <c r="K59" s="219">
        <v>14372185</v>
      </c>
      <c r="L59" s="2">
        <f>VLOOKUP(B59,'Historic CDM'!$B$135:$H$146,4,FALSE)/12</f>
        <v>152268.58859158723</v>
      </c>
      <c r="M59" s="2">
        <f t="shared" si="5"/>
        <v>14524453.588591587</v>
      </c>
      <c r="N59" s="222">
        <v>37375</v>
      </c>
      <c r="O59" s="5">
        <v>210</v>
      </c>
      <c r="P59" s="220">
        <v>586887</v>
      </c>
      <c r="Q59" s="2">
        <v>1591</v>
      </c>
      <c r="R59" s="5">
        <v>2710</v>
      </c>
      <c r="S59" s="220">
        <v>29543</v>
      </c>
      <c r="T59" s="2">
        <v>74</v>
      </c>
      <c r="U59" s="5">
        <v>175</v>
      </c>
      <c r="V59" s="221">
        <v>128680</v>
      </c>
      <c r="W59" s="1">
        <v>140</v>
      </c>
      <c r="X59" s="2">
        <v>2909405</v>
      </c>
      <c r="Y59" s="2">
        <v>6894</v>
      </c>
      <c r="Z59" s="5">
        <v>6</v>
      </c>
      <c r="AA59" s="100">
        <f>'Weather Data'!D155</f>
        <v>240.3</v>
      </c>
      <c r="AB59" s="100">
        <f>'Weather Data'!E155</f>
        <v>3.8000000000000007</v>
      </c>
      <c r="AC59" s="100">
        <f>'Weather Data'!F155</f>
        <v>187.09999999999997</v>
      </c>
      <c r="AD59" s="100">
        <f>'Weather Data'!G155</f>
        <v>12.599999999999998</v>
      </c>
      <c r="AE59" s="100">
        <f>'Weather Data'!H155</f>
        <v>139.1</v>
      </c>
      <c r="AF59" s="100">
        <f>'Weather Data'!I155</f>
        <v>26.599999999999998</v>
      </c>
      <c r="AG59" s="100">
        <f>'Weather Data'!J155</f>
        <v>96.100000000000023</v>
      </c>
      <c r="AH59" s="100">
        <f>'Weather Data'!K155</f>
        <v>45.599999999999994</v>
      </c>
      <c r="AI59" s="100">
        <f>'Weather Data'!L155</f>
        <v>62.2</v>
      </c>
      <c r="AJ59" s="100">
        <f>'Weather Data'!M155</f>
        <v>73.699999999999989</v>
      </c>
      <c r="AK59" s="100">
        <f>'Weather Data'!N155</f>
        <v>36.5</v>
      </c>
      <c r="AL59" s="100">
        <f>'Weather Data'!O155</f>
        <v>109.99999999999999</v>
      </c>
      <c r="AM59" s="100">
        <f>'Weather Data'!P155</f>
        <v>18.2</v>
      </c>
      <c r="AN59" s="100">
        <f>'Weather Data'!Q155</f>
        <v>153.69999999999996</v>
      </c>
      <c r="AO59" s="100">
        <f>'Weather Data'!R155</f>
        <v>12.370967741935486</v>
      </c>
      <c r="AP59" s="5">
        <f>'Economic Data'!D25</f>
        <v>6820.5</v>
      </c>
      <c r="AQ59" s="5">
        <f>'Economic Data'!E25</f>
        <v>6866.5</v>
      </c>
      <c r="AR59" s="5">
        <f>'Economic Data'!F25</f>
        <v>156.19999999999999</v>
      </c>
      <c r="AS59" s="5">
        <f>'Economic Data'!G25</f>
        <v>157.69999999999999</v>
      </c>
      <c r="AT59" s="5">
        <f>'Economic Data'!H25</f>
        <v>691682.6</v>
      </c>
      <c r="AU59" s="5">
        <f>'Economic Data'!I25</f>
        <v>6617.6</v>
      </c>
      <c r="AV59" s="5">
        <f>'Economic Data'!J25</f>
        <v>5553.6</v>
      </c>
      <c r="AW59" s="5">
        <f>'Economic Data'!K25</f>
        <v>4143.5</v>
      </c>
      <c r="AX59" s="5">
        <f>'Economic Data'!L25</f>
        <v>903.8</v>
      </c>
      <c r="AY59" s="5">
        <f>'Economic Data'!M25</f>
        <v>371.8</v>
      </c>
      <c r="AZ59" s="5">
        <f>'Economic Data'!N25</f>
        <v>8329.1</v>
      </c>
      <c r="BA59" s="5">
        <f>'Economic Data'!O25</f>
        <v>12</v>
      </c>
      <c r="BB59" s="5">
        <f>'Economic Data'!P25</f>
        <v>327.2</v>
      </c>
      <c r="BC59" s="5">
        <f>'Economic Data'!Q25</f>
        <v>698770</v>
      </c>
      <c r="BD59" s="5">
        <f>'Economic Data'!R25</f>
        <v>6769</v>
      </c>
      <c r="BE59" s="5">
        <f>'Economic Data'!S25</f>
        <v>3554</v>
      </c>
      <c r="BF59" s="5">
        <f>'Economic Data'!T25</f>
        <v>12995</v>
      </c>
      <c r="BG59" s="5">
        <v>0</v>
      </c>
      <c r="BH59" s="5">
        <v>0</v>
      </c>
      <c r="BI59" s="5">
        <v>0</v>
      </c>
      <c r="BJ59" s="5">
        <f t="shared" si="42"/>
        <v>10</v>
      </c>
      <c r="BK59" s="70">
        <f t="shared" si="43"/>
        <v>1</v>
      </c>
      <c r="BL59" s="5">
        <f t="shared" si="44"/>
        <v>100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v>0</v>
      </c>
      <c r="BZ59">
        <v>1</v>
      </c>
      <c r="CA59">
        <f t="shared" si="9"/>
        <v>1</v>
      </c>
      <c r="CB59">
        <v>31</v>
      </c>
      <c r="CC59">
        <v>22</v>
      </c>
      <c r="CD59">
        <v>0</v>
      </c>
      <c r="CE59">
        <v>0</v>
      </c>
      <c r="CF59">
        <f t="shared" si="47"/>
        <v>0</v>
      </c>
      <c r="CG59">
        <v>0</v>
      </c>
      <c r="CH59" s="64">
        <f t="shared" si="10"/>
        <v>0</v>
      </c>
      <c r="CI59" s="64">
        <f t="shared" si="11"/>
        <v>0</v>
      </c>
      <c r="CJ59" s="64">
        <f t="shared" si="12"/>
        <v>0</v>
      </c>
      <c r="CK59" s="64">
        <f t="shared" si="13"/>
        <v>0</v>
      </c>
      <c r="CL59" s="64">
        <f t="shared" si="14"/>
        <v>0</v>
      </c>
      <c r="CM59" s="64">
        <f t="shared" si="15"/>
        <v>0</v>
      </c>
      <c r="CN59" s="64">
        <f t="shared" si="16"/>
        <v>0</v>
      </c>
      <c r="CO59" s="64">
        <f t="shared" si="17"/>
        <v>0</v>
      </c>
      <c r="CP59" s="64">
        <f t="shared" si="18"/>
        <v>0</v>
      </c>
      <c r="CQ59" s="64">
        <f t="shared" si="19"/>
        <v>0</v>
      </c>
      <c r="CR59" s="64">
        <f t="shared" si="20"/>
        <v>0</v>
      </c>
      <c r="CS59" s="64">
        <f t="shared" si="21"/>
        <v>0</v>
      </c>
      <c r="CT59" s="64">
        <f t="shared" si="22"/>
        <v>0</v>
      </c>
      <c r="CU59" s="64">
        <f t="shared" si="23"/>
        <v>0</v>
      </c>
      <c r="CV59" s="69">
        <f t="shared" si="24"/>
        <v>21.369652467476001</v>
      </c>
      <c r="CW59" s="69">
        <f t="shared" si="25"/>
        <v>805.69174505209446</v>
      </c>
      <c r="CX59" s="69">
        <f t="shared" si="45"/>
        <v>3143.821123071772</v>
      </c>
      <c r="CY59" s="69">
        <f t="shared" si="26"/>
        <v>22040.946969696972</v>
      </c>
      <c r="CZ59" s="64">
        <f t="shared" si="46"/>
        <v>2231.098861534806</v>
      </c>
      <c r="DA59" s="64">
        <f t="shared" si="27"/>
        <v>15641.962365591398</v>
      </c>
      <c r="DB59">
        <f t="shared" si="28"/>
        <v>0</v>
      </c>
      <c r="DC59">
        <f t="shared" si="29"/>
        <v>0</v>
      </c>
      <c r="DD59">
        <f t="shared" si="30"/>
        <v>0</v>
      </c>
      <c r="DE59">
        <f t="shared" si="31"/>
        <v>0</v>
      </c>
      <c r="DF59">
        <f t="shared" si="32"/>
        <v>0</v>
      </c>
      <c r="DG59">
        <f t="shared" si="33"/>
        <v>0</v>
      </c>
      <c r="DH59">
        <f t="shared" si="34"/>
        <v>0</v>
      </c>
      <c r="DI59">
        <f t="shared" si="35"/>
        <v>0</v>
      </c>
      <c r="DJ59">
        <f t="shared" si="36"/>
        <v>0</v>
      </c>
      <c r="DK59">
        <f t="shared" si="37"/>
        <v>0</v>
      </c>
      <c r="DL59">
        <f t="shared" si="38"/>
        <v>0</v>
      </c>
      <c r="DM59">
        <f t="shared" si="39"/>
        <v>0</v>
      </c>
      <c r="DN59">
        <f t="shared" si="40"/>
        <v>0</v>
      </c>
      <c r="DO59">
        <f t="shared" si="41"/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</row>
    <row r="60" spans="1:124" s="2" customFormat="1">
      <c r="A60" s="3">
        <v>41579</v>
      </c>
      <c r="B60">
        <f t="shared" si="48"/>
        <v>2013</v>
      </c>
      <c r="C60" s="2">
        <v>18265418</v>
      </c>
      <c r="D60" s="2">
        <f>VLOOKUP(B60,'Historic CDM'!$B$135:$H$146,2,FALSE)/12</f>
        <v>143519.44192032225</v>
      </c>
      <c r="E60" s="2">
        <f t="shared" si="7"/>
        <v>18408937.441920321</v>
      </c>
      <c r="F60" s="5">
        <v>26624</v>
      </c>
      <c r="G60" s="219">
        <v>5120054</v>
      </c>
      <c r="H60" s="2">
        <f>VLOOKUP(B60,'Historic CDM'!$B$135:$H$147,3,FALSE)/12</f>
        <v>159408.26028913452</v>
      </c>
      <c r="I60" s="2">
        <f t="shared" si="8"/>
        <v>5279462.2602891345</v>
      </c>
      <c r="J60" s="220">
        <v>1907</v>
      </c>
      <c r="K60" s="219">
        <v>13705288</v>
      </c>
      <c r="L60" s="2">
        <f>VLOOKUP(B60,'Historic CDM'!$B$135:$H$146,4,FALSE)/12</f>
        <v>152268.58859158723</v>
      </c>
      <c r="M60" s="2">
        <f t="shared" si="5"/>
        <v>13857556.588591587</v>
      </c>
      <c r="N60" s="222">
        <v>33767</v>
      </c>
      <c r="O60" s="5">
        <v>212</v>
      </c>
      <c r="P60" s="220">
        <v>617395</v>
      </c>
      <c r="Q60" s="2">
        <v>1592</v>
      </c>
      <c r="R60" s="5">
        <v>2712</v>
      </c>
      <c r="S60" s="220">
        <v>29374</v>
      </c>
      <c r="T60" s="2">
        <v>74</v>
      </c>
      <c r="U60" s="5">
        <v>175</v>
      </c>
      <c r="V60" s="221">
        <v>128665</v>
      </c>
      <c r="W60" s="1">
        <v>137</v>
      </c>
      <c r="X60" s="2">
        <v>2898724</v>
      </c>
      <c r="Y60" s="2">
        <v>7057</v>
      </c>
      <c r="Z60" s="5">
        <v>6</v>
      </c>
      <c r="AA60" s="100">
        <f>'Weather Data'!D156</f>
        <v>502.70000000000005</v>
      </c>
      <c r="AB60" s="100">
        <f>'Weather Data'!E156</f>
        <v>0</v>
      </c>
      <c r="AC60" s="100">
        <f>'Weather Data'!F156</f>
        <v>442.7</v>
      </c>
      <c r="AD60" s="100">
        <f>'Weather Data'!G156</f>
        <v>0</v>
      </c>
      <c r="AE60" s="100">
        <f>'Weather Data'!H156</f>
        <v>382.7</v>
      </c>
      <c r="AF60" s="100">
        <f>'Weather Data'!I156</f>
        <v>0</v>
      </c>
      <c r="AG60" s="100">
        <f>'Weather Data'!J156</f>
        <v>322.7</v>
      </c>
      <c r="AH60" s="100">
        <f>'Weather Data'!K156</f>
        <v>0</v>
      </c>
      <c r="AI60" s="100">
        <f>'Weather Data'!L156</f>
        <v>264</v>
      </c>
      <c r="AJ60" s="100">
        <f>'Weather Data'!M156</f>
        <v>1.3000000000000007</v>
      </c>
      <c r="AK60" s="100">
        <f>'Weather Data'!N156</f>
        <v>208.60000000000002</v>
      </c>
      <c r="AL60" s="100">
        <f>'Weather Data'!O156</f>
        <v>5.9</v>
      </c>
      <c r="AM60" s="100">
        <f>'Weather Data'!P156</f>
        <v>157.50000000000003</v>
      </c>
      <c r="AN60" s="100">
        <f>'Weather Data'!Q156</f>
        <v>14.8</v>
      </c>
      <c r="AO60" s="100">
        <f>'Weather Data'!R156</f>
        <v>3.2433333333333336</v>
      </c>
      <c r="AP60" s="5">
        <f>'Economic Data'!D26</f>
        <v>6822</v>
      </c>
      <c r="AQ60" s="5">
        <f>'Economic Data'!E26</f>
        <v>6838.5</v>
      </c>
      <c r="AR60" s="5">
        <f>'Economic Data'!F26</f>
        <v>156.80000000000001</v>
      </c>
      <c r="AS60" s="5">
        <f>'Economic Data'!G26</f>
        <v>158</v>
      </c>
      <c r="AT60" s="5">
        <f>'Economic Data'!H26</f>
        <v>691682.6</v>
      </c>
      <c r="AU60" s="5">
        <f>'Economic Data'!I26</f>
        <v>6617.6</v>
      </c>
      <c r="AV60" s="5">
        <f>'Economic Data'!J26</f>
        <v>5553.6</v>
      </c>
      <c r="AW60" s="5">
        <f>'Economic Data'!K26</f>
        <v>4143.5</v>
      </c>
      <c r="AX60" s="5">
        <f>'Economic Data'!L26</f>
        <v>903.8</v>
      </c>
      <c r="AY60" s="5">
        <f>'Economic Data'!M26</f>
        <v>371.8</v>
      </c>
      <c r="AZ60" s="5">
        <f>'Economic Data'!N26</f>
        <v>8329.1</v>
      </c>
      <c r="BA60" s="5">
        <f>'Economic Data'!O26</f>
        <v>12</v>
      </c>
      <c r="BB60" s="5">
        <f>'Economic Data'!P26</f>
        <v>327.2</v>
      </c>
      <c r="BC60" s="5">
        <f>'Economic Data'!Q26</f>
        <v>698770</v>
      </c>
      <c r="BD60" s="5">
        <f>'Economic Data'!R26</f>
        <v>6769</v>
      </c>
      <c r="BE60" s="5">
        <f>'Economic Data'!S26</f>
        <v>3554</v>
      </c>
      <c r="BF60" s="5">
        <f>'Economic Data'!T26</f>
        <v>12995</v>
      </c>
      <c r="BG60" s="5">
        <v>0</v>
      </c>
      <c r="BH60" s="5">
        <v>0</v>
      </c>
      <c r="BI60" s="5">
        <v>0</v>
      </c>
      <c r="BJ60" s="5">
        <f t="shared" si="42"/>
        <v>11</v>
      </c>
      <c r="BK60" s="70">
        <f t="shared" si="43"/>
        <v>1.0413926851582251</v>
      </c>
      <c r="BL60" s="5">
        <f t="shared" si="44"/>
        <v>121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</v>
      </c>
      <c r="BX60">
        <v>0</v>
      </c>
      <c r="BY60">
        <v>0</v>
      </c>
      <c r="BZ60">
        <v>1</v>
      </c>
      <c r="CA60">
        <f t="shared" si="9"/>
        <v>1</v>
      </c>
      <c r="CB60">
        <v>30</v>
      </c>
      <c r="CC60">
        <v>21</v>
      </c>
      <c r="CD60">
        <v>0</v>
      </c>
      <c r="CE60">
        <v>0</v>
      </c>
      <c r="CF60">
        <f t="shared" si="47"/>
        <v>0</v>
      </c>
      <c r="CG60">
        <v>0</v>
      </c>
      <c r="CH60" s="64">
        <f t="shared" si="10"/>
        <v>0</v>
      </c>
      <c r="CI60" s="64">
        <f t="shared" si="11"/>
        <v>0</v>
      </c>
      <c r="CJ60" s="64">
        <f t="shared" si="12"/>
        <v>0</v>
      </c>
      <c r="CK60" s="64">
        <f t="shared" si="13"/>
        <v>0</v>
      </c>
      <c r="CL60" s="64">
        <f t="shared" si="14"/>
        <v>0</v>
      </c>
      <c r="CM60" s="64">
        <f t="shared" si="15"/>
        <v>0</v>
      </c>
      <c r="CN60" s="64">
        <f t="shared" si="16"/>
        <v>0</v>
      </c>
      <c r="CO60" s="64">
        <f t="shared" si="17"/>
        <v>0</v>
      </c>
      <c r="CP60" s="64">
        <f t="shared" si="18"/>
        <v>0</v>
      </c>
      <c r="CQ60" s="64">
        <f t="shared" si="19"/>
        <v>0</v>
      </c>
      <c r="CR60" s="64">
        <f t="shared" si="20"/>
        <v>0</v>
      </c>
      <c r="CS60" s="64">
        <f t="shared" si="21"/>
        <v>0</v>
      </c>
      <c r="CT60" s="64">
        <f t="shared" si="22"/>
        <v>0</v>
      </c>
      <c r="CU60" s="64">
        <f t="shared" si="23"/>
        <v>0</v>
      </c>
      <c r="CV60" s="69">
        <f t="shared" si="24"/>
        <v>23.048048680288865</v>
      </c>
      <c r="CW60" s="69">
        <f t="shared" si="25"/>
        <v>830.10412897627907</v>
      </c>
      <c r="CX60" s="69">
        <f t="shared" si="45"/>
        <v>3112.6587126216505</v>
      </c>
      <c r="CY60" s="69">
        <f t="shared" si="26"/>
        <v>23005.746031746032</v>
      </c>
      <c r="CZ60" s="64">
        <f t="shared" si="46"/>
        <v>2178.8610988351552</v>
      </c>
      <c r="DA60" s="64">
        <f t="shared" si="27"/>
        <v>16104.022222222222</v>
      </c>
      <c r="DB60">
        <f t="shared" si="28"/>
        <v>0</v>
      </c>
      <c r="DC60">
        <f t="shared" si="29"/>
        <v>0</v>
      </c>
      <c r="DD60">
        <f t="shared" si="30"/>
        <v>0</v>
      </c>
      <c r="DE60">
        <f t="shared" si="31"/>
        <v>0</v>
      </c>
      <c r="DF60">
        <f t="shared" si="32"/>
        <v>0</v>
      </c>
      <c r="DG60">
        <f t="shared" si="33"/>
        <v>0</v>
      </c>
      <c r="DH60">
        <f t="shared" si="34"/>
        <v>0</v>
      </c>
      <c r="DI60">
        <f t="shared" si="35"/>
        <v>0</v>
      </c>
      <c r="DJ60">
        <f t="shared" si="36"/>
        <v>0</v>
      </c>
      <c r="DK60">
        <f t="shared" si="37"/>
        <v>0</v>
      </c>
      <c r="DL60">
        <f t="shared" si="38"/>
        <v>0</v>
      </c>
      <c r="DM60">
        <f t="shared" si="39"/>
        <v>0</v>
      </c>
      <c r="DN60">
        <f t="shared" si="40"/>
        <v>0</v>
      </c>
      <c r="DO60">
        <f t="shared" si="41"/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</row>
    <row r="61" spans="1:124" s="2" customFormat="1">
      <c r="A61" s="3">
        <v>41609</v>
      </c>
      <c r="B61">
        <f t="shared" si="48"/>
        <v>2013</v>
      </c>
      <c r="C61" s="2">
        <v>21866189</v>
      </c>
      <c r="D61" s="2">
        <f>VLOOKUP(B61,'Historic CDM'!$B$135:$H$146,2,FALSE)/12</f>
        <v>143519.44192032225</v>
      </c>
      <c r="E61" s="2">
        <f t="shared" si="7"/>
        <v>22009708.441920321</v>
      </c>
      <c r="F61" s="5">
        <v>26488</v>
      </c>
      <c r="G61" s="219">
        <v>5677649</v>
      </c>
      <c r="H61" s="2">
        <f>VLOOKUP(B61,'Historic CDM'!$B$135:$H$147,3,FALSE)/12</f>
        <v>159408.26028913452</v>
      </c>
      <c r="I61" s="2">
        <f t="shared" si="8"/>
        <v>5837057.2602891345</v>
      </c>
      <c r="J61" s="220">
        <v>1903</v>
      </c>
      <c r="K61" s="219">
        <v>13856064</v>
      </c>
      <c r="L61" s="2">
        <f>VLOOKUP(B61,'Historic CDM'!$B$135:$H$146,4,FALSE)/12</f>
        <v>152268.58859158723</v>
      </c>
      <c r="M61" s="2">
        <f t="shared" si="5"/>
        <v>14008332.588591587</v>
      </c>
      <c r="N61" s="222">
        <v>37408</v>
      </c>
      <c r="O61" s="5">
        <v>215</v>
      </c>
      <c r="P61" s="220">
        <v>675890</v>
      </c>
      <c r="Q61" s="2">
        <v>1591</v>
      </c>
      <c r="R61" s="5">
        <v>2712</v>
      </c>
      <c r="S61" s="220">
        <v>26102</v>
      </c>
      <c r="T61" s="2">
        <v>74</v>
      </c>
      <c r="U61" s="5">
        <v>175</v>
      </c>
      <c r="V61" s="221">
        <v>128665</v>
      </c>
      <c r="W61" s="1">
        <v>137</v>
      </c>
      <c r="X61" s="2">
        <v>3146942</v>
      </c>
      <c r="Y61" s="2">
        <v>7513</v>
      </c>
      <c r="Z61" s="5">
        <v>6</v>
      </c>
      <c r="AA61" s="100">
        <f>'Weather Data'!D157</f>
        <v>697.8</v>
      </c>
      <c r="AB61" s="100">
        <f>'Weather Data'!E157</f>
        <v>0</v>
      </c>
      <c r="AC61" s="100">
        <f>'Weather Data'!F157</f>
        <v>635.79999999999995</v>
      </c>
      <c r="AD61" s="100">
        <f>'Weather Data'!G157</f>
        <v>0</v>
      </c>
      <c r="AE61" s="100">
        <f>'Weather Data'!H157</f>
        <v>573.79999999999995</v>
      </c>
      <c r="AF61" s="100">
        <f>'Weather Data'!I157</f>
        <v>0</v>
      </c>
      <c r="AG61" s="100">
        <f>'Weather Data'!J157</f>
        <v>511.7999999999999</v>
      </c>
      <c r="AH61" s="100">
        <f>'Weather Data'!K157</f>
        <v>0</v>
      </c>
      <c r="AI61" s="100">
        <f>'Weather Data'!L157</f>
        <v>449.7999999999999</v>
      </c>
      <c r="AJ61" s="100">
        <f>'Weather Data'!M157</f>
        <v>0</v>
      </c>
      <c r="AK61" s="100">
        <f>'Weather Data'!N157</f>
        <v>388.09999999999997</v>
      </c>
      <c r="AL61" s="100">
        <f>'Weather Data'!O157</f>
        <v>0.30000000000000071</v>
      </c>
      <c r="AM61" s="100">
        <f>'Weather Data'!P157</f>
        <v>329.09999999999991</v>
      </c>
      <c r="AN61" s="100">
        <f>'Weather Data'!Q157</f>
        <v>3.3000000000000007</v>
      </c>
      <c r="AO61" s="100">
        <f>'Weather Data'!R157</f>
        <v>-2.5096774193548392</v>
      </c>
      <c r="AP61" s="5">
        <f>'Economic Data'!D27</f>
        <v>6816.6</v>
      </c>
      <c r="AQ61" s="5">
        <f>'Economic Data'!E27</f>
        <v>6818.9</v>
      </c>
      <c r="AR61" s="5">
        <f>'Economic Data'!F27</f>
        <v>158.5</v>
      </c>
      <c r="AS61" s="5">
        <f>'Economic Data'!G27</f>
        <v>160.30000000000001</v>
      </c>
      <c r="AT61" s="5">
        <f>'Economic Data'!H27</f>
        <v>691682.6</v>
      </c>
      <c r="AU61" s="5">
        <f>'Economic Data'!I27</f>
        <v>6617.6</v>
      </c>
      <c r="AV61" s="5">
        <f>'Economic Data'!J27</f>
        <v>5553.6</v>
      </c>
      <c r="AW61" s="5">
        <f>'Economic Data'!K27</f>
        <v>4143.5</v>
      </c>
      <c r="AX61" s="5">
        <f>'Economic Data'!L27</f>
        <v>903.8</v>
      </c>
      <c r="AY61" s="5">
        <f>'Economic Data'!M27</f>
        <v>371.8</v>
      </c>
      <c r="AZ61" s="5">
        <f>'Economic Data'!N27</f>
        <v>8329.1</v>
      </c>
      <c r="BA61" s="5">
        <f>'Economic Data'!O27</f>
        <v>12</v>
      </c>
      <c r="BB61" s="5">
        <f>'Economic Data'!P27</f>
        <v>327.2</v>
      </c>
      <c r="BC61" s="5">
        <f>'Economic Data'!Q27</f>
        <v>698770</v>
      </c>
      <c r="BD61" s="5">
        <f>'Economic Data'!R27</f>
        <v>6769</v>
      </c>
      <c r="BE61" s="5">
        <f>'Economic Data'!S27</f>
        <v>3554</v>
      </c>
      <c r="BF61" s="5">
        <f>'Economic Data'!T27</f>
        <v>12995</v>
      </c>
      <c r="BG61" s="5">
        <v>0</v>
      </c>
      <c r="BH61" s="5">
        <v>0</v>
      </c>
      <c r="BI61" s="5">
        <v>0</v>
      </c>
      <c r="BJ61" s="5">
        <f t="shared" si="42"/>
        <v>12</v>
      </c>
      <c r="BK61" s="70">
        <f t="shared" si="43"/>
        <v>1.0791812460476249</v>
      </c>
      <c r="BL61" s="5">
        <f t="shared" si="44"/>
        <v>144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1</v>
      </c>
      <c r="BY61">
        <v>0</v>
      </c>
      <c r="BZ61">
        <v>0</v>
      </c>
      <c r="CA61">
        <f t="shared" si="9"/>
        <v>0</v>
      </c>
      <c r="CB61">
        <v>31</v>
      </c>
      <c r="CC61">
        <v>20</v>
      </c>
      <c r="CD61">
        <v>0</v>
      </c>
      <c r="CE61">
        <v>0</v>
      </c>
      <c r="CF61">
        <f t="shared" si="47"/>
        <v>0</v>
      </c>
      <c r="CG61">
        <v>0</v>
      </c>
      <c r="CH61" s="64">
        <f t="shared" si="10"/>
        <v>0</v>
      </c>
      <c r="CI61" s="64">
        <f t="shared" si="11"/>
        <v>0</v>
      </c>
      <c r="CJ61" s="64">
        <f t="shared" si="12"/>
        <v>0</v>
      </c>
      <c r="CK61" s="64">
        <f t="shared" si="13"/>
        <v>0</v>
      </c>
      <c r="CL61" s="64">
        <f t="shared" si="14"/>
        <v>0</v>
      </c>
      <c r="CM61" s="64">
        <f t="shared" si="15"/>
        <v>0</v>
      </c>
      <c r="CN61" s="64">
        <f t="shared" si="16"/>
        <v>0</v>
      </c>
      <c r="CO61" s="64">
        <f t="shared" si="17"/>
        <v>0</v>
      </c>
      <c r="CP61" s="64">
        <f t="shared" si="18"/>
        <v>0</v>
      </c>
      <c r="CQ61" s="64">
        <f t="shared" si="19"/>
        <v>0</v>
      </c>
      <c r="CR61" s="64">
        <f t="shared" si="20"/>
        <v>0</v>
      </c>
      <c r="CS61" s="64">
        <f t="shared" si="21"/>
        <v>0</v>
      </c>
      <c r="CT61" s="64">
        <f t="shared" si="22"/>
        <v>0</v>
      </c>
      <c r="CU61" s="64">
        <f t="shared" si="23"/>
        <v>0</v>
      </c>
      <c r="CV61" s="69">
        <f t="shared" si="24"/>
        <v>26.804235687883402</v>
      </c>
      <c r="CW61" s="69">
        <f t="shared" si="25"/>
        <v>875.77753342672679</v>
      </c>
      <c r="CX61" s="69">
        <f t="shared" si="45"/>
        <v>3257.7517647887412</v>
      </c>
      <c r="CY61" s="69">
        <f t="shared" si="26"/>
        <v>26224.516666666666</v>
      </c>
      <c r="CZ61" s="64">
        <f t="shared" si="46"/>
        <v>2101.7753321217683</v>
      </c>
      <c r="DA61" s="64">
        <f t="shared" si="27"/>
        <v>16919.043010752688</v>
      </c>
      <c r="DB61">
        <f t="shared" si="28"/>
        <v>0</v>
      </c>
      <c r="DC61">
        <f t="shared" si="29"/>
        <v>0</v>
      </c>
      <c r="DD61">
        <f t="shared" si="30"/>
        <v>0</v>
      </c>
      <c r="DE61">
        <f t="shared" si="31"/>
        <v>0</v>
      </c>
      <c r="DF61">
        <f t="shared" si="32"/>
        <v>0</v>
      </c>
      <c r="DG61">
        <f t="shared" si="33"/>
        <v>0</v>
      </c>
      <c r="DH61">
        <f t="shared" si="34"/>
        <v>0</v>
      </c>
      <c r="DI61">
        <f t="shared" si="35"/>
        <v>0</v>
      </c>
      <c r="DJ61">
        <f t="shared" si="36"/>
        <v>0</v>
      </c>
      <c r="DK61">
        <f t="shared" si="37"/>
        <v>0</v>
      </c>
      <c r="DL61">
        <f t="shared" si="38"/>
        <v>0</v>
      </c>
      <c r="DM61">
        <f t="shared" si="39"/>
        <v>0</v>
      </c>
      <c r="DN61">
        <f t="shared" si="40"/>
        <v>0</v>
      </c>
      <c r="DO61">
        <f t="shared" si="41"/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</row>
    <row r="62" spans="1:124" s="2" customFormat="1">
      <c r="A62" s="3">
        <v>41640</v>
      </c>
      <c r="B62">
        <f t="shared" si="48"/>
        <v>2014</v>
      </c>
      <c r="C62" s="2">
        <v>22431856</v>
      </c>
      <c r="D62" s="2">
        <f>VLOOKUP(B62,'Historic CDM'!$B$135:$H$146,2,FALSE)/12</f>
        <v>232660.83668167001</v>
      </c>
      <c r="E62" s="2">
        <f t="shared" si="7"/>
        <v>22664516.836681671</v>
      </c>
      <c r="F62" s="5">
        <v>26476</v>
      </c>
      <c r="G62" s="219">
        <v>5964765</v>
      </c>
      <c r="H62" s="2">
        <f>VLOOKUP(B62,'Historic CDM'!$B$135:$H$147,3,FALSE)/12</f>
        <v>218299.07952460984</v>
      </c>
      <c r="I62" s="2">
        <f t="shared" si="8"/>
        <v>6183064.0795246102</v>
      </c>
      <c r="J62" s="220">
        <v>1899</v>
      </c>
      <c r="K62" s="219">
        <v>14437294</v>
      </c>
      <c r="L62" s="2">
        <f>VLOOKUP(B62,'Historic CDM'!$B$135:$H$146,4,FALSE)/12</f>
        <v>239755.99604353451</v>
      </c>
      <c r="M62" s="2">
        <f t="shared" si="5"/>
        <v>14677049.996043535</v>
      </c>
      <c r="N62" s="222">
        <v>34457</v>
      </c>
      <c r="O62" s="5">
        <v>212</v>
      </c>
      <c r="P62" s="220">
        <v>666319</v>
      </c>
      <c r="Q62" s="2">
        <v>1591</v>
      </c>
      <c r="R62" s="5">
        <v>2712</v>
      </c>
      <c r="S62" s="220">
        <v>32738</v>
      </c>
      <c r="T62" s="2">
        <v>74</v>
      </c>
      <c r="U62" s="5">
        <v>175</v>
      </c>
      <c r="V62" s="221">
        <v>129846</v>
      </c>
      <c r="W62" s="1">
        <v>141</v>
      </c>
      <c r="X62" s="2">
        <v>3490024</v>
      </c>
      <c r="Y62" s="2">
        <v>8019</v>
      </c>
      <c r="Z62" s="5">
        <v>6</v>
      </c>
      <c r="AA62" s="100">
        <f>'Weather Data'!D158</f>
        <v>871.69999999999993</v>
      </c>
      <c r="AB62" s="100">
        <f>'Weather Data'!E158</f>
        <v>0</v>
      </c>
      <c r="AC62" s="100">
        <f>'Weather Data'!F158</f>
        <v>809.69999999999993</v>
      </c>
      <c r="AD62" s="100">
        <f>'Weather Data'!G158</f>
        <v>0</v>
      </c>
      <c r="AE62" s="100">
        <f>'Weather Data'!H158</f>
        <v>747.69999999999982</v>
      </c>
      <c r="AF62" s="100">
        <f>'Weather Data'!I158</f>
        <v>0</v>
      </c>
      <c r="AG62" s="100">
        <f>'Weather Data'!J158</f>
        <v>685.69999999999982</v>
      </c>
      <c r="AH62" s="100">
        <f>'Weather Data'!K158</f>
        <v>0</v>
      </c>
      <c r="AI62" s="100">
        <f>'Weather Data'!L158</f>
        <v>623.69999999999993</v>
      </c>
      <c r="AJ62" s="100">
        <f>'Weather Data'!M158</f>
        <v>0</v>
      </c>
      <c r="AK62" s="100">
        <f>'Weather Data'!N158</f>
        <v>561.70000000000005</v>
      </c>
      <c r="AL62" s="100">
        <f>'Weather Data'!O158</f>
        <v>0</v>
      </c>
      <c r="AM62" s="100">
        <f>'Weather Data'!P158</f>
        <v>499.7</v>
      </c>
      <c r="AN62" s="100">
        <f>'Weather Data'!Q158</f>
        <v>0</v>
      </c>
      <c r="AO62" s="100">
        <f>'Weather Data'!R158</f>
        <v>-8.1193548387096772</v>
      </c>
      <c r="AP62" s="5">
        <f>'Economic Data'!D28</f>
        <v>6812.5</v>
      </c>
      <c r="AQ62" s="5">
        <f>'Economic Data'!E28</f>
        <v>6770.4</v>
      </c>
      <c r="AR62" s="5">
        <f>'Economic Data'!F28</f>
        <v>158.80000000000001</v>
      </c>
      <c r="AS62" s="5">
        <f>'Economic Data'!G28</f>
        <v>157.80000000000001</v>
      </c>
      <c r="AT62" s="5">
        <f>'Economic Data'!H28</f>
        <v>708787.6</v>
      </c>
      <c r="AU62" s="5">
        <f>'Economic Data'!I28</f>
        <v>6474.7</v>
      </c>
      <c r="AV62" s="5">
        <f>'Economic Data'!J28</f>
        <v>5461.8</v>
      </c>
      <c r="AW62" s="5">
        <f>'Economic Data'!K28</f>
        <v>4020.9</v>
      </c>
      <c r="AX62" s="5">
        <f>'Economic Data'!L28</f>
        <v>912.8</v>
      </c>
      <c r="AY62" s="5">
        <f>'Economic Data'!M28</f>
        <v>444.1</v>
      </c>
      <c r="AZ62" s="5">
        <f>'Economic Data'!N28</f>
        <v>8082.4</v>
      </c>
      <c r="BA62" s="5">
        <f>'Economic Data'!O28</f>
        <v>10.8</v>
      </c>
      <c r="BB62" s="5">
        <f>'Economic Data'!P28</f>
        <v>292</v>
      </c>
      <c r="BC62" s="5">
        <f>'Economic Data'!Q28</f>
        <v>699057</v>
      </c>
      <c r="BD62" s="5">
        <f>'Economic Data'!R28</f>
        <v>6558</v>
      </c>
      <c r="BE62" s="5">
        <f>'Economic Data'!S28</f>
        <v>3966</v>
      </c>
      <c r="BF62" s="5">
        <f>'Economic Data'!T28</f>
        <v>12346</v>
      </c>
      <c r="BG62" s="5">
        <v>0</v>
      </c>
      <c r="BH62" s="5">
        <v>0</v>
      </c>
      <c r="BI62" s="5">
        <v>0</v>
      </c>
      <c r="BJ62" s="5">
        <f t="shared" si="42"/>
        <v>13</v>
      </c>
      <c r="BK62" s="70">
        <f t="shared" si="43"/>
        <v>1.1139433523068367</v>
      </c>
      <c r="BL62" s="5">
        <f t="shared" si="44"/>
        <v>169</v>
      </c>
      <c r="BM62">
        <v>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f t="shared" ref="BY62:BZ65" si="49">BY50</f>
        <v>0</v>
      </c>
      <c r="BZ62">
        <f t="shared" si="49"/>
        <v>0</v>
      </c>
      <c r="CA62">
        <f t="shared" si="9"/>
        <v>0</v>
      </c>
      <c r="CB62">
        <v>31</v>
      </c>
      <c r="CC62">
        <v>22</v>
      </c>
      <c r="CD62">
        <v>0</v>
      </c>
      <c r="CE62">
        <v>0</v>
      </c>
      <c r="CF62">
        <f t="shared" si="47"/>
        <v>0</v>
      </c>
      <c r="CG62">
        <v>0</v>
      </c>
      <c r="CH62" s="64">
        <f t="shared" si="10"/>
        <v>0</v>
      </c>
      <c r="CI62" s="64">
        <f t="shared" si="11"/>
        <v>0</v>
      </c>
      <c r="CJ62" s="64">
        <f t="shared" si="12"/>
        <v>0</v>
      </c>
      <c r="CK62" s="64">
        <f t="shared" si="13"/>
        <v>0</v>
      </c>
      <c r="CL62" s="64">
        <f t="shared" si="14"/>
        <v>0</v>
      </c>
      <c r="CM62" s="64">
        <f t="shared" si="15"/>
        <v>0</v>
      </c>
      <c r="CN62" s="64">
        <f t="shared" si="16"/>
        <v>0</v>
      </c>
      <c r="CO62" s="64">
        <f t="shared" si="17"/>
        <v>0</v>
      </c>
      <c r="CP62" s="64">
        <f t="shared" si="18"/>
        <v>0</v>
      </c>
      <c r="CQ62" s="64">
        <f t="shared" si="19"/>
        <v>0</v>
      </c>
      <c r="CR62" s="64">
        <f t="shared" si="20"/>
        <v>0</v>
      </c>
      <c r="CS62" s="64">
        <f t="shared" si="21"/>
        <v>0</v>
      </c>
      <c r="CT62" s="64">
        <f t="shared" si="22"/>
        <v>0</v>
      </c>
      <c r="CU62" s="64">
        <f t="shared" si="23"/>
        <v>0</v>
      </c>
      <c r="CV62" s="69">
        <f t="shared" si="24"/>
        <v>27.614195737444103</v>
      </c>
      <c r="CW62" s="69">
        <f t="shared" si="25"/>
        <v>940.81924521068322</v>
      </c>
      <c r="CX62" s="69">
        <f t="shared" si="45"/>
        <v>3146.8803593575331</v>
      </c>
      <c r="CY62" s="69">
        <f t="shared" si="26"/>
        <v>26439.57575757576</v>
      </c>
      <c r="CZ62" s="64">
        <f t="shared" si="46"/>
        <v>2233.2699324472815</v>
      </c>
      <c r="DA62" s="64">
        <f t="shared" si="27"/>
        <v>18763.569892473119</v>
      </c>
      <c r="DB62">
        <f t="shared" si="28"/>
        <v>0</v>
      </c>
      <c r="DC62">
        <f t="shared" si="29"/>
        <v>0</v>
      </c>
      <c r="DD62">
        <f t="shared" si="30"/>
        <v>0</v>
      </c>
      <c r="DE62">
        <f t="shared" si="31"/>
        <v>0</v>
      </c>
      <c r="DF62">
        <f t="shared" si="32"/>
        <v>0</v>
      </c>
      <c r="DG62">
        <f t="shared" si="33"/>
        <v>0</v>
      </c>
      <c r="DH62">
        <f t="shared" si="34"/>
        <v>0</v>
      </c>
      <c r="DI62">
        <f t="shared" si="35"/>
        <v>0</v>
      </c>
      <c r="DJ62">
        <f t="shared" si="36"/>
        <v>0</v>
      </c>
      <c r="DK62">
        <f t="shared" si="37"/>
        <v>0</v>
      </c>
      <c r="DL62">
        <f t="shared" si="38"/>
        <v>0</v>
      </c>
      <c r="DM62">
        <f t="shared" si="39"/>
        <v>0</v>
      </c>
      <c r="DN62">
        <f t="shared" si="40"/>
        <v>0</v>
      </c>
      <c r="DO62">
        <f t="shared" si="41"/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</row>
    <row r="63" spans="1:124" s="2" customFormat="1">
      <c r="A63" s="3">
        <v>41671</v>
      </c>
      <c r="B63">
        <f t="shared" si="48"/>
        <v>2014</v>
      </c>
      <c r="C63" s="2">
        <v>19378319</v>
      </c>
      <c r="D63" s="2">
        <f>VLOOKUP(B63,'Historic CDM'!$B$135:$H$146,2,FALSE)/12</f>
        <v>232660.83668167001</v>
      </c>
      <c r="E63" s="2">
        <f t="shared" si="7"/>
        <v>19610979.836681671</v>
      </c>
      <c r="F63" s="5">
        <v>26426</v>
      </c>
      <c r="G63" s="219">
        <v>5388215</v>
      </c>
      <c r="H63" s="2">
        <f>VLOOKUP(B63,'Historic CDM'!$B$135:$H$147,3,FALSE)/12</f>
        <v>218299.07952460984</v>
      </c>
      <c r="I63" s="2">
        <f t="shared" si="8"/>
        <v>5606514.0795246102</v>
      </c>
      <c r="J63" s="220">
        <v>1901</v>
      </c>
      <c r="K63" s="219">
        <v>13239013</v>
      </c>
      <c r="L63" s="2">
        <f>VLOOKUP(B63,'Historic CDM'!$B$135:$H$146,4,FALSE)/12</f>
        <v>239755.99604353451</v>
      </c>
      <c r="M63" s="2">
        <f t="shared" si="5"/>
        <v>13478768.996043535</v>
      </c>
      <c r="N63" s="222">
        <v>32265</v>
      </c>
      <c r="O63" s="5">
        <v>211</v>
      </c>
      <c r="P63" s="220">
        <v>599875</v>
      </c>
      <c r="Q63" s="2">
        <v>1591</v>
      </c>
      <c r="R63" s="5">
        <v>2713</v>
      </c>
      <c r="S63" s="220">
        <v>29376</v>
      </c>
      <c r="T63" s="2">
        <v>73</v>
      </c>
      <c r="U63" s="5">
        <v>173</v>
      </c>
      <c r="V63" s="221">
        <v>129706</v>
      </c>
      <c r="W63" s="1">
        <v>140</v>
      </c>
      <c r="X63" s="2">
        <v>3101238</v>
      </c>
      <c r="Y63" s="2">
        <v>7579</v>
      </c>
      <c r="Z63" s="5">
        <v>6</v>
      </c>
      <c r="AA63" s="100">
        <f>'Weather Data'!D159</f>
        <v>761.10000000000014</v>
      </c>
      <c r="AB63" s="100">
        <f>'Weather Data'!E159</f>
        <v>0</v>
      </c>
      <c r="AC63" s="100">
        <f>'Weather Data'!F159</f>
        <v>705.10000000000014</v>
      </c>
      <c r="AD63" s="100">
        <f>'Weather Data'!G159</f>
        <v>0</v>
      </c>
      <c r="AE63" s="100">
        <f>'Weather Data'!H159</f>
        <v>649.1</v>
      </c>
      <c r="AF63" s="100">
        <f>'Weather Data'!I159</f>
        <v>0</v>
      </c>
      <c r="AG63" s="100">
        <f>'Weather Data'!J159</f>
        <v>593.1</v>
      </c>
      <c r="AH63" s="100">
        <f>'Weather Data'!K159</f>
        <v>0</v>
      </c>
      <c r="AI63" s="100">
        <f>'Weather Data'!L159</f>
        <v>537.09999999999991</v>
      </c>
      <c r="AJ63" s="100">
        <f>'Weather Data'!M159</f>
        <v>0</v>
      </c>
      <c r="AK63" s="100">
        <f>'Weather Data'!N159</f>
        <v>481.09999999999985</v>
      </c>
      <c r="AL63" s="100">
        <f>'Weather Data'!O159</f>
        <v>0</v>
      </c>
      <c r="AM63" s="100">
        <f>'Weather Data'!P159</f>
        <v>425.09999999999985</v>
      </c>
      <c r="AN63" s="100">
        <f>'Weather Data'!Q159</f>
        <v>0</v>
      </c>
      <c r="AO63" s="100">
        <f>'Weather Data'!R159</f>
        <v>-7.1821428571428569</v>
      </c>
      <c r="AP63" s="5">
        <f>'Economic Data'!D29</f>
        <v>6810.3</v>
      </c>
      <c r="AQ63" s="5">
        <f>'Economic Data'!E29</f>
        <v>6732.3</v>
      </c>
      <c r="AR63" s="5">
        <f>'Economic Data'!F29</f>
        <v>156.6</v>
      </c>
      <c r="AS63" s="5">
        <f>'Economic Data'!G29</f>
        <v>155</v>
      </c>
      <c r="AT63" s="5">
        <f>'Economic Data'!H29</f>
        <v>708787.6</v>
      </c>
      <c r="AU63" s="5">
        <f>'Economic Data'!I29</f>
        <v>6474.7</v>
      </c>
      <c r="AV63" s="5">
        <f>'Economic Data'!J29</f>
        <v>5461.8</v>
      </c>
      <c r="AW63" s="5">
        <f>'Economic Data'!K29</f>
        <v>4020.9</v>
      </c>
      <c r="AX63" s="5">
        <f>'Economic Data'!L29</f>
        <v>912.8</v>
      </c>
      <c r="AY63" s="5">
        <f>'Economic Data'!M29</f>
        <v>444.1</v>
      </c>
      <c r="AZ63" s="5">
        <f>'Economic Data'!N29</f>
        <v>8082.4</v>
      </c>
      <c r="BA63" s="5">
        <f>'Economic Data'!O29</f>
        <v>10.8</v>
      </c>
      <c r="BB63" s="5">
        <f>'Economic Data'!P29</f>
        <v>292</v>
      </c>
      <c r="BC63" s="5">
        <f>'Economic Data'!Q29</f>
        <v>699057</v>
      </c>
      <c r="BD63" s="5">
        <f>'Economic Data'!R29</f>
        <v>6558</v>
      </c>
      <c r="BE63" s="5">
        <f>'Economic Data'!S29</f>
        <v>3966</v>
      </c>
      <c r="BF63" s="5">
        <f>'Economic Data'!T29</f>
        <v>12346</v>
      </c>
      <c r="BG63" s="5">
        <v>0</v>
      </c>
      <c r="BH63" s="5">
        <v>0</v>
      </c>
      <c r="BI63" s="5">
        <v>0</v>
      </c>
      <c r="BJ63" s="5">
        <f t="shared" si="42"/>
        <v>14</v>
      </c>
      <c r="BK63" s="70">
        <f t="shared" si="43"/>
        <v>1.146128035678238</v>
      </c>
      <c r="BL63" s="5">
        <f t="shared" si="44"/>
        <v>196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f t="shared" si="49"/>
        <v>0</v>
      </c>
      <c r="BZ63">
        <f t="shared" si="49"/>
        <v>0</v>
      </c>
      <c r="CA63">
        <f t="shared" si="9"/>
        <v>0</v>
      </c>
      <c r="CB63">
        <v>28</v>
      </c>
      <c r="CC63">
        <v>19</v>
      </c>
      <c r="CD63">
        <v>0</v>
      </c>
      <c r="CE63">
        <v>0</v>
      </c>
      <c r="CF63">
        <f t="shared" si="47"/>
        <v>0</v>
      </c>
      <c r="CG63">
        <v>0</v>
      </c>
      <c r="CH63" s="64">
        <f t="shared" si="10"/>
        <v>0</v>
      </c>
      <c r="CI63" s="64">
        <f t="shared" si="11"/>
        <v>0</v>
      </c>
      <c r="CJ63" s="64">
        <f t="shared" si="12"/>
        <v>0</v>
      </c>
      <c r="CK63" s="64">
        <f t="shared" si="13"/>
        <v>0</v>
      </c>
      <c r="CL63" s="64">
        <f t="shared" si="14"/>
        <v>0</v>
      </c>
      <c r="CM63" s="64">
        <f t="shared" si="15"/>
        <v>0</v>
      </c>
      <c r="CN63" s="64">
        <f t="shared" si="16"/>
        <v>0</v>
      </c>
      <c r="CO63" s="64">
        <f t="shared" si="17"/>
        <v>0</v>
      </c>
      <c r="CP63" s="64">
        <f t="shared" si="18"/>
        <v>0</v>
      </c>
      <c r="CQ63" s="64">
        <f t="shared" si="19"/>
        <v>0</v>
      </c>
      <c r="CR63" s="64">
        <f t="shared" si="20"/>
        <v>0</v>
      </c>
      <c r="CS63" s="64">
        <f t="shared" si="21"/>
        <v>0</v>
      </c>
      <c r="CT63" s="64">
        <f t="shared" si="22"/>
        <v>0</v>
      </c>
      <c r="CU63" s="64">
        <f t="shared" si="23"/>
        <v>0</v>
      </c>
      <c r="CV63" s="69">
        <f t="shared" si="24"/>
        <v>26.503902861740158</v>
      </c>
      <c r="CW63" s="69">
        <f t="shared" si="25"/>
        <v>948.9698848213626</v>
      </c>
      <c r="CX63" s="69">
        <f t="shared" si="45"/>
        <v>3362.1274622208871</v>
      </c>
      <c r="CY63" s="69">
        <f t="shared" si="26"/>
        <v>27203.84210526316</v>
      </c>
      <c r="CZ63" s="64">
        <f t="shared" si="46"/>
        <v>2281.4436350784586</v>
      </c>
      <c r="DA63" s="64">
        <f t="shared" si="27"/>
        <v>18459.75</v>
      </c>
      <c r="DB63">
        <f t="shared" si="28"/>
        <v>0</v>
      </c>
      <c r="DC63">
        <f t="shared" si="29"/>
        <v>0</v>
      </c>
      <c r="DD63">
        <f t="shared" si="30"/>
        <v>0</v>
      </c>
      <c r="DE63">
        <f t="shared" si="31"/>
        <v>0</v>
      </c>
      <c r="DF63">
        <f t="shared" si="32"/>
        <v>0</v>
      </c>
      <c r="DG63">
        <f t="shared" si="33"/>
        <v>0</v>
      </c>
      <c r="DH63">
        <f t="shared" si="34"/>
        <v>0</v>
      </c>
      <c r="DI63">
        <f t="shared" si="35"/>
        <v>0</v>
      </c>
      <c r="DJ63">
        <f t="shared" si="36"/>
        <v>0</v>
      </c>
      <c r="DK63">
        <f t="shared" si="37"/>
        <v>0</v>
      </c>
      <c r="DL63">
        <f t="shared" si="38"/>
        <v>0</v>
      </c>
      <c r="DM63">
        <f t="shared" si="39"/>
        <v>0</v>
      </c>
      <c r="DN63">
        <f t="shared" si="40"/>
        <v>0</v>
      </c>
      <c r="DO63">
        <f t="shared" si="41"/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</row>
    <row r="64" spans="1:124" s="2" customFormat="1">
      <c r="A64" s="3">
        <v>41699</v>
      </c>
      <c r="B64">
        <f t="shared" si="48"/>
        <v>2014</v>
      </c>
      <c r="C64" s="2">
        <v>19313955</v>
      </c>
      <c r="D64" s="2">
        <f>VLOOKUP(B64,'Historic CDM'!$B$135:$H$146,2,FALSE)/12</f>
        <v>232660.83668167001</v>
      </c>
      <c r="E64" s="2">
        <f t="shared" si="7"/>
        <v>19546615.836681671</v>
      </c>
      <c r="F64" s="5">
        <v>26488</v>
      </c>
      <c r="G64" s="219">
        <v>5569690</v>
      </c>
      <c r="H64" s="2">
        <f>VLOOKUP(B64,'Historic CDM'!$B$135:$H$147,3,FALSE)/12</f>
        <v>218299.07952460984</v>
      </c>
      <c r="I64" s="2">
        <f t="shared" si="8"/>
        <v>5787989.0795246102</v>
      </c>
      <c r="J64" s="220">
        <v>1905</v>
      </c>
      <c r="K64" s="219">
        <v>13881708</v>
      </c>
      <c r="L64" s="2">
        <f>VLOOKUP(B64,'Historic CDM'!$B$135:$H$146,4,FALSE)/12</f>
        <v>239755.99604353451</v>
      </c>
      <c r="M64" s="2">
        <f t="shared" si="5"/>
        <v>14121463.996043535</v>
      </c>
      <c r="N64" s="222">
        <v>32022</v>
      </c>
      <c r="O64" s="5">
        <v>214</v>
      </c>
      <c r="P64" s="220">
        <v>558890</v>
      </c>
      <c r="Q64" s="2">
        <v>1587</v>
      </c>
      <c r="R64" s="5">
        <v>2713</v>
      </c>
      <c r="S64" s="220">
        <v>29041</v>
      </c>
      <c r="T64" s="2">
        <v>73</v>
      </c>
      <c r="U64" s="5">
        <v>172</v>
      </c>
      <c r="V64" s="221">
        <v>129706</v>
      </c>
      <c r="W64" s="1">
        <v>140</v>
      </c>
      <c r="X64" s="2">
        <v>3182338</v>
      </c>
      <c r="Y64" s="2">
        <v>7399</v>
      </c>
      <c r="Z64" s="5">
        <v>6</v>
      </c>
      <c r="AA64" s="100">
        <f>'Weather Data'!D160</f>
        <v>699.1</v>
      </c>
      <c r="AB64" s="100">
        <f>'Weather Data'!E160</f>
        <v>0</v>
      </c>
      <c r="AC64" s="100">
        <f>'Weather Data'!F160</f>
        <v>637.10000000000014</v>
      </c>
      <c r="AD64" s="100">
        <f>'Weather Data'!G160</f>
        <v>0</v>
      </c>
      <c r="AE64" s="100">
        <f>'Weather Data'!H160</f>
        <v>575.1</v>
      </c>
      <c r="AF64" s="100">
        <f>'Weather Data'!I160</f>
        <v>0</v>
      </c>
      <c r="AG64" s="100">
        <f>'Weather Data'!J160</f>
        <v>513.10000000000014</v>
      </c>
      <c r="AH64" s="100">
        <f>'Weather Data'!K160</f>
        <v>0</v>
      </c>
      <c r="AI64" s="100">
        <f>'Weather Data'!L160</f>
        <v>451.10000000000008</v>
      </c>
      <c r="AJ64" s="100">
        <f>'Weather Data'!M160</f>
        <v>0</v>
      </c>
      <c r="AK64" s="100">
        <f>'Weather Data'!N160</f>
        <v>389.10000000000008</v>
      </c>
      <c r="AL64" s="100">
        <f>'Weather Data'!O160</f>
        <v>0</v>
      </c>
      <c r="AM64" s="100">
        <f>'Weather Data'!P160</f>
        <v>327.10000000000008</v>
      </c>
      <c r="AN64" s="100">
        <f>'Weather Data'!Q160</f>
        <v>0</v>
      </c>
      <c r="AO64" s="100">
        <f>'Weather Data'!R160</f>
        <v>-2.5516129032258057</v>
      </c>
      <c r="AP64" s="5">
        <f>'Economic Data'!D30</f>
        <v>6810.9</v>
      </c>
      <c r="AQ64" s="5">
        <f>'Economic Data'!E30</f>
        <v>6704.5</v>
      </c>
      <c r="AR64" s="5">
        <f>'Economic Data'!F30</f>
        <v>154.80000000000001</v>
      </c>
      <c r="AS64" s="5">
        <f>'Economic Data'!G30</f>
        <v>152.1</v>
      </c>
      <c r="AT64" s="5">
        <f>'Economic Data'!H30</f>
        <v>708787.6</v>
      </c>
      <c r="AU64" s="5">
        <f>'Economic Data'!I30</f>
        <v>6474.7</v>
      </c>
      <c r="AV64" s="5">
        <f>'Economic Data'!J30</f>
        <v>5461.8</v>
      </c>
      <c r="AW64" s="5">
        <f>'Economic Data'!K30</f>
        <v>4020.9</v>
      </c>
      <c r="AX64" s="5">
        <f>'Economic Data'!L30</f>
        <v>912.8</v>
      </c>
      <c r="AY64" s="5">
        <f>'Economic Data'!M30</f>
        <v>444.1</v>
      </c>
      <c r="AZ64" s="5">
        <f>'Economic Data'!N30</f>
        <v>8082.4</v>
      </c>
      <c r="BA64" s="5">
        <f>'Economic Data'!O30</f>
        <v>10.8</v>
      </c>
      <c r="BB64" s="5">
        <f>'Economic Data'!P30</f>
        <v>292</v>
      </c>
      <c r="BC64" s="5">
        <f>'Economic Data'!Q30</f>
        <v>699057</v>
      </c>
      <c r="BD64" s="5">
        <f>'Economic Data'!R30</f>
        <v>6558</v>
      </c>
      <c r="BE64" s="5">
        <f>'Economic Data'!S30</f>
        <v>3966</v>
      </c>
      <c r="BF64" s="5">
        <f>'Economic Data'!T30</f>
        <v>12346</v>
      </c>
      <c r="BG64" s="5">
        <v>0</v>
      </c>
      <c r="BH64" s="5">
        <v>0</v>
      </c>
      <c r="BI64" s="5">
        <v>0</v>
      </c>
      <c r="BJ64" s="5">
        <f t="shared" si="42"/>
        <v>15</v>
      </c>
      <c r="BK64" s="70">
        <f t="shared" si="43"/>
        <v>1.1760912590556813</v>
      </c>
      <c r="BL64" s="5">
        <f t="shared" si="44"/>
        <v>225</v>
      </c>
      <c r="BM64"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f t="shared" si="49"/>
        <v>1</v>
      </c>
      <c r="BZ64">
        <f t="shared" si="49"/>
        <v>0</v>
      </c>
      <c r="CA64">
        <f t="shared" si="9"/>
        <v>1</v>
      </c>
      <c r="CB64">
        <v>31</v>
      </c>
      <c r="CC64">
        <v>21</v>
      </c>
      <c r="CD64">
        <v>0</v>
      </c>
      <c r="CE64">
        <v>0</v>
      </c>
      <c r="CF64">
        <f t="shared" si="47"/>
        <v>0</v>
      </c>
      <c r="CG64">
        <v>0</v>
      </c>
      <c r="CH64" s="64">
        <f t="shared" si="10"/>
        <v>0</v>
      </c>
      <c r="CI64" s="64">
        <f t="shared" si="11"/>
        <v>0</v>
      </c>
      <c r="CJ64" s="64">
        <f t="shared" si="12"/>
        <v>0</v>
      </c>
      <c r="CK64" s="64">
        <f t="shared" si="13"/>
        <v>0</v>
      </c>
      <c r="CL64" s="64">
        <f t="shared" si="14"/>
        <v>0</v>
      </c>
      <c r="CM64" s="64">
        <f t="shared" si="15"/>
        <v>0</v>
      </c>
      <c r="CN64" s="64">
        <f t="shared" si="16"/>
        <v>0</v>
      </c>
      <c r="CO64" s="64">
        <f t="shared" si="17"/>
        <v>0</v>
      </c>
      <c r="CP64" s="64">
        <f t="shared" si="18"/>
        <v>0</v>
      </c>
      <c r="CQ64" s="64">
        <f t="shared" si="19"/>
        <v>0</v>
      </c>
      <c r="CR64" s="64">
        <f t="shared" si="20"/>
        <v>0</v>
      </c>
      <c r="CS64" s="64">
        <f t="shared" si="21"/>
        <v>0</v>
      </c>
      <c r="CT64" s="64">
        <f t="shared" si="22"/>
        <v>0</v>
      </c>
      <c r="CU64" s="64">
        <f t="shared" si="23"/>
        <v>0</v>
      </c>
      <c r="CV64" s="69">
        <f t="shared" si="24"/>
        <v>23.804590559184042</v>
      </c>
      <c r="CW64" s="69">
        <f t="shared" si="25"/>
        <v>872.47348199044472</v>
      </c>
      <c r="CX64" s="69">
        <f t="shared" si="45"/>
        <v>3142.2928340105773</v>
      </c>
      <c r="CY64" s="69">
        <f t="shared" si="26"/>
        <v>25256.650793650795</v>
      </c>
      <c r="CZ64" s="64">
        <f t="shared" si="46"/>
        <v>2128.6499843297461</v>
      </c>
      <c r="DA64" s="64">
        <f t="shared" si="27"/>
        <v>17109.344086021505</v>
      </c>
      <c r="DB64">
        <f t="shared" si="28"/>
        <v>0</v>
      </c>
      <c r="DC64">
        <f t="shared" si="29"/>
        <v>0</v>
      </c>
      <c r="DD64">
        <f t="shared" si="30"/>
        <v>0</v>
      </c>
      <c r="DE64">
        <f t="shared" si="31"/>
        <v>0</v>
      </c>
      <c r="DF64">
        <f t="shared" si="32"/>
        <v>0</v>
      </c>
      <c r="DG64">
        <f t="shared" si="33"/>
        <v>0</v>
      </c>
      <c r="DH64">
        <f t="shared" si="34"/>
        <v>0</v>
      </c>
      <c r="DI64">
        <f t="shared" si="35"/>
        <v>0</v>
      </c>
      <c r="DJ64">
        <f t="shared" si="36"/>
        <v>0</v>
      </c>
      <c r="DK64">
        <f t="shared" si="37"/>
        <v>0</v>
      </c>
      <c r="DL64">
        <f t="shared" si="38"/>
        <v>0</v>
      </c>
      <c r="DM64">
        <f t="shared" si="39"/>
        <v>0</v>
      </c>
      <c r="DN64">
        <f t="shared" si="40"/>
        <v>0</v>
      </c>
      <c r="DO64">
        <f t="shared" si="41"/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</row>
    <row r="65" spans="1:124" s="2" customFormat="1">
      <c r="A65" s="3">
        <v>41730</v>
      </c>
      <c r="B65">
        <f t="shared" si="48"/>
        <v>2014</v>
      </c>
      <c r="C65" s="2">
        <v>16231421</v>
      </c>
      <c r="D65" s="2">
        <f>VLOOKUP(B65,'Historic CDM'!$B$135:$H$146,2,FALSE)/12</f>
        <v>232660.83668167001</v>
      </c>
      <c r="E65" s="2">
        <f t="shared" si="7"/>
        <v>16464081.83668167</v>
      </c>
      <c r="F65" s="5">
        <v>26497</v>
      </c>
      <c r="G65" s="219">
        <v>4851873</v>
      </c>
      <c r="H65" s="2">
        <f>VLOOKUP(B65,'Historic CDM'!$B$135:$H$147,3,FALSE)/12</f>
        <v>218299.07952460984</v>
      </c>
      <c r="I65" s="2">
        <f t="shared" si="8"/>
        <v>5070172.0795246102</v>
      </c>
      <c r="J65" s="220">
        <v>1901</v>
      </c>
      <c r="K65" s="219">
        <v>11903768</v>
      </c>
      <c r="L65" s="2">
        <f>VLOOKUP(B65,'Historic CDM'!$B$135:$H$146,4,FALSE)/12</f>
        <v>239755.99604353451</v>
      </c>
      <c r="M65" s="2">
        <f t="shared" si="5"/>
        <v>12143523.996043535</v>
      </c>
      <c r="N65" s="222">
        <v>30566</v>
      </c>
      <c r="O65" s="5">
        <v>212</v>
      </c>
      <c r="P65" s="220">
        <v>468887</v>
      </c>
      <c r="Q65" s="2">
        <v>1587</v>
      </c>
      <c r="R65" s="5">
        <v>2713</v>
      </c>
      <c r="S65" s="220">
        <v>29023</v>
      </c>
      <c r="T65" s="2">
        <v>73</v>
      </c>
      <c r="U65" s="5">
        <v>172</v>
      </c>
      <c r="V65" s="221">
        <v>129706</v>
      </c>
      <c r="W65" s="1">
        <v>140</v>
      </c>
      <c r="X65" s="2">
        <v>2976481</v>
      </c>
      <c r="Y65" s="2">
        <v>7173</v>
      </c>
      <c r="Z65" s="5">
        <v>6</v>
      </c>
      <c r="AA65" s="100">
        <f>'Weather Data'!D161</f>
        <v>343.40000000000003</v>
      </c>
      <c r="AB65" s="100">
        <f>'Weather Data'!E161</f>
        <v>0</v>
      </c>
      <c r="AC65" s="100">
        <f>'Weather Data'!F161</f>
        <v>283.40000000000003</v>
      </c>
      <c r="AD65" s="100">
        <f>'Weather Data'!G161</f>
        <v>0</v>
      </c>
      <c r="AE65" s="100">
        <f>'Weather Data'!H161</f>
        <v>223.7</v>
      </c>
      <c r="AF65" s="100">
        <f>'Weather Data'!I161</f>
        <v>0.30000000000000071</v>
      </c>
      <c r="AG65" s="100">
        <f>'Weather Data'!J161</f>
        <v>167.99999999999997</v>
      </c>
      <c r="AH65" s="100">
        <f>'Weather Data'!K161</f>
        <v>4.6000000000000014</v>
      </c>
      <c r="AI65" s="100">
        <f>'Weather Data'!L161</f>
        <v>118.2</v>
      </c>
      <c r="AJ65" s="100">
        <f>'Weather Data'!M161</f>
        <v>14.800000000000002</v>
      </c>
      <c r="AK65" s="100">
        <f>'Weather Data'!N161</f>
        <v>74.600000000000009</v>
      </c>
      <c r="AL65" s="100">
        <f>'Weather Data'!O161</f>
        <v>31.200000000000003</v>
      </c>
      <c r="AM65" s="100">
        <f>'Weather Data'!P161</f>
        <v>40.4</v>
      </c>
      <c r="AN65" s="100">
        <f>'Weather Data'!Q161</f>
        <v>57.000000000000007</v>
      </c>
      <c r="AO65" s="100">
        <f>'Weather Data'!R161</f>
        <v>8.5533333333333346</v>
      </c>
      <c r="AP65" s="5">
        <f>'Economic Data'!D31</f>
        <v>6819.5</v>
      </c>
      <c r="AQ65" s="5">
        <f>'Economic Data'!E31</f>
        <v>6732.1</v>
      </c>
      <c r="AR65" s="5">
        <f>'Economic Data'!F31</f>
        <v>152.80000000000001</v>
      </c>
      <c r="AS65" s="5">
        <f>'Economic Data'!G31</f>
        <v>150.9</v>
      </c>
      <c r="AT65" s="5">
        <f>'Economic Data'!H31</f>
        <v>708787.6</v>
      </c>
      <c r="AU65" s="5">
        <f>'Economic Data'!I31</f>
        <v>6474.7</v>
      </c>
      <c r="AV65" s="5">
        <f>'Economic Data'!J31</f>
        <v>5461.8</v>
      </c>
      <c r="AW65" s="5">
        <f>'Economic Data'!K31</f>
        <v>4020.9</v>
      </c>
      <c r="AX65" s="5">
        <f>'Economic Data'!L31</f>
        <v>912.8</v>
      </c>
      <c r="AY65" s="5">
        <f>'Economic Data'!M31</f>
        <v>444.1</v>
      </c>
      <c r="AZ65" s="5">
        <f>'Economic Data'!N31</f>
        <v>8082.4</v>
      </c>
      <c r="BA65" s="5">
        <f>'Economic Data'!O31</f>
        <v>10.8</v>
      </c>
      <c r="BB65" s="5">
        <f>'Economic Data'!P31</f>
        <v>292</v>
      </c>
      <c r="BC65" s="5">
        <f>'Economic Data'!Q31</f>
        <v>705966</v>
      </c>
      <c r="BD65" s="5">
        <f>'Economic Data'!R31</f>
        <v>6382</v>
      </c>
      <c r="BE65" s="5">
        <f>'Economic Data'!S31</f>
        <v>3945</v>
      </c>
      <c r="BF65" s="5">
        <f>'Economic Data'!T31</f>
        <v>12894</v>
      </c>
      <c r="BG65" s="5">
        <v>0</v>
      </c>
      <c r="BH65" s="5">
        <v>0</v>
      </c>
      <c r="BI65" s="5">
        <v>0</v>
      </c>
      <c r="BJ65" s="5">
        <f t="shared" si="42"/>
        <v>16</v>
      </c>
      <c r="BK65" s="70">
        <f t="shared" si="43"/>
        <v>1.2041199826559248</v>
      </c>
      <c r="BL65" s="5">
        <f t="shared" si="44"/>
        <v>256</v>
      </c>
      <c r="BM65">
        <v>0</v>
      </c>
      <c r="BN65">
        <v>0</v>
      </c>
      <c r="BO65">
        <v>0</v>
      </c>
      <c r="BP65">
        <v>1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f t="shared" si="49"/>
        <v>1</v>
      </c>
      <c r="BZ65">
        <f t="shared" si="49"/>
        <v>0</v>
      </c>
      <c r="CA65">
        <f t="shared" si="9"/>
        <v>1</v>
      </c>
      <c r="CB65">
        <v>30</v>
      </c>
      <c r="CC65">
        <v>20</v>
      </c>
      <c r="CD65">
        <v>0</v>
      </c>
      <c r="CE65">
        <v>0</v>
      </c>
      <c r="CF65">
        <f t="shared" si="47"/>
        <v>0</v>
      </c>
      <c r="CG65">
        <v>0</v>
      </c>
      <c r="CH65" s="64">
        <f t="shared" si="10"/>
        <v>0</v>
      </c>
      <c r="CI65" s="64">
        <f t="shared" si="11"/>
        <v>0</v>
      </c>
      <c r="CJ65" s="64">
        <f t="shared" si="12"/>
        <v>0</v>
      </c>
      <c r="CK65" s="64">
        <f t="shared" si="13"/>
        <v>0</v>
      </c>
      <c r="CL65" s="64">
        <f t="shared" si="14"/>
        <v>0</v>
      </c>
      <c r="CM65" s="64">
        <f t="shared" si="15"/>
        <v>0</v>
      </c>
      <c r="CN65" s="64">
        <f t="shared" si="16"/>
        <v>0</v>
      </c>
      <c r="CO65" s="64">
        <f t="shared" si="17"/>
        <v>0</v>
      </c>
      <c r="CP65" s="64">
        <f t="shared" si="18"/>
        <v>0</v>
      </c>
      <c r="CQ65" s="64">
        <f t="shared" si="19"/>
        <v>0</v>
      </c>
      <c r="CR65" s="64">
        <f t="shared" si="20"/>
        <v>0</v>
      </c>
      <c r="CS65" s="64">
        <f t="shared" si="21"/>
        <v>0</v>
      </c>
      <c r="CT65" s="64">
        <f t="shared" si="22"/>
        <v>0</v>
      </c>
      <c r="CU65" s="64">
        <f t="shared" si="23"/>
        <v>0</v>
      </c>
      <c r="CV65" s="69">
        <f t="shared" si="24"/>
        <v>20.711881642804432</v>
      </c>
      <c r="CW65" s="69">
        <f t="shared" si="25"/>
        <v>797.19686784978148</v>
      </c>
      <c r="CX65" s="69">
        <f t="shared" si="45"/>
        <v>2864.0386783121548</v>
      </c>
      <c r="CY65" s="69">
        <f t="shared" si="26"/>
        <v>24804.008333333331</v>
      </c>
      <c r="CZ65" s="64">
        <f t="shared" si="46"/>
        <v>1909.3591188747696</v>
      </c>
      <c r="DA65" s="64">
        <f t="shared" si="27"/>
        <v>16536.005555555555</v>
      </c>
      <c r="DB65">
        <f t="shared" si="28"/>
        <v>0</v>
      </c>
      <c r="DC65">
        <f t="shared" si="29"/>
        <v>0</v>
      </c>
      <c r="DD65">
        <f t="shared" si="30"/>
        <v>0</v>
      </c>
      <c r="DE65">
        <f t="shared" si="31"/>
        <v>0</v>
      </c>
      <c r="DF65">
        <f t="shared" si="32"/>
        <v>0</v>
      </c>
      <c r="DG65">
        <f t="shared" si="33"/>
        <v>0</v>
      </c>
      <c r="DH65">
        <f t="shared" si="34"/>
        <v>0</v>
      </c>
      <c r="DI65">
        <f t="shared" si="35"/>
        <v>0</v>
      </c>
      <c r="DJ65">
        <f t="shared" si="36"/>
        <v>0</v>
      </c>
      <c r="DK65">
        <f t="shared" si="37"/>
        <v>0</v>
      </c>
      <c r="DL65">
        <f t="shared" si="38"/>
        <v>0</v>
      </c>
      <c r="DM65">
        <f t="shared" si="39"/>
        <v>0</v>
      </c>
      <c r="DN65">
        <f t="shared" si="40"/>
        <v>0</v>
      </c>
      <c r="DO65">
        <f t="shared" si="41"/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</row>
    <row r="66" spans="1:124" s="2" customFormat="1">
      <c r="A66" s="3">
        <v>41760</v>
      </c>
      <c r="B66">
        <f t="shared" si="48"/>
        <v>2014</v>
      </c>
      <c r="C66" s="2">
        <v>17420019</v>
      </c>
      <c r="D66" s="2">
        <f>VLOOKUP(B66,'Historic CDM'!$B$135:$H$146,2,FALSE)/12</f>
        <v>232660.83668167001</v>
      </c>
      <c r="E66" s="2">
        <f t="shared" si="7"/>
        <v>17652679.836681671</v>
      </c>
      <c r="F66" s="5">
        <v>26591</v>
      </c>
      <c r="G66" s="219">
        <v>5146157</v>
      </c>
      <c r="H66" s="2">
        <f>VLOOKUP(B66,'Historic CDM'!$B$135:$H$147,3,FALSE)/12</f>
        <v>218299.07952460984</v>
      </c>
      <c r="I66" s="2">
        <f t="shared" si="8"/>
        <v>5364456.0795246102</v>
      </c>
      <c r="J66" s="220">
        <v>1906</v>
      </c>
      <c r="K66" s="219">
        <v>12583472</v>
      </c>
      <c r="L66" s="2">
        <f>VLOOKUP(B66,'Historic CDM'!$B$135:$H$146,4,FALSE)/12</f>
        <v>239755.99604353451</v>
      </c>
      <c r="M66" s="2">
        <f t="shared" ref="M66:M97" si="50">K66+L66</f>
        <v>12823227.996043535</v>
      </c>
      <c r="N66" s="222">
        <v>34232</v>
      </c>
      <c r="O66" s="5">
        <v>214</v>
      </c>
      <c r="P66" s="220">
        <v>421881</v>
      </c>
      <c r="Q66" s="2">
        <v>1587</v>
      </c>
      <c r="R66" s="5">
        <v>2713</v>
      </c>
      <c r="S66" s="220">
        <v>28820</v>
      </c>
      <c r="T66" s="2">
        <v>73</v>
      </c>
      <c r="U66" s="5">
        <v>172</v>
      </c>
      <c r="V66" s="221">
        <v>129706</v>
      </c>
      <c r="W66" s="1">
        <v>140</v>
      </c>
      <c r="X66" s="2">
        <v>3042348</v>
      </c>
      <c r="Y66" s="2">
        <v>7125</v>
      </c>
      <c r="Z66" s="5">
        <v>6</v>
      </c>
      <c r="AA66" s="100">
        <f>'Weather Data'!D162</f>
        <v>149</v>
      </c>
      <c r="AB66" s="100">
        <f>'Weather Data'!E162</f>
        <v>10.299999999999997</v>
      </c>
      <c r="AC66" s="100">
        <f>'Weather Data'!F162</f>
        <v>103.4</v>
      </c>
      <c r="AD66" s="100">
        <f>'Weather Data'!G162</f>
        <v>26.7</v>
      </c>
      <c r="AE66" s="100">
        <f>'Weather Data'!H162</f>
        <v>67.800000000000011</v>
      </c>
      <c r="AF66" s="100">
        <f>'Weather Data'!I162</f>
        <v>53.099999999999994</v>
      </c>
      <c r="AG66" s="100">
        <f>'Weather Data'!J162</f>
        <v>41.5</v>
      </c>
      <c r="AH66" s="100">
        <f>'Weather Data'!K162</f>
        <v>88.8</v>
      </c>
      <c r="AI66" s="100">
        <f>'Weather Data'!L162</f>
        <v>19.400000000000002</v>
      </c>
      <c r="AJ66" s="100">
        <f>'Weather Data'!M162</f>
        <v>128.69999999999999</v>
      </c>
      <c r="AK66" s="100">
        <f>'Weather Data'!N162</f>
        <v>5.2999999999999989</v>
      </c>
      <c r="AL66" s="100">
        <f>'Weather Data'!O162</f>
        <v>176.6</v>
      </c>
      <c r="AM66" s="100">
        <f>'Weather Data'!P162</f>
        <v>0.5</v>
      </c>
      <c r="AN66" s="100">
        <f>'Weather Data'!Q162</f>
        <v>233.79999999999998</v>
      </c>
      <c r="AO66" s="100">
        <f>'Weather Data'!R162</f>
        <v>15.525806451612905</v>
      </c>
      <c r="AP66" s="5">
        <f>'Economic Data'!D32</f>
        <v>6821.5</v>
      </c>
      <c r="AQ66" s="5">
        <f>'Economic Data'!E32</f>
        <v>6790.3</v>
      </c>
      <c r="AR66" s="5">
        <f>'Economic Data'!F32</f>
        <v>152.30000000000001</v>
      </c>
      <c r="AS66" s="5">
        <f>'Economic Data'!G32</f>
        <v>151.19999999999999</v>
      </c>
      <c r="AT66" s="5">
        <f>'Economic Data'!H32</f>
        <v>708787.6</v>
      </c>
      <c r="AU66" s="5">
        <f>'Economic Data'!I32</f>
        <v>6474.7</v>
      </c>
      <c r="AV66" s="5">
        <f>'Economic Data'!J32</f>
        <v>5461.8</v>
      </c>
      <c r="AW66" s="5">
        <f>'Economic Data'!K32</f>
        <v>4020.9</v>
      </c>
      <c r="AX66" s="5">
        <f>'Economic Data'!L32</f>
        <v>912.8</v>
      </c>
      <c r="AY66" s="5">
        <f>'Economic Data'!M32</f>
        <v>444.1</v>
      </c>
      <c r="AZ66" s="5">
        <f>'Economic Data'!N32</f>
        <v>8082.4</v>
      </c>
      <c r="BA66" s="5">
        <f>'Economic Data'!O32</f>
        <v>10.8</v>
      </c>
      <c r="BB66" s="5">
        <f>'Economic Data'!P32</f>
        <v>292</v>
      </c>
      <c r="BC66" s="5">
        <f>'Economic Data'!Q32</f>
        <v>705966</v>
      </c>
      <c r="BD66" s="5">
        <f>'Economic Data'!R32</f>
        <v>6382</v>
      </c>
      <c r="BE66" s="5">
        <f>'Economic Data'!S32</f>
        <v>3945</v>
      </c>
      <c r="BF66" s="5">
        <f>'Economic Data'!T32</f>
        <v>12894</v>
      </c>
      <c r="BG66" s="5">
        <v>0</v>
      </c>
      <c r="BH66" s="5">
        <v>0</v>
      </c>
      <c r="BI66" s="5">
        <v>0</v>
      </c>
      <c r="BJ66" s="5">
        <f t="shared" si="42"/>
        <v>17</v>
      </c>
      <c r="BK66" s="70">
        <f t="shared" si="43"/>
        <v>1.2304489213782739</v>
      </c>
      <c r="BL66" s="5">
        <f t="shared" si="44"/>
        <v>289</v>
      </c>
      <c r="BM66">
        <v>0</v>
      </c>
      <c r="BN66">
        <v>0</v>
      </c>
      <c r="BO66">
        <v>0</v>
      </c>
      <c r="BP66">
        <v>0</v>
      </c>
      <c r="BQ66">
        <v>1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f t="shared" ref="BY66:BZ85" si="51">BY54</f>
        <v>1</v>
      </c>
      <c r="BZ66">
        <f t="shared" si="51"/>
        <v>0</v>
      </c>
      <c r="CA66">
        <f t="shared" si="9"/>
        <v>1</v>
      </c>
      <c r="CB66">
        <v>31</v>
      </c>
      <c r="CC66">
        <v>22</v>
      </c>
      <c r="CD66">
        <v>0</v>
      </c>
      <c r="CE66">
        <v>0</v>
      </c>
      <c r="CF66">
        <f t="shared" si="47"/>
        <v>0</v>
      </c>
      <c r="CG66">
        <v>0</v>
      </c>
      <c r="CH66" s="64">
        <f t="shared" si="10"/>
        <v>0</v>
      </c>
      <c r="CI66" s="64">
        <f t="shared" si="11"/>
        <v>0</v>
      </c>
      <c r="CJ66" s="64">
        <f t="shared" si="12"/>
        <v>0</v>
      </c>
      <c r="CK66" s="64">
        <f t="shared" si="13"/>
        <v>0</v>
      </c>
      <c r="CL66" s="64">
        <f t="shared" si="14"/>
        <v>0</v>
      </c>
      <c r="CM66" s="64">
        <f t="shared" si="15"/>
        <v>0</v>
      </c>
      <c r="CN66" s="64">
        <f t="shared" si="16"/>
        <v>0</v>
      </c>
      <c r="CO66" s="64">
        <f t="shared" si="17"/>
        <v>0</v>
      </c>
      <c r="CP66" s="64">
        <f t="shared" si="18"/>
        <v>0</v>
      </c>
      <c r="CQ66" s="64">
        <f t="shared" si="19"/>
        <v>0</v>
      </c>
      <c r="CR66" s="64">
        <f t="shared" si="20"/>
        <v>0</v>
      </c>
      <c r="CS66" s="64">
        <f t="shared" si="21"/>
        <v>0</v>
      </c>
      <c r="CT66" s="64">
        <f t="shared" si="22"/>
        <v>0</v>
      </c>
      <c r="CU66" s="64">
        <f t="shared" si="23"/>
        <v>0</v>
      </c>
      <c r="CV66" s="69">
        <f t="shared" si="24"/>
        <v>21.414812720629065</v>
      </c>
      <c r="CW66" s="69">
        <f t="shared" si="25"/>
        <v>808.63070237030604</v>
      </c>
      <c r="CX66" s="69">
        <f t="shared" si="45"/>
        <v>2723.7102795334613</v>
      </c>
      <c r="CY66" s="69">
        <f t="shared" si="26"/>
        <v>23048.090909090908</v>
      </c>
      <c r="CZ66" s="64">
        <f t="shared" si="46"/>
        <v>1932.9556822495531</v>
      </c>
      <c r="DA66" s="64">
        <f t="shared" si="27"/>
        <v>16356.709677419356</v>
      </c>
      <c r="DB66">
        <f t="shared" si="28"/>
        <v>0</v>
      </c>
      <c r="DC66">
        <f t="shared" si="29"/>
        <v>0</v>
      </c>
      <c r="DD66">
        <f t="shared" si="30"/>
        <v>0</v>
      </c>
      <c r="DE66">
        <f t="shared" si="31"/>
        <v>0</v>
      </c>
      <c r="DF66">
        <f t="shared" si="32"/>
        <v>0</v>
      </c>
      <c r="DG66">
        <f t="shared" si="33"/>
        <v>0</v>
      </c>
      <c r="DH66">
        <f t="shared" si="34"/>
        <v>0</v>
      </c>
      <c r="DI66">
        <f t="shared" si="35"/>
        <v>0</v>
      </c>
      <c r="DJ66">
        <f t="shared" si="36"/>
        <v>0</v>
      </c>
      <c r="DK66">
        <f t="shared" si="37"/>
        <v>0</v>
      </c>
      <c r="DL66">
        <f t="shared" si="38"/>
        <v>0</v>
      </c>
      <c r="DM66">
        <f t="shared" si="39"/>
        <v>0</v>
      </c>
      <c r="DN66">
        <f t="shared" si="40"/>
        <v>0</v>
      </c>
      <c r="DO66">
        <f t="shared" si="41"/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</row>
    <row r="67" spans="1:124" s="2" customFormat="1">
      <c r="A67" s="3">
        <v>41791</v>
      </c>
      <c r="B67">
        <f t="shared" si="48"/>
        <v>2014</v>
      </c>
      <c r="C67" s="2">
        <v>23223295</v>
      </c>
      <c r="D67" s="2">
        <f>VLOOKUP(B67,'Historic CDM'!$B$135:$H$146,2,FALSE)/12</f>
        <v>232660.83668167001</v>
      </c>
      <c r="E67" s="2">
        <f t="shared" si="7"/>
        <v>23455955.836681671</v>
      </c>
      <c r="F67" s="5">
        <v>26581</v>
      </c>
      <c r="G67" s="219">
        <v>5678465</v>
      </c>
      <c r="H67" s="2">
        <f>VLOOKUP(B67,'Historic CDM'!$B$135:$H$147,3,FALSE)/12</f>
        <v>218299.07952460984</v>
      </c>
      <c r="I67" s="2">
        <f t="shared" si="8"/>
        <v>5896764.0795246102</v>
      </c>
      <c r="J67" s="220">
        <v>1909</v>
      </c>
      <c r="K67" s="219">
        <v>14331819</v>
      </c>
      <c r="L67" s="2">
        <f>VLOOKUP(B67,'Historic CDM'!$B$135:$H$146,4,FALSE)/12</f>
        <v>239755.99604353451</v>
      </c>
      <c r="M67" s="2">
        <f t="shared" si="50"/>
        <v>14571574.996043535</v>
      </c>
      <c r="N67" s="222">
        <v>38655</v>
      </c>
      <c r="O67" s="5">
        <v>215</v>
      </c>
      <c r="P67" s="220">
        <v>371132</v>
      </c>
      <c r="Q67" s="2">
        <v>1586</v>
      </c>
      <c r="R67" s="5">
        <v>2713</v>
      </c>
      <c r="S67" s="220">
        <v>29152</v>
      </c>
      <c r="T67" s="2">
        <v>73</v>
      </c>
      <c r="U67" s="5">
        <v>172</v>
      </c>
      <c r="V67" s="221">
        <v>129492</v>
      </c>
      <c r="W67" s="1">
        <v>139</v>
      </c>
      <c r="X67" s="2">
        <v>3409531</v>
      </c>
      <c r="Y67" s="2">
        <v>8832</v>
      </c>
      <c r="Z67" s="5">
        <v>6</v>
      </c>
      <c r="AA67" s="100">
        <f>'Weather Data'!D163</f>
        <v>19.499999999999996</v>
      </c>
      <c r="AB67" s="100">
        <f>'Weather Data'!E163</f>
        <v>59.999999999999986</v>
      </c>
      <c r="AC67" s="100">
        <f>'Weather Data'!F163</f>
        <v>4.9999999999999964</v>
      </c>
      <c r="AD67" s="100">
        <f>'Weather Data'!G163</f>
        <v>105.49999999999999</v>
      </c>
      <c r="AE67" s="100">
        <f>'Weather Data'!H163</f>
        <v>0</v>
      </c>
      <c r="AF67" s="100">
        <f>'Weather Data'!I163</f>
        <v>160.5</v>
      </c>
      <c r="AG67" s="100">
        <f>'Weather Data'!J163</f>
        <v>0</v>
      </c>
      <c r="AH67" s="100">
        <f>'Weather Data'!K163</f>
        <v>220.5</v>
      </c>
      <c r="AI67" s="100">
        <f>'Weather Data'!L163</f>
        <v>0</v>
      </c>
      <c r="AJ67" s="100">
        <f>'Weather Data'!M163</f>
        <v>280.50000000000006</v>
      </c>
      <c r="AK67" s="100">
        <f>'Weather Data'!N163</f>
        <v>0</v>
      </c>
      <c r="AL67" s="100">
        <f>'Weather Data'!O163</f>
        <v>340.5</v>
      </c>
      <c r="AM67" s="100">
        <f>'Weather Data'!P163</f>
        <v>0</v>
      </c>
      <c r="AN67" s="100">
        <f>'Weather Data'!Q163</f>
        <v>400.49999999999994</v>
      </c>
      <c r="AO67" s="100">
        <f>'Weather Data'!R163</f>
        <v>21.35</v>
      </c>
      <c r="AP67" s="5">
        <f>'Economic Data'!D33</f>
        <v>6826.1</v>
      </c>
      <c r="AQ67" s="5">
        <f>'Economic Data'!E33</f>
        <v>6875.4</v>
      </c>
      <c r="AR67" s="5">
        <f>'Economic Data'!F33</f>
        <v>150.9</v>
      </c>
      <c r="AS67" s="5">
        <f>'Economic Data'!G33</f>
        <v>151.19999999999999</v>
      </c>
      <c r="AT67" s="5">
        <f>'Economic Data'!H33</f>
        <v>708787.6</v>
      </c>
      <c r="AU67" s="5">
        <f>'Economic Data'!I33</f>
        <v>6474.7</v>
      </c>
      <c r="AV67" s="5">
        <f>'Economic Data'!J33</f>
        <v>5461.8</v>
      </c>
      <c r="AW67" s="5">
        <f>'Economic Data'!K33</f>
        <v>4020.9</v>
      </c>
      <c r="AX67" s="5">
        <f>'Economic Data'!L33</f>
        <v>912.8</v>
      </c>
      <c r="AY67" s="5">
        <f>'Economic Data'!M33</f>
        <v>444.1</v>
      </c>
      <c r="AZ67" s="5">
        <f>'Economic Data'!N33</f>
        <v>8082.4</v>
      </c>
      <c r="BA67" s="5">
        <f>'Economic Data'!O33</f>
        <v>10.8</v>
      </c>
      <c r="BB67" s="5">
        <f>'Economic Data'!P33</f>
        <v>292</v>
      </c>
      <c r="BC67" s="5">
        <f>'Economic Data'!Q33</f>
        <v>705966</v>
      </c>
      <c r="BD67" s="5">
        <f>'Economic Data'!R33</f>
        <v>6382</v>
      </c>
      <c r="BE67" s="5">
        <f>'Economic Data'!S33</f>
        <v>3945</v>
      </c>
      <c r="BF67" s="5">
        <f>'Economic Data'!T33</f>
        <v>12894</v>
      </c>
      <c r="BG67" s="5">
        <v>0</v>
      </c>
      <c r="BH67" s="5">
        <v>0</v>
      </c>
      <c r="BI67" s="5">
        <v>0</v>
      </c>
      <c r="BJ67" s="5">
        <f t="shared" si="42"/>
        <v>18</v>
      </c>
      <c r="BK67" s="70">
        <f t="shared" si="43"/>
        <v>1.255272505103306</v>
      </c>
      <c r="BL67" s="5">
        <f t="shared" si="44"/>
        <v>324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f t="shared" si="51"/>
        <v>0</v>
      </c>
      <c r="BZ67">
        <f t="shared" si="51"/>
        <v>0</v>
      </c>
      <c r="CA67">
        <f t="shared" si="9"/>
        <v>0</v>
      </c>
      <c r="CB67">
        <v>30</v>
      </c>
      <c r="CC67">
        <v>21</v>
      </c>
      <c r="CD67">
        <v>0</v>
      </c>
      <c r="CE67">
        <v>0</v>
      </c>
      <c r="CF67">
        <f t="shared" si="47"/>
        <v>0</v>
      </c>
      <c r="CG67">
        <v>0</v>
      </c>
      <c r="CH67" s="64">
        <f t="shared" si="10"/>
        <v>0</v>
      </c>
      <c r="CI67" s="64">
        <f t="shared" si="11"/>
        <v>0</v>
      </c>
      <c r="CJ67" s="64">
        <f t="shared" si="12"/>
        <v>0</v>
      </c>
      <c r="CK67" s="64">
        <f t="shared" si="13"/>
        <v>0</v>
      </c>
      <c r="CL67" s="64">
        <f t="shared" si="14"/>
        <v>0</v>
      </c>
      <c r="CM67" s="64">
        <f t="shared" si="15"/>
        <v>0</v>
      </c>
      <c r="CN67" s="64">
        <f t="shared" si="16"/>
        <v>0</v>
      </c>
      <c r="CO67" s="64">
        <f t="shared" si="17"/>
        <v>0</v>
      </c>
      <c r="CP67" s="64">
        <f t="shared" si="18"/>
        <v>0</v>
      </c>
      <c r="CQ67" s="64">
        <f t="shared" si="19"/>
        <v>0</v>
      </c>
      <c r="CR67" s="64">
        <f t="shared" si="20"/>
        <v>0</v>
      </c>
      <c r="CS67" s="64">
        <f t="shared" si="21"/>
        <v>0</v>
      </c>
      <c r="CT67" s="64">
        <f t="shared" si="22"/>
        <v>0</v>
      </c>
      <c r="CU67" s="64">
        <f t="shared" si="23"/>
        <v>0</v>
      </c>
      <c r="CV67" s="69">
        <f t="shared" si="24"/>
        <v>29.41443868011195</v>
      </c>
      <c r="CW67" s="69">
        <f t="shared" si="25"/>
        <v>914.22698907358301</v>
      </c>
      <c r="CX67" s="69">
        <f t="shared" si="45"/>
        <v>3227.3698773075384</v>
      </c>
      <c r="CY67" s="69">
        <f t="shared" si="26"/>
        <v>27059.769841269841</v>
      </c>
      <c r="CZ67" s="64">
        <f t="shared" si="46"/>
        <v>2259.1589141152767</v>
      </c>
      <c r="DA67" s="64">
        <f t="shared" si="27"/>
        <v>18941.838888888891</v>
      </c>
      <c r="DB67">
        <f t="shared" si="28"/>
        <v>0</v>
      </c>
      <c r="DC67">
        <f t="shared" si="29"/>
        <v>0</v>
      </c>
      <c r="DD67">
        <f t="shared" si="30"/>
        <v>0</v>
      </c>
      <c r="DE67">
        <f t="shared" si="31"/>
        <v>0</v>
      </c>
      <c r="DF67">
        <f t="shared" si="32"/>
        <v>0</v>
      </c>
      <c r="DG67">
        <f t="shared" si="33"/>
        <v>0</v>
      </c>
      <c r="DH67">
        <f t="shared" si="34"/>
        <v>0</v>
      </c>
      <c r="DI67">
        <f t="shared" si="35"/>
        <v>0</v>
      </c>
      <c r="DJ67">
        <f t="shared" si="36"/>
        <v>0</v>
      </c>
      <c r="DK67">
        <f t="shared" si="37"/>
        <v>0</v>
      </c>
      <c r="DL67">
        <f t="shared" si="38"/>
        <v>0</v>
      </c>
      <c r="DM67">
        <f t="shared" si="39"/>
        <v>0</v>
      </c>
      <c r="DN67">
        <f t="shared" si="40"/>
        <v>0</v>
      </c>
      <c r="DO67">
        <f t="shared" si="41"/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</row>
    <row r="68" spans="1:124" s="2" customFormat="1">
      <c r="A68" s="3">
        <v>41821</v>
      </c>
      <c r="B68">
        <f t="shared" si="48"/>
        <v>2014</v>
      </c>
      <c r="C68" s="2">
        <v>26224874</v>
      </c>
      <c r="D68" s="2">
        <f>VLOOKUP(B68,'Historic CDM'!$B$135:$H$146,2,FALSE)/12</f>
        <v>232660.83668167001</v>
      </c>
      <c r="E68" s="2">
        <f t="shared" si="7"/>
        <v>26457534.836681671</v>
      </c>
      <c r="F68" s="5">
        <v>26628</v>
      </c>
      <c r="G68" s="219">
        <v>5971889</v>
      </c>
      <c r="H68" s="2">
        <f>VLOOKUP(B68,'Historic CDM'!$B$135:$H$147,3,FALSE)/12</f>
        <v>218299.07952460984</v>
      </c>
      <c r="I68" s="2">
        <f t="shared" si="8"/>
        <v>6190188.0795246102</v>
      </c>
      <c r="J68" s="220">
        <v>1904</v>
      </c>
      <c r="K68" s="219">
        <v>14525738</v>
      </c>
      <c r="L68" s="2">
        <f>VLOOKUP(B68,'Historic CDM'!$B$135:$H$146,4,FALSE)/12</f>
        <v>239755.99604353451</v>
      </c>
      <c r="M68" s="2">
        <f t="shared" si="50"/>
        <v>14765493.996043535</v>
      </c>
      <c r="N68" s="222">
        <v>37476</v>
      </c>
      <c r="O68" s="5">
        <v>215</v>
      </c>
      <c r="P68" s="220">
        <v>392570</v>
      </c>
      <c r="Q68" s="2">
        <v>1586</v>
      </c>
      <c r="R68" s="5">
        <v>2713</v>
      </c>
      <c r="S68" s="220">
        <v>28556</v>
      </c>
      <c r="T68" s="2">
        <v>73</v>
      </c>
      <c r="U68" s="5">
        <v>172</v>
      </c>
      <c r="V68" s="221">
        <v>129492</v>
      </c>
      <c r="W68" s="1">
        <v>139</v>
      </c>
      <c r="X68" s="2">
        <v>3573547</v>
      </c>
      <c r="Y68" s="2">
        <v>9037</v>
      </c>
      <c r="Z68" s="5">
        <v>6</v>
      </c>
      <c r="AA68" s="100">
        <f>'Weather Data'!D164</f>
        <v>24.3</v>
      </c>
      <c r="AB68" s="100">
        <f>'Weather Data'!E164</f>
        <v>42.400000000000006</v>
      </c>
      <c r="AC68" s="100">
        <f>'Weather Data'!F164</f>
        <v>4.4000000000000021</v>
      </c>
      <c r="AD68" s="100">
        <f>'Weather Data'!G164</f>
        <v>84.5</v>
      </c>
      <c r="AE68" s="100">
        <f>'Weather Data'!H164</f>
        <v>0</v>
      </c>
      <c r="AF68" s="100">
        <f>'Weather Data'!I164</f>
        <v>142.1</v>
      </c>
      <c r="AG68" s="100">
        <f>'Weather Data'!J164</f>
        <v>0</v>
      </c>
      <c r="AH68" s="100">
        <f>'Weather Data'!K164</f>
        <v>204.1</v>
      </c>
      <c r="AI68" s="100">
        <f>'Weather Data'!L164</f>
        <v>0</v>
      </c>
      <c r="AJ68" s="100">
        <f>'Weather Data'!M164</f>
        <v>266.09999999999997</v>
      </c>
      <c r="AK68" s="100">
        <f>'Weather Data'!N164</f>
        <v>0</v>
      </c>
      <c r="AL68" s="100">
        <f>'Weather Data'!O164</f>
        <v>328.09999999999997</v>
      </c>
      <c r="AM68" s="100">
        <f>'Weather Data'!P164</f>
        <v>0</v>
      </c>
      <c r="AN68" s="100">
        <f>'Weather Data'!Q164</f>
        <v>390.09999999999997</v>
      </c>
      <c r="AO68" s="100">
        <f>'Weather Data'!R164</f>
        <v>20.583870967741937</v>
      </c>
      <c r="AP68" s="5">
        <f>'Economic Data'!D34</f>
        <v>6836.5</v>
      </c>
      <c r="AQ68" s="5">
        <f>'Economic Data'!E34</f>
        <v>6932</v>
      </c>
      <c r="AR68" s="5">
        <f>'Economic Data'!F34</f>
        <v>152.4</v>
      </c>
      <c r="AS68" s="5">
        <f>'Economic Data'!G34</f>
        <v>153.80000000000001</v>
      </c>
      <c r="AT68" s="5">
        <f>'Economic Data'!H34</f>
        <v>708787.6</v>
      </c>
      <c r="AU68" s="5">
        <f>'Economic Data'!I34</f>
        <v>6474.7</v>
      </c>
      <c r="AV68" s="5">
        <f>'Economic Data'!J34</f>
        <v>5461.8</v>
      </c>
      <c r="AW68" s="5">
        <f>'Economic Data'!K34</f>
        <v>4020.9</v>
      </c>
      <c r="AX68" s="5">
        <f>'Economic Data'!L34</f>
        <v>912.8</v>
      </c>
      <c r="AY68" s="5">
        <f>'Economic Data'!M34</f>
        <v>444.1</v>
      </c>
      <c r="AZ68" s="5">
        <f>'Economic Data'!N34</f>
        <v>8082.4</v>
      </c>
      <c r="BA68" s="5">
        <f>'Economic Data'!O34</f>
        <v>10.8</v>
      </c>
      <c r="BB68" s="5">
        <f>'Economic Data'!P34</f>
        <v>292</v>
      </c>
      <c r="BC68" s="5">
        <f>'Economic Data'!Q34</f>
        <v>713152</v>
      </c>
      <c r="BD68" s="5">
        <f>'Economic Data'!R34</f>
        <v>6336</v>
      </c>
      <c r="BE68" s="5">
        <f>'Economic Data'!S34</f>
        <v>3749</v>
      </c>
      <c r="BF68" s="5">
        <f>'Economic Data'!T34</f>
        <v>12636</v>
      </c>
      <c r="BG68" s="5">
        <v>0</v>
      </c>
      <c r="BH68" s="5">
        <v>0</v>
      </c>
      <c r="BI68" s="5">
        <v>0</v>
      </c>
      <c r="BJ68" s="5">
        <f t="shared" si="42"/>
        <v>19</v>
      </c>
      <c r="BK68" s="70">
        <f t="shared" si="43"/>
        <v>1.2787536009528289</v>
      </c>
      <c r="BL68" s="5">
        <f t="shared" si="44"/>
        <v>361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f t="shared" si="51"/>
        <v>0</v>
      </c>
      <c r="BZ68">
        <f t="shared" si="51"/>
        <v>0</v>
      </c>
      <c r="CA68">
        <f t="shared" si="9"/>
        <v>0</v>
      </c>
      <c r="CB68">
        <v>31</v>
      </c>
      <c r="CC68">
        <v>22</v>
      </c>
      <c r="CD68">
        <v>0</v>
      </c>
      <c r="CE68">
        <v>0</v>
      </c>
      <c r="CF68">
        <f t="shared" si="47"/>
        <v>0</v>
      </c>
      <c r="CG68">
        <v>0</v>
      </c>
      <c r="CH68" s="64">
        <f t="shared" si="10"/>
        <v>0</v>
      </c>
      <c r="CI68" s="64">
        <f t="shared" si="11"/>
        <v>0</v>
      </c>
      <c r="CJ68" s="64">
        <f t="shared" si="12"/>
        <v>0</v>
      </c>
      <c r="CK68" s="64">
        <f t="shared" si="13"/>
        <v>0</v>
      </c>
      <c r="CL68" s="64">
        <f t="shared" si="14"/>
        <v>0</v>
      </c>
      <c r="CM68" s="64">
        <f t="shared" si="15"/>
        <v>0</v>
      </c>
      <c r="CN68" s="64">
        <f t="shared" si="16"/>
        <v>0</v>
      </c>
      <c r="CO68" s="64">
        <f t="shared" si="17"/>
        <v>0</v>
      </c>
      <c r="CP68" s="64">
        <f t="shared" si="18"/>
        <v>0</v>
      </c>
      <c r="CQ68" s="64">
        <f t="shared" si="19"/>
        <v>0</v>
      </c>
      <c r="CR68" s="64">
        <f t="shared" si="20"/>
        <v>0</v>
      </c>
      <c r="CS68" s="64">
        <f t="shared" si="21"/>
        <v>0</v>
      </c>
      <c r="CT68" s="64">
        <f t="shared" si="22"/>
        <v>0</v>
      </c>
      <c r="CU68" s="64">
        <f t="shared" si="23"/>
        <v>0</v>
      </c>
      <c r="CV68" s="69">
        <f t="shared" si="24"/>
        <v>32.051557221699291</v>
      </c>
      <c r="CW68" s="69">
        <f t="shared" si="25"/>
        <v>928.76040202919876</v>
      </c>
      <c r="CX68" s="69">
        <f t="shared" si="45"/>
        <v>3121.6689209394367</v>
      </c>
      <c r="CY68" s="69">
        <f t="shared" si="26"/>
        <v>27072.32575757576</v>
      </c>
      <c r="CZ68" s="64">
        <f t="shared" si="46"/>
        <v>2215.3779438925035</v>
      </c>
      <c r="DA68" s="64">
        <f t="shared" si="27"/>
        <v>19212.618279569891</v>
      </c>
      <c r="DB68">
        <f t="shared" si="28"/>
        <v>0</v>
      </c>
      <c r="DC68">
        <f t="shared" si="29"/>
        <v>0</v>
      </c>
      <c r="DD68">
        <f t="shared" si="30"/>
        <v>0</v>
      </c>
      <c r="DE68">
        <f t="shared" si="31"/>
        <v>0</v>
      </c>
      <c r="DF68">
        <f t="shared" si="32"/>
        <v>0</v>
      </c>
      <c r="DG68">
        <f t="shared" si="33"/>
        <v>0</v>
      </c>
      <c r="DH68">
        <f t="shared" si="34"/>
        <v>0</v>
      </c>
      <c r="DI68">
        <f t="shared" si="35"/>
        <v>0</v>
      </c>
      <c r="DJ68">
        <f t="shared" si="36"/>
        <v>0</v>
      </c>
      <c r="DK68">
        <f t="shared" si="37"/>
        <v>0</v>
      </c>
      <c r="DL68">
        <f t="shared" si="38"/>
        <v>0</v>
      </c>
      <c r="DM68">
        <f t="shared" si="39"/>
        <v>0</v>
      </c>
      <c r="DN68">
        <f t="shared" si="40"/>
        <v>0</v>
      </c>
      <c r="DO68">
        <f t="shared" si="41"/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</row>
    <row r="69" spans="1:124" s="2" customFormat="1">
      <c r="A69" s="3">
        <v>41852</v>
      </c>
      <c r="B69">
        <f t="shared" si="48"/>
        <v>2014</v>
      </c>
      <c r="C69" s="2">
        <v>25672216</v>
      </c>
      <c r="D69" s="2">
        <f>VLOOKUP(B69,'Historic CDM'!$B$135:$H$146,2,FALSE)/12</f>
        <v>232660.83668167001</v>
      </c>
      <c r="E69" s="2">
        <f t="shared" si="7"/>
        <v>25904876.836681671</v>
      </c>
      <c r="F69" s="5">
        <v>26757</v>
      </c>
      <c r="G69" s="219">
        <v>5994060</v>
      </c>
      <c r="H69" s="2">
        <f>VLOOKUP(B69,'Historic CDM'!$B$135:$H$147,3,FALSE)/12</f>
        <v>218299.07952460984</v>
      </c>
      <c r="I69" s="2">
        <f t="shared" si="8"/>
        <v>6212359.0795246102</v>
      </c>
      <c r="J69" s="220">
        <v>1915</v>
      </c>
      <c r="K69" s="219">
        <v>15535531</v>
      </c>
      <c r="L69" s="2">
        <f>VLOOKUP(B69,'Historic CDM'!$B$135:$H$146,4,FALSE)/12</f>
        <v>239755.99604353451</v>
      </c>
      <c r="M69" s="2">
        <f t="shared" si="50"/>
        <v>15775286.996043535</v>
      </c>
      <c r="N69" s="222">
        <v>40485</v>
      </c>
      <c r="O69" s="5">
        <v>214</v>
      </c>
      <c r="P69" s="220">
        <v>439341</v>
      </c>
      <c r="Q69" s="2">
        <v>1586</v>
      </c>
      <c r="R69" s="5">
        <v>2713</v>
      </c>
      <c r="S69" s="220">
        <v>28896</v>
      </c>
      <c r="T69" s="2">
        <v>73</v>
      </c>
      <c r="U69" s="5">
        <v>172</v>
      </c>
      <c r="V69" s="221">
        <v>129492</v>
      </c>
      <c r="W69" s="1">
        <v>139</v>
      </c>
      <c r="X69" s="2">
        <v>2693259</v>
      </c>
      <c r="Y69" s="2">
        <v>8235</v>
      </c>
      <c r="Z69" s="5">
        <v>6</v>
      </c>
      <c r="AA69" s="100">
        <f>'Weather Data'!D165</f>
        <v>13.500000000000004</v>
      </c>
      <c r="AB69" s="100">
        <f>'Weather Data'!E165</f>
        <v>43.500000000000007</v>
      </c>
      <c r="AC69" s="100">
        <f>'Weather Data'!F165</f>
        <v>3.8000000000000007</v>
      </c>
      <c r="AD69" s="100">
        <f>'Weather Data'!G165</f>
        <v>95.799999999999983</v>
      </c>
      <c r="AE69" s="100">
        <f>'Weather Data'!H165</f>
        <v>0</v>
      </c>
      <c r="AF69" s="100">
        <f>'Weather Data'!I165</f>
        <v>154</v>
      </c>
      <c r="AG69" s="100">
        <f>'Weather Data'!J165</f>
        <v>0</v>
      </c>
      <c r="AH69" s="100">
        <f>'Weather Data'!K165</f>
        <v>216.00000000000003</v>
      </c>
      <c r="AI69" s="100">
        <f>'Weather Data'!L165</f>
        <v>0</v>
      </c>
      <c r="AJ69" s="100">
        <f>'Weather Data'!M165</f>
        <v>278.00000000000006</v>
      </c>
      <c r="AK69" s="100">
        <f>'Weather Data'!N165</f>
        <v>0</v>
      </c>
      <c r="AL69" s="100">
        <f>'Weather Data'!O165</f>
        <v>340</v>
      </c>
      <c r="AM69" s="100">
        <f>'Weather Data'!P165</f>
        <v>0</v>
      </c>
      <c r="AN69" s="100">
        <f>'Weather Data'!Q165</f>
        <v>401.99999999999994</v>
      </c>
      <c r="AO69" s="100">
        <f>'Weather Data'!R165</f>
        <v>20.967741935483868</v>
      </c>
      <c r="AP69" s="5">
        <f>'Economic Data'!D35</f>
        <v>6842.5</v>
      </c>
      <c r="AQ69" s="5">
        <f>'Economic Data'!E35</f>
        <v>6947.8</v>
      </c>
      <c r="AR69" s="5">
        <f>'Economic Data'!F35</f>
        <v>153.9</v>
      </c>
      <c r="AS69" s="5">
        <f>'Economic Data'!G35</f>
        <v>155.4</v>
      </c>
      <c r="AT69" s="5">
        <f>'Economic Data'!H35</f>
        <v>708787.6</v>
      </c>
      <c r="AU69" s="5">
        <f>'Economic Data'!I35</f>
        <v>6474.7</v>
      </c>
      <c r="AV69" s="5">
        <f>'Economic Data'!J35</f>
        <v>5461.8</v>
      </c>
      <c r="AW69" s="5">
        <f>'Economic Data'!K35</f>
        <v>4020.9</v>
      </c>
      <c r="AX69" s="5">
        <f>'Economic Data'!L35</f>
        <v>912.8</v>
      </c>
      <c r="AY69" s="5">
        <f>'Economic Data'!M35</f>
        <v>444.1</v>
      </c>
      <c r="AZ69" s="5">
        <f>'Economic Data'!N35</f>
        <v>8082.4</v>
      </c>
      <c r="BA69" s="5">
        <f>'Economic Data'!O35</f>
        <v>10.8</v>
      </c>
      <c r="BB69" s="5">
        <f>'Economic Data'!P35</f>
        <v>292</v>
      </c>
      <c r="BC69" s="5">
        <f>'Economic Data'!Q35</f>
        <v>713152</v>
      </c>
      <c r="BD69" s="5">
        <f>'Economic Data'!R35</f>
        <v>6336</v>
      </c>
      <c r="BE69" s="5">
        <f>'Economic Data'!S35</f>
        <v>3749</v>
      </c>
      <c r="BF69" s="5">
        <f>'Economic Data'!T35</f>
        <v>12636</v>
      </c>
      <c r="BG69" s="5">
        <v>0</v>
      </c>
      <c r="BH69" s="5">
        <v>0</v>
      </c>
      <c r="BI69" s="5">
        <v>0</v>
      </c>
      <c r="BJ69" s="5">
        <f t="shared" si="42"/>
        <v>20</v>
      </c>
      <c r="BK69" s="70">
        <f t="shared" si="43"/>
        <v>1.3010299956639813</v>
      </c>
      <c r="BL69" s="5">
        <f t="shared" si="44"/>
        <v>400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0</v>
      </c>
      <c r="BY69">
        <f t="shared" si="51"/>
        <v>0</v>
      </c>
      <c r="BZ69">
        <f t="shared" si="51"/>
        <v>0</v>
      </c>
      <c r="CA69">
        <f t="shared" si="9"/>
        <v>0</v>
      </c>
      <c r="CB69">
        <v>31</v>
      </c>
      <c r="CC69">
        <v>20</v>
      </c>
      <c r="CD69">
        <v>0</v>
      </c>
      <c r="CE69">
        <v>0</v>
      </c>
      <c r="CF69">
        <f t="shared" si="47"/>
        <v>0</v>
      </c>
      <c r="CG69">
        <v>0</v>
      </c>
      <c r="CH69" s="64">
        <f t="shared" si="10"/>
        <v>0</v>
      </c>
      <c r="CI69" s="64">
        <f t="shared" si="11"/>
        <v>0</v>
      </c>
      <c r="CJ69" s="64">
        <f t="shared" si="12"/>
        <v>0</v>
      </c>
      <c r="CK69" s="64">
        <f t="shared" si="13"/>
        <v>0</v>
      </c>
      <c r="CL69" s="64">
        <f t="shared" si="14"/>
        <v>0</v>
      </c>
      <c r="CM69" s="64">
        <f t="shared" si="15"/>
        <v>0</v>
      </c>
      <c r="CN69" s="64">
        <f t="shared" si="16"/>
        <v>0</v>
      </c>
      <c r="CO69" s="64">
        <f t="shared" si="17"/>
        <v>0</v>
      </c>
      <c r="CP69" s="64">
        <f t="shared" si="18"/>
        <v>0</v>
      </c>
      <c r="CQ69" s="64">
        <f t="shared" si="19"/>
        <v>0</v>
      </c>
      <c r="CR69" s="64">
        <f t="shared" si="20"/>
        <v>0</v>
      </c>
      <c r="CS69" s="64">
        <f t="shared" si="21"/>
        <v>0</v>
      </c>
      <c r="CT69" s="64">
        <f t="shared" si="22"/>
        <v>0</v>
      </c>
      <c r="CU69" s="64">
        <f t="shared" si="23"/>
        <v>0</v>
      </c>
      <c r="CV69" s="69">
        <f t="shared" si="24"/>
        <v>31.230750393543893</v>
      </c>
      <c r="CW69" s="69">
        <f t="shared" si="25"/>
        <v>936.44242983488243</v>
      </c>
      <c r="CX69" s="69">
        <f t="shared" si="45"/>
        <v>3685.8147187017603</v>
      </c>
      <c r="CY69" s="69">
        <f t="shared" si="26"/>
        <v>22443.825000000001</v>
      </c>
      <c r="CZ69" s="64">
        <f t="shared" si="46"/>
        <v>2377.9449798075875</v>
      </c>
      <c r="DA69" s="64">
        <f t="shared" si="27"/>
        <v>14479.887096774195</v>
      </c>
      <c r="DB69">
        <f t="shared" si="28"/>
        <v>0</v>
      </c>
      <c r="DC69">
        <f t="shared" si="29"/>
        <v>0</v>
      </c>
      <c r="DD69">
        <f t="shared" si="30"/>
        <v>0</v>
      </c>
      <c r="DE69">
        <f t="shared" si="31"/>
        <v>0</v>
      </c>
      <c r="DF69">
        <f t="shared" si="32"/>
        <v>0</v>
      </c>
      <c r="DG69">
        <f t="shared" si="33"/>
        <v>0</v>
      </c>
      <c r="DH69">
        <f t="shared" si="34"/>
        <v>0</v>
      </c>
      <c r="DI69">
        <f t="shared" si="35"/>
        <v>0</v>
      </c>
      <c r="DJ69">
        <f t="shared" si="36"/>
        <v>0</v>
      </c>
      <c r="DK69">
        <f t="shared" si="37"/>
        <v>0</v>
      </c>
      <c r="DL69">
        <f t="shared" si="38"/>
        <v>0</v>
      </c>
      <c r="DM69">
        <f t="shared" si="39"/>
        <v>0</v>
      </c>
      <c r="DN69">
        <f t="shared" si="40"/>
        <v>0</v>
      </c>
      <c r="DO69">
        <f t="shared" si="41"/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</row>
    <row r="70" spans="1:124" s="2" customFormat="1">
      <c r="A70" s="3">
        <v>41883</v>
      </c>
      <c r="B70">
        <f t="shared" si="48"/>
        <v>2014</v>
      </c>
      <c r="C70" s="2">
        <v>20441257</v>
      </c>
      <c r="D70" s="2">
        <f>VLOOKUP(B70,'Historic CDM'!$B$135:$H$146,2,FALSE)/12</f>
        <v>232660.83668167001</v>
      </c>
      <c r="E70" s="2">
        <f t="shared" si="7"/>
        <v>20673917.836681671</v>
      </c>
      <c r="F70" s="5">
        <v>26650</v>
      </c>
      <c r="G70" s="219">
        <v>5238969</v>
      </c>
      <c r="H70" s="2">
        <f>VLOOKUP(B70,'Historic CDM'!$B$135:$H$147,3,FALSE)/12</f>
        <v>218299.07952460984</v>
      </c>
      <c r="I70" s="2">
        <f t="shared" si="8"/>
        <v>5457268.0795246102</v>
      </c>
      <c r="J70" s="220">
        <v>1913</v>
      </c>
      <c r="K70" s="219">
        <v>15185804</v>
      </c>
      <c r="L70" s="2">
        <f>VLOOKUP(B70,'Historic CDM'!$B$135:$H$146,4,FALSE)/12</f>
        <v>239755.99604353451</v>
      </c>
      <c r="M70" s="2">
        <f t="shared" si="50"/>
        <v>15425559.996043535</v>
      </c>
      <c r="N70" s="222">
        <v>40806</v>
      </c>
      <c r="O70" s="5">
        <v>215</v>
      </c>
      <c r="P70" s="220">
        <v>494493</v>
      </c>
      <c r="Q70" s="2">
        <v>1586</v>
      </c>
      <c r="R70" s="5">
        <v>2711</v>
      </c>
      <c r="S70" s="220">
        <v>28937</v>
      </c>
      <c r="T70" s="2">
        <v>73</v>
      </c>
      <c r="U70" s="5">
        <v>172</v>
      </c>
      <c r="V70" s="221">
        <v>129492</v>
      </c>
      <c r="W70" s="1">
        <v>139</v>
      </c>
      <c r="X70" s="2">
        <v>3111799</v>
      </c>
      <c r="Y70" s="2">
        <v>8751</v>
      </c>
      <c r="Z70" s="5">
        <v>6</v>
      </c>
      <c r="AA70" s="100">
        <f>'Weather Data'!D166</f>
        <v>122.29999999999998</v>
      </c>
      <c r="AB70" s="100">
        <f>'Weather Data'!E166</f>
        <v>15.299999999999997</v>
      </c>
      <c r="AC70" s="100">
        <f>'Weather Data'!F166</f>
        <v>76.799999999999983</v>
      </c>
      <c r="AD70" s="100">
        <f>'Weather Data'!G166</f>
        <v>29.799999999999997</v>
      </c>
      <c r="AE70" s="100">
        <f>'Weather Data'!H166</f>
        <v>41.7</v>
      </c>
      <c r="AF70" s="100">
        <f>'Weather Data'!I166</f>
        <v>54.7</v>
      </c>
      <c r="AG70" s="100">
        <f>'Weather Data'!J166</f>
        <v>19.5</v>
      </c>
      <c r="AH70" s="100">
        <f>'Weather Data'!K166</f>
        <v>92.5</v>
      </c>
      <c r="AI70" s="100">
        <f>'Weather Data'!L166</f>
        <v>5.6000000000000014</v>
      </c>
      <c r="AJ70" s="100">
        <f>'Weather Data'!M166</f>
        <v>138.6</v>
      </c>
      <c r="AK70" s="100">
        <f>'Weather Data'!N166</f>
        <v>0.30000000000000071</v>
      </c>
      <c r="AL70" s="100">
        <f>'Weather Data'!O166</f>
        <v>193.3</v>
      </c>
      <c r="AM70" s="100">
        <f>'Weather Data'!P166</f>
        <v>0</v>
      </c>
      <c r="AN70" s="100">
        <f>'Weather Data'!Q166</f>
        <v>252.99999999999994</v>
      </c>
      <c r="AO70" s="100">
        <f>'Weather Data'!R166</f>
        <v>16.433333333333334</v>
      </c>
      <c r="AP70" s="5">
        <f>'Economic Data'!D36</f>
        <v>6853.6</v>
      </c>
      <c r="AQ70" s="5">
        <f>'Economic Data'!E36</f>
        <v>6917.2</v>
      </c>
      <c r="AR70" s="5">
        <f>'Economic Data'!F36</f>
        <v>157</v>
      </c>
      <c r="AS70" s="5">
        <f>'Economic Data'!G36</f>
        <v>157.69999999999999</v>
      </c>
      <c r="AT70" s="5">
        <f>'Economic Data'!H36</f>
        <v>708787.6</v>
      </c>
      <c r="AU70" s="5">
        <f>'Economic Data'!I36</f>
        <v>6474.7</v>
      </c>
      <c r="AV70" s="5">
        <f>'Economic Data'!J36</f>
        <v>5461.8</v>
      </c>
      <c r="AW70" s="5">
        <f>'Economic Data'!K36</f>
        <v>4020.9</v>
      </c>
      <c r="AX70" s="5">
        <f>'Economic Data'!L36</f>
        <v>912.8</v>
      </c>
      <c r="AY70" s="5">
        <f>'Economic Data'!M36</f>
        <v>444.1</v>
      </c>
      <c r="AZ70" s="5">
        <f>'Economic Data'!N36</f>
        <v>8082.4</v>
      </c>
      <c r="BA70" s="5">
        <f>'Economic Data'!O36</f>
        <v>10.8</v>
      </c>
      <c r="BB70" s="5">
        <f>'Economic Data'!P36</f>
        <v>292</v>
      </c>
      <c r="BC70" s="5">
        <f>'Economic Data'!Q36</f>
        <v>713152</v>
      </c>
      <c r="BD70" s="5">
        <f>'Economic Data'!R36</f>
        <v>6336</v>
      </c>
      <c r="BE70" s="5">
        <f>'Economic Data'!S36</f>
        <v>3749</v>
      </c>
      <c r="BF70" s="5">
        <f>'Economic Data'!T36</f>
        <v>12636</v>
      </c>
      <c r="BG70" s="5">
        <v>0</v>
      </c>
      <c r="BH70" s="5">
        <v>0</v>
      </c>
      <c r="BI70" s="5">
        <v>0</v>
      </c>
      <c r="BJ70" s="5">
        <f t="shared" si="42"/>
        <v>21</v>
      </c>
      <c r="BK70" s="70">
        <f t="shared" si="43"/>
        <v>1.3222192947339193</v>
      </c>
      <c r="BL70" s="5">
        <f t="shared" si="44"/>
        <v>441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</v>
      </c>
      <c r="BV70">
        <v>0</v>
      </c>
      <c r="BW70">
        <v>0</v>
      </c>
      <c r="BX70">
        <v>0</v>
      </c>
      <c r="BY70">
        <f t="shared" si="51"/>
        <v>0</v>
      </c>
      <c r="BZ70">
        <f t="shared" si="51"/>
        <v>0</v>
      </c>
      <c r="CA70">
        <f t="shared" si="9"/>
        <v>0</v>
      </c>
      <c r="CB70">
        <v>30</v>
      </c>
      <c r="CC70">
        <v>21</v>
      </c>
      <c r="CD70">
        <v>0</v>
      </c>
      <c r="CE70">
        <v>0</v>
      </c>
      <c r="CF70">
        <f t="shared" si="47"/>
        <v>0</v>
      </c>
      <c r="CG70">
        <v>0</v>
      </c>
      <c r="CH70" s="64">
        <f t="shared" si="10"/>
        <v>0</v>
      </c>
      <c r="CI70" s="64">
        <f t="shared" si="11"/>
        <v>0</v>
      </c>
      <c r="CJ70" s="64">
        <f t="shared" si="12"/>
        <v>0</v>
      </c>
      <c r="CK70" s="64">
        <f t="shared" si="13"/>
        <v>0</v>
      </c>
      <c r="CL70" s="64">
        <f t="shared" si="14"/>
        <v>0</v>
      </c>
      <c r="CM70" s="64">
        <f t="shared" si="15"/>
        <v>0</v>
      </c>
      <c r="CN70" s="64">
        <f t="shared" si="16"/>
        <v>0</v>
      </c>
      <c r="CO70" s="64">
        <f t="shared" si="17"/>
        <v>0</v>
      </c>
      <c r="CP70" s="64">
        <f t="shared" si="18"/>
        <v>0</v>
      </c>
      <c r="CQ70" s="64">
        <f t="shared" si="19"/>
        <v>0</v>
      </c>
      <c r="CR70" s="64">
        <f t="shared" si="20"/>
        <v>0</v>
      </c>
      <c r="CS70" s="64">
        <f t="shared" si="21"/>
        <v>0</v>
      </c>
      <c r="CT70" s="64">
        <f t="shared" si="22"/>
        <v>0</v>
      </c>
      <c r="CU70" s="64">
        <f t="shared" si="23"/>
        <v>0</v>
      </c>
      <c r="CV70" s="69">
        <f t="shared" si="24"/>
        <v>25.858558895161565</v>
      </c>
      <c r="CW70" s="69">
        <f t="shared" si="25"/>
        <v>846.08807434490086</v>
      </c>
      <c r="CX70" s="69">
        <f t="shared" si="45"/>
        <v>3416.5138418701076</v>
      </c>
      <c r="CY70" s="69">
        <f t="shared" si="26"/>
        <v>24696.817460317459</v>
      </c>
      <c r="CZ70" s="64">
        <f t="shared" si="46"/>
        <v>2391.5596893090751</v>
      </c>
      <c r="DA70" s="64">
        <f t="shared" si="27"/>
        <v>17287.772222222222</v>
      </c>
      <c r="DB70">
        <f t="shared" si="28"/>
        <v>0</v>
      </c>
      <c r="DC70">
        <f t="shared" si="29"/>
        <v>0</v>
      </c>
      <c r="DD70">
        <f t="shared" si="30"/>
        <v>0</v>
      </c>
      <c r="DE70">
        <f t="shared" si="31"/>
        <v>0</v>
      </c>
      <c r="DF70">
        <f t="shared" si="32"/>
        <v>0</v>
      </c>
      <c r="DG70">
        <f t="shared" si="33"/>
        <v>0</v>
      </c>
      <c r="DH70">
        <f t="shared" si="34"/>
        <v>0</v>
      </c>
      <c r="DI70">
        <f t="shared" si="35"/>
        <v>0</v>
      </c>
      <c r="DJ70">
        <f t="shared" si="36"/>
        <v>0</v>
      </c>
      <c r="DK70">
        <f t="shared" si="37"/>
        <v>0</v>
      </c>
      <c r="DL70">
        <f t="shared" si="38"/>
        <v>0</v>
      </c>
      <c r="DM70">
        <f t="shared" si="39"/>
        <v>0</v>
      </c>
      <c r="DN70">
        <f t="shared" si="40"/>
        <v>0</v>
      </c>
      <c r="DO70">
        <f t="shared" si="41"/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</row>
    <row r="71" spans="1:124" s="2" customFormat="1">
      <c r="A71" s="3">
        <v>41913</v>
      </c>
      <c r="B71">
        <f t="shared" si="48"/>
        <v>2014</v>
      </c>
      <c r="C71" s="2">
        <v>16498969</v>
      </c>
      <c r="D71" s="2">
        <f>VLOOKUP(B71,'Historic CDM'!$B$135:$H$146,2,FALSE)/12</f>
        <v>232660.83668167001</v>
      </c>
      <c r="E71" s="2">
        <f t="shared" si="7"/>
        <v>16731629.83668167</v>
      </c>
      <c r="F71" s="5">
        <v>26699</v>
      </c>
      <c r="G71" s="219">
        <v>4899229</v>
      </c>
      <c r="H71" s="2">
        <f>VLOOKUP(B71,'Historic CDM'!$B$135:$H$147,3,FALSE)/12</f>
        <v>218299.07952460984</v>
      </c>
      <c r="I71" s="2">
        <f t="shared" si="8"/>
        <v>5117528.0795246102</v>
      </c>
      <c r="J71" s="220">
        <v>1931</v>
      </c>
      <c r="K71" s="219">
        <v>13783867</v>
      </c>
      <c r="L71" s="2">
        <f>VLOOKUP(B71,'Historic CDM'!$B$135:$H$146,4,FALSE)/12</f>
        <v>239755.99604353451</v>
      </c>
      <c r="M71" s="2">
        <f t="shared" si="50"/>
        <v>14023622.996043535</v>
      </c>
      <c r="N71" s="222">
        <v>9474</v>
      </c>
      <c r="O71" s="5">
        <v>215</v>
      </c>
      <c r="P71" s="220">
        <v>584979</v>
      </c>
      <c r="Q71" s="2" t="s">
        <v>128</v>
      </c>
      <c r="R71" s="5">
        <v>2714</v>
      </c>
      <c r="S71" s="220">
        <v>28805</v>
      </c>
      <c r="T71" s="2">
        <v>73</v>
      </c>
      <c r="U71" s="5">
        <v>172</v>
      </c>
      <c r="V71" s="221">
        <v>129492</v>
      </c>
      <c r="W71" s="1">
        <v>139</v>
      </c>
      <c r="X71" s="2">
        <v>2963385</v>
      </c>
      <c r="Y71" s="2" t="s">
        <v>129</v>
      </c>
      <c r="Z71" s="5">
        <v>6</v>
      </c>
      <c r="AA71" s="100">
        <f>'Weather Data'!D167</f>
        <v>281.2</v>
      </c>
      <c r="AB71" s="100">
        <f>'Weather Data'!E167</f>
        <v>0</v>
      </c>
      <c r="AC71" s="100">
        <f>'Weather Data'!F167</f>
        <v>219.2</v>
      </c>
      <c r="AD71" s="100">
        <f>'Weather Data'!G167</f>
        <v>0</v>
      </c>
      <c r="AE71" s="100">
        <f>'Weather Data'!H167</f>
        <v>159.9</v>
      </c>
      <c r="AF71" s="100">
        <f>'Weather Data'!I167</f>
        <v>2.6999999999999993</v>
      </c>
      <c r="AG71" s="100">
        <f>'Weather Data'!J167</f>
        <v>107.70000000000003</v>
      </c>
      <c r="AH71" s="100">
        <f>'Weather Data'!K167</f>
        <v>12.499999999999998</v>
      </c>
      <c r="AI71" s="100">
        <f>'Weather Data'!L167</f>
        <v>65.399999999999991</v>
      </c>
      <c r="AJ71" s="100">
        <f>'Weather Data'!M167</f>
        <v>32.199999999999996</v>
      </c>
      <c r="AK71" s="100">
        <f>'Weather Data'!N167</f>
        <v>29.6</v>
      </c>
      <c r="AL71" s="100">
        <f>'Weather Data'!O167</f>
        <v>58.400000000000006</v>
      </c>
      <c r="AM71" s="100">
        <f>'Weather Data'!P167</f>
        <v>7.5</v>
      </c>
      <c r="AN71" s="100">
        <f>'Weather Data'!Q167</f>
        <v>98.299999999999983</v>
      </c>
      <c r="AO71" s="100">
        <f>'Weather Data'!R167</f>
        <v>10.929032258064517</v>
      </c>
      <c r="AP71" s="5">
        <f>'Economic Data'!D37</f>
        <v>6856.6</v>
      </c>
      <c r="AQ71" s="5">
        <f>'Economic Data'!E37</f>
        <v>6898.9</v>
      </c>
      <c r="AR71" s="5">
        <f>'Economic Data'!F37</f>
        <v>158.5</v>
      </c>
      <c r="AS71" s="5">
        <f>'Economic Data'!G37</f>
        <v>159.80000000000001</v>
      </c>
      <c r="AT71" s="5">
        <f>'Economic Data'!H37</f>
        <v>708787.6</v>
      </c>
      <c r="AU71" s="5">
        <f>'Economic Data'!I37</f>
        <v>6474.7</v>
      </c>
      <c r="AV71" s="5">
        <f>'Economic Data'!J37</f>
        <v>5461.8</v>
      </c>
      <c r="AW71" s="5">
        <f>'Economic Data'!K37</f>
        <v>4020.9</v>
      </c>
      <c r="AX71" s="5">
        <f>'Economic Data'!L37</f>
        <v>912.8</v>
      </c>
      <c r="AY71" s="5">
        <f>'Economic Data'!M37</f>
        <v>444.1</v>
      </c>
      <c r="AZ71" s="5">
        <f>'Economic Data'!N37</f>
        <v>8082.4</v>
      </c>
      <c r="BA71" s="5">
        <f>'Economic Data'!O37</f>
        <v>10.8</v>
      </c>
      <c r="BB71" s="5">
        <f>'Economic Data'!P37</f>
        <v>292</v>
      </c>
      <c r="BC71" s="5">
        <f>'Economic Data'!Q37</f>
        <v>716976</v>
      </c>
      <c r="BD71" s="5">
        <f>'Economic Data'!R37</f>
        <v>6623</v>
      </c>
      <c r="BE71" s="5">
        <f>'Economic Data'!S37</f>
        <v>3934</v>
      </c>
      <c r="BF71" s="5">
        <f>'Economic Data'!T37</f>
        <v>12096</v>
      </c>
      <c r="BG71" s="5">
        <v>0</v>
      </c>
      <c r="BH71" s="5">
        <v>0</v>
      </c>
      <c r="BI71" s="5">
        <v>0</v>
      </c>
      <c r="BJ71" s="5">
        <f t="shared" si="42"/>
        <v>22</v>
      </c>
      <c r="BK71" s="70">
        <f t="shared" si="43"/>
        <v>1.3424226808222062</v>
      </c>
      <c r="BL71" s="5">
        <f t="shared" si="44"/>
        <v>484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0</v>
      </c>
      <c r="BY71">
        <f t="shared" si="51"/>
        <v>0</v>
      </c>
      <c r="BZ71">
        <f t="shared" si="51"/>
        <v>1</v>
      </c>
      <c r="CA71">
        <f t="shared" si="9"/>
        <v>1</v>
      </c>
      <c r="CB71">
        <v>31</v>
      </c>
      <c r="CC71">
        <v>22</v>
      </c>
      <c r="CD71">
        <v>0</v>
      </c>
      <c r="CE71">
        <v>0</v>
      </c>
      <c r="CF71">
        <f t="shared" si="47"/>
        <v>0</v>
      </c>
      <c r="CG71">
        <v>0</v>
      </c>
      <c r="CH71" s="64">
        <f t="shared" si="10"/>
        <v>0</v>
      </c>
      <c r="CI71" s="64">
        <f t="shared" si="11"/>
        <v>0</v>
      </c>
      <c r="CJ71" s="64">
        <f t="shared" si="12"/>
        <v>0</v>
      </c>
      <c r="CK71" s="64">
        <f t="shared" si="13"/>
        <v>0</v>
      </c>
      <c r="CL71" s="64">
        <f t="shared" si="14"/>
        <v>0</v>
      </c>
      <c r="CM71" s="64">
        <f t="shared" si="15"/>
        <v>0</v>
      </c>
      <c r="CN71" s="64">
        <f t="shared" si="16"/>
        <v>0</v>
      </c>
      <c r="CO71" s="64">
        <f t="shared" si="17"/>
        <v>0</v>
      </c>
      <c r="CP71" s="64">
        <f t="shared" si="18"/>
        <v>0</v>
      </c>
      <c r="CQ71" s="64">
        <f t="shared" si="19"/>
        <v>0</v>
      </c>
      <c r="CR71" s="64">
        <f t="shared" si="20"/>
        <v>0</v>
      </c>
      <c r="CS71" s="64">
        <f t="shared" si="21"/>
        <v>0</v>
      </c>
      <c r="CT71" s="64">
        <f t="shared" si="22"/>
        <v>0</v>
      </c>
      <c r="CU71" s="64">
        <f t="shared" si="23"/>
        <v>0</v>
      </c>
      <c r="CV71" s="69">
        <f t="shared" si="24"/>
        <v>20.2153636739828</v>
      </c>
      <c r="CW71" s="69">
        <f t="shared" si="25"/>
        <v>767.82116722049659</v>
      </c>
      <c r="CX71" s="69">
        <f t="shared" si="45"/>
        <v>2964.8251577259057</v>
      </c>
      <c r="CY71" s="69">
        <f t="shared" si="26"/>
        <v>22449.886363636364</v>
      </c>
      <c r="CZ71" s="64">
        <f t="shared" si="46"/>
        <v>2104.0694667732237</v>
      </c>
      <c r="DA71" s="64">
        <f t="shared" si="27"/>
        <v>15932.177419354839</v>
      </c>
      <c r="DB71">
        <f t="shared" si="28"/>
        <v>0</v>
      </c>
      <c r="DC71">
        <f t="shared" si="29"/>
        <v>0</v>
      </c>
      <c r="DD71">
        <f t="shared" si="30"/>
        <v>0</v>
      </c>
      <c r="DE71">
        <f t="shared" si="31"/>
        <v>0</v>
      </c>
      <c r="DF71">
        <f t="shared" si="32"/>
        <v>0</v>
      </c>
      <c r="DG71">
        <f t="shared" si="33"/>
        <v>0</v>
      </c>
      <c r="DH71">
        <f t="shared" si="34"/>
        <v>0</v>
      </c>
      <c r="DI71">
        <f t="shared" si="35"/>
        <v>0</v>
      </c>
      <c r="DJ71">
        <f t="shared" si="36"/>
        <v>0</v>
      </c>
      <c r="DK71">
        <f t="shared" si="37"/>
        <v>0</v>
      </c>
      <c r="DL71">
        <f t="shared" si="38"/>
        <v>0</v>
      </c>
      <c r="DM71">
        <f t="shared" si="39"/>
        <v>0</v>
      </c>
      <c r="DN71">
        <f t="shared" si="40"/>
        <v>0</v>
      </c>
      <c r="DO71">
        <f t="shared" si="41"/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</row>
    <row r="72" spans="1:124" s="2" customFormat="1">
      <c r="A72" s="3">
        <v>41944</v>
      </c>
      <c r="B72">
        <f t="shared" si="48"/>
        <v>2014</v>
      </c>
      <c r="C72" s="2">
        <v>18153521</v>
      </c>
      <c r="D72" s="2">
        <f>VLOOKUP(B72,'Historic CDM'!$B$135:$H$146,2,FALSE)/12</f>
        <v>232660.83668167001</v>
      </c>
      <c r="E72" s="2">
        <f t="shared" si="7"/>
        <v>18386181.836681671</v>
      </c>
      <c r="F72" s="5">
        <v>26657</v>
      </c>
      <c r="G72" s="219">
        <v>5126643</v>
      </c>
      <c r="H72" s="2">
        <f>VLOOKUP(B72,'Historic CDM'!$B$135:$H$147,3,FALSE)/12</f>
        <v>218299.07952460984</v>
      </c>
      <c r="I72" s="2">
        <f t="shared" si="8"/>
        <v>5344942.0795246102</v>
      </c>
      <c r="J72" s="220">
        <v>1916</v>
      </c>
      <c r="K72" s="219">
        <v>13875334</v>
      </c>
      <c r="L72" s="2">
        <f>VLOOKUP(B72,'Historic CDM'!$B$135:$H$146,4,FALSE)/12</f>
        <v>239755.99604353451</v>
      </c>
      <c r="M72" s="2">
        <f t="shared" si="50"/>
        <v>14115089.996043535</v>
      </c>
      <c r="N72" s="222">
        <v>33904</v>
      </c>
      <c r="O72" s="5">
        <v>204</v>
      </c>
      <c r="P72" s="220">
        <v>615178</v>
      </c>
      <c r="Q72" s="2">
        <v>1586</v>
      </c>
      <c r="R72" s="5">
        <v>2714</v>
      </c>
      <c r="S72" s="220">
        <v>28450</v>
      </c>
      <c r="T72" s="2">
        <v>73</v>
      </c>
      <c r="U72" s="5">
        <v>172</v>
      </c>
      <c r="V72" s="221">
        <v>129708</v>
      </c>
      <c r="W72" s="1">
        <v>141</v>
      </c>
      <c r="X72" s="2">
        <v>3181573</v>
      </c>
      <c r="Y72" s="2">
        <v>12248</v>
      </c>
      <c r="Z72" s="5">
        <v>6</v>
      </c>
      <c r="AA72" s="100">
        <f>'Weather Data'!D168</f>
        <v>539.30000000000007</v>
      </c>
      <c r="AB72" s="100">
        <f>'Weather Data'!E168</f>
        <v>0</v>
      </c>
      <c r="AC72" s="100">
        <f>'Weather Data'!F168</f>
        <v>479.30000000000013</v>
      </c>
      <c r="AD72" s="100">
        <f>'Weather Data'!G168</f>
        <v>0</v>
      </c>
      <c r="AE72" s="100">
        <f>'Weather Data'!H168</f>
        <v>419.30000000000007</v>
      </c>
      <c r="AF72" s="100">
        <f>'Weather Data'!I168</f>
        <v>0</v>
      </c>
      <c r="AG72" s="100">
        <f>'Weather Data'!J168</f>
        <v>359.30000000000007</v>
      </c>
      <c r="AH72" s="100">
        <f>'Weather Data'!K168</f>
        <v>0</v>
      </c>
      <c r="AI72" s="100">
        <f>'Weather Data'!L168</f>
        <v>299.3</v>
      </c>
      <c r="AJ72" s="100">
        <f>'Weather Data'!M168</f>
        <v>0</v>
      </c>
      <c r="AK72" s="100">
        <f>'Weather Data'!N168</f>
        <v>239.9</v>
      </c>
      <c r="AL72" s="100">
        <f>'Weather Data'!O168</f>
        <v>0.59999999999999964</v>
      </c>
      <c r="AM72" s="100">
        <f>'Weather Data'!P168</f>
        <v>189.4</v>
      </c>
      <c r="AN72" s="100">
        <f>'Weather Data'!Q168</f>
        <v>10.099999999999998</v>
      </c>
      <c r="AO72" s="100">
        <f>'Weather Data'!R168</f>
        <v>2.023333333333333</v>
      </c>
      <c r="AP72" s="5">
        <f>'Economic Data'!D38</f>
        <v>6858.1</v>
      </c>
      <c r="AQ72" s="5">
        <f>'Economic Data'!E38</f>
        <v>6871.1</v>
      </c>
      <c r="AR72" s="5">
        <f>'Economic Data'!F38</f>
        <v>159.69999999999999</v>
      </c>
      <c r="AS72" s="5">
        <f>'Economic Data'!G38</f>
        <v>160.80000000000001</v>
      </c>
      <c r="AT72" s="5">
        <f>'Economic Data'!H38</f>
        <v>708787.6</v>
      </c>
      <c r="AU72" s="5">
        <f>'Economic Data'!I38</f>
        <v>6474.7</v>
      </c>
      <c r="AV72" s="5">
        <f>'Economic Data'!J38</f>
        <v>5461.8</v>
      </c>
      <c r="AW72" s="5">
        <f>'Economic Data'!K38</f>
        <v>4020.9</v>
      </c>
      <c r="AX72" s="5">
        <f>'Economic Data'!L38</f>
        <v>912.8</v>
      </c>
      <c r="AY72" s="5">
        <f>'Economic Data'!M38</f>
        <v>444.1</v>
      </c>
      <c r="AZ72" s="5">
        <f>'Economic Data'!N38</f>
        <v>8082.4</v>
      </c>
      <c r="BA72" s="5">
        <f>'Economic Data'!O38</f>
        <v>10.8</v>
      </c>
      <c r="BB72" s="5">
        <f>'Economic Data'!P38</f>
        <v>292</v>
      </c>
      <c r="BC72" s="5">
        <f>'Economic Data'!Q38</f>
        <v>716976</v>
      </c>
      <c r="BD72" s="5">
        <f>'Economic Data'!R38</f>
        <v>6623</v>
      </c>
      <c r="BE72" s="5">
        <f>'Economic Data'!S38</f>
        <v>3934</v>
      </c>
      <c r="BF72" s="5">
        <f>'Economic Data'!T38</f>
        <v>12096</v>
      </c>
      <c r="BG72" s="5">
        <v>0</v>
      </c>
      <c r="BH72" s="5">
        <v>0</v>
      </c>
      <c r="BI72" s="5">
        <v>0</v>
      </c>
      <c r="BJ72" s="5">
        <f t="shared" si="42"/>
        <v>23</v>
      </c>
      <c r="BK72" s="70">
        <f t="shared" si="43"/>
        <v>1.3617278360175928</v>
      </c>
      <c r="BL72" s="5">
        <f t="shared" si="44"/>
        <v>529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0</v>
      </c>
      <c r="BY72">
        <f t="shared" si="51"/>
        <v>0</v>
      </c>
      <c r="BZ72">
        <f t="shared" si="51"/>
        <v>1</v>
      </c>
      <c r="CA72">
        <f t="shared" si="9"/>
        <v>1</v>
      </c>
      <c r="CB72">
        <v>30</v>
      </c>
      <c r="CC72">
        <v>20</v>
      </c>
      <c r="CD72">
        <v>0</v>
      </c>
      <c r="CE72">
        <v>0</v>
      </c>
      <c r="CF72">
        <f t="shared" si="47"/>
        <v>0</v>
      </c>
      <c r="CG72">
        <v>0</v>
      </c>
      <c r="CH72" s="64">
        <f t="shared" si="10"/>
        <v>0</v>
      </c>
      <c r="CI72" s="64">
        <f t="shared" si="11"/>
        <v>0</v>
      </c>
      <c r="CJ72" s="64">
        <f t="shared" si="12"/>
        <v>0</v>
      </c>
      <c r="CK72" s="64">
        <f t="shared" si="13"/>
        <v>0</v>
      </c>
      <c r="CL72" s="64">
        <f t="shared" si="14"/>
        <v>0</v>
      </c>
      <c r="CM72" s="64">
        <f t="shared" si="15"/>
        <v>0</v>
      </c>
      <c r="CN72" s="64">
        <f t="shared" si="16"/>
        <v>0</v>
      </c>
      <c r="CO72" s="64">
        <f t="shared" si="17"/>
        <v>0</v>
      </c>
      <c r="CP72" s="64">
        <f t="shared" si="18"/>
        <v>0</v>
      </c>
      <c r="CQ72" s="64">
        <f t="shared" si="19"/>
        <v>0</v>
      </c>
      <c r="CR72" s="64">
        <f t="shared" si="20"/>
        <v>0</v>
      </c>
      <c r="CS72" s="64">
        <f t="shared" si="21"/>
        <v>0</v>
      </c>
      <c r="CT72" s="64">
        <f t="shared" si="22"/>
        <v>0</v>
      </c>
      <c r="CU72" s="64">
        <f t="shared" si="23"/>
        <v>0</v>
      </c>
      <c r="CV72" s="69">
        <f t="shared" si="24"/>
        <v>22.991061555666018</v>
      </c>
      <c r="CW72" s="69">
        <f t="shared" si="25"/>
        <v>873.35654894192976</v>
      </c>
      <c r="CX72" s="69">
        <f t="shared" si="45"/>
        <v>3459.5808813832191</v>
      </c>
      <c r="CY72" s="69">
        <f t="shared" si="26"/>
        <v>26513.108333333334</v>
      </c>
      <c r="CZ72" s="64">
        <f t="shared" si="46"/>
        <v>2306.3872542554795</v>
      </c>
      <c r="DA72" s="64">
        <f t="shared" si="27"/>
        <v>17675.405555555557</v>
      </c>
      <c r="DB72">
        <f t="shared" si="28"/>
        <v>0</v>
      </c>
      <c r="DC72">
        <f t="shared" si="29"/>
        <v>0</v>
      </c>
      <c r="DD72">
        <f t="shared" si="30"/>
        <v>0</v>
      </c>
      <c r="DE72">
        <f t="shared" si="31"/>
        <v>0</v>
      </c>
      <c r="DF72">
        <f t="shared" si="32"/>
        <v>0</v>
      </c>
      <c r="DG72">
        <f t="shared" si="33"/>
        <v>0</v>
      </c>
      <c r="DH72">
        <f t="shared" si="34"/>
        <v>0</v>
      </c>
      <c r="DI72">
        <f t="shared" si="35"/>
        <v>0</v>
      </c>
      <c r="DJ72">
        <f t="shared" si="36"/>
        <v>0</v>
      </c>
      <c r="DK72">
        <f t="shared" si="37"/>
        <v>0</v>
      </c>
      <c r="DL72">
        <f t="shared" si="38"/>
        <v>0</v>
      </c>
      <c r="DM72">
        <f t="shared" si="39"/>
        <v>0</v>
      </c>
      <c r="DN72">
        <f t="shared" si="40"/>
        <v>0</v>
      </c>
      <c r="DO72">
        <f t="shared" si="41"/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</row>
    <row r="73" spans="1:124" s="2" customFormat="1">
      <c r="A73" s="3">
        <v>41974</v>
      </c>
      <c r="B73">
        <f t="shared" si="48"/>
        <v>2014</v>
      </c>
      <c r="C73" s="2">
        <v>20562251</v>
      </c>
      <c r="D73" s="2">
        <f>VLOOKUP(B73,'Historic CDM'!$B$135:$H$146,2,FALSE)/12</f>
        <v>232660.83668167001</v>
      </c>
      <c r="E73" s="2">
        <f t="shared" si="7"/>
        <v>20794911.836681671</v>
      </c>
      <c r="F73" s="5">
        <v>26632</v>
      </c>
      <c r="G73" s="219">
        <v>5412054</v>
      </c>
      <c r="H73" s="2">
        <f>VLOOKUP(B73,'Historic CDM'!$B$135:$H$147,3,FALSE)/12</f>
        <v>218299.07952460984</v>
      </c>
      <c r="I73" s="2">
        <f t="shared" si="8"/>
        <v>5630353.0795246102</v>
      </c>
      <c r="J73" s="220">
        <v>1917</v>
      </c>
      <c r="K73" s="219">
        <v>13953579</v>
      </c>
      <c r="L73" s="2">
        <f>VLOOKUP(B73,'Historic CDM'!$B$135:$H$146,4,FALSE)/12</f>
        <v>239755.99604353451</v>
      </c>
      <c r="M73" s="2">
        <f t="shared" si="50"/>
        <v>14193334.996043535</v>
      </c>
      <c r="N73" s="222">
        <v>35802</v>
      </c>
      <c r="O73" s="5">
        <v>208</v>
      </c>
      <c r="P73" s="220">
        <v>673213</v>
      </c>
      <c r="Q73" s="2" t="s">
        <v>128</v>
      </c>
      <c r="R73" s="5">
        <v>2712</v>
      </c>
      <c r="S73" s="220">
        <v>28724</v>
      </c>
      <c r="T73" s="2">
        <v>72</v>
      </c>
      <c r="U73" s="5">
        <v>172</v>
      </c>
      <c r="V73" s="221">
        <v>129708</v>
      </c>
      <c r="W73" s="1">
        <v>141</v>
      </c>
      <c r="X73" s="2">
        <v>3333306</v>
      </c>
      <c r="Y73" s="2">
        <v>55</v>
      </c>
      <c r="Z73" s="5">
        <v>6</v>
      </c>
      <c r="AA73" s="100">
        <f>'Weather Data'!D169</f>
        <v>607.20000000000005</v>
      </c>
      <c r="AB73" s="100">
        <f>'Weather Data'!E169</f>
        <v>0</v>
      </c>
      <c r="AC73" s="100">
        <f>'Weather Data'!F169</f>
        <v>545.20000000000005</v>
      </c>
      <c r="AD73" s="100">
        <f>'Weather Data'!G169</f>
        <v>0</v>
      </c>
      <c r="AE73" s="100">
        <f>'Weather Data'!H169</f>
        <v>483.2</v>
      </c>
      <c r="AF73" s="100">
        <f>'Weather Data'!I169</f>
        <v>0</v>
      </c>
      <c r="AG73" s="100">
        <f>'Weather Data'!J169</f>
        <v>421.2</v>
      </c>
      <c r="AH73" s="100">
        <f>'Weather Data'!K169</f>
        <v>0</v>
      </c>
      <c r="AI73" s="100">
        <f>'Weather Data'!L169</f>
        <v>359.19999999999993</v>
      </c>
      <c r="AJ73" s="100">
        <f>'Weather Data'!M169</f>
        <v>0</v>
      </c>
      <c r="AK73" s="100">
        <f>'Weather Data'!N169</f>
        <v>297.20000000000005</v>
      </c>
      <c r="AL73" s="100">
        <f>'Weather Data'!O169</f>
        <v>0</v>
      </c>
      <c r="AM73" s="100">
        <f>'Weather Data'!P169</f>
        <v>235.70000000000002</v>
      </c>
      <c r="AN73" s="100">
        <f>'Weather Data'!Q169</f>
        <v>0.5</v>
      </c>
      <c r="AO73" s="100">
        <f>'Weather Data'!R169</f>
        <v>0.41290322580645139</v>
      </c>
      <c r="AP73" s="5">
        <f>'Economic Data'!D39</f>
        <v>6860</v>
      </c>
      <c r="AQ73" s="5">
        <f>'Economic Data'!E39</f>
        <v>6863.1</v>
      </c>
      <c r="AR73" s="5">
        <f>'Economic Data'!F39</f>
        <v>161.4</v>
      </c>
      <c r="AS73" s="5">
        <f>'Economic Data'!G39</f>
        <v>162.80000000000001</v>
      </c>
      <c r="AT73" s="5">
        <f>'Economic Data'!H39</f>
        <v>708787.6</v>
      </c>
      <c r="AU73" s="5">
        <f>'Economic Data'!I39</f>
        <v>6474.7</v>
      </c>
      <c r="AV73" s="5">
        <f>'Economic Data'!J39</f>
        <v>5461.8</v>
      </c>
      <c r="AW73" s="5">
        <f>'Economic Data'!K39</f>
        <v>4020.9</v>
      </c>
      <c r="AX73" s="5">
        <f>'Economic Data'!L39</f>
        <v>912.8</v>
      </c>
      <c r="AY73" s="5">
        <f>'Economic Data'!M39</f>
        <v>444.1</v>
      </c>
      <c r="AZ73" s="5">
        <f>'Economic Data'!N39</f>
        <v>8082.4</v>
      </c>
      <c r="BA73" s="5">
        <f>'Economic Data'!O39</f>
        <v>10.8</v>
      </c>
      <c r="BB73" s="5">
        <f>'Economic Data'!P39</f>
        <v>292</v>
      </c>
      <c r="BC73" s="5">
        <f>'Economic Data'!Q39</f>
        <v>716976</v>
      </c>
      <c r="BD73" s="5">
        <f>'Economic Data'!R39</f>
        <v>6623</v>
      </c>
      <c r="BE73" s="5">
        <f>'Economic Data'!S39</f>
        <v>3934</v>
      </c>
      <c r="BF73" s="5">
        <f>'Economic Data'!T39</f>
        <v>12096</v>
      </c>
      <c r="BG73" s="5">
        <v>0</v>
      </c>
      <c r="BH73" s="5">
        <v>0</v>
      </c>
      <c r="BI73" s="5">
        <v>0</v>
      </c>
      <c r="BJ73" s="5">
        <f t="shared" si="42"/>
        <v>24</v>
      </c>
      <c r="BK73" s="70">
        <f t="shared" si="43"/>
        <v>1.3802112417116059</v>
      </c>
      <c r="BL73" s="5">
        <f t="shared" si="44"/>
        <v>576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1</v>
      </c>
      <c r="BY73">
        <f t="shared" si="51"/>
        <v>0</v>
      </c>
      <c r="BZ73">
        <f t="shared" si="51"/>
        <v>0</v>
      </c>
      <c r="CA73">
        <f t="shared" si="9"/>
        <v>0</v>
      </c>
      <c r="CB73">
        <v>31</v>
      </c>
      <c r="CC73">
        <v>21</v>
      </c>
      <c r="CD73">
        <v>0</v>
      </c>
      <c r="CE73">
        <v>0</v>
      </c>
      <c r="CF73">
        <f t="shared" si="47"/>
        <v>0</v>
      </c>
      <c r="CG73">
        <v>0</v>
      </c>
      <c r="CH73" s="64">
        <f t="shared" si="10"/>
        <v>0</v>
      </c>
      <c r="CI73" s="64">
        <f t="shared" si="11"/>
        <v>0</v>
      </c>
      <c r="CJ73" s="64">
        <f t="shared" si="12"/>
        <v>0</v>
      </c>
      <c r="CK73" s="64">
        <f t="shared" si="13"/>
        <v>0</v>
      </c>
      <c r="CL73" s="64">
        <f t="shared" si="14"/>
        <v>0</v>
      </c>
      <c r="CM73" s="64">
        <f t="shared" si="15"/>
        <v>0</v>
      </c>
      <c r="CN73" s="64">
        <f t="shared" si="16"/>
        <v>0</v>
      </c>
      <c r="CO73" s="64">
        <f t="shared" si="17"/>
        <v>0</v>
      </c>
      <c r="CP73" s="64">
        <f t="shared" si="18"/>
        <v>0</v>
      </c>
      <c r="CQ73" s="64">
        <f t="shared" si="19"/>
        <v>0</v>
      </c>
      <c r="CR73" s="64">
        <f t="shared" si="20"/>
        <v>0</v>
      </c>
      <c r="CS73" s="64">
        <f t="shared" si="21"/>
        <v>0</v>
      </c>
      <c r="CT73" s="64">
        <f t="shared" si="22"/>
        <v>0</v>
      </c>
      <c r="CU73" s="64">
        <f t="shared" si="23"/>
        <v>0</v>
      </c>
      <c r="CV73" s="69">
        <f t="shared" si="24"/>
        <v>25.187879529697078</v>
      </c>
      <c r="CW73" s="69">
        <f t="shared" si="25"/>
        <v>873.19371580716665</v>
      </c>
      <c r="CX73" s="69">
        <f t="shared" si="45"/>
        <v>3249.3898800465968</v>
      </c>
      <c r="CY73" s="69">
        <f t="shared" si="26"/>
        <v>26454.809523809523</v>
      </c>
      <c r="CZ73" s="64">
        <f t="shared" si="46"/>
        <v>2201.199596160598</v>
      </c>
      <c r="DA73" s="64">
        <f t="shared" si="27"/>
        <v>17921</v>
      </c>
      <c r="DB73">
        <f t="shared" si="28"/>
        <v>0</v>
      </c>
      <c r="DC73">
        <f t="shared" si="29"/>
        <v>0</v>
      </c>
      <c r="DD73">
        <f t="shared" si="30"/>
        <v>0</v>
      </c>
      <c r="DE73">
        <f t="shared" si="31"/>
        <v>0</v>
      </c>
      <c r="DF73">
        <f t="shared" si="32"/>
        <v>0</v>
      </c>
      <c r="DG73">
        <f t="shared" si="33"/>
        <v>0</v>
      </c>
      <c r="DH73">
        <f t="shared" si="34"/>
        <v>0</v>
      </c>
      <c r="DI73">
        <f t="shared" si="35"/>
        <v>0</v>
      </c>
      <c r="DJ73">
        <f t="shared" si="36"/>
        <v>0</v>
      </c>
      <c r="DK73">
        <f t="shared" si="37"/>
        <v>0</v>
      </c>
      <c r="DL73">
        <f t="shared" si="38"/>
        <v>0</v>
      </c>
      <c r="DM73">
        <f t="shared" si="39"/>
        <v>0</v>
      </c>
      <c r="DN73">
        <f t="shared" si="40"/>
        <v>0</v>
      </c>
      <c r="DO73">
        <f t="shared" si="41"/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</row>
    <row r="74" spans="1:124" s="2" customFormat="1">
      <c r="A74" s="3">
        <v>42005</v>
      </c>
      <c r="B74">
        <f t="shared" si="48"/>
        <v>2015</v>
      </c>
      <c r="C74" s="2">
        <v>21144903</v>
      </c>
      <c r="D74" s="2">
        <f>VLOOKUP(B74,'Historic CDM'!$B$135:$H$146,2,FALSE)/12</f>
        <v>335044.72340367432</v>
      </c>
      <c r="E74" s="2">
        <f t="shared" si="7"/>
        <v>21479947.723403674</v>
      </c>
      <c r="F74" s="5">
        <v>26696</v>
      </c>
      <c r="G74" s="219">
        <v>5787797</v>
      </c>
      <c r="H74" s="2">
        <f>VLOOKUP(B74,'Historic CDM'!$B$135:$H$147,3,FALSE)/12</f>
        <v>554198.2771220546</v>
      </c>
      <c r="I74" s="2">
        <f t="shared" si="8"/>
        <v>6341995.2771220542</v>
      </c>
      <c r="J74" s="220">
        <v>1933</v>
      </c>
      <c r="K74" s="219">
        <v>14432946</v>
      </c>
      <c r="L74" s="2">
        <f>VLOOKUP(B74,'Historic CDM'!$B$135:$H$146,4,FALSE)/12</f>
        <v>605691.5867469128</v>
      </c>
      <c r="M74" s="2">
        <f t="shared" si="50"/>
        <v>15038637.586746912</v>
      </c>
      <c r="N74" s="222">
        <v>34484</v>
      </c>
      <c r="O74" s="5">
        <v>211</v>
      </c>
      <c r="P74" s="220">
        <v>663672</v>
      </c>
      <c r="Q74" s="2">
        <v>1585</v>
      </c>
      <c r="R74" s="5">
        <v>2712</v>
      </c>
      <c r="S74" s="220">
        <v>28562</v>
      </c>
      <c r="T74" s="2">
        <v>74</v>
      </c>
      <c r="U74" s="5">
        <v>175</v>
      </c>
      <c r="V74" s="221">
        <v>129846</v>
      </c>
      <c r="W74" s="1">
        <v>141</v>
      </c>
      <c r="X74" s="2">
        <v>3747992</v>
      </c>
      <c r="Y74" s="2">
        <v>8216</v>
      </c>
      <c r="Z74" s="5">
        <v>6</v>
      </c>
      <c r="AA74" s="100">
        <f>'Weather Data'!D170</f>
        <v>828.90000000000009</v>
      </c>
      <c r="AB74" s="100">
        <f>'Weather Data'!E170</f>
        <v>0</v>
      </c>
      <c r="AC74" s="100">
        <f>'Weather Data'!F170</f>
        <v>766.90000000000009</v>
      </c>
      <c r="AD74" s="100">
        <f>'Weather Data'!G170</f>
        <v>0</v>
      </c>
      <c r="AE74" s="100">
        <f>'Weather Data'!H170</f>
        <v>704.90000000000009</v>
      </c>
      <c r="AF74" s="100">
        <f>'Weather Data'!I170</f>
        <v>0</v>
      </c>
      <c r="AG74" s="100">
        <f>'Weather Data'!J170</f>
        <v>642.9</v>
      </c>
      <c r="AH74" s="100">
        <f>'Weather Data'!K170</f>
        <v>0</v>
      </c>
      <c r="AI74" s="100">
        <f>'Weather Data'!L170</f>
        <v>580.89999999999986</v>
      </c>
      <c r="AJ74" s="100">
        <f>'Weather Data'!M170</f>
        <v>0</v>
      </c>
      <c r="AK74" s="100">
        <f>'Weather Data'!N170</f>
        <v>518.9</v>
      </c>
      <c r="AL74" s="100">
        <f>'Weather Data'!O170</f>
        <v>0</v>
      </c>
      <c r="AM74" s="100">
        <f>'Weather Data'!P170</f>
        <v>456.9</v>
      </c>
      <c r="AN74" s="100">
        <f>'Weather Data'!Q170</f>
        <v>0</v>
      </c>
      <c r="AO74" s="100">
        <f>'Weather Data'!R170</f>
        <v>-6.7387096774193527</v>
      </c>
      <c r="AP74" s="5">
        <f>'Economic Data'!D40</f>
        <v>6851.1</v>
      </c>
      <c r="AQ74" s="5">
        <f>'Economic Data'!E40</f>
        <v>6809.7</v>
      </c>
      <c r="AR74" s="5">
        <f>'Economic Data'!F40</f>
        <v>162.19999999999999</v>
      </c>
      <c r="AS74" s="5">
        <f>'Economic Data'!G40</f>
        <v>161.30000000000001</v>
      </c>
      <c r="AT74" s="5">
        <f>'Economic Data'!H40</f>
        <v>727609.6</v>
      </c>
      <c r="AU74" s="5">
        <f>'Economic Data'!I40</f>
        <v>6877.7</v>
      </c>
      <c r="AV74" s="5">
        <f>'Economic Data'!J40</f>
        <v>5851.5</v>
      </c>
      <c r="AW74" s="5">
        <f>'Economic Data'!K40</f>
        <v>4285.8999999999996</v>
      </c>
      <c r="AX74" s="5">
        <f>'Economic Data'!L40</f>
        <v>946.1</v>
      </c>
      <c r="AY74" s="5">
        <f>'Economic Data'!M40</f>
        <v>506</v>
      </c>
      <c r="AZ74" s="5">
        <f>'Economic Data'!N40</f>
        <v>7729.3</v>
      </c>
      <c r="BA74" s="5">
        <f>'Economic Data'!O40</f>
        <v>10.199999999999999</v>
      </c>
      <c r="BB74" s="5">
        <f>'Economic Data'!P40</f>
        <v>143.30000000000001</v>
      </c>
      <c r="BC74" s="5">
        <f>'Economic Data'!Q40</f>
        <v>718587</v>
      </c>
      <c r="BD74" s="5">
        <f>'Economic Data'!R40</f>
        <v>6731</v>
      </c>
      <c r="BE74" s="5">
        <f>'Economic Data'!S40</f>
        <v>4016</v>
      </c>
      <c r="BF74" s="5">
        <f>'Economic Data'!T40</f>
        <v>12895</v>
      </c>
      <c r="BG74" s="5">
        <v>0</v>
      </c>
      <c r="BH74" s="5">
        <v>0</v>
      </c>
      <c r="BI74" s="5">
        <v>0</v>
      </c>
      <c r="BJ74" s="5">
        <f t="shared" si="42"/>
        <v>25</v>
      </c>
      <c r="BK74" s="70">
        <f t="shared" si="43"/>
        <v>1.3979400086720377</v>
      </c>
      <c r="BL74" s="5">
        <f t="shared" si="44"/>
        <v>625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f t="shared" si="51"/>
        <v>0</v>
      </c>
      <c r="BZ74">
        <f t="shared" si="51"/>
        <v>0</v>
      </c>
      <c r="CA74">
        <f t="shared" si="9"/>
        <v>0</v>
      </c>
      <c r="CB74">
        <v>31</v>
      </c>
      <c r="CC74">
        <v>21</v>
      </c>
      <c r="CD74">
        <v>0</v>
      </c>
      <c r="CE74">
        <v>0</v>
      </c>
      <c r="CF74">
        <f t="shared" si="47"/>
        <v>0</v>
      </c>
      <c r="CG74">
        <v>0</v>
      </c>
      <c r="CH74" s="64">
        <f t="shared" si="10"/>
        <v>0</v>
      </c>
      <c r="CI74" s="64">
        <f t="shared" si="11"/>
        <v>0</v>
      </c>
      <c r="CJ74" s="64">
        <f t="shared" si="12"/>
        <v>0</v>
      </c>
      <c r="CK74" s="64">
        <f t="shared" si="13"/>
        <v>0</v>
      </c>
      <c r="CL74" s="64">
        <f t="shared" si="14"/>
        <v>0</v>
      </c>
      <c r="CM74" s="64">
        <f t="shared" si="15"/>
        <v>0</v>
      </c>
      <c r="CN74" s="64">
        <f t="shared" si="16"/>
        <v>0</v>
      </c>
      <c r="CO74" s="64">
        <f t="shared" si="17"/>
        <v>0</v>
      </c>
      <c r="CP74" s="64">
        <f t="shared" si="18"/>
        <v>0</v>
      </c>
      <c r="CQ74" s="64">
        <f t="shared" si="19"/>
        <v>0</v>
      </c>
      <c r="CR74" s="64">
        <f t="shared" si="20"/>
        <v>0</v>
      </c>
      <c r="CS74" s="64">
        <f t="shared" si="21"/>
        <v>0</v>
      </c>
      <c r="CT74" s="64">
        <f t="shared" si="22"/>
        <v>0</v>
      </c>
      <c r="CU74" s="64">
        <f t="shared" si="23"/>
        <v>0</v>
      </c>
      <c r="CV74" s="69">
        <f t="shared" si="24"/>
        <v>25.955256947281789</v>
      </c>
      <c r="CW74" s="69">
        <f t="shared" si="25"/>
        <v>969.57579530989972</v>
      </c>
      <c r="CX74" s="69">
        <f t="shared" si="45"/>
        <v>3393.9601865824675</v>
      </c>
      <c r="CY74" s="69">
        <f t="shared" si="26"/>
        <v>29745.968253968254</v>
      </c>
      <c r="CZ74" s="64">
        <f t="shared" si="46"/>
        <v>2299.1343199429616</v>
      </c>
      <c r="DA74" s="64">
        <f t="shared" si="27"/>
        <v>20150.494623655915</v>
      </c>
      <c r="DB74">
        <f t="shared" si="28"/>
        <v>0</v>
      </c>
      <c r="DC74">
        <f t="shared" si="29"/>
        <v>0</v>
      </c>
      <c r="DD74">
        <f t="shared" si="30"/>
        <v>0</v>
      </c>
      <c r="DE74">
        <f t="shared" si="31"/>
        <v>0</v>
      </c>
      <c r="DF74">
        <f t="shared" si="32"/>
        <v>0</v>
      </c>
      <c r="DG74">
        <f t="shared" si="33"/>
        <v>0</v>
      </c>
      <c r="DH74">
        <f t="shared" si="34"/>
        <v>0</v>
      </c>
      <c r="DI74">
        <f t="shared" si="35"/>
        <v>0</v>
      </c>
      <c r="DJ74">
        <f t="shared" si="36"/>
        <v>0</v>
      </c>
      <c r="DK74">
        <f t="shared" si="37"/>
        <v>0</v>
      </c>
      <c r="DL74">
        <f t="shared" si="38"/>
        <v>0</v>
      </c>
      <c r="DM74">
        <f t="shared" si="39"/>
        <v>0</v>
      </c>
      <c r="DN74">
        <f t="shared" si="40"/>
        <v>0</v>
      </c>
      <c r="DO74">
        <f t="shared" si="41"/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</row>
    <row r="75" spans="1:124" s="2" customFormat="1">
      <c r="A75" s="3">
        <v>42036</v>
      </c>
      <c r="B75">
        <f t="shared" si="48"/>
        <v>2015</v>
      </c>
      <c r="C75" s="2">
        <v>18981596</v>
      </c>
      <c r="D75" s="2">
        <f>VLOOKUP(B75,'Historic CDM'!$B$135:$H$146,2,FALSE)/12</f>
        <v>335044.72340367432</v>
      </c>
      <c r="E75" s="2">
        <f t="shared" si="7"/>
        <v>19316640.723403674</v>
      </c>
      <c r="F75" s="5">
        <v>26689</v>
      </c>
      <c r="G75" s="219">
        <v>5414090</v>
      </c>
      <c r="H75" s="2">
        <f>VLOOKUP(B75,'Historic CDM'!$B$135:$H$147,3,FALSE)/12</f>
        <v>554198.2771220546</v>
      </c>
      <c r="I75" s="2">
        <f t="shared" si="8"/>
        <v>5968288.2771220542</v>
      </c>
      <c r="J75" s="220">
        <v>1936</v>
      </c>
      <c r="K75" s="219">
        <v>12761675</v>
      </c>
      <c r="L75" s="2">
        <f>VLOOKUP(B75,'Historic CDM'!$B$135:$H$146,4,FALSE)/12</f>
        <v>605691.5867469128</v>
      </c>
      <c r="M75" s="2">
        <f t="shared" si="50"/>
        <v>13367366.586746912</v>
      </c>
      <c r="N75" s="222">
        <v>36312</v>
      </c>
      <c r="O75" s="5">
        <v>210</v>
      </c>
      <c r="P75" s="220">
        <v>596898</v>
      </c>
      <c r="Q75" s="2">
        <v>1583</v>
      </c>
      <c r="R75" s="5">
        <v>2711</v>
      </c>
      <c r="S75" s="220">
        <v>25375</v>
      </c>
      <c r="T75" s="2">
        <v>74</v>
      </c>
      <c r="U75" s="5">
        <v>175</v>
      </c>
      <c r="V75" s="221">
        <v>129846</v>
      </c>
      <c r="W75" s="1">
        <v>141</v>
      </c>
      <c r="X75" s="2">
        <v>3564671</v>
      </c>
      <c r="Y75" s="2">
        <v>8552</v>
      </c>
      <c r="Z75" s="5">
        <v>6</v>
      </c>
      <c r="AA75" s="100">
        <f>'Weather Data'!D171</f>
        <v>867.10000000000025</v>
      </c>
      <c r="AB75" s="100">
        <f>'Weather Data'!E171</f>
        <v>0</v>
      </c>
      <c r="AC75" s="100">
        <f>'Weather Data'!F171</f>
        <v>811.10000000000014</v>
      </c>
      <c r="AD75" s="100">
        <f>'Weather Data'!G171</f>
        <v>0</v>
      </c>
      <c r="AE75" s="100">
        <f>'Weather Data'!H171</f>
        <v>755.10000000000014</v>
      </c>
      <c r="AF75" s="100">
        <f>'Weather Data'!I171</f>
        <v>0</v>
      </c>
      <c r="AG75" s="100">
        <f>'Weather Data'!J171</f>
        <v>699.10000000000014</v>
      </c>
      <c r="AH75" s="100">
        <f>'Weather Data'!K171</f>
        <v>0</v>
      </c>
      <c r="AI75" s="100">
        <f>'Weather Data'!L171</f>
        <v>643.10000000000014</v>
      </c>
      <c r="AJ75" s="100">
        <f>'Weather Data'!M171</f>
        <v>0</v>
      </c>
      <c r="AK75" s="100">
        <f>'Weather Data'!N171</f>
        <v>587.1</v>
      </c>
      <c r="AL75" s="100">
        <f>'Weather Data'!O171</f>
        <v>0</v>
      </c>
      <c r="AM75" s="100">
        <f>'Weather Data'!P171</f>
        <v>531.09999999999991</v>
      </c>
      <c r="AN75" s="100">
        <f>'Weather Data'!Q171</f>
        <v>0</v>
      </c>
      <c r="AO75" s="100">
        <f>'Weather Data'!R171</f>
        <v>-10.967857142857142</v>
      </c>
      <c r="AP75" s="5">
        <f>'Economic Data'!D41</f>
        <v>6859.2</v>
      </c>
      <c r="AQ75" s="5">
        <f>'Economic Data'!E41</f>
        <v>6782.7</v>
      </c>
      <c r="AR75" s="5">
        <f>'Economic Data'!F41</f>
        <v>162.80000000000001</v>
      </c>
      <c r="AS75" s="5">
        <f>'Economic Data'!G41</f>
        <v>160.30000000000001</v>
      </c>
      <c r="AT75" s="5">
        <f>'Economic Data'!H41</f>
        <v>727609.6</v>
      </c>
      <c r="AU75" s="5">
        <f>'Economic Data'!I41</f>
        <v>6877.7</v>
      </c>
      <c r="AV75" s="5">
        <f>'Economic Data'!J41</f>
        <v>5851.5</v>
      </c>
      <c r="AW75" s="5">
        <f>'Economic Data'!K41</f>
        <v>4285.8999999999996</v>
      </c>
      <c r="AX75" s="5">
        <f>'Economic Data'!L41</f>
        <v>946.1</v>
      </c>
      <c r="AY75" s="5">
        <f>'Economic Data'!M41</f>
        <v>506</v>
      </c>
      <c r="AZ75" s="5">
        <f>'Economic Data'!N41</f>
        <v>7729.3</v>
      </c>
      <c r="BA75" s="5">
        <f>'Economic Data'!O41</f>
        <v>10.199999999999999</v>
      </c>
      <c r="BB75" s="5">
        <f>'Economic Data'!P41</f>
        <v>143.30000000000001</v>
      </c>
      <c r="BC75" s="5">
        <f>'Economic Data'!Q41</f>
        <v>718587</v>
      </c>
      <c r="BD75" s="5">
        <f>'Economic Data'!R41</f>
        <v>6731</v>
      </c>
      <c r="BE75" s="5">
        <f>'Economic Data'!S41</f>
        <v>4016</v>
      </c>
      <c r="BF75" s="5">
        <f>'Economic Data'!T41</f>
        <v>12895</v>
      </c>
      <c r="BG75" s="5">
        <v>0</v>
      </c>
      <c r="BH75" s="5">
        <v>0</v>
      </c>
      <c r="BI75" s="5">
        <v>0</v>
      </c>
      <c r="BJ75" s="5">
        <f t="shared" si="42"/>
        <v>26</v>
      </c>
      <c r="BK75" s="70">
        <f t="shared" si="43"/>
        <v>1.414973347970818</v>
      </c>
      <c r="BL75" s="5">
        <f t="shared" si="44"/>
        <v>676</v>
      </c>
      <c r="BM75">
        <v>0</v>
      </c>
      <c r="BN75">
        <v>1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f t="shared" si="51"/>
        <v>0</v>
      </c>
      <c r="BZ75">
        <f t="shared" si="51"/>
        <v>0</v>
      </c>
      <c r="CA75">
        <f t="shared" si="9"/>
        <v>0</v>
      </c>
      <c r="CB75">
        <v>28</v>
      </c>
      <c r="CC75">
        <v>19</v>
      </c>
      <c r="CD75">
        <v>0</v>
      </c>
      <c r="CE75">
        <v>0</v>
      </c>
      <c r="CF75">
        <f t="shared" si="47"/>
        <v>0</v>
      </c>
      <c r="CG75">
        <v>0</v>
      </c>
      <c r="CH75" s="64">
        <f t="shared" si="10"/>
        <v>0</v>
      </c>
      <c r="CI75" s="64">
        <f t="shared" si="11"/>
        <v>0</v>
      </c>
      <c r="CJ75" s="64">
        <f t="shared" si="12"/>
        <v>0</v>
      </c>
      <c r="CK75" s="64">
        <f t="shared" si="13"/>
        <v>0</v>
      </c>
      <c r="CL75" s="64">
        <f t="shared" si="14"/>
        <v>0</v>
      </c>
      <c r="CM75" s="64">
        <f t="shared" si="15"/>
        <v>0</v>
      </c>
      <c r="CN75" s="64">
        <f t="shared" si="16"/>
        <v>0</v>
      </c>
      <c r="CO75" s="64">
        <f t="shared" si="17"/>
        <v>0</v>
      </c>
      <c r="CP75" s="64">
        <f t="shared" si="18"/>
        <v>0</v>
      </c>
      <c r="CQ75" s="64">
        <f t="shared" si="19"/>
        <v>0</v>
      </c>
      <c r="CR75" s="64">
        <f t="shared" si="20"/>
        <v>0</v>
      </c>
      <c r="CS75" s="64">
        <f t="shared" si="21"/>
        <v>0</v>
      </c>
      <c r="CT75" s="64">
        <f t="shared" si="22"/>
        <v>0</v>
      </c>
      <c r="CU75" s="64">
        <f t="shared" si="23"/>
        <v>0</v>
      </c>
      <c r="CV75" s="69">
        <f t="shared" si="24"/>
        <v>25.848852554829538</v>
      </c>
      <c r="CW75" s="69">
        <f t="shared" si="25"/>
        <v>1015.0150131159957</v>
      </c>
      <c r="CX75" s="69">
        <f t="shared" si="45"/>
        <v>3350.2171896608802</v>
      </c>
      <c r="CY75" s="69">
        <f t="shared" si="26"/>
        <v>31269.043859649126</v>
      </c>
      <c r="CZ75" s="64">
        <f t="shared" si="46"/>
        <v>2273.3616644127401</v>
      </c>
      <c r="DA75" s="64">
        <f t="shared" si="27"/>
        <v>21218.27976190476</v>
      </c>
      <c r="DB75">
        <f t="shared" si="28"/>
        <v>0</v>
      </c>
      <c r="DC75">
        <f t="shared" si="29"/>
        <v>0</v>
      </c>
      <c r="DD75">
        <f t="shared" si="30"/>
        <v>0</v>
      </c>
      <c r="DE75">
        <f t="shared" si="31"/>
        <v>0</v>
      </c>
      <c r="DF75">
        <f t="shared" si="32"/>
        <v>0</v>
      </c>
      <c r="DG75">
        <f t="shared" si="33"/>
        <v>0</v>
      </c>
      <c r="DH75">
        <f t="shared" si="34"/>
        <v>0</v>
      </c>
      <c r="DI75">
        <f t="shared" si="35"/>
        <v>0</v>
      </c>
      <c r="DJ75">
        <f t="shared" si="36"/>
        <v>0</v>
      </c>
      <c r="DK75">
        <f t="shared" si="37"/>
        <v>0</v>
      </c>
      <c r="DL75">
        <f t="shared" si="38"/>
        <v>0</v>
      </c>
      <c r="DM75">
        <f t="shared" si="39"/>
        <v>0</v>
      </c>
      <c r="DN75">
        <f t="shared" si="40"/>
        <v>0</v>
      </c>
      <c r="DO75">
        <f t="shared" si="41"/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</row>
    <row r="76" spans="1:124" s="2" customFormat="1">
      <c r="A76" s="3">
        <v>42064</v>
      </c>
      <c r="B76">
        <f t="shared" si="48"/>
        <v>2015</v>
      </c>
      <c r="C76" s="2">
        <v>18468773</v>
      </c>
      <c r="D76" s="2">
        <f>VLOOKUP(B76,'Historic CDM'!$B$135:$H$146,2,FALSE)/12</f>
        <v>335044.72340367432</v>
      </c>
      <c r="E76" s="2">
        <f t="shared" si="7"/>
        <v>18803817.723403674</v>
      </c>
      <c r="F76" s="5">
        <v>26693</v>
      </c>
      <c r="G76" s="219">
        <v>5526432</v>
      </c>
      <c r="H76" s="2">
        <f>VLOOKUP(B76,'Historic CDM'!$B$135:$H$147,3,FALSE)/12</f>
        <v>554198.2771220546</v>
      </c>
      <c r="I76" s="2">
        <f t="shared" si="8"/>
        <v>6080630.2771220542</v>
      </c>
      <c r="J76" s="220">
        <v>1922</v>
      </c>
      <c r="K76" s="219">
        <v>13288528</v>
      </c>
      <c r="L76" s="2">
        <f>VLOOKUP(B76,'Historic CDM'!$B$135:$H$146,4,FALSE)/12</f>
        <v>605691.5867469128</v>
      </c>
      <c r="M76" s="2">
        <f t="shared" si="50"/>
        <v>13894219.586746912</v>
      </c>
      <c r="N76" s="222">
        <v>33050</v>
      </c>
      <c r="O76" s="5">
        <v>209</v>
      </c>
      <c r="P76" s="220">
        <v>556097</v>
      </c>
      <c r="Q76" s="2">
        <v>1579</v>
      </c>
      <c r="R76" s="5">
        <v>2711</v>
      </c>
      <c r="S76" s="220">
        <v>31348</v>
      </c>
      <c r="T76" s="2">
        <v>73</v>
      </c>
      <c r="U76" s="5">
        <v>174</v>
      </c>
      <c r="V76" s="221">
        <v>129846</v>
      </c>
      <c r="W76" s="1">
        <v>141</v>
      </c>
      <c r="X76" s="2">
        <v>3449912</v>
      </c>
      <c r="Y76" s="2">
        <v>8105</v>
      </c>
      <c r="Z76" s="5">
        <v>6</v>
      </c>
      <c r="AA76" s="100">
        <f>'Weather Data'!D172</f>
        <v>627.29999999999995</v>
      </c>
      <c r="AB76" s="100">
        <f>'Weather Data'!E172</f>
        <v>0</v>
      </c>
      <c r="AC76" s="100">
        <f>'Weather Data'!F172</f>
        <v>565.29999999999995</v>
      </c>
      <c r="AD76" s="100">
        <f>'Weather Data'!G172</f>
        <v>0</v>
      </c>
      <c r="AE76" s="100">
        <f>'Weather Data'!H172</f>
        <v>503.3</v>
      </c>
      <c r="AF76" s="100">
        <f>'Weather Data'!I172</f>
        <v>0</v>
      </c>
      <c r="AG76" s="100">
        <f>'Weather Data'!J172</f>
        <v>441.3</v>
      </c>
      <c r="AH76" s="100">
        <f>'Weather Data'!K172</f>
        <v>0</v>
      </c>
      <c r="AI76" s="100">
        <f>'Weather Data'!L172</f>
        <v>379.29999999999995</v>
      </c>
      <c r="AJ76" s="100">
        <f>'Weather Data'!M172</f>
        <v>0</v>
      </c>
      <c r="AK76" s="100">
        <f>'Weather Data'!N172</f>
        <v>317.29999999999995</v>
      </c>
      <c r="AL76" s="100">
        <f>'Weather Data'!O172</f>
        <v>0</v>
      </c>
      <c r="AM76" s="100">
        <f>'Weather Data'!P172</f>
        <v>255.70000000000002</v>
      </c>
      <c r="AN76" s="100">
        <f>'Weather Data'!Q172</f>
        <v>0.40000000000000036</v>
      </c>
      <c r="AO76" s="100">
        <f>'Weather Data'!R172</f>
        <v>-0.2354838709677417</v>
      </c>
      <c r="AP76" s="5">
        <f>'Economic Data'!D42</f>
        <v>6870</v>
      </c>
      <c r="AQ76" s="5">
        <f>'Economic Data'!E42</f>
        <v>6761.8</v>
      </c>
      <c r="AR76" s="5">
        <f>'Economic Data'!F42</f>
        <v>161.30000000000001</v>
      </c>
      <c r="AS76" s="5">
        <f>'Economic Data'!G42</f>
        <v>156.9</v>
      </c>
      <c r="AT76" s="5">
        <f>'Economic Data'!H42</f>
        <v>727609.6</v>
      </c>
      <c r="AU76" s="5">
        <f>'Economic Data'!I42</f>
        <v>6877.7</v>
      </c>
      <c r="AV76" s="5">
        <f>'Economic Data'!J42</f>
        <v>5851.5</v>
      </c>
      <c r="AW76" s="5">
        <f>'Economic Data'!K42</f>
        <v>4285.8999999999996</v>
      </c>
      <c r="AX76" s="5">
        <f>'Economic Data'!L42</f>
        <v>946.1</v>
      </c>
      <c r="AY76" s="5">
        <f>'Economic Data'!M42</f>
        <v>506</v>
      </c>
      <c r="AZ76" s="5">
        <f>'Economic Data'!N42</f>
        <v>7729.3</v>
      </c>
      <c r="BA76" s="5">
        <f>'Economic Data'!O42</f>
        <v>10.199999999999999</v>
      </c>
      <c r="BB76" s="5">
        <f>'Economic Data'!P42</f>
        <v>143.30000000000001</v>
      </c>
      <c r="BC76" s="5">
        <f>'Economic Data'!Q42</f>
        <v>718587</v>
      </c>
      <c r="BD76" s="5">
        <f>'Economic Data'!R42</f>
        <v>6731</v>
      </c>
      <c r="BE76" s="5">
        <f>'Economic Data'!S42</f>
        <v>4016</v>
      </c>
      <c r="BF76" s="5">
        <f>'Economic Data'!T42</f>
        <v>12895</v>
      </c>
      <c r="BG76" s="5">
        <v>0</v>
      </c>
      <c r="BH76" s="5">
        <v>0</v>
      </c>
      <c r="BI76" s="5">
        <v>0</v>
      </c>
      <c r="BJ76" s="5">
        <f t="shared" si="42"/>
        <v>27</v>
      </c>
      <c r="BK76" s="70">
        <f t="shared" si="43"/>
        <v>1.4313637641589874</v>
      </c>
      <c r="BL76" s="5">
        <f t="shared" si="44"/>
        <v>729</v>
      </c>
      <c r="BM76">
        <v>0</v>
      </c>
      <c r="BN76">
        <v>0</v>
      </c>
      <c r="BO76">
        <v>1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f t="shared" si="51"/>
        <v>1</v>
      </c>
      <c r="BZ76">
        <f t="shared" si="51"/>
        <v>0</v>
      </c>
      <c r="CA76">
        <f t="shared" si="9"/>
        <v>1</v>
      </c>
      <c r="CB76">
        <v>31</v>
      </c>
      <c r="CC76">
        <v>22</v>
      </c>
      <c r="CD76">
        <v>0</v>
      </c>
      <c r="CE76">
        <v>0</v>
      </c>
      <c r="CF76">
        <f t="shared" si="47"/>
        <v>0</v>
      </c>
      <c r="CG76">
        <v>0</v>
      </c>
      <c r="CH76" s="64">
        <f t="shared" si="10"/>
        <v>0</v>
      </c>
      <c r="CI76" s="64">
        <f t="shared" si="11"/>
        <v>0</v>
      </c>
      <c r="CJ76" s="64">
        <f t="shared" si="12"/>
        <v>0</v>
      </c>
      <c r="CK76" s="64">
        <f t="shared" si="13"/>
        <v>0</v>
      </c>
      <c r="CL76" s="64">
        <f t="shared" si="14"/>
        <v>0</v>
      </c>
      <c r="CM76" s="64">
        <f t="shared" si="15"/>
        <v>0</v>
      </c>
      <c r="CN76" s="64">
        <f t="shared" si="16"/>
        <v>0</v>
      </c>
      <c r="CO76" s="64">
        <f t="shared" si="17"/>
        <v>0</v>
      </c>
      <c r="CP76" s="64">
        <f t="shared" si="18"/>
        <v>0</v>
      </c>
      <c r="CQ76" s="64">
        <f t="shared" si="19"/>
        <v>0</v>
      </c>
      <c r="CR76" s="64">
        <f t="shared" si="20"/>
        <v>0</v>
      </c>
      <c r="CS76" s="64">
        <f t="shared" si="21"/>
        <v>0</v>
      </c>
      <c r="CT76" s="64">
        <f t="shared" si="22"/>
        <v>0</v>
      </c>
      <c r="CU76" s="64">
        <f t="shared" si="23"/>
        <v>0</v>
      </c>
      <c r="CV76" s="69">
        <f t="shared" si="24"/>
        <v>22.724113635450728</v>
      </c>
      <c r="CW76" s="69">
        <f t="shared" si="25"/>
        <v>938.51370228770713</v>
      </c>
      <c r="CX76" s="69">
        <f t="shared" si="45"/>
        <v>3021.7963433551354</v>
      </c>
      <c r="CY76" s="69">
        <f t="shared" si="26"/>
        <v>26135.696969696972</v>
      </c>
      <c r="CZ76" s="64">
        <f t="shared" si="46"/>
        <v>2144.5006307681606</v>
      </c>
      <c r="DA76" s="64">
        <f t="shared" si="27"/>
        <v>18547.913978494624</v>
      </c>
      <c r="DB76">
        <f t="shared" si="28"/>
        <v>0</v>
      </c>
      <c r="DC76">
        <f t="shared" si="29"/>
        <v>0</v>
      </c>
      <c r="DD76">
        <f t="shared" si="30"/>
        <v>0</v>
      </c>
      <c r="DE76">
        <f t="shared" si="31"/>
        <v>0</v>
      </c>
      <c r="DF76">
        <f t="shared" si="32"/>
        <v>0</v>
      </c>
      <c r="DG76">
        <f t="shared" si="33"/>
        <v>0</v>
      </c>
      <c r="DH76">
        <f t="shared" si="34"/>
        <v>0</v>
      </c>
      <c r="DI76">
        <f t="shared" si="35"/>
        <v>0</v>
      </c>
      <c r="DJ76">
        <f t="shared" si="36"/>
        <v>0</v>
      </c>
      <c r="DK76">
        <f t="shared" si="37"/>
        <v>0</v>
      </c>
      <c r="DL76">
        <f t="shared" si="38"/>
        <v>0</v>
      </c>
      <c r="DM76">
        <f t="shared" si="39"/>
        <v>0</v>
      </c>
      <c r="DN76">
        <f t="shared" si="40"/>
        <v>0</v>
      </c>
      <c r="DO76">
        <f t="shared" si="41"/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</row>
    <row r="77" spans="1:124" s="2" customFormat="1">
      <c r="A77" s="3">
        <v>42095</v>
      </c>
      <c r="B77">
        <f t="shared" si="48"/>
        <v>2015</v>
      </c>
      <c r="C77" s="2">
        <v>15860000</v>
      </c>
      <c r="D77" s="2">
        <f>VLOOKUP(B77,'Historic CDM'!$B$135:$H$146,2,FALSE)/12</f>
        <v>335044.72340367432</v>
      </c>
      <c r="E77" s="2">
        <f t="shared" si="7"/>
        <v>16195044.723403674</v>
      </c>
      <c r="F77" s="5">
        <v>26705</v>
      </c>
      <c r="G77" s="219">
        <v>4905796</v>
      </c>
      <c r="H77" s="2">
        <f>VLOOKUP(B77,'Historic CDM'!$B$135:$H$147,3,FALSE)/12</f>
        <v>554198.2771220546</v>
      </c>
      <c r="I77" s="2">
        <f t="shared" si="8"/>
        <v>5459994.2771220542</v>
      </c>
      <c r="J77" s="220">
        <v>1933</v>
      </c>
      <c r="K77" s="219">
        <v>12590304</v>
      </c>
      <c r="L77" s="2">
        <f>VLOOKUP(B77,'Historic CDM'!$B$135:$H$146,4,FALSE)/12</f>
        <v>605691.5867469128</v>
      </c>
      <c r="M77" s="2">
        <f t="shared" si="50"/>
        <v>13195995.586746912</v>
      </c>
      <c r="N77" s="222">
        <v>36906</v>
      </c>
      <c r="O77" s="5">
        <v>209</v>
      </c>
      <c r="P77" s="220">
        <v>466544</v>
      </c>
      <c r="Q77" s="2">
        <v>1579</v>
      </c>
      <c r="R77" s="5">
        <v>2711</v>
      </c>
      <c r="S77" s="220">
        <v>28925</v>
      </c>
      <c r="T77" s="2">
        <v>73</v>
      </c>
      <c r="U77" s="5">
        <v>174</v>
      </c>
      <c r="V77" s="221">
        <v>129846</v>
      </c>
      <c r="W77" s="1">
        <v>141</v>
      </c>
      <c r="X77" s="2">
        <v>3013821</v>
      </c>
      <c r="Y77" s="2">
        <v>7558</v>
      </c>
      <c r="Z77" s="5">
        <v>6</v>
      </c>
      <c r="AA77" s="100">
        <f>'Weather Data'!D173</f>
        <v>343.20000000000005</v>
      </c>
      <c r="AB77" s="100">
        <f>'Weather Data'!E173</f>
        <v>0</v>
      </c>
      <c r="AC77" s="100">
        <f>'Weather Data'!F173</f>
        <v>283.2</v>
      </c>
      <c r="AD77" s="100">
        <f>'Weather Data'!G173</f>
        <v>0</v>
      </c>
      <c r="AE77" s="100">
        <f>'Weather Data'!H173</f>
        <v>223.19999999999996</v>
      </c>
      <c r="AF77" s="100">
        <f>'Weather Data'!I173</f>
        <v>0</v>
      </c>
      <c r="AG77" s="100">
        <f>'Weather Data'!J173</f>
        <v>164.10000000000002</v>
      </c>
      <c r="AH77" s="100">
        <f>'Weather Data'!K173</f>
        <v>0.90000000000000036</v>
      </c>
      <c r="AI77" s="100">
        <f>'Weather Data'!L173</f>
        <v>110.19999999999997</v>
      </c>
      <c r="AJ77" s="100">
        <f>'Weather Data'!M173</f>
        <v>7</v>
      </c>
      <c r="AK77" s="100">
        <f>'Weather Data'!N173</f>
        <v>62</v>
      </c>
      <c r="AL77" s="100">
        <f>'Weather Data'!O173</f>
        <v>18.8</v>
      </c>
      <c r="AM77" s="100">
        <f>'Weather Data'!P173</f>
        <v>29.799999999999997</v>
      </c>
      <c r="AN77" s="100">
        <f>'Weather Data'!Q173</f>
        <v>46.599999999999994</v>
      </c>
      <c r="AO77" s="100">
        <f>'Weather Data'!R173</f>
        <v>8.5599999999999987</v>
      </c>
      <c r="AP77" s="5">
        <f>'Economic Data'!D43</f>
        <v>6876.8</v>
      </c>
      <c r="AQ77" s="5">
        <f>'Economic Data'!E43</f>
        <v>6786.4</v>
      </c>
      <c r="AR77" s="5">
        <f>'Economic Data'!F43</f>
        <v>160.69999999999999</v>
      </c>
      <c r="AS77" s="5">
        <f>'Economic Data'!G43</f>
        <v>156.69999999999999</v>
      </c>
      <c r="AT77" s="5">
        <f>'Economic Data'!H43</f>
        <v>727609.6</v>
      </c>
      <c r="AU77" s="5">
        <f>'Economic Data'!I43</f>
        <v>6877.7</v>
      </c>
      <c r="AV77" s="5">
        <f>'Economic Data'!J43</f>
        <v>5851.5</v>
      </c>
      <c r="AW77" s="5">
        <f>'Economic Data'!K43</f>
        <v>4285.8999999999996</v>
      </c>
      <c r="AX77" s="5">
        <f>'Economic Data'!L43</f>
        <v>946.1</v>
      </c>
      <c r="AY77" s="5">
        <f>'Economic Data'!M43</f>
        <v>506</v>
      </c>
      <c r="AZ77" s="5">
        <f>'Economic Data'!N43</f>
        <v>7729.3</v>
      </c>
      <c r="BA77" s="5">
        <f>'Economic Data'!O43</f>
        <v>10.199999999999999</v>
      </c>
      <c r="BB77" s="5">
        <f>'Economic Data'!P43</f>
        <v>143.30000000000001</v>
      </c>
      <c r="BC77" s="5">
        <f>'Economic Data'!Q43</f>
        <v>723726</v>
      </c>
      <c r="BD77" s="5">
        <f>'Economic Data'!R43</f>
        <v>6925</v>
      </c>
      <c r="BE77" s="5">
        <f>'Economic Data'!S43</f>
        <v>3621</v>
      </c>
      <c r="BF77" s="5">
        <f>'Economic Data'!T43</f>
        <v>12835</v>
      </c>
      <c r="BG77" s="5">
        <v>0</v>
      </c>
      <c r="BH77" s="5">
        <v>0</v>
      </c>
      <c r="BI77" s="5">
        <v>0</v>
      </c>
      <c r="BJ77" s="5">
        <f t="shared" si="42"/>
        <v>28</v>
      </c>
      <c r="BK77" s="70">
        <f t="shared" si="43"/>
        <v>1.4471580313422192</v>
      </c>
      <c r="BL77" s="5">
        <f t="shared" si="44"/>
        <v>784</v>
      </c>
      <c r="BM77">
        <v>0</v>
      </c>
      <c r="BN77">
        <v>0</v>
      </c>
      <c r="BO77">
        <v>0</v>
      </c>
      <c r="BP77">
        <v>1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f t="shared" si="51"/>
        <v>1</v>
      </c>
      <c r="BZ77">
        <f t="shared" si="51"/>
        <v>0</v>
      </c>
      <c r="CA77">
        <f t="shared" si="9"/>
        <v>1</v>
      </c>
      <c r="CB77">
        <v>30</v>
      </c>
      <c r="CC77">
        <v>20</v>
      </c>
      <c r="CD77">
        <v>0</v>
      </c>
      <c r="CE77">
        <v>0</v>
      </c>
      <c r="CF77">
        <f t="shared" si="47"/>
        <v>0</v>
      </c>
      <c r="CG77">
        <v>0</v>
      </c>
      <c r="CH77" s="64">
        <f t="shared" si="10"/>
        <v>0</v>
      </c>
      <c r="CI77" s="64">
        <f t="shared" si="11"/>
        <v>0</v>
      </c>
      <c r="CJ77" s="64">
        <f t="shared" si="12"/>
        <v>0</v>
      </c>
      <c r="CK77" s="64">
        <f t="shared" si="13"/>
        <v>0</v>
      </c>
      <c r="CL77" s="64">
        <f t="shared" si="14"/>
        <v>0</v>
      </c>
      <c r="CM77" s="64">
        <f t="shared" si="15"/>
        <v>0</v>
      </c>
      <c r="CN77" s="64">
        <f t="shared" si="16"/>
        <v>0</v>
      </c>
      <c r="CO77" s="64">
        <f t="shared" si="17"/>
        <v>0</v>
      </c>
      <c r="CP77" s="64">
        <f t="shared" si="18"/>
        <v>0</v>
      </c>
      <c r="CQ77" s="64">
        <f t="shared" si="19"/>
        <v>0</v>
      </c>
      <c r="CR77" s="64">
        <f t="shared" si="20"/>
        <v>0</v>
      </c>
      <c r="CS77" s="64">
        <f t="shared" si="21"/>
        <v>0</v>
      </c>
      <c r="CT77" s="64">
        <f t="shared" si="22"/>
        <v>0</v>
      </c>
      <c r="CU77" s="64">
        <f t="shared" si="23"/>
        <v>0</v>
      </c>
      <c r="CV77" s="69">
        <f t="shared" si="24"/>
        <v>20.214747205147194</v>
      </c>
      <c r="CW77" s="69">
        <f t="shared" si="25"/>
        <v>870.81248438948239</v>
      </c>
      <c r="CX77" s="69">
        <f t="shared" si="45"/>
        <v>3156.9367432408881</v>
      </c>
      <c r="CY77" s="69">
        <f t="shared" si="26"/>
        <v>25115.174999999999</v>
      </c>
      <c r="CZ77" s="64">
        <f t="shared" si="46"/>
        <v>2104.6244954939252</v>
      </c>
      <c r="DA77" s="64">
        <f t="shared" si="27"/>
        <v>16743.45</v>
      </c>
      <c r="DB77">
        <f t="shared" si="28"/>
        <v>0</v>
      </c>
      <c r="DC77">
        <f t="shared" si="29"/>
        <v>0</v>
      </c>
      <c r="DD77">
        <f t="shared" si="30"/>
        <v>0</v>
      </c>
      <c r="DE77">
        <f t="shared" si="31"/>
        <v>0</v>
      </c>
      <c r="DF77">
        <f t="shared" si="32"/>
        <v>0</v>
      </c>
      <c r="DG77">
        <f t="shared" si="33"/>
        <v>0</v>
      </c>
      <c r="DH77">
        <f t="shared" si="34"/>
        <v>0</v>
      </c>
      <c r="DI77">
        <f t="shared" si="35"/>
        <v>0</v>
      </c>
      <c r="DJ77">
        <f t="shared" si="36"/>
        <v>0</v>
      </c>
      <c r="DK77">
        <f t="shared" si="37"/>
        <v>0</v>
      </c>
      <c r="DL77">
        <f t="shared" si="38"/>
        <v>0</v>
      </c>
      <c r="DM77">
        <f t="shared" si="39"/>
        <v>0</v>
      </c>
      <c r="DN77">
        <f t="shared" si="40"/>
        <v>0</v>
      </c>
      <c r="DO77">
        <f t="shared" si="41"/>
        <v>0</v>
      </c>
      <c r="DP77" s="2">
        <v>0</v>
      </c>
      <c r="DQ77" s="2">
        <v>0</v>
      </c>
      <c r="DR77" s="2">
        <v>0</v>
      </c>
      <c r="DS77" s="2">
        <v>0</v>
      </c>
      <c r="DT77" s="2">
        <v>0</v>
      </c>
    </row>
    <row r="78" spans="1:124" s="2" customFormat="1">
      <c r="A78" s="3">
        <v>42125</v>
      </c>
      <c r="B78">
        <f t="shared" si="48"/>
        <v>2015</v>
      </c>
      <c r="C78" s="2">
        <v>18146671</v>
      </c>
      <c r="D78" s="2">
        <f>VLOOKUP(B78,'Historic CDM'!$B$135:$H$146,2,FALSE)/12</f>
        <v>335044.72340367432</v>
      </c>
      <c r="E78" s="2">
        <f t="shared" si="7"/>
        <v>18481715.723403674</v>
      </c>
      <c r="F78" s="5">
        <v>26784</v>
      </c>
      <c r="G78" s="219">
        <v>5173027</v>
      </c>
      <c r="H78" s="2">
        <f>VLOOKUP(B78,'Historic CDM'!$B$135:$H$147,3,FALSE)/12</f>
        <v>554198.2771220546</v>
      </c>
      <c r="I78" s="2">
        <f t="shared" si="8"/>
        <v>5727225.2771220542</v>
      </c>
      <c r="J78" s="220">
        <v>1938</v>
      </c>
      <c r="K78" s="219">
        <v>13166430</v>
      </c>
      <c r="L78" s="2">
        <f>VLOOKUP(B78,'Historic CDM'!$B$135:$H$146,4,FALSE)/12</f>
        <v>605691.5867469128</v>
      </c>
      <c r="M78" s="2">
        <f t="shared" si="50"/>
        <v>13772121.586746912</v>
      </c>
      <c r="N78" s="222">
        <v>38440</v>
      </c>
      <c r="O78" s="5">
        <v>209</v>
      </c>
      <c r="P78" s="220">
        <v>418301</v>
      </c>
      <c r="Q78" s="2">
        <v>1577</v>
      </c>
      <c r="R78" s="5">
        <v>2694</v>
      </c>
      <c r="S78" s="220">
        <v>28223</v>
      </c>
      <c r="T78" s="2">
        <v>73</v>
      </c>
      <c r="U78" s="5">
        <v>174</v>
      </c>
      <c r="V78" s="221">
        <v>129846</v>
      </c>
      <c r="W78" s="1">
        <v>141</v>
      </c>
      <c r="X78" s="2">
        <v>2960403</v>
      </c>
      <c r="Y78" s="2">
        <v>7990</v>
      </c>
      <c r="Z78" s="5">
        <v>6</v>
      </c>
      <c r="AA78" s="100">
        <f>'Weather Data'!D174</f>
        <v>118.3</v>
      </c>
      <c r="AB78" s="100">
        <f>'Weather Data'!E174</f>
        <v>17.799999999999997</v>
      </c>
      <c r="AC78" s="100">
        <f>'Weather Data'!F174</f>
        <v>79.599999999999994</v>
      </c>
      <c r="AD78" s="100">
        <f>'Weather Data'!G174</f>
        <v>41.099999999999994</v>
      </c>
      <c r="AE78" s="100">
        <f>'Weather Data'!H174</f>
        <v>50.9</v>
      </c>
      <c r="AF78" s="100">
        <f>'Weather Data'!I174</f>
        <v>74.399999999999991</v>
      </c>
      <c r="AG78" s="100">
        <f>'Weather Data'!J174</f>
        <v>27.5</v>
      </c>
      <c r="AH78" s="100">
        <f>'Weather Data'!K174</f>
        <v>112.99999999999999</v>
      </c>
      <c r="AI78" s="100">
        <f>'Weather Data'!L174</f>
        <v>12.199999999999998</v>
      </c>
      <c r="AJ78" s="100">
        <f>'Weather Data'!M174</f>
        <v>159.69999999999999</v>
      </c>
      <c r="AK78" s="100">
        <f>'Weather Data'!N174</f>
        <v>2.6999999999999975</v>
      </c>
      <c r="AL78" s="100">
        <f>'Weather Data'!O174</f>
        <v>212.20000000000002</v>
      </c>
      <c r="AM78" s="100">
        <f>'Weather Data'!P174</f>
        <v>0</v>
      </c>
      <c r="AN78" s="100">
        <f>'Weather Data'!Q174</f>
        <v>271.5</v>
      </c>
      <c r="AO78" s="100">
        <f>'Weather Data'!R174</f>
        <v>16.758064516129032</v>
      </c>
      <c r="AP78" s="5">
        <f>'Economic Data'!D44</f>
        <v>6883.3</v>
      </c>
      <c r="AQ78" s="5">
        <f>'Economic Data'!E44</f>
        <v>6848.1</v>
      </c>
      <c r="AR78" s="5">
        <f>'Economic Data'!F44</f>
        <v>161.19999999999999</v>
      </c>
      <c r="AS78" s="5">
        <f>'Economic Data'!G44</f>
        <v>159.19999999999999</v>
      </c>
      <c r="AT78" s="5">
        <f>'Economic Data'!H44</f>
        <v>727609.6</v>
      </c>
      <c r="AU78" s="5">
        <f>'Economic Data'!I44</f>
        <v>6877.7</v>
      </c>
      <c r="AV78" s="5">
        <f>'Economic Data'!J44</f>
        <v>5851.5</v>
      </c>
      <c r="AW78" s="5">
        <f>'Economic Data'!K44</f>
        <v>4285.8999999999996</v>
      </c>
      <c r="AX78" s="5">
        <f>'Economic Data'!L44</f>
        <v>946.1</v>
      </c>
      <c r="AY78" s="5">
        <f>'Economic Data'!M44</f>
        <v>506</v>
      </c>
      <c r="AZ78" s="5">
        <f>'Economic Data'!N44</f>
        <v>7729.3</v>
      </c>
      <c r="BA78" s="5">
        <f>'Economic Data'!O44</f>
        <v>10.199999999999999</v>
      </c>
      <c r="BB78" s="5">
        <f>'Economic Data'!P44</f>
        <v>143.30000000000001</v>
      </c>
      <c r="BC78" s="5">
        <f>'Economic Data'!Q44</f>
        <v>723726</v>
      </c>
      <c r="BD78" s="5">
        <f>'Economic Data'!R44</f>
        <v>6925</v>
      </c>
      <c r="BE78" s="5">
        <f>'Economic Data'!S44</f>
        <v>3621</v>
      </c>
      <c r="BF78" s="5">
        <f>'Economic Data'!T44</f>
        <v>12835</v>
      </c>
      <c r="BG78" s="5">
        <v>0</v>
      </c>
      <c r="BH78" s="5">
        <v>0</v>
      </c>
      <c r="BI78" s="5">
        <v>0</v>
      </c>
      <c r="BJ78" s="5">
        <f t="shared" si="42"/>
        <v>29</v>
      </c>
      <c r="BK78" s="70">
        <f t="shared" si="43"/>
        <v>1.4623979978989561</v>
      </c>
      <c r="BL78" s="5">
        <f t="shared" si="44"/>
        <v>841</v>
      </c>
      <c r="BM78">
        <v>0</v>
      </c>
      <c r="BN78">
        <v>0</v>
      </c>
      <c r="BO78">
        <v>0</v>
      </c>
      <c r="BP78">
        <v>0</v>
      </c>
      <c r="BQ78">
        <v>1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f t="shared" si="51"/>
        <v>1</v>
      </c>
      <c r="BZ78">
        <f t="shared" si="51"/>
        <v>0</v>
      </c>
      <c r="CA78">
        <f t="shared" si="9"/>
        <v>1</v>
      </c>
      <c r="CB78">
        <v>31</v>
      </c>
      <c r="CC78">
        <v>20</v>
      </c>
      <c r="CD78">
        <v>0</v>
      </c>
      <c r="CE78">
        <v>0</v>
      </c>
      <c r="CF78">
        <f t="shared" si="47"/>
        <v>0</v>
      </c>
      <c r="CG78">
        <v>0</v>
      </c>
      <c r="CH78" s="64">
        <f t="shared" si="10"/>
        <v>0</v>
      </c>
      <c r="CI78" s="64">
        <f t="shared" si="11"/>
        <v>0</v>
      </c>
      <c r="CJ78" s="64">
        <f t="shared" si="12"/>
        <v>0</v>
      </c>
      <c r="CK78" s="64">
        <f t="shared" si="13"/>
        <v>0</v>
      </c>
      <c r="CL78" s="64">
        <f t="shared" si="14"/>
        <v>0</v>
      </c>
      <c r="CM78" s="64">
        <f t="shared" si="15"/>
        <v>0</v>
      </c>
      <c r="CN78" s="64">
        <f t="shared" si="16"/>
        <v>0</v>
      </c>
      <c r="CO78" s="64">
        <f t="shared" si="17"/>
        <v>0</v>
      </c>
      <c r="CP78" s="64">
        <f t="shared" si="18"/>
        <v>0</v>
      </c>
      <c r="CQ78" s="64">
        <f t="shared" si="19"/>
        <v>0</v>
      </c>
      <c r="CR78" s="64">
        <f t="shared" si="20"/>
        <v>0</v>
      </c>
      <c r="CS78" s="64">
        <f t="shared" si="21"/>
        <v>0</v>
      </c>
      <c r="CT78" s="64">
        <f t="shared" si="22"/>
        <v>0</v>
      </c>
      <c r="CU78" s="64">
        <f t="shared" si="23"/>
        <v>0</v>
      </c>
      <c r="CV78" s="69">
        <f t="shared" si="24"/>
        <v>22.258974692887996</v>
      </c>
      <c r="CW78" s="69">
        <f t="shared" si="25"/>
        <v>883.96747601822108</v>
      </c>
      <c r="CX78" s="69">
        <f t="shared" si="45"/>
        <v>3294.7659298437593</v>
      </c>
      <c r="CY78" s="69">
        <f t="shared" si="26"/>
        <v>24670.024999999998</v>
      </c>
      <c r="CZ78" s="64">
        <f t="shared" si="46"/>
        <v>2125.6554386088769</v>
      </c>
      <c r="DA78" s="64">
        <f t="shared" si="27"/>
        <v>15916.145161290324</v>
      </c>
      <c r="DB78">
        <f t="shared" si="28"/>
        <v>0</v>
      </c>
      <c r="DC78">
        <f t="shared" si="29"/>
        <v>0</v>
      </c>
      <c r="DD78">
        <f t="shared" si="30"/>
        <v>0</v>
      </c>
      <c r="DE78">
        <f t="shared" si="31"/>
        <v>0</v>
      </c>
      <c r="DF78">
        <f t="shared" si="32"/>
        <v>0</v>
      </c>
      <c r="DG78">
        <f t="shared" si="33"/>
        <v>0</v>
      </c>
      <c r="DH78">
        <f t="shared" si="34"/>
        <v>0</v>
      </c>
      <c r="DI78">
        <f t="shared" si="35"/>
        <v>0</v>
      </c>
      <c r="DJ78">
        <f t="shared" si="36"/>
        <v>0</v>
      </c>
      <c r="DK78">
        <f t="shared" si="37"/>
        <v>0</v>
      </c>
      <c r="DL78">
        <f t="shared" si="38"/>
        <v>0</v>
      </c>
      <c r="DM78">
        <f t="shared" si="39"/>
        <v>0</v>
      </c>
      <c r="DN78">
        <f t="shared" si="40"/>
        <v>0</v>
      </c>
      <c r="DO78">
        <f t="shared" si="41"/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</row>
    <row r="79" spans="1:124" s="2" customFormat="1">
      <c r="A79" s="3">
        <v>42156</v>
      </c>
      <c r="B79">
        <f t="shared" si="48"/>
        <v>2015</v>
      </c>
      <c r="C79" s="2">
        <v>21678045</v>
      </c>
      <c r="D79" s="2">
        <f>VLOOKUP(B79,'Historic CDM'!$B$135:$H$146,2,FALSE)/12</f>
        <v>335044.72340367432</v>
      </c>
      <c r="E79" s="2">
        <f t="shared" si="7"/>
        <v>22013089.723403674</v>
      </c>
      <c r="F79" s="5">
        <v>26847</v>
      </c>
      <c r="G79" s="219">
        <v>5460606</v>
      </c>
      <c r="H79" s="2">
        <f>VLOOKUP(B79,'Historic CDM'!$B$135:$H$147,3,FALSE)/12</f>
        <v>554198.2771220546</v>
      </c>
      <c r="I79" s="2">
        <f t="shared" si="8"/>
        <v>6014804.2771220542</v>
      </c>
      <c r="J79" s="220">
        <v>1935</v>
      </c>
      <c r="K79" s="219">
        <v>13859094</v>
      </c>
      <c r="L79" s="2">
        <f>VLOOKUP(B79,'Historic CDM'!$B$135:$H$146,4,FALSE)/12</f>
        <v>605691.5867469128</v>
      </c>
      <c r="M79" s="2">
        <f t="shared" si="50"/>
        <v>14464785.586746912</v>
      </c>
      <c r="N79" s="222">
        <v>41487</v>
      </c>
      <c r="O79" s="5">
        <v>210</v>
      </c>
      <c r="P79" s="220">
        <v>367933</v>
      </c>
      <c r="Q79" s="2">
        <v>1572</v>
      </c>
      <c r="R79" s="5">
        <v>2694</v>
      </c>
      <c r="S79" s="220">
        <v>28389</v>
      </c>
      <c r="T79" s="2">
        <v>73</v>
      </c>
      <c r="U79" s="5">
        <v>174</v>
      </c>
      <c r="V79" s="221">
        <v>129846</v>
      </c>
      <c r="W79" s="1">
        <v>141</v>
      </c>
      <c r="X79" s="2">
        <v>3221522</v>
      </c>
      <c r="Y79" s="2">
        <v>8550</v>
      </c>
      <c r="Z79" s="5">
        <v>6</v>
      </c>
      <c r="AA79" s="100">
        <f>'Weather Data'!D175</f>
        <v>41.29999999999999</v>
      </c>
      <c r="AB79" s="100">
        <f>'Weather Data'!E175</f>
        <v>26.300000000000008</v>
      </c>
      <c r="AC79" s="100">
        <f>'Weather Data'!F175</f>
        <v>18.900000000000002</v>
      </c>
      <c r="AD79" s="100">
        <f>'Weather Data'!G175</f>
        <v>63.900000000000006</v>
      </c>
      <c r="AE79" s="100">
        <f>'Weather Data'!H175</f>
        <v>7.9</v>
      </c>
      <c r="AF79" s="100">
        <f>'Weather Data'!I175</f>
        <v>112.89999999999998</v>
      </c>
      <c r="AG79" s="100">
        <f>'Weather Data'!J175</f>
        <v>2.7000000000000011</v>
      </c>
      <c r="AH79" s="100">
        <f>'Weather Data'!K175</f>
        <v>167.7</v>
      </c>
      <c r="AI79" s="100">
        <f>'Weather Data'!L175</f>
        <v>0.40000000000000036</v>
      </c>
      <c r="AJ79" s="100">
        <f>'Weather Data'!M175</f>
        <v>225.4</v>
      </c>
      <c r="AK79" s="100">
        <f>'Weather Data'!N175</f>
        <v>0</v>
      </c>
      <c r="AL79" s="100">
        <f>'Weather Data'!O175</f>
        <v>285</v>
      </c>
      <c r="AM79" s="100">
        <f>'Weather Data'!P175</f>
        <v>0</v>
      </c>
      <c r="AN79" s="100">
        <f>'Weather Data'!Q175</f>
        <v>345</v>
      </c>
      <c r="AO79" s="100">
        <f>'Weather Data'!R175</f>
        <v>19.5</v>
      </c>
      <c r="AP79" s="5">
        <f>'Economic Data'!D45</f>
        <v>6883.6</v>
      </c>
      <c r="AQ79" s="5">
        <f>'Economic Data'!E45</f>
        <v>6930.1</v>
      </c>
      <c r="AR79" s="5">
        <f>'Economic Data'!F45</f>
        <v>162.5</v>
      </c>
      <c r="AS79" s="5">
        <f>'Economic Data'!G45</f>
        <v>163.19999999999999</v>
      </c>
      <c r="AT79" s="5">
        <f>'Economic Data'!H45</f>
        <v>727609.6</v>
      </c>
      <c r="AU79" s="5">
        <f>'Economic Data'!I45</f>
        <v>6877.7</v>
      </c>
      <c r="AV79" s="5">
        <f>'Economic Data'!J45</f>
        <v>5851.5</v>
      </c>
      <c r="AW79" s="5">
        <f>'Economic Data'!K45</f>
        <v>4285.8999999999996</v>
      </c>
      <c r="AX79" s="5">
        <f>'Economic Data'!L45</f>
        <v>946.1</v>
      </c>
      <c r="AY79" s="5">
        <f>'Economic Data'!M45</f>
        <v>506</v>
      </c>
      <c r="AZ79" s="5">
        <f>'Economic Data'!N45</f>
        <v>7729.3</v>
      </c>
      <c r="BA79" s="5">
        <f>'Economic Data'!O45</f>
        <v>10.199999999999999</v>
      </c>
      <c r="BB79" s="5">
        <f>'Economic Data'!P45</f>
        <v>143.30000000000001</v>
      </c>
      <c r="BC79" s="5">
        <f>'Economic Data'!Q45</f>
        <v>723726</v>
      </c>
      <c r="BD79" s="5">
        <f>'Economic Data'!R45</f>
        <v>6925</v>
      </c>
      <c r="BE79" s="5">
        <f>'Economic Data'!S45</f>
        <v>3621</v>
      </c>
      <c r="BF79" s="5">
        <f>'Economic Data'!T45</f>
        <v>12835</v>
      </c>
      <c r="BG79" s="5">
        <v>0</v>
      </c>
      <c r="BH79" s="5">
        <v>0</v>
      </c>
      <c r="BI79" s="5">
        <v>0</v>
      </c>
      <c r="BJ79" s="5">
        <f t="shared" ref="BJ79:BJ143" si="52">BJ78+1</f>
        <v>30</v>
      </c>
      <c r="BK79" s="70">
        <f t="shared" ref="BK79:BK133" si="53">LOG(BJ79)</f>
        <v>1.4771212547196624</v>
      </c>
      <c r="BL79" s="5">
        <f t="shared" ref="BL79:BL133" si="54">BJ79^2</f>
        <v>900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f t="shared" si="51"/>
        <v>0</v>
      </c>
      <c r="BZ79">
        <f t="shared" si="51"/>
        <v>0</v>
      </c>
      <c r="CA79">
        <f t="shared" ref="CA79:CA133" si="55">BY79+BZ79</f>
        <v>0</v>
      </c>
      <c r="CB79">
        <v>30</v>
      </c>
      <c r="CC79">
        <v>22</v>
      </c>
      <c r="CD79">
        <v>0</v>
      </c>
      <c r="CE79">
        <v>0</v>
      </c>
      <c r="CF79">
        <f t="shared" si="47"/>
        <v>0</v>
      </c>
      <c r="CG79">
        <v>0</v>
      </c>
      <c r="CH79" s="64">
        <f t="shared" si="10"/>
        <v>0</v>
      </c>
      <c r="CI79" s="64">
        <f t="shared" si="11"/>
        <v>0</v>
      </c>
      <c r="CJ79" s="64">
        <f t="shared" si="12"/>
        <v>0</v>
      </c>
      <c r="CK79" s="64">
        <f t="shared" si="13"/>
        <v>0</v>
      </c>
      <c r="CL79" s="64">
        <f t="shared" si="14"/>
        <v>0</v>
      </c>
      <c r="CM79" s="64">
        <f t="shared" si="15"/>
        <v>0</v>
      </c>
      <c r="CN79" s="64">
        <f t="shared" si="16"/>
        <v>0</v>
      </c>
      <c r="CO79" s="64">
        <f t="shared" si="17"/>
        <v>0</v>
      </c>
      <c r="CP79" s="64">
        <f t="shared" si="18"/>
        <v>0</v>
      </c>
      <c r="CQ79" s="64">
        <f t="shared" si="19"/>
        <v>0</v>
      </c>
      <c r="CR79" s="64">
        <f t="shared" si="20"/>
        <v>0</v>
      </c>
      <c r="CS79" s="64">
        <f t="shared" si="21"/>
        <v>0</v>
      </c>
      <c r="CT79" s="64">
        <f t="shared" si="22"/>
        <v>0</v>
      </c>
      <c r="CU79" s="64">
        <f t="shared" si="23"/>
        <v>0</v>
      </c>
      <c r="CV79" s="69">
        <f t="shared" si="24"/>
        <v>27.331532664610165</v>
      </c>
      <c r="CW79" s="69">
        <f t="shared" si="25"/>
        <v>954.73083763842135</v>
      </c>
      <c r="CX79" s="69">
        <f t="shared" si="45"/>
        <v>3130.90597115734</v>
      </c>
      <c r="CY79" s="69">
        <f t="shared" si="26"/>
        <v>24405.469696969696</v>
      </c>
      <c r="CZ79" s="64">
        <f t="shared" si="46"/>
        <v>2295.9977121820498</v>
      </c>
      <c r="DA79" s="64">
        <f t="shared" si="27"/>
        <v>17897.344444444443</v>
      </c>
      <c r="DB79">
        <f t="shared" si="28"/>
        <v>0</v>
      </c>
      <c r="DC79">
        <f t="shared" si="29"/>
        <v>0</v>
      </c>
      <c r="DD79">
        <f t="shared" si="30"/>
        <v>0</v>
      </c>
      <c r="DE79">
        <f t="shared" si="31"/>
        <v>0</v>
      </c>
      <c r="DF79">
        <f t="shared" si="32"/>
        <v>0</v>
      </c>
      <c r="DG79">
        <f t="shared" si="33"/>
        <v>0</v>
      </c>
      <c r="DH79">
        <f t="shared" si="34"/>
        <v>0</v>
      </c>
      <c r="DI79">
        <f t="shared" si="35"/>
        <v>0</v>
      </c>
      <c r="DJ79">
        <f t="shared" si="36"/>
        <v>0</v>
      </c>
      <c r="DK79">
        <f t="shared" si="37"/>
        <v>0</v>
      </c>
      <c r="DL79">
        <f t="shared" si="38"/>
        <v>0</v>
      </c>
      <c r="DM79">
        <f t="shared" si="39"/>
        <v>0</v>
      </c>
      <c r="DN79">
        <f t="shared" si="40"/>
        <v>0</v>
      </c>
      <c r="DO79">
        <f t="shared" si="41"/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</row>
    <row r="80" spans="1:124" s="2" customFormat="1">
      <c r="A80" s="3">
        <v>42186</v>
      </c>
      <c r="B80">
        <f t="shared" si="48"/>
        <v>2015</v>
      </c>
      <c r="C80" s="2">
        <v>27487968</v>
      </c>
      <c r="D80" s="2">
        <f>VLOOKUP(B80,'Historic CDM'!$B$135:$H$146,2,FALSE)/12</f>
        <v>335044.72340367432</v>
      </c>
      <c r="E80" s="2">
        <f t="shared" si="7"/>
        <v>27823012.723403674</v>
      </c>
      <c r="F80" s="5">
        <v>26870</v>
      </c>
      <c r="G80" s="219">
        <v>6213552</v>
      </c>
      <c r="H80" s="2">
        <f>VLOOKUP(B80,'Historic CDM'!$B$135:$H$147,3,FALSE)/12</f>
        <v>554198.2771220546</v>
      </c>
      <c r="I80" s="2">
        <f t="shared" si="8"/>
        <v>6767750.2771220542</v>
      </c>
      <c r="J80" s="220">
        <v>1952</v>
      </c>
      <c r="K80" s="219">
        <v>16203562</v>
      </c>
      <c r="L80" s="2">
        <f>VLOOKUP(B80,'Historic CDM'!$B$135:$H$146,4,FALSE)/12</f>
        <v>605691.5867469128</v>
      </c>
      <c r="M80" s="2">
        <f t="shared" si="50"/>
        <v>16809253.586746912</v>
      </c>
      <c r="N80" s="222">
        <v>43488</v>
      </c>
      <c r="O80" s="5">
        <v>211</v>
      </c>
      <c r="P80" s="220">
        <v>389186</v>
      </c>
      <c r="Q80" s="2">
        <v>1572</v>
      </c>
      <c r="R80" s="5">
        <v>2694</v>
      </c>
      <c r="S80" s="220">
        <v>28172</v>
      </c>
      <c r="T80" s="2">
        <v>73</v>
      </c>
      <c r="U80" s="5">
        <v>174</v>
      </c>
      <c r="V80" s="221">
        <v>129846</v>
      </c>
      <c r="W80" s="1">
        <v>141</v>
      </c>
      <c r="X80" s="2">
        <v>4072605</v>
      </c>
      <c r="Y80" s="2">
        <v>20429</v>
      </c>
      <c r="Z80" s="5">
        <v>6</v>
      </c>
      <c r="AA80" s="100">
        <f>'Weather Data'!D176</f>
        <v>15.199999999999996</v>
      </c>
      <c r="AB80" s="100">
        <f>'Weather Data'!E176</f>
        <v>70.799999999999983</v>
      </c>
      <c r="AC80" s="100">
        <f>'Weather Data'!F176</f>
        <v>2.8999999999999986</v>
      </c>
      <c r="AD80" s="100">
        <f>'Weather Data'!G176</f>
        <v>120.49999999999997</v>
      </c>
      <c r="AE80" s="100">
        <f>'Weather Data'!H176</f>
        <v>0.19999999999999929</v>
      </c>
      <c r="AF80" s="100">
        <f>'Weather Data'!I176</f>
        <v>179.79999999999998</v>
      </c>
      <c r="AG80" s="100">
        <f>'Weather Data'!J176</f>
        <v>0</v>
      </c>
      <c r="AH80" s="100">
        <f>'Weather Data'!K176</f>
        <v>241.60000000000002</v>
      </c>
      <c r="AI80" s="100">
        <f>'Weather Data'!L176</f>
        <v>0</v>
      </c>
      <c r="AJ80" s="100">
        <f>'Weather Data'!M176</f>
        <v>303.60000000000002</v>
      </c>
      <c r="AK80" s="100">
        <f>'Weather Data'!N176</f>
        <v>0</v>
      </c>
      <c r="AL80" s="100">
        <f>'Weather Data'!O176</f>
        <v>365.59999999999997</v>
      </c>
      <c r="AM80" s="100">
        <f>'Weather Data'!P176</f>
        <v>0</v>
      </c>
      <c r="AN80" s="100">
        <f>'Weather Data'!Q176</f>
        <v>427.59999999999997</v>
      </c>
      <c r="AO80" s="100">
        <f>'Weather Data'!R176</f>
        <v>21.793548387096774</v>
      </c>
      <c r="AP80" s="5">
        <f>'Economic Data'!D46</f>
        <v>6891.7</v>
      </c>
      <c r="AQ80" s="5">
        <f>'Economic Data'!E46</f>
        <v>6986.1</v>
      </c>
      <c r="AR80" s="5">
        <f>'Economic Data'!F46</f>
        <v>161.6</v>
      </c>
      <c r="AS80" s="5">
        <f>'Economic Data'!G46</f>
        <v>163.69999999999999</v>
      </c>
      <c r="AT80" s="5">
        <f>'Economic Data'!H46</f>
        <v>727609.6</v>
      </c>
      <c r="AU80" s="5">
        <f>'Economic Data'!I46</f>
        <v>6877.7</v>
      </c>
      <c r="AV80" s="5">
        <f>'Economic Data'!J46</f>
        <v>5851.5</v>
      </c>
      <c r="AW80" s="5">
        <f>'Economic Data'!K46</f>
        <v>4285.8999999999996</v>
      </c>
      <c r="AX80" s="5">
        <f>'Economic Data'!L46</f>
        <v>946.1</v>
      </c>
      <c r="AY80" s="5">
        <f>'Economic Data'!M46</f>
        <v>506</v>
      </c>
      <c r="AZ80" s="5">
        <f>'Economic Data'!N46</f>
        <v>7729.3</v>
      </c>
      <c r="BA80" s="5">
        <f>'Economic Data'!O46</f>
        <v>10.199999999999999</v>
      </c>
      <c r="BB80" s="5">
        <f>'Economic Data'!P46</f>
        <v>143.30000000000001</v>
      </c>
      <c r="BC80" s="5">
        <f>'Economic Data'!Q46</f>
        <v>730341</v>
      </c>
      <c r="BD80" s="5">
        <f>'Economic Data'!R46</f>
        <v>6908</v>
      </c>
      <c r="BE80" s="5">
        <f>'Economic Data'!S46</f>
        <v>3648</v>
      </c>
      <c r="BF80" s="5">
        <f>'Economic Data'!T46</f>
        <v>13213</v>
      </c>
      <c r="BG80" s="5">
        <v>0</v>
      </c>
      <c r="BH80" s="5">
        <v>0</v>
      </c>
      <c r="BI80" s="5">
        <v>0</v>
      </c>
      <c r="BJ80" s="5">
        <f t="shared" si="52"/>
        <v>31</v>
      </c>
      <c r="BK80" s="70">
        <f t="shared" si="53"/>
        <v>1.4913616938342726</v>
      </c>
      <c r="BL80" s="5">
        <f t="shared" si="54"/>
        <v>961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</v>
      </c>
      <c r="BT80">
        <v>0</v>
      </c>
      <c r="BU80">
        <v>0</v>
      </c>
      <c r="BV80">
        <v>0</v>
      </c>
      <c r="BW80">
        <v>0</v>
      </c>
      <c r="BX80">
        <v>0</v>
      </c>
      <c r="BY80">
        <f t="shared" si="51"/>
        <v>0</v>
      </c>
      <c r="BZ80">
        <f t="shared" si="51"/>
        <v>0</v>
      </c>
      <c r="CA80">
        <f t="shared" si="55"/>
        <v>0</v>
      </c>
      <c r="CB80">
        <v>31</v>
      </c>
      <c r="CC80">
        <v>22</v>
      </c>
      <c r="CD80">
        <v>0</v>
      </c>
      <c r="CE80">
        <v>0</v>
      </c>
      <c r="CF80">
        <f t="shared" si="47"/>
        <v>0</v>
      </c>
      <c r="CG80">
        <v>0</v>
      </c>
      <c r="CH80" s="64">
        <f t="shared" si="10"/>
        <v>0</v>
      </c>
      <c r="CI80" s="64">
        <f t="shared" si="11"/>
        <v>0</v>
      </c>
      <c r="CJ80" s="64">
        <f t="shared" si="12"/>
        <v>0</v>
      </c>
      <c r="CK80" s="64">
        <f t="shared" si="13"/>
        <v>0</v>
      </c>
      <c r="CL80" s="64">
        <f t="shared" si="14"/>
        <v>0</v>
      </c>
      <c r="CM80" s="64">
        <f t="shared" si="15"/>
        <v>0</v>
      </c>
      <c r="CN80" s="64">
        <f t="shared" si="16"/>
        <v>0</v>
      </c>
      <c r="CO80" s="64">
        <f t="shared" si="17"/>
        <v>0</v>
      </c>
      <c r="CP80" s="64">
        <f t="shared" si="18"/>
        <v>0</v>
      </c>
      <c r="CQ80" s="64">
        <f t="shared" si="19"/>
        <v>0</v>
      </c>
      <c r="CR80" s="64">
        <f t="shared" si="20"/>
        <v>0</v>
      </c>
      <c r="CS80" s="64">
        <f t="shared" si="21"/>
        <v>0</v>
      </c>
      <c r="CT80" s="64">
        <f t="shared" si="22"/>
        <v>0</v>
      </c>
      <c r="CU80" s="64">
        <f t="shared" si="23"/>
        <v>0</v>
      </c>
      <c r="CV80" s="69">
        <f t="shared" si="24"/>
        <v>33.402178617961837</v>
      </c>
      <c r="CW80" s="69">
        <f t="shared" si="25"/>
        <v>1034.6659955850871</v>
      </c>
      <c r="CX80" s="69">
        <f t="shared" si="45"/>
        <v>3621.1231337240224</v>
      </c>
      <c r="CY80" s="69">
        <f t="shared" si="26"/>
        <v>30853.06818181818</v>
      </c>
      <c r="CZ80" s="64">
        <f t="shared" si="46"/>
        <v>2569.8293207073707</v>
      </c>
      <c r="DA80" s="64">
        <f t="shared" si="27"/>
        <v>21895.72580645161</v>
      </c>
      <c r="DB80">
        <f t="shared" si="28"/>
        <v>0</v>
      </c>
      <c r="DC80">
        <f t="shared" si="29"/>
        <v>0</v>
      </c>
      <c r="DD80">
        <f t="shared" si="30"/>
        <v>0</v>
      </c>
      <c r="DE80">
        <f t="shared" si="31"/>
        <v>0</v>
      </c>
      <c r="DF80">
        <f t="shared" si="32"/>
        <v>0</v>
      </c>
      <c r="DG80">
        <f t="shared" si="33"/>
        <v>0</v>
      </c>
      <c r="DH80">
        <f t="shared" si="34"/>
        <v>0</v>
      </c>
      <c r="DI80">
        <f t="shared" si="35"/>
        <v>0</v>
      </c>
      <c r="DJ80">
        <f t="shared" si="36"/>
        <v>0</v>
      </c>
      <c r="DK80">
        <f t="shared" si="37"/>
        <v>0</v>
      </c>
      <c r="DL80">
        <f t="shared" si="38"/>
        <v>0</v>
      </c>
      <c r="DM80">
        <f t="shared" si="39"/>
        <v>0</v>
      </c>
      <c r="DN80">
        <f t="shared" si="40"/>
        <v>0</v>
      </c>
      <c r="DO80">
        <f t="shared" si="41"/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</row>
    <row r="81" spans="1:124" s="2" customFormat="1">
      <c r="A81" s="3">
        <v>42217</v>
      </c>
      <c r="B81">
        <f t="shared" si="48"/>
        <v>2015</v>
      </c>
      <c r="C81" s="2">
        <v>28198521</v>
      </c>
      <c r="D81" s="2">
        <f>VLOOKUP(B81,'Historic CDM'!$B$135:$H$146,2,FALSE)/12</f>
        <v>335044.72340367432</v>
      </c>
      <c r="E81" s="2">
        <f t="shared" si="7"/>
        <v>28533565.723403674</v>
      </c>
      <c r="F81" s="5">
        <v>26865</v>
      </c>
      <c r="G81" s="219">
        <v>6265789</v>
      </c>
      <c r="H81" s="2">
        <f>VLOOKUP(B81,'Historic CDM'!$B$135:$H$147,3,FALSE)/12</f>
        <v>554198.2771220546</v>
      </c>
      <c r="I81" s="2">
        <f t="shared" si="8"/>
        <v>6819987.2771220542</v>
      </c>
      <c r="J81" s="220">
        <v>1927</v>
      </c>
      <c r="K81" s="219">
        <v>16257144</v>
      </c>
      <c r="L81" s="2">
        <f>VLOOKUP(B81,'Historic CDM'!$B$135:$H$146,4,FALSE)/12</f>
        <v>605691.5867469128</v>
      </c>
      <c r="M81" s="2">
        <f t="shared" si="50"/>
        <v>16862835.586746912</v>
      </c>
      <c r="N81" s="222">
        <v>43026</v>
      </c>
      <c r="O81" s="5">
        <v>213</v>
      </c>
      <c r="P81" s="220">
        <v>424948</v>
      </c>
      <c r="Q81" s="2">
        <v>1572</v>
      </c>
      <c r="R81" s="5">
        <v>2694</v>
      </c>
      <c r="S81" s="220">
        <v>28439</v>
      </c>
      <c r="T81" s="2">
        <v>73</v>
      </c>
      <c r="U81" s="5">
        <v>174</v>
      </c>
      <c r="V81" s="221">
        <v>129846</v>
      </c>
      <c r="W81" s="1">
        <v>141</v>
      </c>
      <c r="X81" s="2">
        <v>3555685</v>
      </c>
      <c r="Y81" s="2">
        <v>8965</v>
      </c>
      <c r="Z81" s="5">
        <v>6</v>
      </c>
      <c r="AA81" s="100">
        <f>'Weather Data'!D177</f>
        <v>21.7</v>
      </c>
      <c r="AB81" s="100">
        <f>'Weather Data'!E177</f>
        <v>54</v>
      </c>
      <c r="AC81" s="100">
        <f>'Weather Data'!F177</f>
        <v>8.5000000000000018</v>
      </c>
      <c r="AD81" s="100">
        <f>'Weather Data'!G177</f>
        <v>102.79999999999997</v>
      </c>
      <c r="AE81" s="100">
        <f>'Weather Data'!H177</f>
        <v>2.0999999999999996</v>
      </c>
      <c r="AF81" s="100">
        <f>'Weather Data'!I177</f>
        <v>158.4</v>
      </c>
      <c r="AG81" s="100">
        <f>'Weather Data'!J177</f>
        <v>0</v>
      </c>
      <c r="AH81" s="100">
        <f>'Weather Data'!K177</f>
        <v>218.3</v>
      </c>
      <c r="AI81" s="100">
        <f>'Weather Data'!L177</f>
        <v>0</v>
      </c>
      <c r="AJ81" s="100">
        <f>'Weather Data'!M177</f>
        <v>280.3</v>
      </c>
      <c r="AK81" s="100">
        <f>'Weather Data'!N177</f>
        <v>0</v>
      </c>
      <c r="AL81" s="100">
        <f>'Weather Data'!O177</f>
        <v>342.30000000000007</v>
      </c>
      <c r="AM81" s="100">
        <f>'Weather Data'!P177</f>
        <v>0</v>
      </c>
      <c r="AN81" s="100">
        <f>'Weather Data'!Q177</f>
        <v>404.30000000000007</v>
      </c>
      <c r="AO81" s="100">
        <f>'Weather Data'!R177</f>
        <v>21.041935483870965</v>
      </c>
      <c r="AP81" s="5">
        <f>'Economic Data'!D47</f>
        <v>6896.8</v>
      </c>
      <c r="AQ81" s="5">
        <f>'Economic Data'!E47</f>
        <v>7000.2</v>
      </c>
      <c r="AR81" s="5">
        <f>'Economic Data'!F47</f>
        <v>158.4</v>
      </c>
      <c r="AS81" s="5">
        <f>'Economic Data'!G47</f>
        <v>160.19999999999999</v>
      </c>
      <c r="AT81" s="5">
        <f>'Economic Data'!H47</f>
        <v>727609.6</v>
      </c>
      <c r="AU81" s="5">
        <f>'Economic Data'!I47</f>
        <v>6877.7</v>
      </c>
      <c r="AV81" s="5">
        <f>'Economic Data'!J47</f>
        <v>5851.5</v>
      </c>
      <c r="AW81" s="5">
        <f>'Economic Data'!K47</f>
        <v>4285.8999999999996</v>
      </c>
      <c r="AX81" s="5">
        <f>'Economic Data'!L47</f>
        <v>946.1</v>
      </c>
      <c r="AY81" s="5">
        <f>'Economic Data'!M47</f>
        <v>506</v>
      </c>
      <c r="AZ81" s="5">
        <f>'Economic Data'!N47</f>
        <v>7729.3</v>
      </c>
      <c r="BA81" s="5">
        <f>'Economic Data'!O47</f>
        <v>10.199999999999999</v>
      </c>
      <c r="BB81" s="5">
        <f>'Economic Data'!P47</f>
        <v>143.30000000000001</v>
      </c>
      <c r="BC81" s="5">
        <f>'Economic Data'!Q47</f>
        <v>730341</v>
      </c>
      <c r="BD81" s="5">
        <f>'Economic Data'!R47</f>
        <v>6908</v>
      </c>
      <c r="BE81" s="5">
        <f>'Economic Data'!S47</f>
        <v>3648</v>
      </c>
      <c r="BF81" s="5">
        <f>'Economic Data'!T47</f>
        <v>13213</v>
      </c>
      <c r="BG81" s="5">
        <v>0</v>
      </c>
      <c r="BH81" s="5">
        <v>0</v>
      </c>
      <c r="BI81" s="5">
        <v>0</v>
      </c>
      <c r="BJ81" s="5">
        <f t="shared" si="52"/>
        <v>32</v>
      </c>
      <c r="BK81" s="70">
        <f t="shared" si="53"/>
        <v>1.505149978319906</v>
      </c>
      <c r="BL81" s="5">
        <f t="shared" si="54"/>
        <v>1024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1</v>
      </c>
      <c r="BU81">
        <v>0</v>
      </c>
      <c r="BV81">
        <v>0</v>
      </c>
      <c r="BW81">
        <v>0</v>
      </c>
      <c r="BX81">
        <v>0</v>
      </c>
      <c r="BY81">
        <f t="shared" si="51"/>
        <v>0</v>
      </c>
      <c r="BZ81">
        <f t="shared" si="51"/>
        <v>0</v>
      </c>
      <c r="CA81">
        <f t="shared" si="55"/>
        <v>0</v>
      </c>
      <c r="CB81">
        <v>31</v>
      </c>
      <c r="CC81">
        <v>20</v>
      </c>
      <c r="CD81">
        <v>0</v>
      </c>
      <c r="CE81">
        <v>0</v>
      </c>
      <c r="CF81">
        <f t="shared" si="47"/>
        <v>0</v>
      </c>
      <c r="CG81">
        <v>0</v>
      </c>
      <c r="CH81" s="64">
        <f t="shared" si="10"/>
        <v>0</v>
      </c>
      <c r="CI81" s="64">
        <f t="shared" si="11"/>
        <v>0</v>
      </c>
      <c r="CJ81" s="64">
        <f t="shared" si="12"/>
        <v>0</v>
      </c>
      <c r="CK81" s="64">
        <f t="shared" si="13"/>
        <v>0</v>
      </c>
      <c r="CL81" s="64">
        <f t="shared" si="14"/>
        <v>0</v>
      </c>
      <c r="CM81" s="64">
        <f t="shared" si="15"/>
        <v>0</v>
      </c>
      <c r="CN81" s="64">
        <f t="shared" si="16"/>
        <v>0</v>
      </c>
      <c r="CO81" s="64">
        <f t="shared" si="17"/>
        <v>0</v>
      </c>
      <c r="CP81" s="64">
        <f t="shared" si="18"/>
        <v>0</v>
      </c>
      <c r="CQ81" s="64">
        <f t="shared" si="19"/>
        <v>0</v>
      </c>
      <c r="CR81" s="64">
        <f t="shared" si="20"/>
        <v>0</v>
      </c>
      <c r="CS81" s="64">
        <f t="shared" si="21"/>
        <v>0</v>
      </c>
      <c r="CT81" s="64">
        <f t="shared" si="22"/>
        <v>0</v>
      </c>
      <c r="CU81" s="64">
        <f t="shared" si="23"/>
        <v>0</v>
      </c>
      <c r="CV81" s="69">
        <f t="shared" si="24"/>
        <v>34.261589576801178</v>
      </c>
      <c r="CW81" s="69">
        <f t="shared" si="25"/>
        <v>1032.8619229323117</v>
      </c>
      <c r="CX81" s="69">
        <f t="shared" si="45"/>
        <v>3958.412109565003</v>
      </c>
      <c r="CY81" s="69">
        <f t="shared" si="26"/>
        <v>29630.708333333332</v>
      </c>
      <c r="CZ81" s="64">
        <f t="shared" si="46"/>
        <v>2553.8142642354856</v>
      </c>
      <c r="DA81" s="64">
        <f t="shared" si="27"/>
        <v>19116.586021505376</v>
      </c>
      <c r="DB81">
        <f t="shared" si="28"/>
        <v>0</v>
      </c>
      <c r="DC81">
        <f t="shared" si="29"/>
        <v>0</v>
      </c>
      <c r="DD81">
        <f t="shared" si="30"/>
        <v>0</v>
      </c>
      <c r="DE81">
        <f t="shared" si="31"/>
        <v>0</v>
      </c>
      <c r="DF81">
        <f t="shared" si="32"/>
        <v>0</v>
      </c>
      <c r="DG81">
        <f t="shared" si="33"/>
        <v>0</v>
      </c>
      <c r="DH81">
        <f t="shared" si="34"/>
        <v>0</v>
      </c>
      <c r="DI81">
        <f t="shared" si="35"/>
        <v>0</v>
      </c>
      <c r="DJ81">
        <f t="shared" si="36"/>
        <v>0</v>
      </c>
      <c r="DK81">
        <f t="shared" si="37"/>
        <v>0</v>
      </c>
      <c r="DL81">
        <f t="shared" si="38"/>
        <v>0</v>
      </c>
      <c r="DM81">
        <f t="shared" si="39"/>
        <v>0</v>
      </c>
      <c r="DN81">
        <f t="shared" si="40"/>
        <v>0</v>
      </c>
      <c r="DO81">
        <f t="shared" si="41"/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</row>
    <row r="82" spans="1:124" s="2" customFormat="1">
      <c r="A82" s="3">
        <v>42248</v>
      </c>
      <c r="B82">
        <f t="shared" si="48"/>
        <v>2015</v>
      </c>
      <c r="C82" s="2">
        <v>22310368</v>
      </c>
      <c r="D82" s="2">
        <f>VLOOKUP(B82,'Historic CDM'!$B$135:$H$146,2,FALSE)/12</f>
        <v>335044.72340367432</v>
      </c>
      <c r="E82" s="2">
        <f t="shared" si="7"/>
        <v>22645412.723403674</v>
      </c>
      <c r="F82" s="5">
        <v>26902</v>
      </c>
      <c r="G82" s="219">
        <v>5626650</v>
      </c>
      <c r="H82" s="2">
        <f>VLOOKUP(B82,'Historic CDM'!$B$135:$H$147,3,FALSE)/12</f>
        <v>554198.2771220546</v>
      </c>
      <c r="I82" s="2">
        <f t="shared" si="8"/>
        <v>6180848.2771220542</v>
      </c>
      <c r="J82" s="220">
        <v>1939</v>
      </c>
      <c r="K82" s="219">
        <v>16858792</v>
      </c>
      <c r="L82" s="2">
        <f>VLOOKUP(B82,'Historic CDM'!$B$135:$H$146,4,FALSE)/12</f>
        <v>605691.5867469128</v>
      </c>
      <c r="M82" s="2">
        <f t="shared" si="50"/>
        <v>17464483.586746912</v>
      </c>
      <c r="N82" s="222">
        <v>45384</v>
      </c>
      <c r="O82" s="5">
        <v>221</v>
      </c>
      <c r="P82" s="220">
        <v>491517</v>
      </c>
      <c r="Q82" s="2">
        <v>1577</v>
      </c>
      <c r="R82" s="5">
        <v>2695</v>
      </c>
      <c r="S82" s="220">
        <v>28946</v>
      </c>
      <c r="T82" s="2">
        <v>73</v>
      </c>
      <c r="U82" s="5">
        <v>174</v>
      </c>
      <c r="V82" s="221">
        <v>129846</v>
      </c>
      <c r="W82" s="1">
        <v>141</v>
      </c>
      <c r="X82" s="2">
        <v>3226818</v>
      </c>
      <c r="Y82" s="2">
        <v>9209</v>
      </c>
      <c r="Z82" s="5">
        <v>6</v>
      </c>
      <c r="AA82" s="100">
        <f>'Weather Data'!D178</f>
        <v>51.3</v>
      </c>
      <c r="AB82" s="100">
        <f>'Weather Data'!E178</f>
        <v>38.599999999999994</v>
      </c>
      <c r="AC82" s="100">
        <f>'Weather Data'!F178</f>
        <v>23.099999999999998</v>
      </c>
      <c r="AD82" s="100">
        <f>'Weather Data'!G178</f>
        <v>70.400000000000006</v>
      </c>
      <c r="AE82" s="100">
        <f>'Weather Data'!H178</f>
        <v>7.2999999999999972</v>
      </c>
      <c r="AF82" s="100">
        <f>'Weather Data'!I178</f>
        <v>114.6</v>
      </c>
      <c r="AG82" s="100">
        <f>'Weather Data'!J178</f>
        <v>0.19999999999999929</v>
      </c>
      <c r="AH82" s="100">
        <f>'Weather Data'!K178</f>
        <v>167.50000000000003</v>
      </c>
      <c r="AI82" s="100">
        <f>'Weather Data'!L178</f>
        <v>0</v>
      </c>
      <c r="AJ82" s="100">
        <f>'Weather Data'!M178</f>
        <v>227.30000000000007</v>
      </c>
      <c r="AK82" s="100">
        <f>'Weather Data'!N178</f>
        <v>0</v>
      </c>
      <c r="AL82" s="100">
        <f>'Weather Data'!O178</f>
        <v>287.30000000000007</v>
      </c>
      <c r="AM82" s="100">
        <f>'Weather Data'!P178</f>
        <v>0</v>
      </c>
      <c r="AN82" s="100">
        <f>'Weather Data'!Q178</f>
        <v>347.30000000000013</v>
      </c>
      <c r="AO82" s="100">
        <f>'Weather Data'!R178</f>
        <v>19.576666666666668</v>
      </c>
      <c r="AP82" s="5">
        <f>'Economic Data'!D48</f>
        <v>6893.1</v>
      </c>
      <c r="AQ82" s="5">
        <f>'Economic Data'!E48</f>
        <v>6953.7</v>
      </c>
      <c r="AR82" s="5">
        <f>'Economic Data'!F48</f>
        <v>154.69999999999999</v>
      </c>
      <c r="AS82" s="5">
        <f>'Economic Data'!G48</f>
        <v>155.69999999999999</v>
      </c>
      <c r="AT82" s="5">
        <f>'Economic Data'!H48</f>
        <v>727609.6</v>
      </c>
      <c r="AU82" s="5">
        <f>'Economic Data'!I48</f>
        <v>6877.7</v>
      </c>
      <c r="AV82" s="5">
        <f>'Economic Data'!J48</f>
        <v>5851.5</v>
      </c>
      <c r="AW82" s="5">
        <f>'Economic Data'!K48</f>
        <v>4285.8999999999996</v>
      </c>
      <c r="AX82" s="5">
        <f>'Economic Data'!L48</f>
        <v>946.1</v>
      </c>
      <c r="AY82" s="5">
        <f>'Economic Data'!M48</f>
        <v>506</v>
      </c>
      <c r="AZ82" s="5">
        <f>'Economic Data'!N48</f>
        <v>7729.3</v>
      </c>
      <c r="BA82" s="5">
        <f>'Economic Data'!O48</f>
        <v>10.199999999999999</v>
      </c>
      <c r="BB82" s="5">
        <f>'Economic Data'!P48</f>
        <v>143.30000000000001</v>
      </c>
      <c r="BC82" s="5">
        <f>'Economic Data'!Q48</f>
        <v>730341</v>
      </c>
      <c r="BD82" s="5">
        <f>'Economic Data'!R48</f>
        <v>6908</v>
      </c>
      <c r="BE82" s="5">
        <f>'Economic Data'!S48</f>
        <v>3648</v>
      </c>
      <c r="BF82" s="5">
        <f>'Economic Data'!T48</f>
        <v>13213</v>
      </c>
      <c r="BG82" s="5">
        <v>0</v>
      </c>
      <c r="BH82" s="5">
        <v>0</v>
      </c>
      <c r="BI82" s="5">
        <v>0</v>
      </c>
      <c r="BJ82" s="5">
        <f t="shared" si="52"/>
        <v>33</v>
      </c>
      <c r="BK82" s="70">
        <f t="shared" si="53"/>
        <v>1.5185139398778875</v>
      </c>
      <c r="BL82" s="5">
        <f t="shared" si="54"/>
        <v>1089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1</v>
      </c>
      <c r="BV82">
        <v>0</v>
      </c>
      <c r="BW82">
        <v>0</v>
      </c>
      <c r="BX82">
        <v>0</v>
      </c>
      <c r="BY82">
        <f t="shared" si="51"/>
        <v>0</v>
      </c>
      <c r="BZ82">
        <f t="shared" si="51"/>
        <v>0</v>
      </c>
      <c r="CA82">
        <f t="shared" si="55"/>
        <v>0</v>
      </c>
      <c r="CB82">
        <v>30</v>
      </c>
      <c r="CC82">
        <v>21</v>
      </c>
      <c r="CD82">
        <v>0</v>
      </c>
      <c r="CE82">
        <v>0</v>
      </c>
      <c r="CF82">
        <f t="shared" si="47"/>
        <v>0</v>
      </c>
      <c r="CG82">
        <v>0</v>
      </c>
      <c r="CH82" s="64">
        <f t="shared" ref="CH82:CH113" si="56">AA82*$CD82</f>
        <v>0</v>
      </c>
      <c r="CI82" s="64">
        <f t="shared" ref="CI82:CI113" si="57">AB82*$CD82</f>
        <v>0</v>
      </c>
      <c r="CJ82" s="64">
        <f t="shared" ref="CJ82:CJ113" si="58">AC82*$CD82</f>
        <v>0</v>
      </c>
      <c r="CK82" s="64">
        <f t="shared" ref="CK82:CK113" si="59">AD82*$CD82</f>
        <v>0</v>
      </c>
      <c r="CL82" s="64">
        <f t="shared" ref="CL82:CL113" si="60">AE82*$CD82</f>
        <v>0</v>
      </c>
      <c r="CM82" s="64">
        <f t="shared" ref="CM82:CM113" si="61">AF82*$CD82</f>
        <v>0</v>
      </c>
      <c r="CN82" s="64">
        <f t="shared" ref="CN82:CN113" si="62">AG82*$CD82</f>
        <v>0</v>
      </c>
      <c r="CO82" s="64">
        <f t="shared" ref="CO82:CO113" si="63">AH82*$CD82</f>
        <v>0</v>
      </c>
      <c r="CP82" s="64">
        <f t="shared" ref="CP82:CP113" si="64">AI82*$CD82</f>
        <v>0</v>
      </c>
      <c r="CQ82" s="64">
        <f t="shared" ref="CQ82:CQ113" si="65">AJ82*$CD82</f>
        <v>0</v>
      </c>
      <c r="CR82" s="64">
        <f t="shared" ref="CR82:CR113" si="66">AK82*$CD82</f>
        <v>0</v>
      </c>
      <c r="CS82" s="64">
        <f t="shared" ref="CS82:CS113" si="67">AL82*$CD82</f>
        <v>0</v>
      </c>
      <c r="CT82" s="64">
        <f t="shared" ref="CT82:CT113" si="68">AM82*$CD82</f>
        <v>0</v>
      </c>
      <c r="CU82" s="64">
        <f t="shared" ref="CU82:CU113" si="69">AN82*$CD82</f>
        <v>0</v>
      </c>
      <c r="CV82" s="69">
        <f t="shared" ref="CV82:CV113" si="70">E82/$CB82/F82</f>
        <v>28.059143958818023</v>
      </c>
      <c r="CW82" s="69">
        <f t="shared" ref="CW82:CW113" si="71">I82/$CB82/O82</f>
        <v>932.25464209985728</v>
      </c>
      <c r="CX82" s="69">
        <f t="shared" si="45"/>
        <v>3763.086314748311</v>
      </c>
      <c r="CY82" s="69">
        <f t="shared" ref="CY82:CY113" si="72">X82/$CC82/Z82</f>
        <v>25609.666666666668</v>
      </c>
      <c r="CZ82" s="64">
        <f t="shared" si="46"/>
        <v>2634.160420323818</v>
      </c>
      <c r="DA82" s="64">
        <f t="shared" ref="DA82:DA113" si="73">X82/$CB82/Z82</f>
        <v>17926.766666666666</v>
      </c>
      <c r="DB82">
        <f t="shared" ref="DB82:DB113" si="74">$CF82*AA82</f>
        <v>0</v>
      </c>
      <c r="DC82">
        <f t="shared" ref="DC82:DC113" si="75">$CF82*AB82</f>
        <v>0</v>
      </c>
      <c r="DD82">
        <f t="shared" ref="DD82:DD113" si="76">$CF82*AC82</f>
        <v>0</v>
      </c>
      <c r="DE82">
        <f t="shared" ref="DE82:DE113" si="77">$CF82*AD82</f>
        <v>0</v>
      </c>
      <c r="DF82">
        <f t="shared" ref="DF82:DF113" si="78">$CF82*AE82</f>
        <v>0</v>
      </c>
      <c r="DG82">
        <f t="shared" ref="DG82:DG113" si="79">$CF82*AF82</f>
        <v>0</v>
      </c>
      <c r="DH82">
        <f t="shared" ref="DH82:DH113" si="80">$CF82*AG82</f>
        <v>0</v>
      </c>
      <c r="DI82">
        <f t="shared" ref="DI82:DI113" si="81">$CF82*AH82</f>
        <v>0</v>
      </c>
      <c r="DJ82">
        <f t="shared" ref="DJ82:DJ113" si="82">$CF82*AI82</f>
        <v>0</v>
      </c>
      <c r="DK82">
        <f t="shared" ref="DK82:DK113" si="83">$CF82*AJ82</f>
        <v>0</v>
      </c>
      <c r="DL82">
        <f t="shared" ref="DL82:DL113" si="84">$CF82*AK82</f>
        <v>0</v>
      </c>
      <c r="DM82">
        <f t="shared" ref="DM82:DM113" si="85">$CF82*AL82</f>
        <v>0</v>
      </c>
      <c r="DN82">
        <f t="shared" ref="DN82:DN113" si="86">$CF82*AM82</f>
        <v>0</v>
      </c>
      <c r="DO82">
        <f t="shared" ref="DO82:DO113" si="87">$CF82*AN82</f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</row>
    <row r="83" spans="1:124" s="2" customFormat="1">
      <c r="A83" s="3">
        <v>42278</v>
      </c>
      <c r="B83">
        <f t="shared" si="48"/>
        <v>2015</v>
      </c>
      <c r="C83" s="2">
        <v>16809564</v>
      </c>
      <c r="D83" s="2">
        <f>VLOOKUP(B83,'Historic CDM'!$B$135:$H$146,2,FALSE)/12</f>
        <v>335044.72340367432</v>
      </c>
      <c r="E83" s="2">
        <f t="shared" si="7"/>
        <v>17144608.723403674</v>
      </c>
      <c r="F83" s="5">
        <v>27019</v>
      </c>
      <c r="G83" s="219">
        <v>5022855</v>
      </c>
      <c r="H83" s="2">
        <f>VLOOKUP(B83,'Historic CDM'!$B$135:$H$147,3,FALSE)/12</f>
        <v>554198.2771220546</v>
      </c>
      <c r="I83" s="2">
        <f t="shared" si="8"/>
        <v>5577053.2771220542</v>
      </c>
      <c r="J83" s="220">
        <v>1947</v>
      </c>
      <c r="K83" s="219">
        <v>14885840</v>
      </c>
      <c r="L83" s="2">
        <f>VLOOKUP(B83,'Historic CDM'!$B$135:$H$146,4,FALSE)/12</f>
        <v>605691.5867469128</v>
      </c>
      <c r="M83" s="2">
        <f t="shared" si="50"/>
        <v>15491531.586746912</v>
      </c>
      <c r="N83" s="222">
        <v>32316</v>
      </c>
      <c r="O83" s="5">
        <v>212</v>
      </c>
      <c r="P83" s="220">
        <v>569457</v>
      </c>
      <c r="Q83" s="2">
        <v>668</v>
      </c>
      <c r="R83" s="5">
        <v>2695</v>
      </c>
      <c r="S83" s="220">
        <v>27826</v>
      </c>
      <c r="T83" s="2">
        <v>73</v>
      </c>
      <c r="U83" s="5">
        <v>174</v>
      </c>
      <c r="V83" s="221">
        <v>129846</v>
      </c>
      <c r="W83" s="1">
        <v>141</v>
      </c>
      <c r="X83" s="2">
        <v>2870641</v>
      </c>
      <c r="Y83" s="2">
        <v>7009</v>
      </c>
      <c r="Z83" s="5">
        <v>6</v>
      </c>
      <c r="AA83" s="100">
        <f>'Weather Data'!D179</f>
        <v>255.50000000000003</v>
      </c>
      <c r="AB83" s="100">
        <f>'Weather Data'!E179</f>
        <v>0</v>
      </c>
      <c r="AC83" s="100">
        <f>'Weather Data'!F179</f>
        <v>194.50000000000003</v>
      </c>
      <c r="AD83" s="100">
        <f>'Weather Data'!G179</f>
        <v>1</v>
      </c>
      <c r="AE83" s="100">
        <f>'Weather Data'!H179</f>
        <v>138.6</v>
      </c>
      <c r="AF83" s="100">
        <f>'Weather Data'!I179</f>
        <v>7.0999999999999979</v>
      </c>
      <c r="AG83" s="100">
        <f>'Weather Data'!J179</f>
        <v>92.5</v>
      </c>
      <c r="AH83" s="100">
        <f>'Weather Data'!K179</f>
        <v>22.999999999999996</v>
      </c>
      <c r="AI83" s="100">
        <f>'Weather Data'!L179</f>
        <v>52.9</v>
      </c>
      <c r="AJ83" s="100">
        <f>'Weather Data'!M179</f>
        <v>45.4</v>
      </c>
      <c r="AK83" s="100">
        <f>'Weather Data'!N179</f>
        <v>23.499999999999996</v>
      </c>
      <c r="AL83" s="100">
        <f>'Weather Data'!O179</f>
        <v>78</v>
      </c>
      <c r="AM83" s="100">
        <f>'Weather Data'!P179</f>
        <v>8.1999999999999993</v>
      </c>
      <c r="AN83" s="100">
        <f>'Weather Data'!Q179</f>
        <v>124.7</v>
      </c>
      <c r="AO83" s="100">
        <f>'Weather Data'!R179</f>
        <v>11.758064516129032</v>
      </c>
      <c r="AP83" s="5">
        <f>'Economic Data'!D49</f>
        <v>6892.9</v>
      </c>
      <c r="AQ83" s="5">
        <f>'Economic Data'!E49</f>
        <v>6932.8</v>
      </c>
      <c r="AR83" s="5">
        <f>'Economic Data'!F49</f>
        <v>153.1</v>
      </c>
      <c r="AS83" s="5">
        <f>'Economic Data'!G49</f>
        <v>154.19999999999999</v>
      </c>
      <c r="AT83" s="5">
        <f>'Economic Data'!H49</f>
        <v>727609.6</v>
      </c>
      <c r="AU83" s="5">
        <f>'Economic Data'!I49</f>
        <v>6877.7</v>
      </c>
      <c r="AV83" s="5">
        <f>'Economic Data'!J49</f>
        <v>5851.5</v>
      </c>
      <c r="AW83" s="5">
        <f>'Economic Data'!K49</f>
        <v>4285.8999999999996</v>
      </c>
      <c r="AX83" s="5">
        <f>'Economic Data'!L49</f>
        <v>946.1</v>
      </c>
      <c r="AY83" s="5">
        <f>'Economic Data'!M49</f>
        <v>506</v>
      </c>
      <c r="AZ83" s="5">
        <f>'Economic Data'!N49</f>
        <v>7729.3</v>
      </c>
      <c r="BA83" s="5">
        <f>'Economic Data'!O49</f>
        <v>10.199999999999999</v>
      </c>
      <c r="BB83" s="5">
        <f>'Economic Data'!P49</f>
        <v>143.30000000000001</v>
      </c>
      <c r="BC83" s="5">
        <f>'Economic Data'!Q49</f>
        <v>737784</v>
      </c>
      <c r="BD83" s="5">
        <f>'Economic Data'!R49</f>
        <v>6947</v>
      </c>
      <c r="BE83" s="5">
        <f>'Economic Data'!S49</f>
        <v>3381</v>
      </c>
      <c r="BF83" s="5">
        <f>'Economic Data'!T49</f>
        <v>14040</v>
      </c>
      <c r="BG83" s="5">
        <v>0</v>
      </c>
      <c r="BH83" s="5">
        <v>0</v>
      </c>
      <c r="BI83" s="5">
        <v>0</v>
      </c>
      <c r="BJ83" s="5">
        <f t="shared" si="52"/>
        <v>34</v>
      </c>
      <c r="BK83" s="70">
        <f t="shared" si="53"/>
        <v>1.5314789170422551</v>
      </c>
      <c r="BL83" s="5">
        <f t="shared" si="54"/>
        <v>1156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1</v>
      </c>
      <c r="BW83">
        <v>0</v>
      </c>
      <c r="BX83">
        <v>0</v>
      </c>
      <c r="BY83">
        <f t="shared" si="51"/>
        <v>0</v>
      </c>
      <c r="BZ83">
        <f t="shared" si="51"/>
        <v>1</v>
      </c>
      <c r="CA83">
        <f t="shared" si="55"/>
        <v>1</v>
      </c>
      <c r="CB83">
        <v>31</v>
      </c>
      <c r="CC83">
        <v>21</v>
      </c>
      <c r="CD83">
        <v>0</v>
      </c>
      <c r="CE83">
        <v>0</v>
      </c>
      <c r="CF83">
        <f t="shared" si="47"/>
        <v>0</v>
      </c>
      <c r="CG83">
        <v>0</v>
      </c>
      <c r="CH83" s="64">
        <f t="shared" si="56"/>
        <v>0</v>
      </c>
      <c r="CI83" s="64">
        <f t="shared" si="57"/>
        <v>0</v>
      </c>
      <c r="CJ83" s="64">
        <f t="shared" si="58"/>
        <v>0</v>
      </c>
      <c r="CK83" s="64">
        <f t="shared" si="59"/>
        <v>0</v>
      </c>
      <c r="CL83" s="64">
        <f t="shared" si="60"/>
        <v>0</v>
      </c>
      <c r="CM83" s="64">
        <f t="shared" si="61"/>
        <v>0</v>
      </c>
      <c r="CN83" s="64">
        <f t="shared" si="62"/>
        <v>0</v>
      </c>
      <c r="CO83" s="64">
        <f t="shared" si="63"/>
        <v>0</v>
      </c>
      <c r="CP83" s="64">
        <f t="shared" si="64"/>
        <v>0</v>
      </c>
      <c r="CQ83" s="64">
        <f t="shared" si="65"/>
        <v>0</v>
      </c>
      <c r="CR83" s="64">
        <f t="shared" si="66"/>
        <v>0</v>
      </c>
      <c r="CS83" s="64">
        <f t="shared" si="67"/>
        <v>0</v>
      </c>
      <c r="CT83" s="64">
        <f t="shared" si="68"/>
        <v>0</v>
      </c>
      <c r="CU83" s="64">
        <f t="shared" si="69"/>
        <v>0</v>
      </c>
      <c r="CV83" s="69">
        <f t="shared" si="70"/>
        <v>20.468999382040206</v>
      </c>
      <c r="CW83" s="69">
        <f t="shared" si="71"/>
        <v>848.60822841175502</v>
      </c>
      <c r="CX83" s="69">
        <f t="shared" si="45"/>
        <v>3479.6791524588753</v>
      </c>
      <c r="CY83" s="69">
        <f t="shared" si="72"/>
        <v>22782.865079365078</v>
      </c>
      <c r="CZ83" s="64">
        <f t="shared" si="46"/>
        <v>2357.2020065043994</v>
      </c>
      <c r="DA83" s="64">
        <f t="shared" si="73"/>
        <v>15433.553763440861</v>
      </c>
      <c r="DB83">
        <f t="shared" si="74"/>
        <v>0</v>
      </c>
      <c r="DC83">
        <f t="shared" si="75"/>
        <v>0</v>
      </c>
      <c r="DD83">
        <f t="shared" si="76"/>
        <v>0</v>
      </c>
      <c r="DE83">
        <f t="shared" si="77"/>
        <v>0</v>
      </c>
      <c r="DF83">
        <f t="shared" si="78"/>
        <v>0</v>
      </c>
      <c r="DG83">
        <f t="shared" si="79"/>
        <v>0</v>
      </c>
      <c r="DH83">
        <f t="shared" si="80"/>
        <v>0</v>
      </c>
      <c r="DI83">
        <f t="shared" si="81"/>
        <v>0</v>
      </c>
      <c r="DJ83">
        <f t="shared" si="82"/>
        <v>0</v>
      </c>
      <c r="DK83">
        <f t="shared" si="83"/>
        <v>0</v>
      </c>
      <c r="DL83">
        <f t="shared" si="84"/>
        <v>0</v>
      </c>
      <c r="DM83">
        <f t="shared" si="85"/>
        <v>0</v>
      </c>
      <c r="DN83">
        <f t="shared" si="86"/>
        <v>0</v>
      </c>
      <c r="DO83">
        <f t="shared" si="87"/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</row>
    <row r="84" spans="1:124" s="2" customFormat="1">
      <c r="A84" s="3">
        <v>42309</v>
      </c>
      <c r="B84">
        <f t="shared" si="48"/>
        <v>2015</v>
      </c>
      <c r="C84" s="2">
        <v>16511878</v>
      </c>
      <c r="D84" s="2">
        <f>VLOOKUP(B84,'Historic CDM'!$B$135:$H$146,2,FALSE)/12</f>
        <v>335044.72340367432</v>
      </c>
      <c r="E84" s="2">
        <f t="shared" si="7"/>
        <v>16846922.723403674</v>
      </c>
      <c r="F84" s="5">
        <v>26903</v>
      </c>
      <c r="G84" s="219">
        <v>4846877</v>
      </c>
      <c r="H84" s="2">
        <f>VLOOKUP(B84,'Historic CDM'!$B$135:$H$147,3,FALSE)/12</f>
        <v>554198.2771220546</v>
      </c>
      <c r="I84" s="2">
        <f t="shared" si="8"/>
        <v>5401075.2771220542</v>
      </c>
      <c r="J84" s="220">
        <v>1937</v>
      </c>
      <c r="K84" s="219">
        <v>14269209</v>
      </c>
      <c r="L84" s="2">
        <f>VLOOKUP(B84,'Historic CDM'!$B$135:$H$146,4,FALSE)/12</f>
        <v>605691.5867469128</v>
      </c>
      <c r="M84" s="2">
        <f t="shared" si="50"/>
        <v>14874900.586746912</v>
      </c>
      <c r="N84" s="222">
        <v>35928</v>
      </c>
      <c r="O84" s="5">
        <v>214</v>
      </c>
      <c r="P84" s="220">
        <v>612028</v>
      </c>
      <c r="Q84" s="2">
        <v>1579</v>
      </c>
      <c r="R84" s="5">
        <v>2698</v>
      </c>
      <c r="S84" s="220">
        <v>26973</v>
      </c>
      <c r="T84" s="2">
        <v>73</v>
      </c>
      <c r="U84" s="5">
        <v>173</v>
      </c>
      <c r="V84" s="221">
        <v>129846</v>
      </c>
      <c r="W84" s="1">
        <v>141</v>
      </c>
      <c r="X84" s="2">
        <v>2607047</v>
      </c>
      <c r="Y84" s="2">
        <v>6169</v>
      </c>
      <c r="Z84" s="5">
        <v>4</v>
      </c>
      <c r="AA84" s="100">
        <f>'Weather Data'!D180</f>
        <v>385.2</v>
      </c>
      <c r="AB84" s="100">
        <f>'Weather Data'!E180</f>
        <v>0</v>
      </c>
      <c r="AC84" s="100">
        <f>'Weather Data'!F180</f>
        <v>325.2</v>
      </c>
      <c r="AD84" s="100">
        <f>'Weather Data'!G180</f>
        <v>0</v>
      </c>
      <c r="AE84" s="100">
        <f>'Weather Data'!H180</f>
        <v>266.09999999999997</v>
      </c>
      <c r="AF84" s="100">
        <f>'Weather Data'!I180</f>
        <v>0.89999999999999858</v>
      </c>
      <c r="AG84" s="100">
        <f>'Weather Data'!J180</f>
        <v>210.49999999999997</v>
      </c>
      <c r="AH84" s="100">
        <f>'Weather Data'!K180</f>
        <v>5.2999999999999972</v>
      </c>
      <c r="AI84" s="100">
        <f>'Weather Data'!L180</f>
        <v>160.4</v>
      </c>
      <c r="AJ84" s="100">
        <f>'Weather Data'!M180</f>
        <v>15.199999999999998</v>
      </c>
      <c r="AK84" s="100">
        <f>'Weather Data'!N180</f>
        <v>114.4</v>
      </c>
      <c r="AL84" s="100">
        <f>'Weather Data'!O180</f>
        <v>29.199999999999992</v>
      </c>
      <c r="AM84" s="100">
        <f>'Weather Data'!P180</f>
        <v>77.900000000000006</v>
      </c>
      <c r="AN84" s="100">
        <f>'Weather Data'!Q180</f>
        <v>52.699999999999989</v>
      </c>
      <c r="AO84" s="100">
        <f>'Weather Data'!R180</f>
        <v>7.16</v>
      </c>
      <c r="AP84" s="5">
        <f>'Economic Data'!D50</f>
        <v>6886.2</v>
      </c>
      <c r="AQ84" s="5">
        <f>'Economic Data'!E50</f>
        <v>6898.2</v>
      </c>
      <c r="AR84" s="5">
        <f>'Economic Data'!F50</f>
        <v>153.4</v>
      </c>
      <c r="AS84" s="5">
        <f>'Economic Data'!G50</f>
        <v>154.4</v>
      </c>
      <c r="AT84" s="5">
        <f>'Economic Data'!H50</f>
        <v>727609.6</v>
      </c>
      <c r="AU84" s="5">
        <f>'Economic Data'!I50</f>
        <v>6877.7</v>
      </c>
      <c r="AV84" s="5">
        <f>'Economic Data'!J50</f>
        <v>5851.5</v>
      </c>
      <c r="AW84" s="5">
        <f>'Economic Data'!K50</f>
        <v>4285.8999999999996</v>
      </c>
      <c r="AX84" s="5">
        <f>'Economic Data'!L50</f>
        <v>946.1</v>
      </c>
      <c r="AY84" s="5">
        <f>'Economic Data'!M50</f>
        <v>506</v>
      </c>
      <c r="AZ84" s="5">
        <f>'Economic Data'!N50</f>
        <v>7729.3</v>
      </c>
      <c r="BA84" s="5">
        <f>'Economic Data'!O50</f>
        <v>10.199999999999999</v>
      </c>
      <c r="BB84" s="5">
        <f>'Economic Data'!P50</f>
        <v>143.30000000000001</v>
      </c>
      <c r="BC84" s="5">
        <f>'Economic Data'!Q50</f>
        <v>737784</v>
      </c>
      <c r="BD84" s="5">
        <f>'Economic Data'!R50</f>
        <v>6947</v>
      </c>
      <c r="BE84" s="5">
        <f>'Economic Data'!S50</f>
        <v>3381</v>
      </c>
      <c r="BF84" s="5">
        <f>'Economic Data'!T50</f>
        <v>14040</v>
      </c>
      <c r="BG84" s="5">
        <v>0</v>
      </c>
      <c r="BH84" s="5">
        <v>0</v>
      </c>
      <c r="BI84" s="5">
        <v>0</v>
      </c>
      <c r="BJ84" s="5">
        <f t="shared" si="52"/>
        <v>35</v>
      </c>
      <c r="BK84" s="70">
        <f t="shared" si="53"/>
        <v>1.5440680443502757</v>
      </c>
      <c r="BL84" s="5">
        <f t="shared" si="54"/>
        <v>1225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1</v>
      </c>
      <c r="BX84">
        <v>0</v>
      </c>
      <c r="BY84">
        <f t="shared" si="51"/>
        <v>0</v>
      </c>
      <c r="BZ84">
        <f t="shared" si="51"/>
        <v>1</v>
      </c>
      <c r="CA84">
        <f t="shared" si="55"/>
        <v>1</v>
      </c>
      <c r="CB84">
        <v>30</v>
      </c>
      <c r="CC84">
        <v>21</v>
      </c>
      <c r="CD84">
        <v>0</v>
      </c>
      <c r="CE84">
        <v>0</v>
      </c>
      <c r="CF84">
        <f t="shared" si="47"/>
        <v>0</v>
      </c>
      <c r="CG84">
        <v>0</v>
      </c>
      <c r="CH84" s="64">
        <f t="shared" si="56"/>
        <v>0</v>
      </c>
      <c r="CI84" s="64">
        <f t="shared" si="57"/>
        <v>0</v>
      </c>
      <c r="CJ84" s="64">
        <f t="shared" si="58"/>
        <v>0</v>
      </c>
      <c r="CK84" s="64">
        <f t="shared" si="59"/>
        <v>0</v>
      </c>
      <c r="CL84" s="64">
        <f t="shared" si="60"/>
        <v>0</v>
      </c>
      <c r="CM84" s="64">
        <f t="shared" si="61"/>
        <v>0</v>
      </c>
      <c r="CN84" s="64">
        <f t="shared" si="62"/>
        <v>0</v>
      </c>
      <c r="CO84" s="64">
        <f t="shared" si="63"/>
        <v>0</v>
      </c>
      <c r="CP84" s="64">
        <f t="shared" si="64"/>
        <v>0</v>
      </c>
      <c r="CQ84" s="64">
        <f t="shared" si="65"/>
        <v>0</v>
      </c>
      <c r="CR84" s="64">
        <f t="shared" si="66"/>
        <v>0</v>
      </c>
      <c r="CS84" s="64">
        <f t="shared" si="67"/>
        <v>0</v>
      </c>
      <c r="CT84" s="64">
        <f t="shared" si="68"/>
        <v>0</v>
      </c>
      <c r="CU84" s="64">
        <f t="shared" si="69"/>
        <v>0</v>
      </c>
      <c r="CV84" s="69">
        <f t="shared" si="70"/>
        <v>20.87366058729965</v>
      </c>
      <c r="CW84" s="69">
        <f t="shared" si="71"/>
        <v>841.28898397539785</v>
      </c>
      <c r="CX84" s="69">
        <f t="shared" si="45"/>
        <v>3309.9467260229003</v>
      </c>
      <c r="CY84" s="69">
        <f t="shared" si="72"/>
        <v>31036.273809523809</v>
      </c>
      <c r="CZ84" s="64">
        <f t="shared" si="46"/>
        <v>2316.96270821603</v>
      </c>
      <c r="DA84" s="64">
        <f t="shared" si="73"/>
        <v>21725.391666666666</v>
      </c>
      <c r="DB84">
        <f t="shared" si="74"/>
        <v>0</v>
      </c>
      <c r="DC84">
        <f t="shared" si="75"/>
        <v>0</v>
      </c>
      <c r="DD84">
        <f t="shared" si="76"/>
        <v>0</v>
      </c>
      <c r="DE84">
        <f t="shared" si="77"/>
        <v>0</v>
      </c>
      <c r="DF84">
        <f t="shared" si="78"/>
        <v>0</v>
      </c>
      <c r="DG84">
        <f t="shared" si="79"/>
        <v>0</v>
      </c>
      <c r="DH84">
        <f t="shared" si="80"/>
        <v>0</v>
      </c>
      <c r="DI84">
        <f t="shared" si="81"/>
        <v>0</v>
      </c>
      <c r="DJ84">
        <f t="shared" si="82"/>
        <v>0</v>
      </c>
      <c r="DK84">
        <f t="shared" si="83"/>
        <v>0</v>
      </c>
      <c r="DL84">
        <f t="shared" si="84"/>
        <v>0</v>
      </c>
      <c r="DM84">
        <f t="shared" si="85"/>
        <v>0</v>
      </c>
      <c r="DN84">
        <f t="shared" si="86"/>
        <v>0</v>
      </c>
      <c r="DO84">
        <f t="shared" si="87"/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</row>
    <row r="85" spans="1:124" s="2" customFormat="1">
      <c r="A85" s="3">
        <v>42339</v>
      </c>
      <c r="B85">
        <f t="shared" si="48"/>
        <v>2015</v>
      </c>
      <c r="C85" s="2">
        <v>19158951</v>
      </c>
      <c r="D85" s="2">
        <f>VLOOKUP(B85,'Historic CDM'!$B$135:$H$146,2,FALSE)/12</f>
        <v>335044.72340367432</v>
      </c>
      <c r="E85" s="2">
        <f t="shared" si="7"/>
        <v>19493995.723403674</v>
      </c>
      <c r="F85" s="5">
        <v>26808</v>
      </c>
      <c r="G85" s="219">
        <v>5086107</v>
      </c>
      <c r="H85" s="2">
        <f>VLOOKUP(B85,'Historic CDM'!$B$135:$H$147,3,FALSE)/12</f>
        <v>554198.2771220546</v>
      </c>
      <c r="I85" s="2">
        <f t="shared" si="8"/>
        <v>5640305.2771220542</v>
      </c>
      <c r="J85" s="220">
        <v>1929</v>
      </c>
      <c r="K85" s="219">
        <v>13404433</v>
      </c>
      <c r="L85" s="2">
        <f>VLOOKUP(B85,'Historic CDM'!$B$135:$H$146,4,FALSE)/12</f>
        <v>605691.5867469128</v>
      </c>
      <c r="M85" s="2">
        <f t="shared" si="50"/>
        <v>14010124.586746912</v>
      </c>
      <c r="N85" s="222">
        <v>42708</v>
      </c>
      <c r="O85" s="5">
        <v>216</v>
      </c>
      <c r="P85" s="220">
        <v>670483</v>
      </c>
      <c r="Q85" s="2">
        <v>1579</v>
      </c>
      <c r="R85" s="5">
        <v>2698</v>
      </c>
      <c r="S85" s="220">
        <v>29956</v>
      </c>
      <c r="T85" s="2">
        <v>73</v>
      </c>
      <c r="U85" s="5">
        <v>173</v>
      </c>
      <c r="V85" s="221">
        <v>129846</v>
      </c>
      <c r="W85" s="1">
        <v>141</v>
      </c>
      <c r="X85" s="2">
        <v>2364501</v>
      </c>
      <c r="Y85" s="2">
        <v>6045</v>
      </c>
      <c r="Z85" s="5">
        <v>4</v>
      </c>
      <c r="AA85" s="100">
        <f>'Weather Data'!D181</f>
        <v>479.30000000000007</v>
      </c>
      <c r="AB85" s="100">
        <f>'Weather Data'!E181</f>
        <v>0</v>
      </c>
      <c r="AC85" s="100">
        <f>'Weather Data'!F181</f>
        <v>417.30000000000007</v>
      </c>
      <c r="AD85" s="100">
        <f>'Weather Data'!G181</f>
        <v>0</v>
      </c>
      <c r="AE85" s="100">
        <f>'Weather Data'!H181</f>
        <v>355.3</v>
      </c>
      <c r="AF85" s="100">
        <f>'Weather Data'!I181</f>
        <v>0</v>
      </c>
      <c r="AG85" s="100">
        <f>'Weather Data'!J181</f>
        <v>293.29999999999995</v>
      </c>
      <c r="AH85" s="100">
        <f>'Weather Data'!K181</f>
        <v>0</v>
      </c>
      <c r="AI85" s="100">
        <f>'Weather Data'!L181</f>
        <v>232.09999999999994</v>
      </c>
      <c r="AJ85" s="100">
        <f>'Weather Data'!M181</f>
        <v>0.80000000000000071</v>
      </c>
      <c r="AK85" s="100">
        <f>'Weather Data'!N181</f>
        <v>174.7</v>
      </c>
      <c r="AL85" s="100">
        <f>'Weather Data'!O181</f>
        <v>5.4</v>
      </c>
      <c r="AM85" s="100">
        <f>'Weather Data'!P181</f>
        <v>121.69999999999999</v>
      </c>
      <c r="AN85" s="100">
        <f>'Weather Data'!Q181</f>
        <v>14.400000000000002</v>
      </c>
      <c r="AO85" s="100">
        <f>'Weather Data'!R181</f>
        <v>4.5387096774193552</v>
      </c>
      <c r="AP85" s="5">
        <f>'Economic Data'!D51</f>
        <v>6895.6</v>
      </c>
      <c r="AQ85" s="5">
        <f>'Economic Data'!E51</f>
        <v>6902.3</v>
      </c>
      <c r="AR85" s="5">
        <f>'Economic Data'!F51</f>
        <v>153.9</v>
      </c>
      <c r="AS85" s="5">
        <f>'Economic Data'!G51</f>
        <v>154.9</v>
      </c>
      <c r="AT85" s="5">
        <f>'Economic Data'!H51</f>
        <v>727609.6</v>
      </c>
      <c r="AU85" s="5">
        <f>'Economic Data'!I51</f>
        <v>6877.7</v>
      </c>
      <c r="AV85" s="5">
        <f>'Economic Data'!J51</f>
        <v>5851.5</v>
      </c>
      <c r="AW85" s="5">
        <f>'Economic Data'!K51</f>
        <v>4285.8999999999996</v>
      </c>
      <c r="AX85" s="5">
        <f>'Economic Data'!L51</f>
        <v>946.1</v>
      </c>
      <c r="AY85" s="5">
        <f>'Economic Data'!M51</f>
        <v>506</v>
      </c>
      <c r="AZ85" s="5">
        <f>'Economic Data'!N51</f>
        <v>7729.3</v>
      </c>
      <c r="BA85" s="5">
        <f>'Economic Data'!O51</f>
        <v>10.199999999999999</v>
      </c>
      <c r="BB85" s="5">
        <f>'Economic Data'!P51</f>
        <v>143.30000000000001</v>
      </c>
      <c r="BC85" s="5">
        <f>'Economic Data'!Q51</f>
        <v>737784</v>
      </c>
      <c r="BD85" s="5">
        <f>'Economic Data'!R51</f>
        <v>6947</v>
      </c>
      <c r="BE85" s="5">
        <f>'Economic Data'!S51</f>
        <v>3381</v>
      </c>
      <c r="BF85" s="5">
        <f>'Economic Data'!T51</f>
        <v>14040</v>
      </c>
      <c r="BG85" s="5">
        <v>0</v>
      </c>
      <c r="BH85" s="5">
        <v>0</v>
      </c>
      <c r="BI85" s="5">
        <v>0</v>
      </c>
      <c r="BJ85" s="5">
        <f t="shared" si="52"/>
        <v>36</v>
      </c>
      <c r="BK85" s="70">
        <f t="shared" si="53"/>
        <v>1.5563025007672873</v>
      </c>
      <c r="BL85" s="5">
        <f t="shared" si="54"/>
        <v>1296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1</v>
      </c>
      <c r="BY85">
        <f t="shared" si="51"/>
        <v>0</v>
      </c>
      <c r="BZ85">
        <f t="shared" si="51"/>
        <v>0</v>
      </c>
      <c r="CA85">
        <f t="shared" si="55"/>
        <v>0</v>
      </c>
      <c r="CB85">
        <v>31</v>
      </c>
      <c r="CC85">
        <v>21</v>
      </c>
      <c r="CD85">
        <v>0</v>
      </c>
      <c r="CE85">
        <v>0</v>
      </c>
      <c r="CF85">
        <f t="shared" si="47"/>
        <v>0</v>
      </c>
      <c r="CG85">
        <v>0</v>
      </c>
      <c r="CH85" s="64">
        <f t="shared" si="56"/>
        <v>0</v>
      </c>
      <c r="CI85" s="64">
        <f t="shared" si="57"/>
        <v>0</v>
      </c>
      <c r="CJ85" s="64">
        <f t="shared" si="58"/>
        <v>0</v>
      </c>
      <c r="CK85" s="64">
        <f t="shared" si="59"/>
        <v>0</v>
      </c>
      <c r="CL85" s="64">
        <f t="shared" si="60"/>
        <v>0</v>
      </c>
      <c r="CM85" s="64">
        <f t="shared" si="61"/>
        <v>0</v>
      </c>
      <c r="CN85" s="64">
        <f t="shared" si="62"/>
        <v>0</v>
      </c>
      <c r="CO85" s="64">
        <f t="shared" si="63"/>
        <v>0</v>
      </c>
      <c r="CP85" s="64">
        <f t="shared" si="64"/>
        <v>0</v>
      </c>
      <c r="CQ85" s="64">
        <f t="shared" si="65"/>
        <v>0</v>
      </c>
      <c r="CR85" s="64">
        <f t="shared" si="66"/>
        <v>0</v>
      </c>
      <c r="CS85" s="64">
        <f t="shared" si="67"/>
        <v>0</v>
      </c>
      <c r="CT85" s="64">
        <f t="shared" si="68"/>
        <v>0</v>
      </c>
      <c r="CU85" s="64">
        <f t="shared" si="69"/>
        <v>0</v>
      </c>
      <c r="CV85" s="69">
        <f t="shared" si="70"/>
        <v>23.457123684075615</v>
      </c>
      <c r="CW85" s="69">
        <f t="shared" si="71"/>
        <v>842.33949777808459</v>
      </c>
      <c r="CX85" s="69">
        <f t="shared" si="45"/>
        <v>3088.6518048383846</v>
      </c>
      <c r="CY85" s="69">
        <f t="shared" si="72"/>
        <v>28148.821428571428</v>
      </c>
      <c r="CZ85" s="64">
        <f t="shared" si="46"/>
        <v>2092.3125129550349</v>
      </c>
      <c r="DA85" s="64">
        <f t="shared" si="73"/>
        <v>19068.556451612902</v>
      </c>
      <c r="DB85">
        <f t="shared" si="74"/>
        <v>0</v>
      </c>
      <c r="DC85">
        <f t="shared" si="75"/>
        <v>0</v>
      </c>
      <c r="DD85">
        <f t="shared" si="76"/>
        <v>0</v>
      </c>
      <c r="DE85">
        <f t="shared" si="77"/>
        <v>0</v>
      </c>
      <c r="DF85">
        <f t="shared" si="78"/>
        <v>0</v>
      </c>
      <c r="DG85">
        <f t="shared" si="79"/>
        <v>0</v>
      </c>
      <c r="DH85">
        <f t="shared" si="80"/>
        <v>0</v>
      </c>
      <c r="DI85">
        <f t="shared" si="81"/>
        <v>0</v>
      </c>
      <c r="DJ85">
        <f t="shared" si="82"/>
        <v>0</v>
      </c>
      <c r="DK85">
        <f t="shared" si="83"/>
        <v>0</v>
      </c>
      <c r="DL85">
        <f t="shared" si="84"/>
        <v>0</v>
      </c>
      <c r="DM85">
        <f t="shared" si="85"/>
        <v>0</v>
      </c>
      <c r="DN85">
        <f t="shared" si="86"/>
        <v>0</v>
      </c>
      <c r="DO85">
        <f t="shared" si="87"/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</row>
    <row r="86" spans="1:124" s="2" customFormat="1">
      <c r="A86" s="3">
        <v>42370</v>
      </c>
      <c r="B86">
        <f t="shared" si="48"/>
        <v>2016</v>
      </c>
      <c r="C86" s="2">
        <v>19916071</v>
      </c>
      <c r="D86" s="2">
        <f>VLOOKUP(B86,'Historic CDM'!$B$135:$H$146,2,FALSE)/12</f>
        <v>528300.53032321611</v>
      </c>
      <c r="E86" s="2">
        <f t="shared" si="7"/>
        <v>20444371.530323215</v>
      </c>
      <c r="F86" s="5">
        <v>26802</v>
      </c>
      <c r="G86" s="219">
        <v>5501099</v>
      </c>
      <c r="H86" s="2">
        <f>VLOOKUP(B86,'Historic CDM'!$B$135:$H$147,3,FALSE)/12</f>
        <v>907506.28545967676</v>
      </c>
      <c r="I86" s="2">
        <f t="shared" si="8"/>
        <v>6408605.2854596768</v>
      </c>
      <c r="J86" s="220">
        <v>1936</v>
      </c>
      <c r="K86" s="219">
        <v>13987492</v>
      </c>
      <c r="L86" s="2">
        <f>VLOOKUP(B86,'Historic CDM'!$B$135:$H$146,4,FALSE)/12</f>
        <v>972612.99023436254</v>
      </c>
      <c r="M86" s="2">
        <f t="shared" si="50"/>
        <v>14960104.990234362</v>
      </c>
      <c r="N86" s="223">
        <v>35724</v>
      </c>
      <c r="O86" s="5">
        <v>259</v>
      </c>
      <c r="P86" s="220">
        <v>660988</v>
      </c>
      <c r="Q86" s="2">
        <v>1579</v>
      </c>
      <c r="R86" s="5">
        <v>2698</v>
      </c>
      <c r="S86" s="220">
        <v>27635</v>
      </c>
      <c r="T86" s="2">
        <v>73</v>
      </c>
      <c r="U86" s="5">
        <v>174</v>
      </c>
      <c r="V86" s="221">
        <v>129846</v>
      </c>
      <c r="W86" s="1">
        <v>141</v>
      </c>
      <c r="X86" s="2">
        <v>2580598</v>
      </c>
      <c r="Y86" s="2">
        <v>6608</v>
      </c>
      <c r="Z86" s="5">
        <v>3</v>
      </c>
      <c r="AA86" s="100">
        <f>'Weather Data'!D182</f>
        <v>706.9</v>
      </c>
      <c r="AB86" s="100">
        <f>'Weather Data'!E182</f>
        <v>0</v>
      </c>
      <c r="AC86" s="100">
        <f>'Weather Data'!F182</f>
        <v>644.9</v>
      </c>
      <c r="AD86" s="100">
        <f>'Weather Data'!G182</f>
        <v>0</v>
      </c>
      <c r="AE86" s="100">
        <f>'Weather Data'!H182</f>
        <v>582.9</v>
      </c>
      <c r="AF86" s="100">
        <f>'Weather Data'!I182</f>
        <v>0</v>
      </c>
      <c r="AG86" s="100">
        <f>'Weather Data'!J182</f>
        <v>520.9</v>
      </c>
      <c r="AH86" s="100">
        <f>'Weather Data'!K182</f>
        <v>0</v>
      </c>
      <c r="AI86" s="100">
        <f>'Weather Data'!L182</f>
        <v>458.89999999999992</v>
      </c>
      <c r="AJ86" s="100">
        <f>'Weather Data'!M182</f>
        <v>0</v>
      </c>
      <c r="AK86" s="100">
        <f>'Weather Data'!N182</f>
        <v>396.9</v>
      </c>
      <c r="AL86" s="100">
        <f>'Weather Data'!O182</f>
        <v>0</v>
      </c>
      <c r="AM86" s="100">
        <f>'Weather Data'!P182</f>
        <v>334.9</v>
      </c>
      <c r="AN86" s="100">
        <f>'Weather Data'!Q182</f>
        <v>0</v>
      </c>
      <c r="AO86" s="100">
        <f>'Weather Data'!R182</f>
        <v>-2.8032258064516129</v>
      </c>
      <c r="AP86" s="5">
        <f>'Economic Data'!D52</f>
        <v>6908.4</v>
      </c>
      <c r="AQ86" s="5">
        <f>'Economic Data'!E52</f>
        <v>6871.2</v>
      </c>
      <c r="AR86" s="5">
        <f>'Economic Data'!F52</f>
        <v>156</v>
      </c>
      <c r="AS86" s="5">
        <f>'Economic Data'!G52</f>
        <v>155.19999999999999</v>
      </c>
      <c r="AT86" s="5">
        <f>'Economic Data'!H52</f>
        <v>743976.2</v>
      </c>
      <c r="AU86" s="5">
        <f>'Economic Data'!I52</f>
        <v>6953.7</v>
      </c>
      <c r="AV86" s="5">
        <f>'Economic Data'!J52</f>
        <v>5894.8</v>
      </c>
      <c r="AW86" s="5">
        <f>'Economic Data'!K52</f>
        <v>4265.7</v>
      </c>
      <c r="AX86" s="5">
        <f>'Economic Data'!L52</f>
        <v>916.6</v>
      </c>
      <c r="AY86" s="5">
        <f>'Economic Data'!M52</f>
        <v>546.5</v>
      </c>
      <c r="AZ86" s="5">
        <f>'Economic Data'!N52</f>
        <v>7852.2</v>
      </c>
      <c r="BA86" s="5">
        <f>'Economic Data'!O52</f>
        <v>163.80000000000001</v>
      </c>
      <c r="BB86" s="5">
        <f>'Economic Data'!P52</f>
        <v>89.9</v>
      </c>
      <c r="BC86" s="5">
        <f>'Economic Data'!Q52</f>
        <v>743287</v>
      </c>
      <c r="BD86" s="5">
        <f>'Economic Data'!R52</f>
        <v>6948</v>
      </c>
      <c r="BE86" s="5">
        <f>'Economic Data'!S52</f>
        <v>3329</v>
      </c>
      <c r="BF86" s="5">
        <f>'Economic Data'!T52</f>
        <v>14167</v>
      </c>
      <c r="BG86" s="5">
        <v>0</v>
      </c>
      <c r="BH86" s="5">
        <v>0</v>
      </c>
      <c r="BI86" s="5">
        <v>0</v>
      </c>
      <c r="BJ86" s="5">
        <f t="shared" si="52"/>
        <v>37</v>
      </c>
      <c r="BK86" s="70">
        <f t="shared" si="53"/>
        <v>1.568201724066995</v>
      </c>
      <c r="BL86" s="5">
        <f t="shared" si="54"/>
        <v>1369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f t="shared" ref="BY86:BZ105" si="88">BY74</f>
        <v>0</v>
      </c>
      <c r="BZ86">
        <f t="shared" si="88"/>
        <v>0</v>
      </c>
      <c r="CA86">
        <f t="shared" si="55"/>
        <v>0</v>
      </c>
      <c r="CB86">
        <v>31</v>
      </c>
      <c r="CC86">
        <v>20</v>
      </c>
      <c r="CD86">
        <v>0</v>
      </c>
      <c r="CE86">
        <v>0</v>
      </c>
      <c r="CF86">
        <f t="shared" si="47"/>
        <v>0</v>
      </c>
      <c r="CG86">
        <v>0</v>
      </c>
      <c r="CH86" s="64">
        <f t="shared" si="56"/>
        <v>0</v>
      </c>
      <c r="CI86" s="64">
        <f t="shared" si="57"/>
        <v>0</v>
      </c>
      <c r="CJ86" s="64">
        <f t="shared" si="58"/>
        <v>0</v>
      </c>
      <c r="CK86" s="64">
        <f t="shared" si="59"/>
        <v>0</v>
      </c>
      <c r="CL86" s="64">
        <f t="shared" si="60"/>
        <v>0</v>
      </c>
      <c r="CM86" s="64">
        <f t="shared" si="61"/>
        <v>0</v>
      </c>
      <c r="CN86" s="64">
        <f t="shared" si="62"/>
        <v>0</v>
      </c>
      <c r="CO86" s="64">
        <f t="shared" si="63"/>
        <v>0</v>
      </c>
      <c r="CP86" s="64">
        <f t="shared" si="64"/>
        <v>0</v>
      </c>
      <c r="CQ86" s="64">
        <f t="shared" si="65"/>
        <v>0</v>
      </c>
      <c r="CR86" s="64">
        <f t="shared" si="66"/>
        <v>0</v>
      </c>
      <c r="CS86" s="64">
        <f t="shared" si="67"/>
        <v>0</v>
      </c>
      <c r="CT86" s="64">
        <f t="shared" si="68"/>
        <v>0</v>
      </c>
      <c r="CU86" s="64">
        <f t="shared" si="69"/>
        <v>0</v>
      </c>
      <c r="CV86" s="69">
        <f t="shared" si="70"/>
        <v>24.606218036597191</v>
      </c>
      <c r="CW86" s="69">
        <f t="shared" si="71"/>
        <v>798.18225002611484</v>
      </c>
      <c r="CX86" s="69">
        <f t="shared" si="45"/>
        <v>2888.0511564158996</v>
      </c>
      <c r="CY86" s="69">
        <f t="shared" si="72"/>
        <v>43009.966666666667</v>
      </c>
      <c r="CZ86" s="64">
        <f t="shared" si="46"/>
        <v>1863.2588105909033</v>
      </c>
      <c r="DA86" s="64">
        <f t="shared" si="73"/>
        <v>27748.365591397847</v>
      </c>
      <c r="DB86">
        <f t="shared" si="74"/>
        <v>0</v>
      </c>
      <c r="DC86">
        <f t="shared" si="75"/>
        <v>0</v>
      </c>
      <c r="DD86">
        <f t="shared" si="76"/>
        <v>0</v>
      </c>
      <c r="DE86">
        <f t="shared" si="77"/>
        <v>0</v>
      </c>
      <c r="DF86">
        <f t="shared" si="78"/>
        <v>0</v>
      </c>
      <c r="DG86">
        <f t="shared" si="79"/>
        <v>0</v>
      </c>
      <c r="DH86">
        <f t="shared" si="80"/>
        <v>0</v>
      </c>
      <c r="DI86">
        <f t="shared" si="81"/>
        <v>0</v>
      </c>
      <c r="DJ86">
        <f t="shared" si="82"/>
        <v>0</v>
      </c>
      <c r="DK86">
        <f t="shared" si="83"/>
        <v>0</v>
      </c>
      <c r="DL86">
        <f t="shared" si="84"/>
        <v>0</v>
      </c>
      <c r="DM86">
        <f t="shared" si="85"/>
        <v>0</v>
      </c>
      <c r="DN86">
        <f t="shared" si="86"/>
        <v>0</v>
      </c>
      <c r="DO86">
        <f t="shared" si="87"/>
        <v>0</v>
      </c>
      <c r="DP86" s="2">
        <v>1</v>
      </c>
      <c r="DQ86" s="2">
        <v>0</v>
      </c>
      <c r="DR86" s="2">
        <v>0</v>
      </c>
      <c r="DS86" s="2">
        <v>0</v>
      </c>
      <c r="DT86" s="2">
        <v>0</v>
      </c>
    </row>
    <row r="87" spans="1:124" s="2" customFormat="1">
      <c r="A87" s="3">
        <v>42401</v>
      </c>
      <c r="B87">
        <f t="shared" si="48"/>
        <v>2016</v>
      </c>
      <c r="C87" s="2">
        <v>17661313</v>
      </c>
      <c r="D87" s="2">
        <f>VLOOKUP(B87,'Historic CDM'!$B$135:$H$146,2,FALSE)/12</f>
        <v>528300.53032321611</v>
      </c>
      <c r="E87" s="2">
        <f t="shared" si="7"/>
        <v>18189613.530323215</v>
      </c>
      <c r="F87" s="5">
        <v>26838</v>
      </c>
      <c r="G87" s="219">
        <v>5176056</v>
      </c>
      <c r="H87" s="2">
        <f>VLOOKUP(B87,'Historic CDM'!$B$135:$H$147,3,FALSE)/12</f>
        <v>907506.28545967676</v>
      </c>
      <c r="I87" s="2">
        <f t="shared" si="8"/>
        <v>6083562.2854596768</v>
      </c>
      <c r="J87" s="220">
        <v>1937</v>
      </c>
      <c r="K87" s="219">
        <v>13586931</v>
      </c>
      <c r="L87" s="2">
        <f>VLOOKUP(B87,'Historic CDM'!$B$135:$H$146,4,FALSE)/12</f>
        <v>972612.99023436254</v>
      </c>
      <c r="M87" s="2">
        <f t="shared" si="50"/>
        <v>14559543.990234362</v>
      </c>
      <c r="N87" s="222">
        <v>34535</v>
      </c>
      <c r="O87" s="5">
        <v>259</v>
      </c>
      <c r="P87" s="220">
        <v>546958</v>
      </c>
      <c r="Q87" s="2">
        <v>1532</v>
      </c>
      <c r="R87" s="5">
        <v>2698</v>
      </c>
      <c r="S87" s="220">
        <v>27249</v>
      </c>
      <c r="T87" s="2">
        <v>73</v>
      </c>
      <c r="U87" s="5">
        <v>174</v>
      </c>
      <c r="V87" s="221">
        <v>129846</v>
      </c>
      <c r="W87" s="1">
        <v>141</v>
      </c>
      <c r="X87" s="2">
        <v>2518509</v>
      </c>
      <c r="Y87" s="2">
        <v>6325</v>
      </c>
      <c r="Z87" s="5">
        <v>3</v>
      </c>
      <c r="AA87" s="100">
        <f>'Weather Data'!D183</f>
        <v>608.20000000000005</v>
      </c>
      <c r="AB87" s="100">
        <f>'Weather Data'!E183</f>
        <v>0</v>
      </c>
      <c r="AC87" s="100">
        <f>'Weather Data'!F183</f>
        <v>550.19999999999993</v>
      </c>
      <c r="AD87" s="100">
        <f>'Weather Data'!G183</f>
        <v>0</v>
      </c>
      <c r="AE87" s="100">
        <f>'Weather Data'!H183</f>
        <v>492.2</v>
      </c>
      <c r="AF87" s="100">
        <f>'Weather Data'!I183</f>
        <v>0</v>
      </c>
      <c r="AG87" s="100">
        <f>'Weather Data'!J183</f>
        <v>434.20000000000005</v>
      </c>
      <c r="AH87" s="100">
        <f>'Weather Data'!K183</f>
        <v>0</v>
      </c>
      <c r="AI87" s="100">
        <f>'Weather Data'!L183</f>
        <v>376.20000000000005</v>
      </c>
      <c r="AJ87" s="100">
        <f>'Weather Data'!M183</f>
        <v>0</v>
      </c>
      <c r="AK87" s="100">
        <f>'Weather Data'!N183</f>
        <v>318.20000000000005</v>
      </c>
      <c r="AL87" s="100">
        <f>'Weather Data'!O183</f>
        <v>0</v>
      </c>
      <c r="AM87" s="100">
        <f>'Weather Data'!P183</f>
        <v>262.50000000000006</v>
      </c>
      <c r="AN87" s="100">
        <f>'Weather Data'!Q183</f>
        <v>2.3000000000000007</v>
      </c>
      <c r="AO87" s="100">
        <f>'Weather Data'!R183</f>
        <v>-0.97241379310344833</v>
      </c>
      <c r="AP87" s="5">
        <f>'Economic Data'!D53</f>
        <v>6922.3</v>
      </c>
      <c r="AQ87" s="5">
        <f>'Economic Data'!E53</f>
        <v>6850.4</v>
      </c>
      <c r="AR87" s="5">
        <f>'Economic Data'!F53</f>
        <v>158.4</v>
      </c>
      <c r="AS87" s="5">
        <f>'Economic Data'!G53</f>
        <v>156</v>
      </c>
      <c r="AT87" s="5">
        <f>'Economic Data'!H53</f>
        <v>743976.2</v>
      </c>
      <c r="AU87" s="5">
        <f>'Economic Data'!I53</f>
        <v>6953.7</v>
      </c>
      <c r="AV87" s="5">
        <f>'Economic Data'!J53</f>
        <v>5894.8</v>
      </c>
      <c r="AW87" s="5">
        <f>'Economic Data'!K53</f>
        <v>4265.7</v>
      </c>
      <c r="AX87" s="5">
        <f>'Economic Data'!L53</f>
        <v>916.6</v>
      </c>
      <c r="AY87" s="5">
        <f>'Economic Data'!M53</f>
        <v>546.5</v>
      </c>
      <c r="AZ87" s="5">
        <f>'Economic Data'!N53</f>
        <v>7852.2</v>
      </c>
      <c r="BA87" s="5">
        <f>'Economic Data'!O53</f>
        <v>163.80000000000001</v>
      </c>
      <c r="BB87" s="5">
        <f>'Economic Data'!P53</f>
        <v>89.9</v>
      </c>
      <c r="BC87" s="5">
        <f>'Economic Data'!Q53</f>
        <v>743287</v>
      </c>
      <c r="BD87" s="5">
        <f>'Economic Data'!R53</f>
        <v>6948</v>
      </c>
      <c r="BE87" s="5">
        <f>'Economic Data'!S53</f>
        <v>3329</v>
      </c>
      <c r="BF87" s="5">
        <f>'Economic Data'!T53</f>
        <v>14167</v>
      </c>
      <c r="BG87" s="5">
        <v>0</v>
      </c>
      <c r="BH87" s="5">
        <v>0</v>
      </c>
      <c r="BI87" s="5">
        <v>0</v>
      </c>
      <c r="BJ87" s="5">
        <f t="shared" si="52"/>
        <v>38</v>
      </c>
      <c r="BK87" s="70">
        <f t="shared" si="53"/>
        <v>1.5797835966168101</v>
      </c>
      <c r="BL87" s="5">
        <f t="shared" si="54"/>
        <v>1444</v>
      </c>
      <c r="BM87">
        <v>0</v>
      </c>
      <c r="BN87">
        <v>1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f t="shared" si="88"/>
        <v>0</v>
      </c>
      <c r="BZ87">
        <f t="shared" si="88"/>
        <v>0</v>
      </c>
      <c r="CA87">
        <f t="shared" si="55"/>
        <v>0</v>
      </c>
      <c r="CB87">
        <v>29</v>
      </c>
      <c r="CC87">
        <v>20</v>
      </c>
      <c r="CD87">
        <v>0</v>
      </c>
      <c r="CE87">
        <v>0</v>
      </c>
      <c r="CF87">
        <f t="shared" si="47"/>
        <v>0</v>
      </c>
      <c r="CG87">
        <v>0</v>
      </c>
      <c r="CH87" s="64">
        <f t="shared" si="56"/>
        <v>0</v>
      </c>
      <c r="CI87" s="64">
        <f t="shared" si="57"/>
        <v>0</v>
      </c>
      <c r="CJ87" s="64">
        <f t="shared" si="58"/>
        <v>0</v>
      </c>
      <c r="CK87" s="64">
        <f t="shared" si="59"/>
        <v>0</v>
      </c>
      <c r="CL87" s="64">
        <f t="shared" si="60"/>
        <v>0</v>
      </c>
      <c r="CM87" s="64">
        <f t="shared" si="61"/>
        <v>0</v>
      </c>
      <c r="CN87" s="64">
        <f t="shared" si="62"/>
        <v>0</v>
      </c>
      <c r="CO87" s="64">
        <f t="shared" si="63"/>
        <v>0</v>
      </c>
      <c r="CP87" s="64">
        <f t="shared" si="64"/>
        <v>0</v>
      </c>
      <c r="CQ87" s="64">
        <f t="shared" si="65"/>
        <v>0</v>
      </c>
      <c r="CR87" s="64">
        <f t="shared" si="66"/>
        <v>0</v>
      </c>
      <c r="CS87" s="64">
        <f t="shared" si="67"/>
        <v>0</v>
      </c>
      <c r="CT87" s="64">
        <f t="shared" si="68"/>
        <v>0</v>
      </c>
      <c r="CU87" s="64">
        <f t="shared" si="69"/>
        <v>0</v>
      </c>
      <c r="CV87" s="69">
        <f t="shared" si="70"/>
        <v>23.370893985012522</v>
      </c>
      <c r="CW87" s="69">
        <f t="shared" si="71"/>
        <v>809.95370595921668</v>
      </c>
      <c r="CX87" s="69">
        <f t="shared" si="45"/>
        <v>2810.7227780375215</v>
      </c>
      <c r="CY87" s="69">
        <f t="shared" si="72"/>
        <v>41975.15</v>
      </c>
      <c r="CZ87" s="64">
        <f t="shared" si="46"/>
        <v>1938.4295020948425</v>
      </c>
      <c r="DA87" s="64">
        <f t="shared" si="73"/>
        <v>28948.379310344826</v>
      </c>
      <c r="DB87">
        <f t="shared" si="74"/>
        <v>0</v>
      </c>
      <c r="DC87">
        <f t="shared" si="75"/>
        <v>0</v>
      </c>
      <c r="DD87">
        <f t="shared" si="76"/>
        <v>0</v>
      </c>
      <c r="DE87">
        <f t="shared" si="77"/>
        <v>0</v>
      </c>
      <c r="DF87">
        <f t="shared" si="78"/>
        <v>0</v>
      </c>
      <c r="DG87">
        <f t="shared" si="79"/>
        <v>0</v>
      </c>
      <c r="DH87">
        <f t="shared" si="80"/>
        <v>0</v>
      </c>
      <c r="DI87">
        <f t="shared" si="81"/>
        <v>0</v>
      </c>
      <c r="DJ87">
        <f t="shared" si="82"/>
        <v>0</v>
      </c>
      <c r="DK87">
        <f t="shared" si="83"/>
        <v>0</v>
      </c>
      <c r="DL87">
        <f t="shared" si="84"/>
        <v>0</v>
      </c>
      <c r="DM87">
        <f t="shared" si="85"/>
        <v>0</v>
      </c>
      <c r="DN87">
        <f t="shared" si="86"/>
        <v>0</v>
      </c>
      <c r="DO87">
        <f t="shared" si="87"/>
        <v>0</v>
      </c>
      <c r="DP87" s="2">
        <f>DP86+1</f>
        <v>2</v>
      </c>
      <c r="DQ87" s="2">
        <v>0</v>
      </c>
      <c r="DR87" s="2">
        <v>0</v>
      </c>
      <c r="DS87" s="2">
        <v>0</v>
      </c>
      <c r="DT87" s="2">
        <v>0</v>
      </c>
    </row>
    <row r="88" spans="1:124" s="2" customFormat="1">
      <c r="A88" s="3">
        <v>42430</v>
      </c>
      <c r="B88">
        <f t="shared" si="48"/>
        <v>2016</v>
      </c>
      <c r="C88" s="2">
        <v>17270436</v>
      </c>
      <c r="D88" s="2">
        <f>VLOOKUP(B88,'Historic CDM'!$B$135:$H$146,2,FALSE)/12</f>
        <v>528300.53032321611</v>
      </c>
      <c r="E88" s="2">
        <f t="shared" si="7"/>
        <v>17798736.530323215</v>
      </c>
      <c r="F88" s="5">
        <v>26855</v>
      </c>
      <c r="G88" s="219">
        <v>5195839</v>
      </c>
      <c r="H88" s="2">
        <f>VLOOKUP(B88,'Historic CDM'!$B$135:$H$147,3,FALSE)/12</f>
        <v>907506.28545967676</v>
      </c>
      <c r="I88" s="2">
        <f t="shared" si="8"/>
        <v>6103345.2854596768</v>
      </c>
      <c r="J88" s="220">
        <v>1938</v>
      </c>
      <c r="K88" s="219">
        <v>13678424</v>
      </c>
      <c r="L88" s="2">
        <f>VLOOKUP(B88,'Historic CDM'!$B$135:$H$146,4,FALSE)/12</f>
        <v>972612.99023436254</v>
      </c>
      <c r="M88" s="2">
        <f t="shared" si="50"/>
        <v>14651036.990234362</v>
      </c>
      <c r="N88" s="222">
        <v>34566</v>
      </c>
      <c r="O88" s="5">
        <v>259</v>
      </c>
      <c r="P88" s="220">
        <v>491920</v>
      </c>
      <c r="Q88" s="2">
        <v>1397</v>
      </c>
      <c r="R88" s="5">
        <v>2707</v>
      </c>
      <c r="S88" s="220">
        <v>28454</v>
      </c>
      <c r="T88" s="2">
        <v>73</v>
      </c>
      <c r="U88" s="5">
        <v>174</v>
      </c>
      <c r="V88" s="221">
        <v>129846</v>
      </c>
      <c r="W88" s="1">
        <v>141</v>
      </c>
      <c r="X88" s="2">
        <v>2565586</v>
      </c>
      <c r="Y88" s="2">
        <v>6101</v>
      </c>
      <c r="Z88" s="5">
        <v>3</v>
      </c>
      <c r="AA88" s="100">
        <f>'Weather Data'!D184</f>
        <v>466.4</v>
      </c>
      <c r="AB88" s="100">
        <f>'Weather Data'!E184</f>
        <v>0</v>
      </c>
      <c r="AC88" s="100">
        <f>'Weather Data'!F184</f>
        <v>404.4</v>
      </c>
      <c r="AD88" s="100">
        <f>'Weather Data'!G184</f>
        <v>0</v>
      </c>
      <c r="AE88" s="100">
        <f>'Weather Data'!H184</f>
        <v>342.4</v>
      </c>
      <c r="AF88" s="100">
        <f>'Weather Data'!I184</f>
        <v>0</v>
      </c>
      <c r="AG88" s="100">
        <f>'Weather Data'!J184</f>
        <v>281</v>
      </c>
      <c r="AH88" s="100">
        <f>'Weather Data'!K184</f>
        <v>0.59999999999999964</v>
      </c>
      <c r="AI88" s="100">
        <f>'Weather Data'!L184</f>
        <v>224.50000000000003</v>
      </c>
      <c r="AJ88" s="100">
        <f>'Weather Data'!M184</f>
        <v>6.1</v>
      </c>
      <c r="AK88" s="100">
        <f>'Weather Data'!N184</f>
        <v>170.50000000000006</v>
      </c>
      <c r="AL88" s="100">
        <f>'Weather Data'!O184</f>
        <v>14.1</v>
      </c>
      <c r="AM88" s="100">
        <f>'Weather Data'!P184</f>
        <v>121.50000000000001</v>
      </c>
      <c r="AN88" s="100">
        <f>'Weather Data'!Q184</f>
        <v>27.099999999999994</v>
      </c>
      <c r="AO88" s="100">
        <f>'Weather Data'!R184</f>
        <v>4.9548387096774196</v>
      </c>
      <c r="AP88" s="5">
        <f>'Economic Data'!D54</f>
        <v>6930.2</v>
      </c>
      <c r="AQ88" s="5">
        <f>'Economic Data'!E54</f>
        <v>6827.3</v>
      </c>
      <c r="AR88" s="5">
        <f>'Economic Data'!F54</f>
        <v>160.69999999999999</v>
      </c>
      <c r="AS88" s="5">
        <f>'Economic Data'!G54</f>
        <v>156.9</v>
      </c>
      <c r="AT88" s="5">
        <f>'Economic Data'!H54</f>
        <v>743976.2</v>
      </c>
      <c r="AU88" s="5">
        <f>'Economic Data'!I54</f>
        <v>6953.7</v>
      </c>
      <c r="AV88" s="5">
        <f>'Economic Data'!J54</f>
        <v>5894.8</v>
      </c>
      <c r="AW88" s="5">
        <f>'Economic Data'!K54</f>
        <v>4265.7</v>
      </c>
      <c r="AX88" s="5">
        <f>'Economic Data'!L54</f>
        <v>916.6</v>
      </c>
      <c r="AY88" s="5">
        <f>'Economic Data'!M54</f>
        <v>546.5</v>
      </c>
      <c r="AZ88" s="5">
        <f>'Economic Data'!N54</f>
        <v>7852.2</v>
      </c>
      <c r="BA88" s="5">
        <f>'Economic Data'!O54</f>
        <v>163.80000000000001</v>
      </c>
      <c r="BB88" s="5">
        <f>'Economic Data'!P54</f>
        <v>89.9</v>
      </c>
      <c r="BC88" s="5">
        <f>'Economic Data'!Q54</f>
        <v>743287</v>
      </c>
      <c r="BD88" s="5">
        <f>'Economic Data'!R54</f>
        <v>6948</v>
      </c>
      <c r="BE88" s="5">
        <f>'Economic Data'!S54</f>
        <v>3329</v>
      </c>
      <c r="BF88" s="5">
        <f>'Economic Data'!T54</f>
        <v>14167</v>
      </c>
      <c r="BG88" s="5">
        <v>0</v>
      </c>
      <c r="BH88" s="5">
        <v>0</v>
      </c>
      <c r="BI88" s="5">
        <v>0</v>
      </c>
      <c r="BJ88" s="5">
        <f t="shared" si="52"/>
        <v>39</v>
      </c>
      <c r="BK88" s="70">
        <f t="shared" si="53"/>
        <v>1.5910646070264991</v>
      </c>
      <c r="BL88" s="5">
        <f t="shared" si="54"/>
        <v>1521</v>
      </c>
      <c r="BM88">
        <v>0</v>
      </c>
      <c r="BN88">
        <v>0</v>
      </c>
      <c r="BO88">
        <v>1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f t="shared" si="88"/>
        <v>1</v>
      </c>
      <c r="BZ88">
        <f t="shared" si="88"/>
        <v>0</v>
      </c>
      <c r="CA88">
        <f t="shared" si="55"/>
        <v>1</v>
      </c>
      <c r="CB88">
        <v>31</v>
      </c>
      <c r="CC88">
        <v>21</v>
      </c>
      <c r="CD88">
        <v>0</v>
      </c>
      <c r="CE88">
        <v>0</v>
      </c>
      <c r="CF88">
        <f t="shared" si="47"/>
        <v>0</v>
      </c>
      <c r="CG88">
        <v>0</v>
      </c>
      <c r="CH88" s="64">
        <f t="shared" si="56"/>
        <v>0</v>
      </c>
      <c r="CI88" s="64">
        <f t="shared" si="57"/>
        <v>0</v>
      </c>
      <c r="CJ88" s="64">
        <f t="shared" si="58"/>
        <v>0</v>
      </c>
      <c r="CK88" s="64">
        <f t="shared" si="59"/>
        <v>0</v>
      </c>
      <c r="CL88" s="64">
        <f t="shared" si="60"/>
        <v>0</v>
      </c>
      <c r="CM88" s="64">
        <f t="shared" si="61"/>
        <v>0</v>
      </c>
      <c r="CN88" s="64">
        <f t="shared" si="62"/>
        <v>0</v>
      </c>
      <c r="CO88" s="64">
        <f t="shared" si="63"/>
        <v>0</v>
      </c>
      <c r="CP88" s="64">
        <f t="shared" si="64"/>
        <v>0</v>
      </c>
      <c r="CQ88" s="64">
        <f t="shared" si="65"/>
        <v>0</v>
      </c>
      <c r="CR88" s="64">
        <f t="shared" si="66"/>
        <v>0</v>
      </c>
      <c r="CS88" s="64">
        <f t="shared" si="67"/>
        <v>0</v>
      </c>
      <c r="CT88" s="64">
        <f t="shared" si="68"/>
        <v>0</v>
      </c>
      <c r="CU88" s="64">
        <f t="shared" si="69"/>
        <v>0</v>
      </c>
      <c r="CV88" s="69">
        <f t="shared" si="70"/>
        <v>21.379735293269366</v>
      </c>
      <c r="CW88" s="69">
        <f t="shared" si="71"/>
        <v>760.1625713612749</v>
      </c>
      <c r="CX88" s="69">
        <f t="shared" si="45"/>
        <v>2693.7004946192983</v>
      </c>
      <c r="CY88" s="69">
        <f t="shared" si="72"/>
        <v>40723.5873015873</v>
      </c>
      <c r="CZ88" s="64">
        <f t="shared" si="46"/>
        <v>1824.764851193718</v>
      </c>
      <c r="DA88" s="64">
        <f t="shared" si="73"/>
        <v>27586.946236559143</v>
      </c>
      <c r="DB88">
        <f t="shared" si="74"/>
        <v>0</v>
      </c>
      <c r="DC88">
        <f t="shared" si="75"/>
        <v>0</v>
      </c>
      <c r="DD88">
        <f t="shared" si="76"/>
        <v>0</v>
      </c>
      <c r="DE88">
        <f t="shared" si="77"/>
        <v>0</v>
      </c>
      <c r="DF88">
        <f t="shared" si="78"/>
        <v>0</v>
      </c>
      <c r="DG88">
        <f t="shared" si="79"/>
        <v>0</v>
      </c>
      <c r="DH88">
        <f t="shared" si="80"/>
        <v>0</v>
      </c>
      <c r="DI88">
        <f t="shared" si="81"/>
        <v>0</v>
      </c>
      <c r="DJ88">
        <f t="shared" si="82"/>
        <v>0</v>
      </c>
      <c r="DK88">
        <f t="shared" si="83"/>
        <v>0</v>
      </c>
      <c r="DL88">
        <f t="shared" si="84"/>
        <v>0</v>
      </c>
      <c r="DM88">
        <f t="shared" si="85"/>
        <v>0</v>
      </c>
      <c r="DN88">
        <f t="shared" si="86"/>
        <v>0</v>
      </c>
      <c r="DO88">
        <f t="shared" si="87"/>
        <v>0</v>
      </c>
      <c r="DP88" s="2">
        <f t="shared" ref="DP88:DT151" si="89">DP87+1</f>
        <v>3</v>
      </c>
      <c r="DQ88" s="2">
        <v>0</v>
      </c>
      <c r="DR88" s="2">
        <v>0</v>
      </c>
      <c r="DS88" s="2">
        <v>0</v>
      </c>
      <c r="DT88" s="2">
        <v>0</v>
      </c>
    </row>
    <row r="89" spans="1:124" s="2" customFormat="1">
      <c r="A89" s="3">
        <v>42461</v>
      </c>
      <c r="B89">
        <f t="shared" si="48"/>
        <v>2016</v>
      </c>
      <c r="C89" s="2">
        <v>15707415</v>
      </c>
      <c r="D89" s="2">
        <f>VLOOKUP(B89,'Historic CDM'!$B$135:$H$146,2,FALSE)/12</f>
        <v>528300.53032321611</v>
      </c>
      <c r="E89" s="2">
        <f t="shared" si="7"/>
        <v>16235715.530323217</v>
      </c>
      <c r="F89" s="5">
        <v>26880</v>
      </c>
      <c r="G89" s="219">
        <v>4895630</v>
      </c>
      <c r="H89" s="2">
        <f>VLOOKUP(B89,'Historic CDM'!$B$135:$H$147,3,FALSE)/12</f>
        <v>907506.28545967676</v>
      </c>
      <c r="I89" s="2">
        <f t="shared" si="8"/>
        <v>5803136.2854596768</v>
      </c>
      <c r="J89" s="220">
        <v>1939</v>
      </c>
      <c r="K89" s="219">
        <v>13359719</v>
      </c>
      <c r="L89" s="2">
        <f>VLOOKUP(B89,'Historic CDM'!$B$135:$H$146,4,FALSE)/12</f>
        <v>972612.99023436254</v>
      </c>
      <c r="M89" s="2">
        <f t="shared" si="50"/>
        <v>14332331.990234362</v>
      </c>
      <c r="N89" s="222">
        <v>36731</v>
      </c>
      <c r="O89" s="5">
        <v>260</v>
      </c>
      <c r="P89" s="220">
        <v>412774</v>
      </c>
      <c r="Q89" s="2">
        <v>1397</v>
      </c>
      <c r="R89" s="5">
        <v>2707</v>
      </c>
      <c r="S89" s="220">
        <v>29941</v>
      </c>
      <c r="T89" s="2">
        <v>73</v>
      </c>
      <c r="U89" s="5">
        <v>174</v>
      </c>
      <c r="V89" s="221">
        <v>129846</v>
      </c>
      <c r="W89" s="1">
        <v>141</v>
      </c>
      <c r="X89" s="2">
        <v>2289773</v>
      </c>
      <c r="Y89" s="2">
        <v>5998</v>
      </c>
      <c r="Z89" s="5">
        <v>3</v>
      </c>
      <c r="AA89" s="100">
        <f>'Weather Data'!D185</f>
        <v>392.09999999999991</v>
      </c>
      <c r="AB89" s="100">
        <f>'Weather Data'!E185</f>
        <v>0</v>
      </c>
      <c r="AC89" s="100">
        <f>'Weather Data'!F185</f>
        <v>332.09999999999997</v>
      </c>
      <c r="AD89" s="100">
        <f>'Weather Data'!G185</f>
        <v>0</v>
      </c>
      <c r="AE89" s="100">
        <f>'Weather Data'!H185</f>
        <v>272.10000000000002</v>
      </c>
      <c r="AF89" s="100">
        <f>'Weather Data'!I185</f>
        <v>0</v>
      </c>
      <c r="AG89" s="100">
        <f>'Weather Data'!J185</f>
        <v>214.6</v>
      </c>
      <c r="AH89" s="100">
        <f>'Weather Data'!K185</f>
        <v>2.5</v>
      </c>
      <c r="AI89" s="100">
        <f>'Weather Data'!L185</f>
        <v>161.5</v>
      </c>
      <c r="AJ89" s="100">
        <f>'Weather Data'!M185</f>
        <v>9.4</v>
      </c>
      <c r="AK89" s="100">
        <f>'Weather Data'!N185</f>
        <v>113.10000000000001</v>
      </c>
      <c r="AL89" s="100">
        <f>'Weather Data'!O185</f>
        <v>21.000000000000004</v>
      </c>
      <c r="AM89" s="100">
        <f>'Weather Data'!P185</f>
        <v>74.000000000000014</v>
      </c>
      <c r="AN89" s="100">
        <f>'Weather Data'!Q185</f>
        <v>41.900000000000006</v>
      </c>
      <c r="AO89" s="100">
        <f>'Weather Data'!R185</f>
        <v>6.9300000000000015</v>
      </c>
      <c r="AP89" s="5">
        <f>'Economic Data'!D55</f>
        <v>6931.9</v>
      </c>
      <c r="AQ89" s="5">
        <f>'Economic Data'!E55</f>
        <v>6843.7</v>
      </c>
      <c r="AR89" s="5">
        <f>'Economic Data'!F55</f>
        <v>162.6</v>
      </c>
      <c r="AS89" s="5">
        <f>'Economic Data'!G55</f>
        <v>159</v>
      </c>
      <c r="AT89" s="5">
        <f>'Economic Data'!H55</f>
        <v>743976.2</v>
      </c>
      <c r="AU89" s="5">
        <f>'Economic Data'!I55</f>
        <v>6953.7</v>
      </c>
      <c r="AV89" s="5">
        <f>'Economic Data'!J55</f>
        <v>5894.8</v>
      </c>
      <c r="AW89" s="5">
        <f>'Economic Data'!K55</f>
        <v>4265.7</v>
      </c>
      <c r="AX89" s="5">
        <f>'Economic Data'!L55</f>
        <v>916.6</v>
      </c>
      <c r="AY89" s="5">
        <f>'Economic Data'!M55</f>
        <v>546.5</v>
      </c>
      <c r="AZ89" s="5">
        <f>'Economic Data'!N55</f>
        <v>7852.2</v>
      </c>
      <c r="BA89" s="5">
        <f>'Economic Data'!O55</f>
        <v>163.80000000000001</v>
      </c>
      <c r="BB89" s="5">
        <f>'Economic Data'!P55</f>
        <v>89.9</v>
      </c>
      <c r="BC89" s="5">
        <f>'Economic Data'!Q55</f>
        <v>740632</v>
      </c>
      <c r="BD89" s="5">
        <f>'Economic Data'!R55</f>
        <v>6954</v>
      </c>
      <c r="BE89" s="5">
        <f>'Economic Data'!S55</f>
        <v>3468</v>
      </c>
      <c r="BF89" s="5">
        <f>'Economic Data'!T55</f>
        <v>13152</v>
      </c>
      <c r="BG89" s="5">
        <v>0</v>
      </c>
      <c r="BH89" s="5">
        <v>0</v>
      </c>
      <c r="BI89" s="5">
        <v>0</v>
      </c>
      <c r="BJ89" s="5">
        <f t="shared" si="52"/>
        <v>40</v>
      </c>
      <c r="BK89" s="70">
        <f t="shared" si="53"/>
        <v>1.6020599913279623</v>
      </c>
      <c r="BL89" s="5">
        <f t="shared" si="54"/>
        <v>1600</v>
      </c>
      <c r="BM89">
        <v>0</v>
      </c>
      <c r="BN89">
        <v>0</v>
      </c>
      <c r="BO89">
        <v>0</v>
      </c>
      <c r="BP89">
        <v>1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f t="shared" si="88"/>
        <v>1</v>
      </c>
      <c r="BZ89">
        <f t="shared" si="88"/>
        <v>0</v>
      </c>
      <c r="CA89">
        <f t="shared" si="55"/>
        <v>1</v>
      </c>
      <c r="CB89">
        <v>30</v>
      </c>
      <c r="CC89">
        <v>21</v>
      </c>
      <c r="CD89">
        <v>0</v>
      </c>
      <c r="CE89">
        <v>0</v>
      </c>
      <c r="CF89">
        <f t="shared" si="47"/>
        <v>0</v>
      </c>
      <c r="CG89">
        <v>0</v>
      </c>
      <c r="CH89" s="64">
        <f t="shared" si="56"/>
        <v>0</v>
      </c>
      <c r="CI89" s="64">
        <f t="shared" si="57"/>
        <v>0</v>
      </c>
      <c r="CJ89" s="64">
        <f t="shared" si="58"/>
        <v>0</v>
      </c>
      <c r="CK89" s="64">
        <f t="shared" si="59"/>
        <v>0</v>
      </c>
      <c r="CL89" s="64">
        <f t="shared" si="60"/>
        <v>0</v>
      </c>
      <c r="CM89" s="64">
        <f t="shared" si="61"/>
        <v>0</v>
      </c>
      <c r="CN89" s="64">
        <f t="shared" si="62"/>
        <v>0</v>
      </c>
      <c r="CO89" s="64">
        <f t="shared" si="63"/>
        <v>0</v>
      </c>
      <c r="CP89" s="64">
        <f t="shared" si="64"/>
        <v>0</v>
      </c>
      <c r="CQ89" s="64">
        <f t="shared" si="65"/>
        <v>0</v>
      </c>
      <c r="CR89" s="64">
        <f t="shared" si="66"/>
        <v>0</v>
      </c>
      <c r="CS89" s="64">
        <f t="shared" si="67"/>
        <v>0</v>
      </c>
      <c r="CT89" s="64">
        <f t="shared" si="68"/>
        <v>0</v>
      </c>
      <c r="CU89" s="64">
        <f t="shared" si="69"/>
        <v>0</v>
      </c>
      <c r="CV89" s="69">
        <f t="shared" si="70"/>
        <v>20.133575806452402</v>
      </c>
      <c r="CW89" s="69">
        <f t="shared" si="71"/>
        <v>743.99183146918938</v>
      </c>
      <c r="CX89" s="69">
        <f t="shared" si="45"/>
        <v>2624.9692289806521</v>
      </c>
      <c r="CY89" s="69">
        <f t="shared" si="72"/>
        <v>36345.603174603173</v>
      </c>
      <c r="CZ89" s="64">
        <f t="shared" si="46"/>
        <v>1837.4784602864568</v>
      </c>
      <c r="DA89" s="64">
        <f t="shared" si="73"/>
        <v>25441.92222222222</v>
      </c>
      <c r="DB89">
        <f t="shared" si="74"/>
        <v>0</v>
      </c>
      <c r="DC89">
        <f t="shared" si="75"/>
        <v>0</v>
      </c>
      <c r="DD89">
        <f t="shared" si="76"/>
        <v>0</v>
      </c>
      <c r="DE89">
        <f t="shared" si="77"/>
        <v>0</v>
      </c>
      <c r="DF89">
        <f t="shared" si="78"/>
        <v>0</v>
      </c>
      <c r="DG89">
        <f t="shared" si="79"/>
        <v>0</v>
      </c>
      <c r="DH89">
        <f t="shared" si="80"/>
        <v>0</v>
      </c>
      <c r="DI89">
        <f t="shared" si="81"/>
        <v>0</v>
      </c>
      <c r="DJ89">
        <f t="shared" si="82"/>
        <v>0</v>
      </c>
      <c r="DK89">
        <f t="shared" si="83"/>
        <v>0</v>
      </c>
      <c r="DL89">
        <f t="shared" si="84"/>
        <v>0</v>
      </c>
      <c r="DM89">
        <f t="shared" si="85"/>
        <v>0</v>
      </c>
      <c r="DN89">
        <f t="shared" si="86"/>
        <v>0</v>
      </c>
      <c r="DO89">
        <f t="shared" si="87"/>
        <v>0</v>
      </c>
      <c r="DP89" s="2">
        <f t="shared" si="89"/>
        <v>4</v>
      </c>
      <c r="DQ89" s="2">
        <v>0</v>
      </c>
      <c r="DR89" s="2">
        <v>0</v>
      </c>
      <c r="DS89" s="2">
        <v>0</v>
      </c>
      <c r="DT89" s="2">
        <v>0</v>
      </c>
    </row>
    <row r="90" spans="1:124" s="2" customFormat="1">
      <c r="A90" s="3">
        <v>42491</v>
      </c>
      <c r="B90">
        <f t="shared" si="48"/>
        <v>2016</v>
      </c>
      <c r="C90" s="2">
        <v>18225839</v>
      </c>
      <c r="D90" s="2">
        <f>VLOOKUP(B90,'Historic CDM'!$B$135:$H$146,2,FALSE)/12</f>
        <v>528300.53032321611</v>
      </c>
      <c r="E90" s="2">
        <f t="shared" si="7"/>
        <v>18754139.530323215</v>
      </c>
      <c r="F90" s="5">
        <v>26912</v>
      </c>
      <c r="G90" s="219">
        <v>5320739</v>
      </c>
      <c r="H90" s="2">
        <f>VLOOKUP(B90,'Historic CDM'!$B$135:$H$147,3,FALSE)/12</f>
        <v>907506.28545967676</v>
      </c>
      <c r="I90" s="2">
        <f t="shared" si="8"/>
        <v>6228245.2854596768</v>
      </c>
      <c r="J90" s="220">
        <v>1941</v>
      </c>
      <c r="K90" s="219">
        <v>13839343</v>
      </c>
      <c r="L90" s="2">
        <f>VLOOKUP(B90,'Historic CDM'!$B$135:$H$146,4,FALSE)/12</f>
        <v>972612.99023436254</v>
      </c>
      <c r="M90" s="2">
        <f t="shared" si="50"/>
        <v>14811955.990234362</v>
      </c>
      <c r="N90" s="222">
        <v>36426</v>
      </c>
      <c r="O90" s="5">
        <v>261</v>
      </c>
      <c r="P90" s="220">
        <v>371592</v>
      </c>
      <c r="Q90" s="2">
        <v>1397</v>
      </c>
      <c r="R90" s="5">
        <v>2707</v>
      </c>
      <c r="S90" s="220">
        <v>27698</v>
      </c>
      <c r="T90" s="2">
        <v>72</v>
      </c>
      <c r="U90" s="5">
        <v>174</v>
      </c>
      <c r="V90" s="221">
        <v>129373</v>
      </c>
      <c r="W90" s="1">
        <v>139</v>
      </c>
      <c r="X90" s="2">
        <v>2326556</v>
      </c>
      <c r="Y90" s="2">
        <v>7382</v>
      </c>
      <c r="Z90" s="5">
        <v>3</v>
      </c>
      <c r="AA90" s="100">
        <f>'Weather Data'!D186</f>
        <v>173.29999999999998</v>
      </c>
      <c r="AB90" s="100">
        <f>'Weather Data'!E186</f>
        <v>22.100000000000005</v>
      </c>
      <c r="AC90" s="100">
        <f>'Weather Data'!F186</f>
        <v>126.6</v>
      </c>
      <c r="AD90" s="100">
        <f>'Weather Data'!G186</f>
        <v>37.400000000000006</v>
      </c>
      <c r="AE90" s="100">
        <f>'Weather Data'!H186</f>
        <v>82.399999999999991</v>
      </c>
      <c r="AF90" s="100">
        <f>'Weather Data'!I186</f>
        <v>55.2</v>
      </c>
      <c r="AG90" s="100">
        <f>'Weather Data'!J186</f>
        <v>46.099999999999994</v>
      </c>
      <c r="AH90" s="100">
        <f>'Weather Data'!K186</f>
        <v>80.900000000000006</v>
      </c>
      <c r="AI90" s="100">
        <f>'Weather Data'!L186</f>
        <v>20.099999999999998</v>
      </c>
      <c r="AJ90" s="100">
        <f>'Weather Data'!M186</f>
        <v>116.89999999999998</v>
      </c>
      <c r="AK90" s="100">
        <f>'Weather Data'!N186</f>
        <v>7.0000000000000009</v>
      </c>
      <c r="AL90" s="100">
        <f>'Weather Data'!O186</f>
        <v>165.79999999999998</v>
      </c>
      <c r="AM90" s="100">
        <f>'Weather Data'!P186</f>
        <v>2.8</v>
      </c>
      <c r="AN90" s="100">
        <f>'Weather Data'!Q186</f>
        <v>223.59999999999997</v>
      </c>
      <c r="AO90" s="100">
        <f>'Weather Data'!R186</f>
        <v>15.122580645161293</v>
      </c>
      <c r="AP90" s="5">
        <f>'Economic Data'!D56</f>
        <v>6944.7</v>
      </c>
      <c r="AQ90" s="5">
        <f>'Economic Data'!E56</f>
        <v>6913.7</v>
      </c>
      <c r="AR90" s="5">
        <f>'Economic Data'!F56</f>
        <v>164.5</v>
      </c>
      <c r="AS90" s="5">
        <f>'Economic Data'!G56</f>
        <v>162.19999999999999</v>
      </c>
      <c r="AT90" s="5">
        <f>'Economic Data'!H56</f>
        <v>743976.2</v>
      </c>
      <c r="AU90" s="5">
        <f>'Economic Data'!I56</f>
        <v>6953.7</v>
      </c>
      <c r="AV90" s="5">
        <f>'Economic Data'!J56</f>
        <v>5894.8</v>
      </c>
      <c r="AW90" s="5">
        <f>'Economic Data'!K56</f>
        <v>4265.7</v>
      </c>
      <c r="AX90" s="5">
        <f>'Economic Data'!L56</f>
        <v>916.6</v>
      </c>
      <c r="AY90" s="5">
        <f>'Economic Data'!M56</f>
        <v>546.5</v>
      </c>
      <c r="AZ90" s="5">
        <f>'Economic Data'!N56</f>
        <v>7852.2</v>
      </c>
      <c r="BA90" s="5">
        <f>'Economic Data'!O56</f>
        <v>163.80000000000001</v>
      </c>
      <c r="BB90" s="5">
        <f>'Economic Data'!P56</f>
        <v>89.9</v>
      </c>
      <c r="BC90" s="5">
        <f>'Economic Data'!Q56</f>
        <v>740632</v>
      </c>
      <c r="BD90" s="5">
        <f>'Economic Data'!R56</f>
        <v>6954</v>
      </c>
      <c r="BE90" s="5">
        <f>'Economic Data'!S56</f>
        <v>3468</v>
      </c>
      <c r="BF90" s="5">
        <f>'Economic Data'!T56</f>
        <v>13152</v>
      </c>
      <c r="BG90" s="5">
        <v>0</v>
      </c>
      <c r="BH90" s="5">
        <v>0</v>
      </c>
      <c r="BI90" s="5">
        <v>0</v>
      </c>
      <c r="BJ90" s="5">
        <f t="shared" si="52"/>
        <v>41</v>
      </c>
      <c r="BK90" s="70">
        <f t="shared" si="53"/>
        <v>1.6127838567197355</v>
      </c>
      <c r="BL90" s="5">
        <f t="shared" si="54"/>
        <v>1681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f t="shared" si="88"/>
        <v>1</v>
      </c>
      <c r="BZ90">
        <f t="shared" si="88"/>
        <v>0</v>
      </c>
      <c r="CA90">
        <f t="shared" si="55"/>
        <v>1</v>
      </c>
      <c r="CB90">
        <v>31</v>
      </c>
      <c r="CC90">
        <v>21</v>
      </c>
      <c r="CD90">
        <v>0</v>
      </c>
      <c r="CE90">
        <v>0</v>
      </c>
      <c r="CF90">
        <f t="shared" si="47"/>
        <v>0</v>
      </c>
      <c r="CG90">
        <v>0</v>
      </c>
      <c r="CH90" s="64">
        <f t="shared" si="56"/>
        <v>0</v>
      </c>
      <c r="CI90" s="64">
        <f t="shared" si="57"/>
        <v>0</v>
      </c>
      <c r="CJ90" s="64">
        <f t="shared" si="58"/>
        <v>0</v>
      </c>
      <c r="CK90" s="64">
        <f t="shared" si="59"/>
        <v>0</v>
      </c>
      <c r="CL90" s="64">
        <f t="shared" si="60"/>
        <v>0</v>
      </c>
      <c r="CM90" s="64">
        <f t="shared" si="61"/>
        <v>0</v>
      </c>
      <c r="CN90" s="64">
        <f t="shared" si="62"/>
        <v>0</v>
      </c>
      <c r="CO90" s="64">
        <f t="shared" si="63"/>
        <v>0</v>
      </c>
      <c r="CP90" s="64">
        <f t="shared" si="64"/>
        <v>0</v>
      </c>
      <c r="CQ90" s="64">
        <f t="shared" si="65"/>
        <v>0</v>
      </c>
      <c r="CR90" s="64">
        <f t="shared" si="66"/>
        <v>0</v>
      </c>
      <c r="CS90" s="64">
        <f t="shared" si="67"/>
        <v>0</v>
      </c>
      <c r="CT90" s="64">
        <f t="shared" si="68"/>
        <v>0</v>
      </c>
      <c r="CU90" s="64">
        <f t="shared" si="69"/>
        <v>0</v>
      </c>
      <c r="CV90" s="69">
        <f t="shared" si="70"/>
        <v>22.479646362724885</v>
      </c>
      <c r="CW90" s="69">
        <f t="shared" si="71"/>
        <v>769.77447601775759</v>
      </c>
      <c r="CX90" s="69">
        <f t="shared" si="45"/>
        <v>2702.4185349816385</v>
      </c>
      <c r="CY90" s="69">
        <f t="shared" si="72"/>
        <v>36929.460317460318</v>
      </c>
      <c r="CZ90" s="64">
        <f t="shared" si="46"/>
        <v>1830.6706204714326</v>
      </c>
      <c r="DA90" s="64">
        <f t="shared" si="73"/>
        <v>25016.731182795698</v>
      </c>
      <c r="DB90">
        <f t="shared" si="74"/>
        <v>0</v>
      </c>
      <c r="DC90">
        <f t="shared" si="75"/>
        <v>0</v>
      </c>
      <c r="DD90">
        <f t="shared" si="76"/>
        <v>0</v>
      </c>
      <c r="DE90">
        <f t="shared" si="77"/>
        <v>0</v>
      </c>
      <c r="DF90">
        <f t="shared" si="78"/>
        <v>0</v>
      </c>
      <c r="DG90">
        <f t="shared" si="79"/>
        <v>0</v>
      </c>
      <c r="DH90">
        <f t="shared" si="80"/>
        <v>0</v>
      </c>
      <c r="DI90">
        <f t="shared" si="81"/>
        <v>0</v>
      </c>
      <c r="DJ90">
        <f t="shared" si="82"/>
        <v>0</v>
      </c>
      <c r="DK90">
        <f t="shared" si="83"/>
        <v>0</v>
      </c>
      <c r="DL90">
        <f t="shared" si="84"/>
        <v>0</v>
      </c>
      <c r="DM90">
        <f t="shared" si="85"/>
        <v>0</v>
      </c>
      <c r="DN90">
        <f t="shared" si="86"/>
        <v>0</v>
      </c>
      <c r="DO90">
        <f t="shared" si="87"/>
        <v>0</v>
      </c>
      <c r="DP90" s="2">
        <f t="shared" si="89"/>
        <v>5</v>
      </c>
      <c r="DQ90" s="2">
        <v>0</v>
      </c>
      <c r="DR90" s="2">
        <v>0</v>
      </c>
      <c r="DS90" s="2">
        <v>0</v>
      </c>
      <c r="DT90" s="2">
        <v>0</v>
      </c>
    </row>
    <row r="91" spans="1:124" s="2" customFormat="1">
      <c r="A91" s="3">
        <v>42522</v>
      </c>
      <c r="B91">
        <f t="shared" si="48"/>
        <v>2016</v>
      </c>
      <c r="C91" s="2">
        <v>24856255</v>
      </c>
      <c r="D91" s="2">
        <f>VLOOKUP(B91,'Historic CDM'!$B$135:$H$146,2,FALSE)/12</f>
        <v>528300.53032321611</v>
      </c>
      <c r="E91" s="2">
        <f t="shared" si="7"/>
        <v>25384555.530323215</v>
      </c>
      <c r="F91" s="5">
        <v>26809</v>
      </c>
      <c r="G91" s="219">
        <v>5870266</v>
      </c>
      <c r="H91" s="2">
        <f>VLOOKUP(B91,'Historic CDM'!$B$135:$H$147,3,FALSE)/12</f>
        <v>907506.28545967676</v>
      </c>
      <c r="I91" s="2">
        <f t="shared" si="8"/>
        <v>6777772.2854596768</v>
      </c>
      <c r="J91" s="220">
        <v>1925</v>
      </c>
      <c r="K91" s="219">
        <v>15570018</v>
      </c>
      <c r="L91" s="2">
        <f>VLOOKUP(B91,'Historic CDM'!$B$135:$H$146,4,FALSE)/12</f>
        <v>972612.99023436254</v>
      </c>
      <c r="M91" s="2">
        <f t="shared" si="50"/>
        <v>16542630.990234362</v>
      </c>
      <c r="N91" s="222">
        <v>41425</v>
      </c>
      <c r="O91" s="5">
        <v>251</v>
      </c>
      <c r="P91" s="220">
        <v>220602</v>
      </c>
      <c r="Q91" s="2">
        <v>1279</v>
      </c>
      <c r="R91" s="5">
        <v>2721</v>
      </c>
      <c r="S91" s="220">
        <v>27718</v>
      </c>
      <c r="T91" s="2">
        <v>72</v>
      </c>
      <c r="U91" s="5">
        <v>174</v>
      </c>
      <c r="V91" s="221">
        <v>129373</v>
      </c>
      <c r="W91" s="1">
        <v>139</v>
      </c>
      <c r="X91" s="2">
        <v>2706683</v>
      </c>
      <c r="Y91" s="2">
        <v>7567</v>
      </c>
      <c r="Z91" s="5">
        <v>3</v>
      </c>
      <c r="AA91" s="100">
        <f>'Weather Data'!D187</f>
        <v>18.400000000000002</v>
      </c>
      <c r="AB91" s="100">
        <f>'Weather Data'!E187</f>
        <v>52.900000000000006</v>
      </c>
      <c r="AC91" s="100">
        <f>'Weather Data'!F187</f>
        <v>6.7999999999999989</v>
      </c>
      <c r="AD91" s="100">
        <f>'Weather Data'!G187</f>
        <v>101.3</v>
      </c>
      <c r="AE91" s="100">
        <f>'Weather Data'!H187</f>
        <v>0.90000000000000036</v>
      </c>
      <c r="AF91" s="100">
        <f>'Weather Data'!I187</f>
        <v>155.4</v>
      </c>
      <c r="AG91" s="100">
        <f>'Weather Data'!J187</f>
        <v>0</v>
      </c>
      <c r="AH91" s="100">
        <f>'Weather Data'!K187</f>
        <v>214.49999999999991</v>
      </c>
      <c r="AI91" s="100">
        <f>'Weather Data'!L187</f>
        <v>0</v>
      </c>
      <c r="AJ91" s="100">
        <f>'Weather Data'!M187</f>
        <v>274.49999999999989</v>
      </c>
      <c r="AK91" s="100">
        <f>'Weather Data'!N187</f>
        <v>0</v>
      </c>
      <c r="AL91" s="100">
        <f>'Weather Data'!O187</f>
        <v>334.49999999999989</v>
      </c>
      <c r="AM91" s="100">
        <f>'Weather Data'!P187</f>
        <v>0</v>
      </c>
      <c r="AN91" s="100">
        <f>'Weather Data'!Q187</f>
        <v>394.49999999999989</v>
      </c>
      <c r="AO91" s="100">
        <f>'Weather Data'!R187</f>
        <v>21.150000000000002</v>
      </c>
      <c r="AP91" s="5">
        <f>'Economic Data'!D57</f>
        <v>6955.5</v>
      </c>
      <c r="AQ91" s="5">
        <f>'Economic Data'!E57</f>
        <v>7000.2</v>
      </c>
      <c r="AR91" s="5">
        <f>'Economic Data'!F57</f>
        <v>166.4</v>
      </c>
      <c r="AS91" s="5">
        <f>'Economic Data'!G57</f>
        <v>166.5</v>
      </c>
      <c r="AT91" s="5">
        <f>'Economic Data'!H57</f>
        <v>743976.2</v>
      </c>
      <c r="AU91" s="5">
        <f>'Economic Data'!I57</f>
        <v>6953.7</v>
      </c>
      <c r="AV91" s="5">
        <f>'Economic Data'!J57</f>
        <v>5894.8</v>
      </c>
      <c r="AW91" s="5">
        <f>'Economic Data'!K57</f>
        <v>4265.7</v>
      </c>
      <c r="AX91" s="5">
        <f>'Economic Data'!L57</f>
        <v>916.6</v>
      </c>
      <c r="AY91" s="5">
        <f>'Economic Data'!M57</f>
        <v>546.5</v>
      </c>
      <c r="AZ91" s="5">
        <f>'Economic Data'!N57</f>
        <v>7852.2</v>
      </c>
      <c r="BA91" s="5">
        <f>'Economic Data'!O57</f>
        <v>163.80000000000001</v>
      </c>
      <c r="BB91" s="5">
        <f>'Economic Data'!P57</f>
        <v>89.9</v>
      </c>
      <c r="BC91" s="5">
        <f>'Economic Data'!Q57</f>
        <v>740632</v>
      </c>
      <c r="BD91" s="5">
        <f>'Economic Data'!R57</f>
        <v>6954</v>
      </c>
      <c r="BE91" s="5">
        <f>'Economic Data'!S57</f>
        <v>3468</v>
      </c>
      <c r="BF91" s="5">
        <f>'Economic Data'!T57</f>
        <v>13152</v>
      </c>
      <c r="BG91" s="5">
        <v>0</v>
      </c>
      <c r="BH91" s="5">
        <v>0</v>
      </c>
      <c r="BI91" s="5">
        <v>0</v>
      </c>
      <c r="BJ91" s="5">
        <f t="shared" si="52"/>
        <v>42</v>
      </c>
      <c r="BK91" s="70">
        <f t="shared" si="53"/>
        <v>1.6232492903979006</v>
      </c>
      <c r="BL91" s="5">
        <f t="shared" si="54"/>
        <v>1764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1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f t="shared" si="88"/>
        <v>0</v>
      </c>
      <c r="BZ91">
        <f t="shared" si="88"/>
        <v>0</v>
      </c>
      <c r="CA91">
        <f t="shared" si="55"/>
        <v>0</v>
      </c>
      <c r="CB91">
        <v>30</v>
      </c>
      <c r="CC91">
        <v>22</v>
      </c>
      <c r="CD91">
        <v>0</v>
      </c>
      <c r="CE91">
        <v>0</v>
      </c>
      <c r="CF91">
        <f t="shared" si="47"/>
        <v>0</v>
      </c>
      <c r="CG91">
        <v>0</v>
      </c>
      <c r="CH91" s="64">
        <f t="shared" si="56"/>
        <v>0</v>
      </c>
      <c r="CI91" s="64">
        <f t="shared" si="57"/>
        <v>0</v>
      </c>
      <c r="CJ91" s="64">
        <f t="shared" si="58"/>
        <v>0</v>
      </c>
      <c r="CK91" s="64">
        <f t="shared" si="59"/>
        <v>0</v>
      </c>
      <c r="CL91" s="64">
        <f t="shared" si="60"/>
        <v>0</v>
      </c>
      <c r="CM91" s="64">
        <f t="shared" si="61"/>
        <v>0</v>
      </c>
      <c r="CN91" s="64">
        <f t="shared" si="62"/>
        <v>0</v>
      </c>
      <c r="CO91" s="64">
        <f t="shared" si="63"/>
        <v>0</v>
      </c>
      <c r="CP91" s="64">
        <f t="shared" si="64"/>
        <v>0</v>
      </c>
      <c r="CQ91" s="64">
        <f t="shared" si="65"/>
        <v>0</v>
      </c>
      <c r="CR91" s="64">
        <f t="shared" si="66"/>
        <v>0</v>
      </c>
      <c r="CS91" s="64">
        <f t="shared" si="67"/>
        <v>0</v>
      </c>
      <c r="CT91" s="64">
        <f t="shared" si="68"/>
        <v>0</v>
      </c>
      <c r="CU91" s="64">
        <f t="shared" si="69"/>
        <v>0</v>
      </c>
      <c r="CV91" s="69">
        <f t="shared" si="70"/>
        <v>31.562231004915283</v>
      </c>
      <c r="CW91" s="69">
        <f t="shared" si="71"/>
        <v>900.10256115002346</v>
      </c>
      <c r="CX91" s="69">
        <f t="shared" si="45"/>
        <v>2995.7680170652593</v>
      </c>
      <c r="CY91" s="69">
        <f t="shared" si="72"/>
        <v>41010.348484848488</v>
      </c>
      <c r="CZ91" s="64">
        <f t="shared" si="46"/>
        <v>2196.8965458478569</v>
      </c>
      <c r="DA91" s="64">
        <f t="shared" si="73"/>
        <v>30074.255555555555</v>
      </c>
      <c r="DB91">
        <f t="shared" si="74"/>
        <v>0</v>
      </c>
      <c r="DC91">
        <f t="shared" si="75"/>
        <v>0</v>
      </c>
      <c r="DD91">
        <f t="shared" si="76"/>
        <v>0</v>
      </c>
      <c r="DE91">
        <f t="shared" si="77"/>
        <v>0</v>
      </c>
      <c r="DF91">
        <f t="shared" si="78"/>
        <v>0</v>
      </c>
      <c r="DG91">
        <f t="shared" si="79"/>
        <v>0</v>
      </c>
      <c r="DH91">
        <f t="shared" si="80"/>
        <v>0</v>
      </c>
      <c r="DI91">
        <f t="shared" si="81"/>
        <v>0</v>
      </c>
      <c r="DJ91">
        <f t="shared" si="82"/>
        <v>0</v>
      </c>
      <c r="DK91">
        <f t="shared" si="83"/>
        <v>0</v>
      </c>
      <c r="DL91">
        <f t="shared" si="84"/>
        <v>0</v>
      </c>
      <c r="DM91">
        <f t="shared" si="85"/>
        <v>0</v>
      </c>
      <c r="DN91">
        <f t="shared" si="86"/>
        <v>0</v>
      </c>
      <c r="DO91">
        <f t="shared" si="87"/>
        <v>0</v>
      </c>
      <c r="DP91" s="2">
        <f t="shared" si="89"/>
        <v>6</v>
      </c>
      <c r="DQ91" s="2">
        <v>0</v>
      </c>
      <c r="DR91" s="2">
        <v>0</v>
      </c>
      <c r="DS91" s="2">
        <v>0</v>
      </c>
      <c r="DT91" s="2">
        <v>0</v>
      </c>
    </row>
    <row r="92" spans="1:124" s="2" customFormat="1">
      <c r="A92" s="3">
        <v>42552</v>
      </c>
      <c r="B92">
        <f t="shared" si="48"/>
        <v>2016</v>
      </c>
      <c r="C92" s="2">
        <v>32189893</v>
      </c>
      <c r="D92" s="2">
        <f>VLOOKUP(B92,'Historic CDM'!$B$135:$H$146,2,FALSE)/12</f>
        <v>528300.53032321611</v>
      </c>
      <c r="E92" s="2">
        <f t="shared" si="7"/>
        <v>32718193.530323215</v>
      </c>
      <c r="F92" s="5">
        <v>26865</v>
      </c>
      <c r="G92" s="219">
        <v>6786646</v>
      </c>
      <c r="H92" s="2">
        <f>VLOOKUP(B92,'Historic CDM'!$B$135:$H$147,3,FALSE)/12</f>
        <v>907506.28545967676</v>
      </c>
      <c r="I92" s="2">
        <f t="shared" si="8"/>
        <v>7694152.2854596768</v>
      </c>
      <c r="J92" s="220">
        <v>1926</v>
      </c>
      <c r="K92" s="219">
        <v>17537485</v>
      </c>
      <c r="L92" s="2">
        <f>VLOOKUP(B92,'Historic CDM'!$B$135:$H$146,4,FALSE)/12</f>
        <v>972612.99023436254</v>
      </c>
      <c r="M92" s="2">
        <f t="shared" si="50"/>
        <v>18510097.990234364</v>
      </c>
      <c r="N92" s="222">
        <v>47326</v>
      </c>
      <c r="O92" s="5">
        <v>252</v>
      </c>
      <c r="P92" s="220">
        <v>227300</v>
      </c>
      <c r="Q92" s="2">
        <v>924</v>
      </c>
      <c r="R92" s="5">
        <v>2721</v>
      </c>
      <c r="S92" s="220">
        <v>27942</v>
      </c>
      <c r="T92" s="2">
        <v>72</v>
      </c>
      <c r="U92" s="5">
        <v>174</v>
      </c>
      <c r="V92" s="221">
        <v>129373</v>
      </c>
      <c r="W92" s="1">
        <v>139</v>
      </c>
      <c r="X92" s="2">
        <v>3094570</v>
      </c>
      <c r="Y92" s="2">
        <v>8803</v>
      </c>
      <c r="Z92" s="5">
        <v>3</v>
      </c>
      <c r="AA92" s="100">
        <f>'Weather Data'!D188</f>
        <v>2.6000000000000014</v>
      </c>
      <c r="AB92" s="100">
        <f>'Weather Data'!E188</f>
        <v>118.89999999999999</v>
      </c>
      <c r="AC92" s="100">
        <f>'Weather Data'!F188</f>
        <v>0</v>
      </c>
      <c r="AD92" s="100">
        <f>'Weather Data'!G188</f>
        <v>178.3</v>
      </c>
      <c r="AE92" s="100">
        <f>'Weather Data'!H188</f>
        <v>0</v>
      </c>
      <c r="AF92" s="100">
        <f>'Weather Data'!I188</f>
        <v>240.29999999999998</v>
      </c>
      <c r="AG92" s="100">
        <f>'Weather Data'!J188</f>
        <v>0</v>
      </c>
      <c r="AH92" s="100">
        <f>'Weather Data'!K188</f>
        <v>302.3</v>
      </c>
      <c r="AI92" s="100">
        <f>'Weather Data'!L188</f>
        <v>0</v>
      </c>
      <c r="AJ92" s="100">
        <f>'Weather Data'!M188</f>
        <v>364.29999999999995</v>
      </c>
      <c r="AK92" s="100">
        <f>'Weather Data'!N188</f>
        <v>0</v>
      </c>
      <c r="AL92" s="100">
        <f>'Weather Data'!O188</f>
        <v>426.3</v>
      </c>
      <c r="AM92" s="100">
        <f>'Weather Data'!P188</f>
        <v>0</v>
      </c>
      <c r="AN92" s="100">
        <f>'Weather Data'!Q188</f>
        <v>488.3</v>
      </c>
      <c r="AO92" s="100">
        <f>'Weather Data'!R188</f>
        <v>23.751612903225805</v>
      </c>
      <c r="AP92" s="5">
        <f>'Economic Data'!D58</f>
        <v>6956.3</v>
      </c>
      <c r="AQ92" s="5">
        <f>'Economic Data'!E58</f>
        <v>7049.5</v>
      </c>
      <c r="AR92" s="5">
        <f>'Economic Data'!F58</f>
        <v>167.9</v>
      </c>
      <c r="AS92" s="5">
        <f>'Economic Data'!G58</f>
        <v>169.9</v>
      </c>
      <c r="AT92" s="5">
        <f>'Economic Data'!H58</f>
        <v>743976.2</v>
      </c>
      <c r="AU92" s="5">
        <f>'Economic Data'!I58</f>
        <v>6953.7</v>
      </c>
      <c r="AV92" s="5">
        <f>'Economic Data'!J58</f>
        <v>5894.8</v>
      </c>
      <c r="AW92" s="5">
        <f>'Economic Data'!K58</f>
        <v>4265.7</v>
      </c>
      <c r="AX92" s="5">
        <f>'Economic Data'!L58</f>
        <v>916.6</v>
      </c>
      <c r="AY92" s="5">
        <f>'Economic Data'!M58</f>
        <v>546.5</v>
      </c>
      <c r="AZ92" s="5">
        <f>'Economic Data'!N58</f>
        <v>7852.2</v>
      </c>
      <c r="BA92" s="5">
        <f>'Economic Data'!O58</f>
        <v>163.80000000000001</v>
      </c>
      <c r="BB92" s="5">
        <f>'Economic Data'!P58</f>
        <v>89.9</v>
      </c>
      <c r="BC92" s="5">
        <f>'Economic Data'!Q58</f>
        <v>746606</v>
      </c>
      <c r="BD92" s="5">
        <f>'Economic Data'!R58</f>
        <v>6970</v>
      </c>
      <c r="BE92" s="5">
        <f>'Economic Data'!S58</f>
        <v>3595</v>
      </c>
      <c r="BF92" s="5">
        <f>'Economic Data'!T58</f>
        <v>13552</v>
      </c>
      <c r="BG92" s="5">
        <v>0</v>
      </c>
      <c r="BH92" s="5">
        <v>0</v>
      </c>
      <c r="BI92" s="5">
        <v>0</v>
      </c>
      <c r="BJ92" s="5">
        <f t="shared" si="52"/>
        <v>43</v>
      </c>
      <c r="BK92" s="70">
        <f t="shared" si="53"/>
        <v>1.6334684555795864</v>
      </c>
      <c r="BL92" s="5">
        <f t="shared" si="54"/>
        <v>1849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1</v>
      </c>
      <c r="BT92">
        <v>0</v>
      </c>
      <c r="BU92">
        <v>0</v>
      </c>
      <c r="BV92">
        <v>0</v>
      </c>
      <c r="BW92">
        <v>0</v>
      </c>
      <c r="BX92">
        <v>0</v>
      </c>
      <c r="BY92">
        <f t="shared" si="88"/>
        <v>0</v>
      </c>
      <c r="BZ92">
        <f t="shared" si="88"/>
        <v>0</v>
      </c>
      <c r="CA92">
        <f t="shared" si="55"/>
        <v>0</v>
      </c>
      <c r="CB92">
        <v>31</v>
      </c>
      <c r="CC92">
        <v>20</v>
      </c>
      <c r="CD92">
        <v>0</v>
      </c>
      <c r="CE92">
        <v>0</v>
      </c>
      <c r="CF92">
        <f t="shared" si="47"/>
        <v>0</v>
      </c>
      <c r="CG92">
        <v>0</v>
      </c>
      <c r="CH92" s="64">
        <f t="shared" si="56"/>
        <v>0</v>
      </c>
      <c r="CI92" s="64">
        <f t="shared" si="57"/>
        <v>0</v>
      </c>
      <c r="CJ92" s="64">
        <f t="shared" si="58"/>
        <v>0</v>
      </c>
      <c r="CK92" s="64">
        <f t="shared" si="59"/>
        <v>0</v>
      </c>
      <c r="CL92" s="64">
        <f t="shared" si="60"/>
        <v>0</v>
      </c>
      <c r="CM92" s="64">
        <f t="shared" si="61"/>
        <v>0</v>
      </c>
      <c r="CN92" s="64">
        <f t="shared" si="62"/>
        <v>0</v>
      </c>
      <c r="CO92" s="64">
        <f t="shared" si="63"/>
        <v>0</v>
      </c>
      <c r="CP92" s="64">
        <f t="shared" si="64"/>
        <v>0</v>
      </c>
      <c r="CQ92" s="64">
        <f t="shared" si="65"/>
        <v>0</v>
      </c>
      <c r="CR92" s="64">
        <f t="shared" si="66"/>
        <v>0</v>
      </c>
      <c r="CS92" s="64">
        <f t="shared" si="67"/>
        <v>0</v>
      </c>
      <c r="CT92" s="64">
        <f t="shared" si="68"/>
        <v>0</v>
      </c>
      <c r="CU92" s="64">
        <f t="shared" si="69"/>
        <v>0</v>
      </c>
      <c r="CV92" s="69">
        <f t="shared" si="70"/>
        <v>39.286268295267512</v>
      </c>
      <c r="CW92" s="69">
        <f t="shared" si="71"/>
        <v>984.91452706857103</v>
      </c>
      <c r="CX92" s="69">
        <f t="shared" si="45"/>
        <v>3672.6384901258657</v>
      </c>
      <c r="CY92" s="69">
        <f t="shared" si="72"/>
        <v>51576.166666666664</v>
      </c>
      <c r="CZ92" s="64">
        <f t="shared" si="46"/>
        <v>2369.4441871779782</v>
      </c>
      <c r="DA92" s="64">
        <f t="shared" si="73"/>
        <v>33274.946236559139</v>
      </c>
      <c r="DB92">
        <f t="shared" si="74"/>
        <v>0</v>
      </c>
      <c r="DC92">
        <f t="shared" si="75"/>
        <v>0</v>
      </c>
      <c r="DD92">
        <f t="shared" si="76"/>
        <v>0</v>
      </c>
      <c r="DE92">
        <f t="shared" si="77"/>
        <v>0</v>
      </c>
      <c r="DF92">
        <f t="shared" si="78"/>
        <v>0</v>
      </c>
      <c r="DG92">
        <f t="shared" si="79"/>
        <v>0</v>
      </c>
      <c r="DH92">
        <f t="shared" si="80"/>
        <v>0</v>
      </c>
      <c r="DI92">
        <f t="shared" si="81"/>
        <v>0</v>
      </c>
      <c r="DJ92">
        <f t="shared" si="82"/>
        <v>0</v>
      </c>
      <c r="DK92">
        <f t="shared" si="83"/>
        <v>0</v>
      </c>
      <c r="DL92">
        <f t="shared" si="84"/>
        <v>0</v>
      </c>
      <c r="DM92">
        <f t="shared" si="85"/>
        <v>0</v>
      </c>
      <c r="DN92">
        <f t="shared" si="86"/>
        <v>0</v>
      </c>
      <c r="DO92">
        <f t="shared" si="87"/>
        <v>0</v>
      </c>
      <c r="DP92" s="2">
        <f t="shared" si="89"/>
        <v>7</v>
      </c>
      <c r="DQ92" s="2">
        <v>0</v>
      </c>
      <c r="DR92" s="2">
        <v>0</v>
      </c>
      <c r="DS92" s="2">
        <v>0</v>
      </c>
      <c r="DT92" s="2">
        <v>0</v>
      </c>
    </row>
    <row r="93" spans="1:124" s="2" customFormat="1">
      <c r="A93" s="3">
        <v>42583</v>
      </c>
      <c r="B93">
        <f t="shared" si="48"/>
        <v>2016</v>
      </c>
      <c r="C93" s="2">
        <v>32141059</v>
      </c>
      <c r="D93" s="2">
        <f>VLOOKUP(B93,'Historic CDM'!$B$135:$H$146,2,FALSE)/12</f>
        <v>528300.53032321611</v>
      </c>
      <c r="E93" s="2">
        <f t="shared" si="7"/>
        <v>32669359.530323215</v>
      </c>
      <c r="F93" s="5">
        <v>26914</v>
      </c>
      <c r="G93" s="219">
        <v>6797542</v>
      </c>
      <c r="H93" s="2">
        <f>VLOOKUP(B93,'Historic CDM'!$B$135:$H$147,3,FALSE)/12</f>
        <v>907506.28545967676</v>
      </c>
      <c r="I93" s="2">
        <f t="shared" si="8"/>
        <v>7705048.2854596768</v>
      </c>
      <c r="J93" s="220">
        <v>1926</v>
      </c>
      <c r="K93" s="219">
        <v>19715113</v>
      </c>
      <c r="L93" s="2">
        <f>VLOOKUP(B93,'Historic CDM'!$B$135:$H$146,4,FALSE)/12</f>
        <v>972612.99023436254</v>
      </c>
      <c r="M93" s="2">
        <f t="shared" si="50"/>
        <v>20687725.990234364</v>
      </c>
      <c r="N93" s="222">
        <v>47548</v>
      </c>
      <c r="O93" s="5">
        <v>251</v>
      </c>
      <c r="P93" s="220">
        <v>254316</v>
      </c>
      <c r="Q93" s="2">
        <v>918</v>
      </c>
      <c r="R93" s="5">
        <v>2721</v>
      </c>
      <c r="S93" s="220">
        <v>28264</v>
      </c>
      <c r="T93" s="2">
        <v>72</v>
      </c>
      <c r="U93" s="5">
        <v>173</v>
      </c>
      <c r="V93" s="221">
        <v>129373</v>
      </c>
      <c r="W93" s="1">
        <v>139</v>
      </c>
      <c r="X93" s="2">
        <v>3564597</v>
      </c>
      <c r="Y93" s="2">
        <v>9071</v>
      </c>
      <c r="Z93" s="5">
        <v>3</v>
      </c>
      <c r="AA93" s="100">
        <f>'Weather Data'!D189</f>
        <v>1.3999999999999986</v>
      </c>
      <c r="AB93" s="100">
        <f>'Weather Data'!E189</f>
        <v>114.29999999999998</v>
      </c>
      <c r="AC93" s="100">
        <f>'Weather Data'!F189</f>
        <v>0</v>
      </c>
      <c r="AD93" s="100">
        <f>'Weather Data'!G189</f>
        <v>174.90000000000006</v>
      </c>
      <c r="AE93" s="100">
        <f>'Weather Data'!H189</f>
        <v>0</v>
      </c>
      <c r="AF93" s="100">
        <f>'Weather Data'!I189</f>
        <v>236.90000000000003</v>
      </c>
      <c r="AG93" s="100">
        <f>'Weather Data'!J189</f>
        <v>0</v>
      </c>
      <c r="AH93" s="100">
        <f>'Weather Data'!K189</f>
        <v>298.89999999999992</v>
      </c>
      <c r="AI93" s="100">
        <f>'Weather Data'!L189</f>
        <v>0</v>
      </c>
      <c r="AJ93" s="100">
        <f>'Weather Data'!M189</f>
        <v>360.9</v>
      </c>
      <c r="AK93" s="100">
        <f>'Weather Data'!N189</f>
        <v>0</v>
      </c>
      <c r="AL93" s="100">
        <f>'Weather Data'!O189</f>
        <v>422.90000000000003</v>
      </c>
      <c r="AM93" s="100">
        <f>'Weather Data'!P189</f>
        <v>0</v>
      </c>
      <c r="AN93" s="100">
        <f>'Weather Data'!Q189</f>
        <v>484.90000000000003</v>
      </c>
      <c r="AO93" s="100">
        <f>'Weather Data'!R189</f>
        <v>23.641935483870963</v>
      </c>
      <c r="AP93" s="5">
        <f>'Economic Data'!D59</f>
        <v>6953.5</v>
      </c>
      <c r="AQ93" s="5">
        <f>'Economic Data'!E59</f>
        <v>7045.6</v>
      </c>
      <c r="AR93" s="5">
        <f>'Economic Data'!F59</f>
        <v>167.8</v>
      </c>
      <c r="AS93" s="5">
        <f>'Economic Data'!G59</f>
        <v>171.1</v>
      </c>
      <c r="AT93" s="5">
        <f>'Economic Data'!H59</f>
        <v>743976.2</v>
      </c>
      <c r="AU93" s="5">
        <f>'Economic Data'!I59</f>
        <v>6953.7</v>
      </c>
      <c r="AV93" s="5">
        <f>'Economic Data'!J59</f>
        <v>5894.8</v>
      </c>
      <c r="AW93" s="5">
        <f>'Economic Data'!K59</f>
        <v>4265.7</v>
      </c>
      <c r="AX93" s="5">
        <f>'Economic Data'!L59</f>
        <v>916.6</v>
      </c>
      <c r="AY93" s="5">
        <f>'Economic Data'!M59</f>
        <v>546.5</v>
      </c>
      <c r="AZ93" s="5">
        <f>'Economic Data'!N59</f>
        <v>7852.2</v>
      </c>
      <c r="BA93" s="5">
        <f>'Economic Data'!O59</f>
        <v>163.80000000000001</v>
      </c>
      <c r="BB93" s="5">
        <f>'Economic Data'!P59</f>
        <v>89.9</v>
      </c>
      <c r="BC93" s="5">
        <f>'Economic Data'!Q59</f>
        <v>746606</v>
      </c>
      <c r="BD93" s="5">
        <f>'Economic Data'!R59</f>
        <v>6970</v>
      </c>
      <c r="BE93" s="5">
        <f>'Economic Data'!S59</f>
        <v>3595</v>
      </c>
      <c r="BF93" s="5">
        <f>'Economic Data'!T59</f>
        <v>13552</v>
      </c>
      <c r="BG93" s="5">
        <v>0</v>
      </c>
      <c r="BH93" s="5">
        <v>0</v>
      </c>
      <c r="BI93" s="5">
        <v>0</v>
      </c>
      <c r="BJ93" s="5">
        <f t="shared" si="52"/>
        <v>44</v>
      </c>
      <c r="BK93" s="70">
        <f t="shared" si="53"/>
        <v>1.6434526764861874</v>
      </c>
      <c r="BL93" s="5">
        <f t="shared" si="54"/>
        <v>1936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1</v>
      </c>
      <c r="BU93">
        <v>0</v>
      </c>
      <c r="BV93">
        <v>0</v>
      </c>
      <c r="BW93">
        <v>0</v>
      </c>
      <c r="BX93">
        <v>0</v>
      </c>
      <c r="BY93">
        <f t="shared" si="88"/>
        <v>0</v>
      </c>
      <c r="BZ93">
        <f t="shared" si="88"/>
        <v>0</v>
      </c>
      <c r="CA93">
        <f t="shared" si="55"/>
        <v>0</v>
      </c>
      <c r="CB93">
        <v>31</v>
      </c>
      <c r="CC93">
        <v>22</v>
      </c>
      <c r="CD93">
        <v>0</v>
      </c>
      <c r="CE93">
        <v>0</v>
      </c>
      <c r="CF93">
        <f t="shared" si="47"/>
        <v>0</v>
      </c>
      <c r="CG93">
        <v>0</v>
      </c>
      <c r="CH93" s="64">
        <f t="shared" si="56"/>
        <v>0</v>
      </c>
      <c r="CI93" s="64">
        <f t="shared" si="57"/>
        <v>0</v>
      </c>
      <c r="CJ93" s="64">
        <f t="shared" si="58"/>
        <v>0</v>
      </c>
      <c r="CK93" s="64">
        <f t="shared" si="59"/>
        <v>0</v>
      </c>
      <c r="CL93" s="64">
        <f t="shared" si="60"/>
        <v>0</v>
      </c>
      <c r="CM93" s="64">
        <f t="shared" si="61"/>
        <v>0</v>
      </c>
      <c r="CN93" s="64">
        <f t="shared" si="62"/>
        <v>0</v>
      </c>
      <c r="CO93" s="64">
        <f t="shared" si="63"/>
        <v>0</v>
      </c>
      <c r="CP93" s="64">
        <f t="shared" si="64"/>
        <v>0</v>
      </c>
      <c r="CQ93" s="64">
        <f t="shared" si="65"/>
        <v>0</v>
      </c>
      <c r="CR93" s="64">
        <f t="shared" si="66"/>
        <v>0</v>
      </c>
      <c r="CS93" s="64">
        <f t="shared" si="67"/>
        <v>0</v>
      </c>
      <c r="CT93" s="64">
        <f t="shared" si="68"/>
        <v>0</v>
      </c>
      <c r="CU93" s="64">
        <f t="shared" si="69"/>
        <v>0</v>
      </c>
      <c r="CV93" s="69">
        <f t="shared" si="70"/>
        <v>39.156212656230259</v>
      </c>
      <c r="CW93" s="69">
        <f t="shared" si="71"/>
        <v>990.23882347509016</v>
      </c>
      <c r="CX93" s="69">
        <f t="shared" si="45"/>
        <v>3746.4190492999569</v>
      </c>
      <c r="CY93" s="69">
        <f t="shared" si="72"/>
        <v>54009.045454545449</v>
      </c>
      <c r="CZ93" s="64">
        <f t="shared" si="46"/>
        <v>2658.7490027290019</v>
      </c>
      <c r="DA93" s="64">
        <f t="shared" si="73"/>
        <v>38329</v>
      </c>
      <c r="DB93">
        <f t="shared" si="74"/>
        <v>0</v>
      </c>
      <c r="DC93">
        <f t="shared" si="75"/>
        <v>0</v>
      </c>
      <c r="DD93">
        <f t="shared" si="76"/>
        <v>0</v>
      </c>
      <c r="DE93">
        <f t="shared" si="77"/>
        <v>0</v>
      </c>
      <c r="DF93">
        <f t="shared" si="78"/>
        <v>0</v>
      </c>
      <c r="DG93">
        <f t="shared" si="79"/>
        <v>0</v>
      </c>
      <c r="DH93">
        <f t="shared" si="80"/>
        <v>0</v>
      </c>
      <c r="DI93">
        <f t="shared" si="81"/>
        <v>0</v>
      </c>
      <c r="DJ93">
        <f t="shared" si="82"/>
        <v>0</v>
      </c>
      <c r="DK93">
        <f t="shared" si="83"/>
        <v>0</v>
      </c>
      <c r="DL93">
        <f t="shared" si="84"/>
        <v>0</v>
      </c>
      <c r="DM93">
        <f t="shared" si="85"/>
        <v>0</v>
      </c>
      <c r="DN93">
        <f t="shared" si="86"/>
        <v>0</v>
      </c>
      <c r="DO93">
        <f t="shared" si="87"/>
        <v>0</v>
      </c>
      <c r="DP93" s="2">
        <f t="shared" si="89"/>
        <v>8</v>
      </c>
      <c r="DQ93" s="2">
        <v>0</v>
      </c>
      <c r="DR93" s="2">
        <v>0</v>
      </c>
      <c r="DS93" s="2">
        <v>0</v>
      </c>
      <c r="DT93" s="2">
        <v>0</v>
      </c>
    </row>
    <row r="94" spans="1:124" s="2" customFormat="1">
      <c r="A94" s="3">
        <v>42614</v>
      </c>
      <c r="B94">
        <f t="shared" si="48"/>
        <v>2016</v>
      </c>
      <c r="C94" s="2">
        <v>23328452</v>
      </c>
      <c r="D94" s="2">
        <f>VLOOKUP(B94,'Historic CDM'!$B$135:$H$146,2,FALSE)/12</f>
        <v>528300.53032321611</v>
      </c>
      <c r="E94" s="2">
        <f t="shared" si="7"/>
        <v>23856752.530323215</v>
      </c>
      <c r="F94" s="5">
        <v>26959</v>
      </c>
      <c r="G94" s="219">
        <v>5783123</v>
      </c>
      <c r="H94" s="2">
        <f>VLOOKUP(B94,'Historic CDM'!$B$135:$H$147,3,FALSE)/12</f>
        <v>907506.28545967676</v>
      </c>
      <c r="I94" s="2">
        <f t="shared" si="8"/>
        <v>6690629.2854596768</v>
      </c>
      <c r="J94" s="220">
        <v>1929</v>
      </c>
      <c r="K94" s="219">
        <v>18836554</v>
      </c>
      <c r="L94" s="2">
        <f>VLOOKUP(B94,'Historic CDM'!$B$135:$H$146,4,FALSE)/12</f>
        <v>972612.99023436254</v>
      </c>
      <c r="M94" s="2">
        <f t="shared" si="50"/>
        <v>19809166.990234364</v>
      </c>
      <c r="N94" s="222">
        <v>48009</v>
      </c>
      <c r="O94" s="5">
        <v>251</v>
      </c>
      <c r="P94" s="220">
        <v>226920</v>
      </c>
      <c r="Q94" s="2">
        <v>869</v>
      </c>
      <c r="R94" s="5">
        <v>2738</v>
      </c>
      <c r="S94" s="220">
        <v>27569</v>
      </c>
      <c r="T94" s="2">
        <v>72</v>
      </c>
      <c r="U94" s="5">
        <v>173</v>
      </c>
      <c r="V94" s="221">
        <v>129373</v>
      </c>
      <c r="W94" s="1">
        <v>139</v>
      </c>
      <c r="X94" s="2">
        <v>2934361</v>
      </c>
      <c r="Y94" s="2">
        <v>9180</v>
      </c>
      <c r="Z94" s="5">
        <v>3</v>
      </c>
      <c r="AA94" s="100">
        <f>'Weather Data'!D190</f>
        <v>48.5</v>
      </c>
      <c r="AB94" s="100">
        <f>'Weather Data'!E190</f>
        <v>29.799999999999997</v>
      </c>
      <c r="AC94" s="100">
        <f>'Weather Data'!F190</f>
        <v>19.399999999999995</v>
      </c>
      <c r="AD94" s="100">
        <f>'Weather Data'!G190</f>
        <v>60.70000000000001</v>
      </c>
      <c r="AE94" s="100">
        <f>'Weather Data'!H190</f>
        <v>3.5999999999999979</v>
      </c>
      <c r="AF94" s="100">
        <f>'Weather Data'!I190</f>
        <v>104.9</v>
      </c>
      <c r="AG94" s="100">
        <f>'Weather Data'!J190</f>
        <v>0.19999999999999929</v>
      </c>
      <c r="AH94" s="100">
        <f>'Weather Data'!K190</f>
        <v>161.5</v>
      </c>
      <c r="AI94" s="100">
        <f>'Weather Data'!L190</f>
        <v>0</v>
      </c>
      <c r="AJ94" s="100">
        <f>'Weather Data'!M190</f>
        <v>221.29999999999998</v>
      </c>
      <c r="AK94" s="100">
        <f>'Weather Data'!N190</f>
        <v>0</v>
      </c>
      <c r="AL94" s="100">
        <f>'Weather Data'!O190</f>
        <v>281.3</v>
      </c>
      <c r="AM94" s="100">
        <f>'Weather Data'!P190</f>
        <v>0</v>
      </c>
      <c r="AN94" s="100">
        <f>'Weather Data'!Q190</f>
        <v>341.29999999999995</v>
      </c>
      <c r="AO94" s="100">
        <f>'Weather Data'!R190</f>
        <v>19.376666666666665</v>
      </c>
      <c r="AP94" s="5">
        <f>'Economic Data'!D60</f>
        <v>6950.1</v>
      </c>
      <c r="AQ94" s="5">
        <f>'Economic Data'!E60</f>
        <v>6998.1</v>
      </c>
      <c r="AR94" s="5">
        <f>'Economic Data'!F60</f>
        <v>167.6</v>
      </c>
      <c r="AS94" s="5">
        <f>'Economic Data'!G60</f>
        <v>170.3</v>
      </c>
      <c r="AT94" s="5">
        <f>'Economic Data'!H60</f>
        <v>743976.2</v>
      </c>
      <c r="AU94" s="5">
        <f>'Economic Data'!I60</f>
        <v>6953.7</v>
      </c>
      <c r="AV94" s="5">
        <f>'Economic Data'!J60</f>
        <v>5894.8</v>
      </c>
      <c r="AW94" s="5">
        <f>'Economic Data'!K60</f>
        <v>4265.7</v>
      </c>
      <c r="AX94" s="5">
        <f>'Economic Data'!L60</f>
        <v>916.6</v>
      </c>
      <c r="AY94" s="5">
        <f>'Economic Data'!M60</f>
        <v>546.5</v>
      </c>
      <c r="AZ94" s="5">
        <f>'Economic Data'!N60</f>
        <v>7852.2</v>
      </c>
      <c r="BA94" s="5">
        <f>'Economic Data'!O60</f>
        <v>163.80000000000001</v>
      </c>
      <c r="BB94" s="5">
        <f>'Economic Data'!P60</f>
        <v>89.9</v>
      </c>
      <c r="BC94" s="5">
        <f>'Economic Data'!Q60</f>
        <v>746606</v>
      </c>
      <c r="BD94" s="5">
        <f>'Economic Data'!R60</f>
        <v>6970</v>
      </c>
      <c r="BE94" s="5">
        <f>'Economic Data'!S60</f>
        <v>3595</v>
      </c>
      <c r="BF94" s="5">
        <f>'Economic Data'!T60</f>
        <v>13552</v>
      </c>
      <c r="BG94" s="5">
        <v>0</v>
      </c>
      <c r="BH94" s="5">
        <v>0</v>
      </c>
      <c r="BI94" s="5">
        <v>0</v>
      </c>
      <c r="BJ94" s="5">
        <f t="shared" si="52"/>
        <v>45</v>
      </c>
      <c r="BK94" s="70">
        <f t="shared" si="53"/>
        <v>1.6532125137753437</v>
      </c>
      <c r="BL94" s="5">
        <f t="shared" si="54"/>
        <v>2025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1</v>
      </c>
      <c r="BV94">
        <v>0</v>
      </c>
      <c r="BW94">
        <v>0</v>
      </c>
      <c r="BX94">
        <v>0</v>
      </c>
      <c r="BY94">
        <f t="shared" si="88"/>
        <v>0</v>
      </c>
      <c r="BZ94">
        <f t="shared" si="88"/>
        <v>0</v>
      </c>
      <c r="CA94">
        <f t="shared" si="55"/>
        <v>0</v>
      </c>
      <c r="CB94">
        <v>30</v>
      </c>
      <c r="CC94">
        <v>21</v>
      </c>
      <c r="CD94">
        <v>0</v>
      </c>
      <c r="CE94">
        <v>0</v>
      </c>
      <c r="CF94">
        <f t="shared" si="47"/>
        <v>0</v>
      </c>
      <c r="CG94">
        <v>0</v>
      </c>
      <c r="CH94" s="64">
        <f t="shared" si="56"/>
        <v>0</v>
      </c>
      <c r="CI94" s="64">
        <f t="shared" si="57"/>
        <v>0</v>
      </c>
      <c r="CJ94" s="64">
        <f t="shared" si="58"/>
        <v>0</v>
      </c>
      <c r="CK94" s="64">
        <f t="shared" si="59"/>
        <v>0</v>
      </c>
      <c r="CL94" s="64">
        <f t="shared" si="60"/>
        <v>0</v>
      </c>
      <c r="CM94" s="64">
        <f t="shared" si="61"/>
        <v>0</v>
      </c>
      <c r="CN94" s="64">
        <f t="shared" si="62"/>
        <v>0</v>
      </c>
      <c r="CO94" s="64">
        <f t="shared" si="63"/>
        <v>0</v>
      </c>
      <c r="CP94" s="64">
        <f t="shared" si="64"/>
        <v>0</v>
      </c>
      <c r="CQ94" s="64">
        <f t="shared" si="65"/>
        <v>0</v>
      </c>
      <c r="CR94" s="64">
        <f t="shared" si="66"/>
        <v>0</v>
      </c>
      <c r="CS94" s="64">
        <f t="shared" si="67"/>
        <v>0</v>
      </c>
      <c r="CT94" s="64">
        <f t="shared" si="68"/>
        <v>0</v>
      </c>
      <c r="CU94" s="64">
        <f t="shared" si="69"/>
        <v>0</v>
      </c>
      <c r="CV94" s="69">
        <f t="shared" si="70"/>
        <v>29.497573513264854</v>
      </c>
      <c r="CW94" s="69">
        <f t="shared" si="71"/>
        <v>888.52978558561438</v>
      </c>
      <c r="CX94" s="69">
        <f t="shared" si="45"/>
        <v>3758.1420964208623</v>
      </c>
      <c r="CY94" s="69">
        <f t="shared" si="72"/>
        <v>46577.158730158728</v>
      </c>
      <c r="CZ94" s="64">
        <f t="shared" si="46"/>
        <v>2630.6994674946031</v>
      </c>
      <c r="DA94" s="64">
        <f t="shared" si="73"/>
        <v>32604.011111111115</v>
      </c>
      <c r="DB94">
        <f t="shared" si="74"/>
        <v>0</v>
      </c>
      <c r="DC94">
        <f t="shared" si="75"/>
        <v>0</v>
      </c>
      <c r="DD94">
        <f t="shared" si="76"/>
        <v>0</v>
      </c>
      <c r="DE94">
        <f t="shared" si="77"/>
        <v>0</v>
      </c>
      <c r="DF94">
        <f t="shared" si="78"/>
        <v>0</v>
      </c>
      <c r="DG94">
        <f t="shared" si="79"/>
        <v>0</v>
      </c>
      <c r="DH94">
        <f t="shared" si="80"/>
        <v>0</v>
      </c>
      <c r="DI94">
        <f t="shared" si="81"/>
        <v>0</v>
      </c>
      <c r="DJ94">
        <f t="shared" si="82"/>
        <v>0</v>
      </c>
      <c r="DK94">
        <f t="shared" si="83"/>
        <v>0</v>
      </c>
      <c r="DL94">
        <f t="shared" si="84"/>
        <v>0</v>
      </c>
      <c r="DM94">
        <f t="shared" si="85"/>
        <v>0</v>
      </c>
      <c r="DN94">
        <f t="shared" si="86"/>
        <v>0</v>
      </c>
      <c r="DO94">
        <f t="shared" si="87"/>
        <v>0</v>
      </c>
      <c r="DP94" s="2">
        <f t="shared" si="89"/>
        <v>9</v>
      </c>
      <c r="DQ94" s="2">
        <v>0</v>
      </c>
      <c r="DR94" s="2">
        <v>0</v>
      </c>
      <c r="DS94" s="2">
        <v>0</v>
      </c>
      <c r="DT94" s="2">
        <v>0</v>
      </c>
    </row>
    <row r="95" spans="1:124" s="2" customFormat="1">
      <c r="A95" s="3">
        <v>42644</v>
      </c>
      <c r="B95">
        <f t="shared" si="48"/>
        <v>2016</v>
      </c>
      <c r="C95" s="2">
        <v>17590912</v>
      </c>
      <c r="D95" s="2">
        <f>VLOOKUP(B95,'Historic CDM'!$B$135:$H$146,2,FALSE)/12</f>
        <v>528300.53032321611</v>
      </c>
      <c r="E95" s="2">
        <f t="shared" si="7"/>
        <v>18119212.530323215</v>
      </c>
      <c r="F95" s="5">
        <v>27017</v>
      </c>
      <c r="G95" s="219">
        <v>5124073</v>
      </c>
      <c r="H95" s="2">
        <f>VLOOKUP(B95,'Historic CDM'!$B$135:$H$147,3,FALSE)/12</f>
        <v>907506.28545967676</v>
      </c>
      <c r="I95" s="2">
        <f t="shared" si="8"/>
        <v>6031579.2854596768</v>
      </c>
      <c r="J95" s="220">
        <v>1928</v>
      </c>
      <c r="K95" s="219">
        <v>16422155</v>
      </c>
      <c r="L95" s="2">
        <f>VLOOKUP(B95,'Historic CDM'!$B$135:$H$146,4,FALSE)/12</f>
        <v>972612.99023436254</v>
      </c>
      <c r="M95" s="2">
        <f t="shared" si="50"/>
        <v>17394767.990234364</v>
      </c>
      <c r="N95" s="222">
        <v>39910</v>
      </c>
      <c r="O95" s="5">
        <v>251</v>
      </c>
      <c r="P95" s="220">
        <v>266277</v>
      </c>
      <c r="Q95" s="2">
        <v>722</v>
      </c>
      <c r="R95" s="5">
        <v>2738</v>
      </c>
      <c r="S95" s="220">
        <v>22739</v>
      </c>
      <c r="T95" s="2">
        <v>72</v>
      </c>
      <c r="U95" s="5">
        <v>172</v>
      </c>
      <c r="V95" s="221">
        <v>129373</v>
      </c>
      <c r="W95" s="1">
        <v>139</v>
      </c>
      <c r="X95" s="2">
        <v>2701535</v>
      </c>
      <c r="Y95" s="2">
        <v>7035</v>
      </c>
      <c r="Z95" s="5">
        <v>3</v>
      </c>
      <c r="AA95" s="100">
        <f>'Weather Data'!D191</f>
        <v>224.6</v>
      </c>
      <c r="AB95" s="100">
        <f>'Weather Data'!E191</f>
        <v>3.5</v>
      </c>
      <c r="AC95" s="100">
        <f>'Weather Data'!F191</f>
        <v>173.20000000000002</v>
      </c>
      <c r="AD95" s="100">
        <f>'Weather Data'!G191</f>
        <v>14.099999999999998</v>
      </c>
      <c r="AE95" s="100">
        <f>'Weather Data'!H191</f>
        <v>127</v>
      </c>
      <c r="AF95" s="100">
        <f>'Weather Data'!I191</f>
        <v>29.9</v>
      </c>
      <c r="AG95" s="100">
        <f>'Weather Data'!J191</f>
        <v>88.9</v>
      </c>
      <c r="AH95" s="100">
        <f>'Weather Data'!K191</f>
        <v>53.79999999999999</v>
      </c>
      <c r="AI95" s="100">
        <f>'Weather Data'!L191</f>
        <v>55.9</v>
      </c>
      <c r="AJ95" s="100">
        <f>'Weather Data'!M191</f>
        <v>82.799999999999983</v>
      </c>
      <c r="AK95" s="100">
        <f>'Weather Data'!N191</f>
        <v>29.8</v>
      </c>
      <c r="AL95" s="100">
        <f>'Weather Data'!O191</f>
        <v>118.69999999999999</v>
      </c>
      <c r="AM95" s="100">
        <f>'Weather Data'!P191</f>
        <v>11.399999999999999</v>
      </c>
      <c r="AN95" s="100">
        <f>'Weather Data'!Q191</f>
        <v>162.29999999999998</v>
      </c>
      <c r="AO95" s="100">
        <f>'Weather Data'!R191</f>
        <v>12.867741935483869</v>
      </c>
      <c r="AP95" s="5">
        <f>'Economic Data'!D61</f>
        <v>6963.9</v>
      </c>
      <c r="AQ95" s="5">
        <f>'Economic Data'!E61</f>
        <v>6990.5</v>
      </c>
      <c r="AR95" s="5">
        <f>'Economic Data'!F61</f>
        <v>166.9</v>
      </c>
      <c r="AS95" s="5">
        <f>'Economic Data'!G61</f>
        <v>169</v>
      </c>
      <c r="AT95" s="5">
        <f>'Economic Data'!H61</f>
        <v>743976.2</v>
      </c>
      <c r="AU95" s="5">
        <f>'Economic Data'!I61</f>
        <v>6953.7</v>
      </c>
      <c r="AV95" s="5">
        <f>'Economic Data'!J61</f>
        <v>5894.8</v>
      </c>
      <c r="AW95" s="5">
        <f>'Economic Data'!K61</f>
        <v>4265.7</v>
      </c>
      <c r="AX95" s="5">
        <f>'Economic Data'!L61</f>
        <v>916.6</v>
      </c>
      <c r="AY95" s="5">
        <f>'Economic Data'!M61</f>
        <v>546.5</v>
      </c>
      <c r="AZ95" s="5">
        <f>'Economic Data'!N61</f>
        <v>7852.2</v>
      </c>
      <c r="BA95" s="5">
        <f>'Economic Data'!O61</f>
        <v>163.80000000000001</v>
      </c>
      <c r="BB95" s="5">
        <f>'Economic Data'!P61</f>
        <v>89.9</v>
      </c>
      <c r="BC95" s="5">
        <f>'Economic Data'!Q61</f>
        <v>745380</v>
      </c>
      <c r="BD95" s="5">
        <f>'Economic Data'!R61</f>
        <v>6943</v>
      </c>
      <c r="BE95" s="5">
        <f>'Economic Data'!S61</f>
        <v>3625</v>
      </c>
      <c r="BF95" s="5">
        <f>'Economic Data'!T61</f>
        <v>13028</v>
      </c>
      <c r="BG95" s="5">
        <v>0</v>
      </c>
      <c r="BH95" s="5">
        <v>0</v>
      </c>
      <c r="BI95" s="5">
        <v>0</v>
      </c>
      <c r="BJ95" s="5">
        <f t="shared" si="52"/>
        <v>46</v>
      </c>
      <c r="BK95" s="70">
        <f t="shared" si="53"/>
        <v>1.6627578316815741</v>
      </c>
      <c r="BL95" s="5">
        <f t="shared" si="54"/>
        <v>2116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1</v>
      </c>
      <c r="BW95">
        <v>0</v>
      </c>
      <c r="BX95">
        <v>0</v>
      </c>
      <c r="BY95">
        <f t="shared" si="88"/>
        <v>0</v>
      </c>
      <c r="BZ95">
        <f t="shared" si="88"/>
        <v>1</v>
      </c>
      <c r="CA95">
        <f t="shared" si="55"/>
        <v>1</v>
      </c>
      <c r="CB95">
        <v>31</v>
      </c>
      <c r="CC95">
        <v>20</v>
      </c>
      <c r="CD95">
        <v>0</v>
      </c>
      <c r="CE95">
        <v>0</v>
      </c>
      <c r="CF95">
        <f t="shared" si="47"/>
        <v>0</v>
      </c>
      <c r="CG95">
        <v>0</v>
      </c>
      <c r="CH95" s="64">
        <f t="shared" si="56"/>
        <v>0</v>
      </c>
      <c r="CI95" s="64">
        <f t="shared" si="57"/>
        <v>0</v>
      </c>
      <c r="CJ95" s="64">
        <f t="shared" si="58"/>
        <v>0</v>
      </c>
      <c r="CK95" s="64">
        <f t="shared" si="59"/>
        <v>0</v>
      </c>
      <c r="CL95" s="64">
        <f t="shared" si="60"/>
        <v>0</v>
      </c>
      <c r="CM95" s="64">
        <f t="shared" si="61"/>
        <v>0</v>
      </c>
      <c r="CN95" s="64">
        <f t="shared" si="62"/>
        <v>0</v>
      </c>
      <c r="CO95" s="64">
        <f t="shared" si="63"/>
        <v>0</v>
      </c>
      <c r="CP95" s="64">
        <f t="shared" si="64"/>
        <v>0</v>
      </c>
      <c r="CQ95" s="64">
        <f t="shared" si="65"/>
        <v>0</v>
      </c>
      <c r="CR95" s="64">
        <f t="shared" si="66"/>
        <v>0</v>
      </c>
      <c r="CS95" s="64">
        <f t="shared" si="67"/>
        <v>0</v>
      </c>
      <c r="CT95" s="64">
        <f t="shared" si="68"/>
        <v>0</v>
      </c>
      <c r="CU95" s="64">
        <f t="shared" si="69"/>
        <v>0</v>
      </c>
      <c r="CV95" s="69">
        <f t="shared" si="70"/>
        <v>21.634183172988113</v>
      </c>
      <c r="CW95" s="69">
        <f t="shared" si="71"/>
        <v>775.16762440042112</v>
      </c>
      <c r="CX95" s="69">
        <f t="shared" si="45"/>
        <v>3465.0932251462878</v>
      </c>
      <c r="CY95" s="69">
        <f t="shared" si="72"/>
        <v>45025.583333333336</v>
      </c>
      <c r="CZ95" s="64">
        <f t="shared" si="46"/>
        <v>2235.5440162234113</v>
      </c>
      <c r="DA95" s="64">
        <f t="shared" si="73"/>
        <v>29048.763440860217</v>
      </c>
      <c r="DB95">
        <f t="shared" si="74"/>
        <v>0</v>
      </c>
      <c r="DC95">
        <f t="shared" si="75"/>
        <v>0</v>
      </c>
      <c r="DD95">
        <f t="shared" si="76"/>
        <v>0</v>
      </c>
      <c r="DE95">
        <f t="shared" si="77"/>
        <v>0</v>
      </c>
      <c r="DF95">
        <f t="shared" si="78"/>
        <v>0</v>
      </c>
      <c r="DG95">
        <f t="shared" si="79"/>
        <v>0</v>
      </c>
      <c r="DH95">
        <f t="shared" si="80"/>
        <v>0</v>
      </c>
      <c r="DI95">
        <f t="shared" si="81"/>
        <v>0</v>
      </c>
      <c r="DJ95">
        <f t="shared" si="82"/>
        <v>0</v>
      </c>
      <c r="DK95">
        <f t="shared" si="83"/>
        <v>0</v>
      </c>
      <c r="DL95">
        <f t="shared" si="84"/>
        <v>0</v>
      </c>
      <c r="DM95">
        <f t="shared" si="85"/>
        <v>0</v>
      </c>
      <c r="DN95">
        <f t="shared" si="86"/>
        <v>0</v>
      </c>
      <c r="DO95">
        <f t="shared" si="87"/>
        <v>0</v>
      </c>
      <c r="DP95" s="2">
        <f t="shared" si="89"/>
        <v>10</v>
      </c>
      <c r="DQ95" s="2">
        <v>0</v>
      </c>
      <c r="DR95" s="2">
        <v>0</v>
      </c>
      <c r="DS95" s="2">
        <v>0</v>
      </c>
      <c r="DT95" s="2">
        <v>0</v>
      </c>
    </row>
    <row r="96" spans="1:124" s="2" customFormat="1">
      <c r="A96" s="3">
        <v>42675</v>
      </c>
      <c r="B96">
        <f t="shared" si="48"/>
        <v>2016</v>
      </c>
      <c r="C96" s="2">
        <v>16513480</v>
      </c>
      <c r="D96" s="2">
        <f>VLOOKUP(B96,'Historic CDM'!$B$135:$H$146,2,FALSE)/12</f>
        <v>528300.53032321611</v>
      </c>
      <c r="E96" s="2">
        <f t="shared" si="7"/>
        <v>17041780.530323215</v>
      </c>
      <c r="F96" s="5">
        <v>27063</v>
      </c>
      <c r="G96" s="219">
        <v>4897848</v>
      </c>
      <c r="H96" s="2">
        <f>VLOOKUP(B96,'Historic CDM'!$B$135:$H$147,3,FALSE)/12</f>
        <v>907506.28545967676</v>
      </c>
      <c r="I96" s="2">
        <f t="shared" si="8"/>
        <v>5805354.2854596768</v>
      </c>
      <c r="J96" s="220">
        <v>1933</v>
      </c>
      <c r="K96" s="219">
        <v>15463619</v>
      </c>
      <c r="L96" s="2">
        <f>VLOOKUP(B96,'Historic CDM'!$B$135:$H$146,4,FALSE)/12</f>
        <v>972612.99023436254</v>
      </c>
      <c r="M96" s="2">
        <f t="shared" si="50"/>
        <v>16436231.990234362</v>
      </c>
      <c r="N96" s="222">
        <v>36836</v>
      </c>
      <c r="O96" s="5">
        <v>251</v>
      </c>
      <c r="P96" s="220">
        <v>281181</v>
      </c>
      <c r="Q96" s="2">
        <v>753</v>
      </c>
      <c r="R96" s="5">
        <v>2740</v>
      </c>
      <c r="S96" s="220">
        <v>32812</v>
      </c>
      <c r="T96" s="2">
        <v>72</v>
      </c>
      <c r="U96" s="5">
        <v>172</v>
      </c>
      <c r="V96" s="221">
        <v>129373</v>
      </c>
      <c r="W96" s="1">
        <v>139</v>
      </c>
      <c r="X96" s="2">
        <v>2668913</v>
      </c>
      <c r="Y96" s="2">
        <v>7195</v>
      </c>
      <c r="Z96" s="5">
        <v>3</v>
      </c>
      <c r="AA96" s="100">
        <f>'Weather Data'!D192</f>
        <v>375.3</v>
      </c>
      <c r="AB96" s="100">
        <f>'Weather Data'!E192</f>
        <v>0</v>
      </c>
      <c r="AC96" s="100">
        <f>'Weather Data'!F192</f>
        <v>315.30000000000007</v>
      </c>
      <c r="AD96" s="100">
        <f>'Weather Data'!G192</f>
        <v>0</v>
      </c>
      <c r="AE96" s="100">
        <f>'Weather Data'!H192</f>
        <v>255.4</v>
      </c>
      <c r="AF96" s="100">
        <f>'Weather Data'!I192</f>
        <v>0.10000000000000142</v>
      </c>
      <c r="AG96" s="100">
        <f>'Weather Data'!J192</f>
        <v>200.29999999999998</v>
      </c>
      <c r="AH96" s="100">
        <f>'Weather Data'!K192</f>
        <v>5.0000000000000018</v>
      </c>
      <c r="AI96" s="100">
        <f>'Weather Data'!L192</f>
        <v>146.9</v>
      </c>
      <c r="AJ96" s="100">
        <f>'Weather Data'!M192</f>
        <v>11.600000000000001</v>
      </c>
      <c r="AK96" s="100">
        <f>'Weather Data'!N192</f>
        <v>98.199999999999989</v>
      </c>
      <c r="AL96" s="100">
        <f>'Weather Data'!O192</f>
        <v>22.900000000000002</v>
      </c>
      <c r="AM96" s="100">
        <f>'Weather Data'!P192</f>
        <v>60.900000000000006</v>
      </c>
      <c r="AN96" s="100">
        <f>'Weather Data'!Q192</f>
        <v>45.600000000000009</v>
      </c>
      <c r="AO96" s="100">
        <f>'Weather Data'!R192</f>
        <v>7.49</v>
      </c>
      <c r="AP96" s="5">
        <f>'Economic Data'!D62</f>
        <v>6977.8</v>
      </c>
      <c r="AQ96" s="5">
        <f>'Economic Data'!E62</f>
        <v>6983.4</v>
      </c>
      <c r="AR96" s="5">
        <f>'Economic Data'!F62</f>
        <v>163.80000000000001</v>
      </c>
      <c r="AS96" s="5">
        <f>'Economic Data'!G62</f>
        <v>165.2</v>
      </c>
      <c r="AT96" s="5">
        <f>'Economic Data'!H62</f>
        <v>743976.2</v>
      </c>
      <c r="AU96" s="5">
        <f>'Economic Data'!I62</f>
        <v>6953.7</v>
      </c>
      <c r="AV96" s="5">
        <f>'Economic Data'!J62</f>
        <v>5894.8</v>
      </c>
      <c r="AW96" s="5">
        <f>'Economic Data'!K62</f>
        <v>4265.7</v>
      </c>
      <c r="AX96" s="5">
        <f>'Economic Data'!L62</f>
        <v>916.6</v>
      </c>
      <c r="AY96" s="5">
        <f>'Economic Data'!M62</f>
        <v>546.5</v>
      </c>
      <c r="AZ96" s="5">
        <f>'Economic Data'!N62</f>
        <v>7852.2</v>
      </c>
      <c r="BA96" s="5">
        <f>'Economic Data'!O62</f>
        <v>163.80000000000001</v>
      </c>
      <c r="BB96" s="5">
        <f>'Economic Data'!P62</f>
        <v>89.9</v>
      </c>
      <c r="BC96" s="5">
        <f>'Economic Data'!Q62</f>
        <v>745380</v>
      </c>
      <c r="BD96" s="5">
        <f>'Economic Data'!R62</f>
        <v>6943</v>
      </c>
      <c r="BE96" s="5">
        <f>'Economic Data'!S62</f>
        <v>3625</v>
      </c>
      <c r="BF96" s="5">
        <f>'Economic Data'!T62</f>
        <v>13028</v>
      </c>
      <c r="BG96" s="5">
        <v>0</v>
      </c>
      <c r="BH96" s="5">
        <v>0</v>
      </c>
      <c r="BI96" s="5">
        <v>0</v>
      </c>
      <c r="BJ96" s="5">
        <f t="shared" si="52"/>
        <v>47</v>
      </c>
      <c r="BK96" s="70">
        <f t="shared" si="53"/>
        <v>1.6720978579357175</v>
      </c>
      <c r="BL96" s="5">
        <f t="shared" si="54"/>
        <v>2209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1</v>
      </c>
      <c r="BX96">
        <v>0</v>
      </c>
      <c r="BY96">
        <f t="shared" si="88"/>
        <v>0</v>
      </c>
      <c r="BZ96">
        <f t="shared" si="88"/>
        <v>1</v>
      </c>
      <c r="CA96">
        <f t="shared" si="55"/>
        <v>1</v>
      </c>
      <c r="CB96">
        <v>30</v>
      </c>
      <c r="CC96">
        <v>22</v>
      </c>
      <c r="CD96">
        <v>0</v>
      </c>
      <c r="CE96">
        <v>0</v>
      </c>
      <c r="CF96">
        <f t="shared" si="47"/>
        <v>0</v>
      </c>
      <c r="CG96">
        <v>0</v>
      </c>
      <c r="CH96" s="64">
        <f t="shared" si="56"/>
        <v>0</v>
      </c>
      <c r="CI96" s="64">
        <f t="shared" si="57"/>
        <v>0</v>
      </c>
      <c r="CJ96" s="64">
        <f t="shared" si="58"/>
        <v>0</v>
      </c>
      <c r="CK96" s="64">
        <f t="shared" si="59"/>
        <v>0</v>
      </c>
      <c r="CL96" s="64">
        <f t="shared" si="60"/>
        <v>0</v>
      </c>
      <c r="CM96" s="64">
        <f t="shared" si="61"/>
        <v>0</v>
      </c>
      <c r="CN96" s="64">
        <f t="shared" si="62"/>
        <v>0</v>
      </c>
      <c r="CO96" s="64">
        <f t="shared" si="63"/>
        <v>0</v>
      </c>
      <c r="CP96" s="64">
        <f t="shared" si="64"/>
        <v>0</v>
      </c>
      <c r="CQ96" s="64">
        <f t="shared" si="65"/>
        <v>0</v>
      </c>
      <c r="CR96" s="64">
        <f t="shared" si="66"/>
        <v>0</v>
      </c>
      <c r="CS96" s="64">
        <f t="shared" si="67"/>
        <v>0</v>
      </c>
      <c r="CT96" s="64">
        <f t="shared" si="68"/>
        <v>0</v>
      </c>
      <c r="CU96" s="64">
        <f t="shared" si="69"/>
        <v>0</v>
      </c>
      <c r="CV96" s="69">
        <f t="shared" si="70"/>
        <v>20.990257954061775</v>
      </c>
      <c r="CW96" s="69">
        <f t="shared" si="71"/>
        <v>770.96338452319742</v>
      </c>
      <c r="CX96" s="69">
        <f t="shared" si="45"/>
        <v>2976.4998171376969</v>
      </c>
      <c r="CY96" s="69">
        <f t="shared" si="72"/>
        <v>40438.07575757576</v>
      </c>
      <c r="CZ96" s="64">
        <f t="shared" si="46"/>
        <v>2182.7665325676444</v>
      </c>
      <c r="DA96" s="64">
        <f t="shared" si="73"/>
        <v>29654.588888888888</v>
      </c>
      <c r="DB96">
        <f t="shared" si="74"/>
        <v>0</v>
      </c>
      <c r="DC96">
        <f t="shared" si="75"/>
        <v>0</v>
      </c>
      <c r="DD96">
        <f t="shared" si="76"/>
        <v>0</v>
      </c>
      <c r="DE96">
        <f t="shared" si="77"/>
        <v>0</v>
      </c>
      <c r="DF96">
        <f t="shared" si="78"/>
        <v>0</v>
      </c>
      <c r="DG96">
        <f t="shared" si="79"/>
        <v>0</v>
      </c>
      <c r="DH96">
        <f t="shared" si="80"/>
        <v>0</v>
      </c>
      <c r="DI96">
        <f t="shared" si="81"/>
        <v>0</v>
      </c>
      <c r="DJ96">
        <f t="shared" si="82"/>
        <v>0</v>
      </c>
      <c r="DK96">
        <f t="shared" si="83"/>
        <v>0</v>
      </c>
      <c r="DL96">
        <f t="shared" si="84"/>
        <v>0</v>
      </c>
      <c r="DM96">
        <f t="shared" si="85"/>
        <v>0</v>
      </c>
      <c r="DN96">
        <f t="shared" si="86"/>
        <v>0</v>
      </c>
      <c r="DO96">
        <f t="shared" si="87"/>
        <v>0</v>
      </c>
      <c r="DP96" s="2">
        <f t="shared" si="89"/>
        <v>11</v>
      </c>
      <c r="DQ96" s="2">
        <v>0</v>
      </c>
      <c r="DR96" s="2">
        <v>0</v>
      </c>
      <c r="DS96" s="2">
        <v>0</v>
      </c>
      <c r="DT96" s="2">
        <v>0</v>
      </c>
    </row>
    <row r="97" spans="1:124" s="2" customFormat="1">
      <c r="A97" s="3">
        <v>42705</v>
      </c>
      <c r="B97">
        <f t="shared" si="48"/>
        <v>2016</v>
      </c>
      <c r="C97" s="2">
        <v>19989298</v>
      </c>
      <c r="D97" s="2">
        <f>VLOOKUP(B97,'Historic CDM'!$B$135:$H$146,2,FALSE)/12</f>
        <v>528300.53032321611</v>
      </c>
      <c r="E97" s="2">
        <f t="shared" si="7"/>
        <v>20517598.530323215</v>
      </c>
      <c r="F97" s="5">
        <v>27131</v>
      </c>
      <c r="G97" s="219">
        <v>5460133</v>
      </c>
      <c r="H97" s="2">
        <f>VLOOKUP(B97,'Historic CDM'!$B$135:$H$147,3,FALSE)/12</f>
        <v>907506.28545967676</v>
      </c>
      <c r="I97" s="2">
        <f t="shared" si="8"/>
        <v>6367639.2854596768</v>
      </c>
      <c r="J97" s="220">
        <v>1944</v>
      </c>
      <c r="K97" s="219">
        <v>15034753</v>
      </c>
      <c r="L97" s="2">
        <f>VLOOKUP(B97,'Historic CDM'!$B$135:$H$146,4,FALSE)/12</f>
        <v>972612.99023436254</v>
      </c>
      <c r="M97" s="2">
        <f t="shared" si="50"/>
        <v>16007365.990234362</v>
      </c>
      <c r="N97" s="222">
        <v>37084</v>
      </c>
      <c r="O97" s="5">
        <v>249</v>
      </c>
      <c r="P97" s="220">
        <v>307861</v>
      </c>
      <c r="Q97" s="2">
        <v>725</v>
      </c>
      <c r="R97" s="5">
        <v>2742</v>
      </c>
      <c r="S97" s="220">
        <v>27737</v>
      </c>
      <c r="T97" s="2">
        <v>72</v>
      </c>
      <c r="U97" s="5">
        <v>264</v>
      </c>
      <c r="V97" s="221">
        <v>129373</v>
      </c>
      <c r="W97" s="1">
        <v>132</v>
      </c>
      <c r="X97" s="2">
        <v>2635161</v>
      </c>
      <c r="Y97" s="2">
        <v>6564</v>
      </c>
      <c r="Z97" s="5">
        <v>3</v>
      </c>
      <c r="AA97" s="100">
        <f>'Weather Data'!D193</f>
        <v>685.19999999999993</v>
      </c>
      <c r="AB97" s="100">
        <f>'Weather Data'!E193</f>
        <v>0</v>
      </c>
      <c r="AC97" s="100">
        <f>'Weather Data'!F193</f>
        <v>623.19999999999993</v>
      </c>
      <c r="AD97" s="100">
        <f>'Weather Data'!G193</f>
        <v>0</v>
      </c>
      <c r="AE97" s="100">
        <f>'Weather Data'!H193</f>
        <v>561.20000000000005</v>
      </c>
      <c r="AF97" s="100">
        <f>'Weather Data'!I193</f>
        <v>0</v>
      </c>
      <c r="AG97" s="100">
        <f>'Weather Data'!J193</f>
        <v>499.20000000000005</v>
      </c>
      <c r="AH97" s="100">
        <f>'Weather Data'!K193</f>
        <v>0</v>
      </c>
      <c r="AI97" s="100">
        <f>'Weather Data'!L193</f>
        <v>437.20000000000005</v>
      </c>
      <c r="AJ97" s="100">
        <f>'Weather Data'!M193</f>
        <v>0</v>
      </c>
      <c r="AK97" s="100">
        <f>'Weather Data'!N193</f>
        <v>375.2</v>
      </c>
      <c r="AL97" s="100">
        <f>'Weather Data'!O193</f>
        <v>0</v>
      </c>
      <c r="AM97" s="100">
        <f>'Weather Data'!P193</f>
        <v>313.2</v>
      </c>
      <c r="AN97" s="100">
        <f>'Weather Data'!Q193</f>
        <v>0</v>
      </c>
      <c r="AO97" s="100">
        <f>'Weather Data'!R193</f>
        <v>-2.1032258064516132</v>
      </c>
      <c r="AP97" s="5">
        <f>'Economic Data'!D63</f>
        <v>6992.4</v>
      </c>
      <c r="AQ97" s="5">
        <f>'Economic Data'!E63</f>
        <v>6999.9</v>
      </c>
      <c r="AR97" s="5">
        <f>'Economic Data'!F63</f>
        <v>161.19999999999999</v>
      </c>
      <c r="AS97" s="5">
        <f>'Economic Data'!G63</f>
        <v>162.1</v>
      </c>
      <c r="AT97" s="5">
        <f>'Economic Data'!H63</f>
        <v>743976.2</v>
      </c>
      <c r="AU97" s="5">
        <f>'Economic Data'!I63</f>
        <v>6953.7</v>
      </c>
      <c r="AV97" s="5">
        <f>'Economic Data'!J63</f>
        <v>5894.8</v>
      </c>
      <c r="AW97" s="5">
        <f>'Economic Data'!K63</f>
        <v>4265.7</v>
      </c>
      <c r="AX97" s="5">
        <f>'Economic Data'!L63</f>
        <v>916.6</v>
      </c>
      <c r="AY97" s="5">
        <f>'Economic Data'!M63</f>
        <v>546.5</v>
      </c>
      <c r="AZ97" s="5">
        <f>'Economic Data'!N63</f>
        <v>7852.2</v>
      </c>
      <c r="BA97" s="5">
        <f>'Economic Data'!O63</f>
        <v>163.80000000000001</v>
      </c>
      <c r="BB97" s="5">
        <f>'Economic Data'!P63</f>
        <v>89.9</v>
      </c>
      <c r="BC97" s="5">
        <f>'Economic Data'!Q63</f>
        <v>745380</v>
      </c>
      <c r="BD97" s="5">
        <f>'Economic Data'!R63</f>
        <v>6943</v>
      </c>
      <c r="BE97" s="5">
        <f>'Economic Data'!S63</f>
        <v>3625</v>
      </c>
      <c r="BF97" s="5">
        <f>'Economic Data'!T63</f>
        <v>13028</v>
      </c>
      <c r="BG97" s="5">
        <v>0</v>
      </c>
      <c r="BH97" s="5">
        <v>0</v>
      </c>
      <c r="BI97" s="5">
        <v>0</v>
      </c>
      <c r="BJ97" s="5">
        <f t="shared" si="52"/>
        <v>48</v>
      </c>
      <c r="BK97" s="70">
        <f t="shared" si="53"/>
        <v>1.6812412373755872</v>
      </c>
      <c r="BL97" s="5">
        <f t="shared" si="54"/>
        <v>2304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1</v>
      </c>
      <c r="BY97">
        <f t="shared" si="88"/>
        <v>0</v>
      </c>
      <c r="BZ97">
        <f t="shared" si="88"/>
        <v>0</v>
      </c>
      <c r="CA97">
        <f t="shared" si="55"/>
        <v>0</v>
      </c>
      <c r="CB97">
        <v>31</v>
      </c>
      <c r="CC97">
        <v>20</v>
      </c>
      <c r="CD97">
        <v>0</v>
      </c>
      <c r="CE97">
        <v>0</v>
      </c>
      <c r="CF97">
        <f t="shared" si="47"/>
        <v>0</v>
      </c>
      <c r="CG97">
        <v>0</v>
      </c>
      <c r="CH97" s="64">
        <f t="shared" si="56"/>
        <v>0</v>
      </c>
      <c r="CI97" s="64">
        <f t="shared" si="57"/>
        <v>0</v>
      </c>
      <c r="CJ97" s="64">
        <f t="shared" si="58"/>
        <v>0</v>
      </c>
      <c r="CK97" s="64">
        <f t="shared" si="59"/>
        <v>0</v>
      </c>
      <c r="CL97" s="64">
        <f t="shared" si="60"/>
        <v>0</v>
      </c>
      <c r="CM97" s="64">
        <f t="shared" si="61"/>
        <v>0</v>
      </c>
      <c r="CN97" s="64">
        <f t="shared" si="62"/>
        <v>0</v>
      </c>
      <c r="CO97" s="64">
        <f t="shared" si="63"/>
        <v>0</v>
      </c>
      <c r="CP97" s="64">
        <f t="shared" si="64"/>
        <v>0</v>
      </c>
      <c r="CQ97" s="64">
        <f t="shared" si="65"/>
        <v>0</v>
      </c>
      <c r="CR97" s="64">
        <f t="shared" si="66"/>
        <v>0</v>
      </c>
      <c r="CS97" s="64">
        <f t="shared" si="67"/>
        <v>0</v>
      </c>
      <c r="CT97" s="64">
        <f t="shared" si="68"/>
        <v>0</v>
      </c>
      <c r="CU97" s="64">
        <f t="shared" si="69"/>
        <v>0</v>
      </c>
      <c r="CV97" s="69">
        <f t="shared" si="70"/>
        <v>24.394899454763941</v>
      </c>
      <c r="CW97" s="69">
        <f t="shared" si="71"/>
        <v>824.93059793492375</v>
      </c>
      <c r="CX97" s="69">
        <f t="shared" si="45"/>
        <v>3214.330520127382</v>
      </c>
      <c r="CY97" s="69">
        <f t="shared" si="72"/>
        <v>43919.35</v>
      </c>
      <c r="CZ97" s="64">
        <f t="shared" si="46"/>
        <v>2073.7616258886337</v>
      </c>
      <c r="DA97" s="64">
        <f t="shared" si="73"/>
        <v>28335.06451612903</v>
      </c>
      <c r="DB97">
        <f t="shared" si="74"/>
        <v>0</v>
      </c>
      <c r="DC97">
        <f t="shared" si="75"/>
        <v>0</v>
      </c>
      <c r="DD97">
        <f t="shared" si="76"/>
        <v>0</v>
      </c>
      <c r="DE97">
        <f t="shared" si="77"/>
        <v>0</v>
      </c>
      <c r="DF97">
        <f t="shared" si="78"/>
        <v>0</v>
      </c>
      <c r="DG97">
        <f t="shared" si="79"/>
        <v>0</v>
      </c>
      <c r="DH97">
        <f t="shared" si="80"/>
        <v>0</v>
      </c>
      <c r="DI97">
        <f t="shared" si="81"/>
        <v>0</v>
      </c>
      <c r="DJ97">
        <f t="shared" si="82"/>
        <v>0</v>
      </c>
      <c r="DK97">
        <f t="shared" si="83"/>
        <v>0</v>
      </c>
      <c r="DL97">
        <f t="shared" si="84"/>
        <v>0</v>
      </c>
      <c r="DM97">
        <f t="shared" si="85"/>
        <v>0</v>
      </c>
      <c r="DN97">
        <f t="shared" si="86"/>
        <v>0</v>
      </c>
      <c r="DO97">
        <f t="shared" si="87"/>
        <v>0</v>
      </c>
      <c r="DP97" s="2">
        <f t="shared" si="89"/>
        <v>12</v>
      </c>
      <c r="DQ97" s="2">
        <v>0</v>
      </c>
      <c r="DR97" s="2">
        <v>0</v>
      </c>
      <c r="DS97" s="2">
        <v>0</v>
      </c>
      <c r="DT97" s="2">
        <v>0</v>
      </c>
    </row>
    <row r="98" spans="1:124" s="2" customFormat="1">
      <c r="A98" s="3">
        <v>42736</v>
      </c>
      <c r="B98">
        <f t="shared" si="48"/>
        <v>2017</v>
      </c>
      <c r="C98" s="2">
        <v>19749822</v>
      </c>
      <c r="D98" s="2">
        <f>VLOOKUP(B98,'Historic CDM'!$B$135:$H$146,2,FALSE)/12</f>
        <v>931954.37951623613</v>
      </c>
      <c r="E98" s="2">
        <f t="shared" si="7"/>
        <v>20681776.379516236</v>
      </c>
      <c r="F98" s="5">
        <v>27137</v>
      </c>
      <c r="G98" s="219">
        <v>5827775</v>
      </c>
      <c r="H98" s="2">
        <f>VLOOKUP(B98,'Historic CDM'!$B$135:$H$147,3,FALSE)/12</f>
        <v>1008417.3725585771</v>
      </c>
      <c r="I98" s="2">
        <f t="shared" si="8"/>
        <v>6836192.372558577</v>
      </c>
      <c r="J98" s="220">
        <v>1948</v>
      </c>
      <c r="K98" s="219">
        <v>13363846</v>
      </c>
      <c r="L98" s="2">
        <f>VLOOKUP(B98,'Historic CDM'!$B$135:$H$146,4,FALSE)/12</f>
        <v>1082686.4618870232</v>
      </c>
      <c r="M98" s="2">
        <f t="shared" ref="M98:M129" si="90">K98+L98</f>
        <v>14446532.461887022</v>
      </c>
      <c r="N98" s="222">
        <v>34380</v>
      </c>
      <c r="O98" s="5">
        <v>250</v>
      </c>
      <c r="P98" s="220">
        <v>303337</v>
      </c>
      <c r="Q98" s="2">
        <v>725</v>
      </c>
      <c r="R98" s="5">
        <v>2744</v>
      </c>
      <c r="S98" s="220">
        <v>25984</v>
      </c>
      <c r="T98" s="2">
        <v>73</v>
      </c>
      <c r="U98" s="5">
        <v>264</v>
      </c>
      <c r="V98" s="221">
        <v>129105</v>
      </c>
      <c r="W98" s="1">
        <v>132</v>
      </c>
      <c r="X98" s="2">
        <v>3109978</v>
      </c>
      <c r="Y98" s="2">
        <v>7457</v>
      </c>
      <c r="Z98" s="5">
        <v>4</v>
      </c>
      <c r="AA98" s="100">
        <f>'Weather Data'!D194</f>
        <v>646.20000000000005</v>
      </c>
      <c r="AB98" s="100">
        <f>'Weather Data'!E194</f>
        <v>0</v>
      </c>
      <c r="AC98" s="100">
        <f>'Weather Data'!F194</f>
        <v>584.19999999999993</v>
      </c>
      <c r="AD98" s="100">
        <f>'Weather Data'!G194</f>
        <v>0</v>
      </c>
      <c r="AE98" s="100">
        <f>'Weather Data'!H194</f>
        <v>522.19999999999993</v>
      </c>
      <c r="AF98" s="100">
        <f>'Weather Data'!I194</f>
        <v>0</v>
      </c>
      <c r="AG98" s="100">
        <f>'Weather Data'!J194</f>
        <v>460.19999999999993</v>
      </c>
      <c r="AH98" s="100">
        <f>'Weather Data'!K194</f>
        <v>0</v>
      </c>
      <c r="AI98" s="100">
        <f>'Weather Data'!L194</f>
        <v>398.19999999999993</v>
      </c>
      <c r="AJ98" s="100">
        <f>'Weather Data'!M194</f>
        <v>0</v>
      </c>
      <c r="AK98" s="100">
        <f>'Weather Data'!N194</f>
        <v>336.2</v>
      </c>
      <c r="AL98" s="100">
        <f>'Weather Data'!O194</f>
        <v>0</v>
      </c>
      <c r="AM98" s="100">
        <f>'Weather Data'!P194</f>
        <v>274.2</v>
      </c>
      <c r="AN98" s="100">
        <f>'Weather Data'!Q194</f>
        <v>0</v>
      </c>
      <c r="AO98" s="100">
        <f>'Weather Data'!R194</f>
        <v>-0.84516129032258069</v>
      </c>
      <c r="AP98" s="5">
        <f>'Economic Data'!D64</f>
        <v>7014.6</v>
      </c>
      <c r="AQ98" s="5">
        <f>'Economic Data'!E64</f>
        <v>6982.5</v>
      </c>
      <c r="AR98" s="5">
        <f>'Economic Data'!F64</f>
        <v>160.5</v>
      </c>
      <c r="AS98" s="5">
        <f>'Economic Data'!G64</f>
        <v>160.1</v>
      </c>
      <c r="AT98" s="5">
        <f>'Economic Data'!H64</f>
        <v>764464.8</v>
      </c>
      <c r="AU98" s="5">
        <f>'Economic Data'!I64</f>
        <v>7291.3</v>
      </c>
      <c r="AV98" s="5">
        <f>'Economic Data'!J64</f>
        <v>6223.6</v>
      </c>
      <c r="AW98" s="5">
        <f>'Economic Data'!K64</f>
        <v>4582</v>
      </c>
      <c r="AX98" s="5">
        <f>'Economic Data'!L64</f>
        <v>921.1</v>
      </c>
      <c r="AY98" s="5">
        <f>'Economic Data'!M64</f>
        <v>586.70000000000005</v>
      </c>
      <c r="AZ98" s="5">
        <f>'Economic Data'!N64</f>
        <v>7685.1</v>
      </c>
      <c r="BA98" s="5">
        <f>'Economic Data'!O64</f>
        <v>124.8</v>
      </c>
      <c r="BB98" s="5">
        <f>'Economic Data'!P64</f>
        <v>103.7</v>
      </c>
      <c r="BC98" s="5">
        <f>'Economic Data'!Q64</f>
        <v>756702</v>
      </c>
      <c r="BD98" s="5">
        <f>'Economic Data'!R64</f>
        <v>7107</v>
      </c>
      <c r="BE98" s="5">
        <f>'Economic Data'!S64</f>
        <v>3589</v>
      </c>
      <c r="BF98" s="5">
        <f>'Economic Data'!T64</f>
        <v>13203</v>
      </c>
      <c r="BG98" s="5">
        <f>'EV Data'!V3</f>
        <v>439.66666666666669</v>
      </c>
      <c r="BH98" s="5">
        <f>'EV Data'!AB3</f>
        <v>3.3333333333333335</v>
      </c>
      <c r="BI98" s="5">
        <f>'EV Data'!W3</f>
        <v>9</v>
      </c>
      <c r="BJ98" s="5">
        <f t="shared" si="52"/>
        <v>49</v>
      </c>
      <c r="BK98" s="70">
        <f t="shared" si="53"/>
        <v>1.6901960800285136</v>
      </c>
      <c r="BL98" s="5">
        <f t="shared" si="54"/>
        <v>2401</v>
      </c>
      <c r="BM98">
        <v>1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f t="shared" si="88"/>
        <v>0</v>
      </c>
      <c r="BZ98">
        <f t="shared" si="88"/>
        <v>0</v>
      </c>
      <c r="CA98">
        <f t="shared" si="55"/>
        <v>0</v>
      </c>
      <c r="CB98">
        <v>31</v>
      </c>
      <c r="CC98">
        <v>22</v>
      </c>
      <c r="CD98">
        <v>0</v>
      </c>
      <c r="CE98">
        <v>0</v>
      </c>
      <c r="CF98">
        <f t="shared" si="47"/>
        <v>0</v>
      </c>
      <c r="CG98">
        <v>0</v>
      </c>
      <c r="CH98" s="64">
        <f t="shared" si="56"/>
        <v>0</v>
      </c>
      <c r="CI98" s="64">
        <f t="shared" si="57"/>
        <v>0</v>
      </c>
      <c r="CJ98" s="64">
        <f t="shared" si="58"/>
        <v>0</v>
      </c>
      <c r="CK98" s="64">
        <f t="shared" si="59"/>
        <v>0</v>
      </c>
      <c r="CL98" s="64">
        <f t="shared" si="60"/>
        <v>0</v>
      </c>
      <c r="CM98" s="64">
        <f t="shared" si="61"/>
        <v>0</v>
      </c>
      <c r="CN98" s="64">
        <f t="shared" si="62"/>
        <v>0</v>
      </c>
      <c r="CO98" s="64">
        <f t="shared" si="63"/>
        <v>0</v>
      </c>
      <c r="CP98" s="64">
        <f t="shared" si="64"/>
        <v>0</v>
      </c>
      <c r="CQ98" s="64">
        <f t="shared" si="65"/>
        <v>0</v>
      </c>
      <c r="CR98" s="64">
        <f t="shared" si="66"/>
        <v>0</v>
      </c>
      <c r="CS98" s="64">
        <f t="shared" si="67"/>
        <v>0</v>
      </c>
      <c r="CT98" s="64">
        <f t="shared" si="68"/>
        <v>0</v>
      </c>
      <c r="CU98" s="64">
        <f t="shared" si="69"/>
        <v>0</v>
      </c>
      <c r="CV98" s="69">
        <f t="shared" si="70"/>
        <v>24.584665834786023</v>
      </c>
      <c r="CW98" s="69">
        <f t="shared" si="71"/>
        <v>882.0893383946551</v>
      </c>
      <c r="CX98" s="69">
        <f t="shared" si="45"/>
        <v>2626.6422657976404</v>
      </c>
      <c r="CY98" s="69">
        <f t="shared" si="72"/>
        <v>35340.659090909088</v>
      </c>
      <c r="CZ98" s="64">
        <f t="shared" si="46"/>
        <v>1864.0687047596157</v>
      </c>
      <c r="DA98" s="64">
        <f t="shared" si="73"/>
        <v>25080.467741935485</v>
      </c>
      <c r="DB98">
        <f t="shared" si="74"/>
        <v>0</v>
      </c>
      <c r="DC98">
        <f t="shared" si="75"/>
        <v>0</v>
      </c>
      <c r="DD98">
        <f t="shared" si="76"/>
        <v>0</v>
      </c>
      <c r="DE98">
        <f t="shared" si="77"/>
        <v>0</v>
      </c>
      <c r="DF98">
        <f t="shared" si="78"/>
        <v>0</v>
      </c>
      <c r="DG98">
        <f t="shared" si="79"/>
        <v>0</v>
      </c>
      <c r="DH98">
        <f t="shared" si="80"/>
        <v>0</v>
      </c>
      <c r="DI98">
        <f t="shared" si="81"/>
        <v>0</v>
      </c>
      <c r="DJ98">
        <f t="shared" si="82"/>
        <v>0</v>
      </c>
      <c r="DK98">
        <f t="shared" si="83"/>
        <v>0</v>
      </c>
      <c r="DL98">
        <f t="shared" si="84"/>
        <v>0</v>
      </c>
      <c r="DM98">
        <f t="shared" si="85"/>
        <v>0</v>
      </c>
      <c r="DN98">
        <f t="shared" si="86"/>
        <v>0</v>
      </c>
      <c r="DO98">
        <f t="shared" si="87"/>
        <v>0</v>
      </c>
      <c r="DP98" s="2">
        <f t="shared" si="89"/>
        <v>13</v>
      </c>
      <c r="DQ98" s="2">
        <v>1</v>
      </c>
      <c r="DR98" s="2">
        <v>0</v>
      </c>
      <c r="DS98" s="2">
        <v>0</v>
      </c>
      <c r="DT98" s="2">
        <v>0</v>
      </c>
    </row>
    <row r="99" spans="1:124" s="2" customFormat="1">
      <c r="A99" s="3">
        <v>42767</v>
      </c>
      <c r="B99">
        <f t="shared" si="48"/>
        <v>2017</v>
      </c>
      <c r="C99" s="2">
        <v>16782978</v>
      </c>
      <c r="D99" s="2">
        <f>VLOOKUP(B99,'Historic CDM'!$B$135:$H$146,2,FALSE)/12</f>
        <v>931954.37951623613</v>
      </c>
      <c r="E99" s="2">
        <f t="shared" si="7"/>
        <v>17714932.379516236</v>
      </c>
      <c r="F99" s="5">
        <v>27148</v>
      </c>
      <c r="G99" s="219">
        <v>4944345</v>
      </c>
      <c r="H99" s="2">
        <f>VLOOKUP(B99,'Historic CDM'!$B$135:$H$147,3,FALSE)/12</f>
        <v>1008417.3725585771</v>
      </c>
      <c r="I99" s="2">
        <f t="shared" si="8"/>
        <v>5952762.372558577</v>
      </c>
      <c r="J99" s="220">
        <v>1949</v>
      </c>
      <c r="K99" s="219">
        <v>11406638</v>
      </c>
      <c r="L99" s="2">
        <f>VLOOKUP(B99,'Historic CDM'!$B$135:$H$146,4,FALSE)/12</f>
        <v>1082686.4618870232</v>
      </c>
      <c r="M99" s="2">
        <f t="shared" si="90"/>
        <v>12489324.461887022</v>
      </c>
      <c r="N99" s="222">
        <v>57585</v>
      </c>
      <c r="O99" s="5">
        <v>250</v>
      </c>
      <c r="P99" s="220">
        <v>275183</v>
      </c>
      <c r="Q99" s="2">
        <v>728</v>
      </c>
      <c r="R99" s="5">
        <v>2746</v>
      </c>
      <c r="S99" s="220">
        <v>25804</v>
      </c>
      <c r="T99" s="2">
        <v>72</v>
      </c>
      <c r="U99" s="5">
        <v>261</v>
      </c>
      <c r="V99" s="221">
        <v>129105</v>
      </c>
      <c r="W99" s="1">
        <v>132</v>
      </c>
      <c r="X99" s="2">
        <v>2736036</v>
      </c>
      <c r="Y99" s="2">
        <v>7379</v>
      </c>
      <c r="Z99" s="5">
        <v>4</v>
      </c>
      <c r="AA99" s="100">
        <f>'Weather Data'!D195</f>
        <v>496.69999999999987</v>
      </c>
      <c r="AB99" s="100">
        <f>'Weather Data'!E195</f>
        <v>0</v>
      </c>
      <c r="AC99" s="100">
        <f>'Weather Data'!F195</f>
        <v>440.69999999999987</v>
      </c>
      <c r="AD99" s="100">
        <f>'Weather Data'!G195</f>
        <v>0</v>
      </c>
      <c r="AE99" s="100">
        <f>'Weather Data'!H195</f>
        <v>384.69999999999987</v>
      </c>
      <c r="AF99" s="100">
        <f>'Weather Data'!I195</f>
        <v>0</v>
      </c>
      <c r="AG99" s="100">
        <f>'Weather Data'!J195</f>
        <v>328.69999999999993</v>
      </c>
      <c r="AH99" s="100">
        <f>'Weather Data'!K195</f>
        <v>0</v>
      </c>
      <c r="AI99" s="100">
        <f>'Weather Data'!L195</f>
        <v>272.7</v>
      </c>
      <c r="AJ99" s="100">
        <f>'Weather Data'!M195</f>
        <v>0</v>
      </c>
      <c r="AK99" s="100">
        <f>'Weather Data'!N195</f>
        <v>221.09999999999997</v>
      </c>
      <c r="AL99" s="100">
        <f>'Weather Data'!O195</f>
        <v>4.4000000000000004</v>
      </c>
      <c r="AM99" s="100">
        <f>'Weather Data'!P195</f>
        <v>174.9</v>
      </c>
      <c r="AN99" s="100">
        <f>'Weather Data'!Q195</f>
        <v>14.200000000000001</v>
      </c>
      <c r="AO99" s="100">
        <f>'Weather Data'!R195</f>
        <v>2.2607142857142857</v>
      </c>
      <c r="AP99" s="5">
        <f>'Economic Data'!D65</f>
        <v>7031.3</v>
      </c>
      <c r="AQ99" s="5">
        <f>'Economic Data'!E65</f>
        <v>6962.5</v>
      </c>
      <c r="AR99" s="5">
        <f>'Economic Data'!F65</f>
        <v>160.6</v>
      </c>
      <c r="AS99" s="5">
        <f>'Economic Data'!G65</f>
        <v>158.80000000000001</v>
      </c>
      <c r="AT99" s="5">
        <f>'Economic Data'!H65</f>
        <v>764464.8</v>
      </c>
      <c r="AU99" s="5">
        <f>'Economic Data'!I65</f>
        <v>7291.3</v>
      </c>
      <c r="AV99" s="5">
        <f>'Economic Data'!J65</f>
        <v>6223.6</v>
      </c>
      <c r="AW99" s="5">
        <f>'Economic Data'!K65</f>
        <v>4582</v>
      </c>
      <c r="AX99" s="5">
        <f>'Economic Data'!L65</f>
        <v>921.1</v>
      </c>
      <c r="AY99" s="5">
        <f>'Economic Data'!M65</f>
        <v>586.70000000000005</v>
      </c>
      <c r="AZ99" s="5">
        <f>'Economic Data'!N65</f>
        <v>7685.1</v>
      </c>
      <c r="BA99" s="5">
        <f>'Economic Data'!O65</f>
        <v>124.8</v>
      </c>
      <c r="BB99" s="5">
        <f>'Economic Data'!P65</f>
        <v>103.7</v>
      </c>
      <c r="BC99" s="5">
        <f>'Economic Data'!Q65</f>
        <v>756702</v>
      </c>
      <c r="BD99" s="5">
        <f>'Economic Data'!R65</f>
        <v>7107</v>
      </c>
      <c r="BE99" s="5">
        <f>'Economic Data'!S65</f>
        <v>3589</v>
      </c>
      <c r="BF99" s="5">
        <f>'Economic Data'!T65</f>
        <v>13203</v>
      </c>
      <c r="BG99" s="5">
        <f>'EV Data'!V4</f>
        <v>879.33333333333337</v>
      </c>
      <c r="BH99" s="5">
        <f>'EV Data'!AB4</f>
        <v>6.666666666666667</v>
      </c>
      <c r="BI99" s="5">
        <f>'EV Data'!W4</f>
        <v>18</v>
      </c>
      <c r="BJ99" s="5">
        <f t="shared" si="52"/>
        <v>50</v>
      </c>
      <c r="BK99" s="70">
        <f t="shared" si="53"/>
        <v>1.6989700043360187</v>
      </c>
      <c r="BL99" s="5">
        <f t="shared" si="54"/>
        <v>2500</v>
      </c>
      <c r="BM99">
        <v>0</v>
      </c>
      <c r="BN99">
        <v>1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f t="shared" si="88"/>
        <v>0</v>
      </c>
      <c r="BZ99">
        <f t="shared" si="88"/>
        <v>0</v>
      </c>
      <c r="CA99">
        <f t="shared" si="55"/>
        <v>0</v>
      </c>
      <c r="CB99">
        <v>28</v>
      </c>
      <c r="CC99">
        <v>19</v>
      </c>
      <c r="CD99">
        <v>0</v>
      </c>
      <c r="CE99">
        <v>0</v>
      </c>
      <c r="CF99">
        <f t="shared" si="47"/>
        <v>0</v>
      </c>
      <c r="CG99">
        <v>0</v>
      </c>
      <c r="CH99" s="64">
        <f t="shared" si="56"/>
        <v>0</v>
      </c>
      <c r="CI99" s="64">
        <f t="shared" si="57"/>
        <v>0</v>
      </c>
      <c r="CJ99" s="64">
        <f t="shared" si="58"/>
        <v>0</v>
      </c>
      <c r="CK99" s="64">
        <f t="shared" si="59"/>
        <v>0</v>
      </c>
      <c r="CL99" s="64">
        <f t="shared" si="60"/>
        <v>0</v>
      </c>
      <c r="CM99" s="64">
        <f t="shared" si="61"/>
        <v>0</v>
      </c>
      <c r="CN99" s="64">
        <f t="shared" si="62"/>
        <v>0</v>
      </c>
      <c r="CO99" s="64">
        <f t="shared" si="63"/>
        <v>0</v>
      </c>
      <c r="CP99" s="64">
        <f t="shared" si="64"/>
        <v>0</v>
      </c>
      <c r="CQ99" s="64">
        <f t="shared" si="65"/>
        <v>0</v>
      </c>
      <c r="CR99" s="64">
        <f t="shared" si="66"/>
        <v>0</v>
      </c>
      <c r="CS99" s="64">
        <f t="shared" si="67"/>
        <v>0</v>
      </c>
      <c r="CT99" s="64">
        <f t="shared" si="68"/>
        <v>0</v>
      </c>
      <c r="CU99" s="64">
        <f t="shared" si="69"/>
        <v>0</v>
      </c>
      <c r="CV99" s="69">
        <f t="shared" si="70"/>
        <v>23.304705923504276</v>
      </c>
      <c r="CW99" s="69">
        <f t="shared" si="71"/>
        <v>850.39462465122529</v>
      </c>
      <c r="CX99" s="69">
        <f t="shared" si="45"/>
        <v>2629.3314656604257</v>
      </c>
      <c r="CY99" s="69">
        <f t="shared" si="72"/>
        <v>36000.473684210527</v>
      </c>
      <c r="CZ99" s="64">
        <f t="shared" si="46"/>
        <v>1784.1892088410032</v>
      </c>
      <c r="DA99" s="64">
        <f t="shared" si="73"/>
        <v>24428.892857142859</v>
      </c>
      <c r="DB99">
        <f t="shared" si="74"/>
        <v>0</v>
      </c>
      <c r="DC99">
        <f t="shared" si="75"/>
        <v>0</v>
      </c>
      <c r="DD99">
        <f t="shared" si="76"/>
        <v>0</v>
      </c>
      <c r="DE99">
        <f t="shared" si="77"/>
        <v>0</v>
      </c>
      <c r="DF99">
        <f t="shared" si="78"/>
        <v>0</v>
      </c>
      <c r="DG99">
        <f t="shared" si="79"/>
        <v>0</v>
      </c>
      <c r="DH99">
        <f t="shared" si="80"/>
        <v>0</v>
      </c>
      <c r="DI99">
        <f t="shared" si="81"/>
        <v>0</v>
      </c>
      <c r="DJ99">
        <f t="shared" si="82"/>
        <v>0</v>
      </c>
      <c r="DK99">
        <f t="shared" si="83"/>
        <v>0</v>
      </c>
      <c r="DL99">
        <f t="shared" si="84"/>
        <v>0</v>
      </c>
      <c r="DM99">
        <f t="shared" si="85"/>
        <v>0</v>
      </c>
      <c r="DN99">
        <f t="shared" si="86"/>
        <v>0</v>
      </c>
      <c r="DO99">
        <f t="shared" si="87"/>
        <v>0</v>
      </c>
      <c r="DP99" s="2">
        <f t="shared" si="89"/>
        <v>14</v>
      </c>
      <c r="DQ99" s="2">
        <f>DQ98+1</f>
        <v>2</v>
      </c>
      <c r="DR99" s="2">
        <v>0</v>
      </c>
      <c r="DS99" s="2">
        <v>0</v>
      </c>
      <c r="DT99" s="2">
        <v>0</v>
      </c>
    </row>
    <row r="100" spans="1:124" s="2" customFormat="1">
      <c r="A100" s="3">
        <v>42795</v>
      </c>
      <c r="B100">
        <f t="shared" si="48"/>
        <v>2017</v>
      </c>
      <c r="C100" s="2">
        <v>16447014</v>
      </c>
      <c r="D100" s="2">
        <f>VLOOKUP(B100,'Historic CDM'!$B$135:$H$146,2,FALSE)/12</f>
        <v>931954.37951623613</v>
      </c>
      <c r="E100" s="2">
        <f t="shared" si="7"/>
        <v>17378968.379516236</v>
      </c>
      <c r="F100" s="5">
        <v>27207</v>
      </c>
      <c r="G100" s="219">
        <v>5073373</v>
      </c>
      <c r="H100" s="2">
        <f>VLOOKUP(B100,'Historic CDM'!$B$135:$H$147,3,FALSE)/12</f>
        <v>1008417.3725585771</v>
      </c>
      <c r="I100" s="2">
        <f t="shared" si="8"/>
        <v>6081790.372558577</v>
      </c>
      <c r="J100" s="220">
        <v>1957</v>
      </c>
      <c r="K100" s="219">
        <v>13787931</v>
      </c>
      <c r="L100" s="2">
        <f>VLOOKUP(B100,'Historic CDM'!$B$135:$H$146,4,FALSE)/12</f>
        <v>1082686.4618870232</v>
      </c>
      <c r="M100" s="2">
        <f t="shared" si="90"/>
        <v>14870617.461887022</v>
      </c>
      <c r="N100" s="222">
        <v>38940</v>
      </c>
      <c r="O100" s="5">
        <v>250</v>
      </c>
      <c r="P100" s="220">
        <v>254800</v>
      </c>
      <c r="Q100" s="2">
        <v>728</v>
      </c>
      <c r="R100" s="5">
        <v>2746</v>
      </c>
      <c r="S100" s="220">
        <v>26012</v>
      </c>
      <c r="T100" s="2">
        <v>73</v>
      </c>
      <c r="U100" s="5">
        <v>259</v>
      </c>
      <c r="V100" s="221">
        <v>129105</v>
      </c>
      <c r="W100" s="1">
        <v>132</v>
      </c>
      <c r="X100" s="2">
        <v>2956591</v>
      </c>
      <c r="Y100" s="2">
        <v>7382</v>
      </c>
      <c r="Z100" s="5">
        <v>4</v>
      </c>
      <c r="AA100" s="100">
        <f>'Weather Data'!D196</f>
        <v>569.30000000000007</v>
      </c>
      <c r="AB100" s="100">
        <f>'Weather Data'!E196</f>
        <v>0</v>
      </c>
      <c r="AC100" s="100">
        <f>'Weather Data'!F196</f>
        <v>507.30000000000007</v>
      </c>
      <c r="AD100" s="100">
        <f>'Weather Data'!G196</f>
        <v>0</v>
      </c>
      <c r="AE100" s="100">
        <f>'Weather Data'!H196</f>
        <v>445.30000000000013</v>
      </c>
      <c r="AF100" s="100">
        <f>'Weather Data'!I196</f>
        <v>0</v>
      </c>
      <c r="AG100" s="100">
        <f>'Weather Data'!J196</f>
        <v>383.30000000000007</v>
      </c>
      <c r="AH100" s="100">
        <f>'Weather Data'!K196</f>
        <v>0</v>
      </c>
      <c r="AI100" s="100">
        <f>'Weather Data'!L196</f>
        <v>322.30000000000007</v>
      </c>
      <c r="AJ100" s="100">
        <f>'Weather Data'!M196</f>
        <v>1</v>
      </c>
      <c r="AK100" s="100">
        <f>'Weather Data'!N196</f>
        <v>264</v>
      </c>
      <c r="AL100" s="100">
        <f>'Weather Data'!O196</f>
        <v>4.6999999999999993</v>
      </c>
      <c r="AM100" s="100">
        <f>'Weather Data'!P196</f>
        <v>207.1</v>
      </c>
      <c r="AN100" s="100">
        <f>'Weather Data'!Q196</f>
        <v>9.7999999999999989</v>
      </c>
      <c r="AO100" s="100">
        <f>'Weather Data'!R196</f>
        <v>1.6354838709677419</v>
      </c>
      <c r="AP100" s="5">
        <f>'Economic Data'!D66</f>
        <v>7049</v>
      </c>
      <c r="AQ100" s="5">
        <f>'Economic Data'!E66</f>
        <v>6946</v>
      </c>
      <c r="AR100" s="5">
        <f>'Economic Data'!F66</f>
        <v>160.69999999999999</v>
      </c>
      <c r="AS100" s="5">
        <f>'Economic Data'!G66</f>
        <v>157.9</v>
      </c>
      <c r="AT100" s="5">
        <f>'Economic Data'!H66</f>
        <v>764464.8</v>
      </c>
      <c r="AU100" s="5">
        <f>'Economic Data'!I66</f>
        <v>7291.3</v>
      </c>
      <c r="AV100" s="5">
        <f>'Economic Data'!J66</f>
        <v>6223.6</v>
      </c>
      <c r="AW100" s="5">
        <f>'Economic Data'!K66</f>
        <v>4582</v>
      </c>
      <c r="AX100" s="5">
        <f>'Economic Data'!L66</f>
        <v>921.1</v>
      </c>
      <c r="AY100" s="5">
        <f>'Economic Data'!M66</f>
        <v>586.70000000000005</v>
      </c>
      <c r="AZ100" s="5">
        <f>'Economic Data'!N66</f>
        <v>7685.1</v>
      </c>
      <c r="BA100" s="5">
        <f>'Economic Data'!O66</f>
        <v>124.8</v>
      </c>
      <c r="BB100" s="5">
        <f>'Economic Data'!P66</f>
        <v>103.7</v>
      </c>
      <c r="BC100" s="5">
        <f>'Economic Data'!Q66</f>
        <v>756702</v>
      </c>
      <c r="BD100" s="5">
        <f>'Economic Data'!R66</f>
        <v>7107</v>
      </c>
      <c r="BE100" s="5">
        <f>'Economic Data'!S66</f>
        <v>3589</v>
      </c>
      <c r="BF100" s="5">
        <f>'Economic Data'!T66</f>
        <v>13203</v>
      </c>
      <c r="BG100" s="5">
        <f>'EV Data'!V5</f>
        <v>1319</v>
      </c>
      <c r="BH100" s="5">
        <f>'EV Data'!AB5</f>
        <v>10</v>
      </c>
      <c r="BI100" s="5">
        <f>'EV Data'!W5</f>
        <v>27</v>
      </c>
      <c r="BJ100" s="5">
        <f t="shared" si="52"/>
        <v>51</v>
      </c>
      <c r="BK100" s="70">
        <f t="shared" si="53"/>
        <v>1.7075701760979363</v>
      </c>
      <c r="BL100" s="5">
        <f t="shared" si="54"/>
        <v>2601</v>
      </c>
      <c r="BM100">
        <v>0</v>
      </c>
      <c r="BN100">
        <v>0</v>
      </c>
      <c r="BO100">
        <v>1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f t="shared" si="88"/>
        <v>1</v>
      </c>
      <c r="BZ100">
        <f t="shared" si="88"/>
        <v>0</v>
      </c>
      <c r="CA100">
        <f t="shared" si="55"/>
        <v>1</v>
      </c>
      <c r="CB100">
        <v>31</v>
      </c>
      <c r="CC100">
        <v>23</v>
      </c>
      <c r="CD100">
        <v>0</v>
      </c>
      <c r="CE100">
        <v>0</v>
      </c>
      <c r="CF100">
        <f t="shared" si="47"/>
        <v>0</v>
      </c>
      <c r="CG100">
        <v>0</v>
      </c>
      <c r="CH100" s="64">
        <f t="shared" si="56"/>
        <v>0</v>
      </c>
      <c r="CI100" s="64">
        <f t="shared" si="57"/>
        <v>0</v>
      </c>
      <c r="CJ100" s="64">
        <f t="shared" si="58"/>
        <v>0</v>
      </c>
      <c r="CK100" s="64">
        <f t="shared" si="59"/>
        <v>0</v>
      </c>
      <c r="CL100" s="64">
        <f t="shared" si="60"/>
        <v>0</v>
      </c>
      <c r="CM100" s="64">
        <f t="shared" si="61"/>
        <v>0</v>
      </c>
      <c r="CN100" s="64">
        <f t="shared" si="62"/>
        <v>0</v>
      </c>
      <c r="CO100" s="64">
        <f t="shared" si="63"/>
        <v>0</v>
      </c>
      <c r="CP100" s="64">
        <f t="shared" si="64"/>
        <v>0</v>
      </c>
      <c r="CQ100" s="64">
        <f t="shared" si="65"/>
        <v>0</v>
      </c>
      <c r="CR100" s="64">
        <f t="shared" si="66"/>
        <v>0</v>
      </c>
      <c r="CS100" s="64">
        <f t="shared" si="67"/>
        <v>0</v>
      </c>
      <c r="CT100" s="64">
        <f t="shared" si="68"/>
        <v>0</v>
      </c>
      <c r="CU100" s="64">
        <f t="shared" si="69"/>
        <v>0</v>
      </c>
      <c r="CV100" s="69">
        <f t="shared" si="70"/>
        <v>20.605428132840856</v>
      </c>
      <c r="CW100" s="69">
        <f t="shared" si="71"/>
        <v>784.74714484626804</v>
      </c>
      <c r="CX100" s="69">
        <f t="shared" si="45"/>
        <v>2586.1943411977431</v>
      </c>
      <c r="CY100" s="69">
        <f t="shared" si="72"/>
        <v>32136.858695652172</v>
      </c>
      <c r="CZ100" s="64">
        <f t="shared" si="46"/>
        <v>1918.789349920906</v>
      </c>
      <c r="DA100" s="64">
        <f t="shared" si="73"/>
        <v>23843.475806451614</v>
      </c>
      <c r="DB100">
        <f t="shared" si="74"/>
        <v>0</v>
      </c>
      <c r="DC100">
        <f t="shared" si="75"/>
        <v>0</v>
      </c>
      <c r="DD100">
        <f t="shared" si="76"/>
        <v>0</v>
      </c>
      <c r="DE100">
        <f t="shared" si="77"/>
        <v>0</v>
      </c>
      <c r="DF100">
        <f t="shared" si="78"/>
        <v>0</v>
      </c>
      <c r="DG100">
        <f t="shared" si="79"/>
        <v>0</v>
      </c>
      <c r="DH100">
        <f t="shared" si="80"/>
        <v>0</v>
      </c>
      <c r="DI100">
        <f t="shared" si="81"/>
        <v>0</v>
      </c>
      <c r="DJ100">
        <f t="shared" si="82"/>
        <v>0</v>
      </c>
      <c r="DK100">
        <f t="shared" si="83"/>
        <v>0</v>
      </c>
      <c r="DL100">
        <f t="shared" si="84"/>
        <v>0</v>
      </c>
      <c r="DM100">
        <f t="shared" si="85"/>
        <v>0</v>
      </c>
      <c r="DN100">
        <f t="shared" si="86"/>
        <v>0</v>
      </c>
      <c r="DO100">
        <f t="shared" si="87"/>
        <v>0</v>
      </c>
      <c r="DP100" s="2">
        <f t="shared" si="89"/>
        <v>15</v>
      </c>
      <c r="DQ100" s="2">
        <f t="shared" si="89"/>
        <v>3</v>
      </c>
      <c r="DR100" s="2">
        <v>0</v>
      </c>
      <c r="DS100" s="2">
        <v>0</v>
      </c>
      <c r="DT100" s="2">
        <v>0</v>
      </c>
    </row>
    <row r="101" spans="1:124" s="2" customFormat="1">
      <c r="A101" s="3">
        <v>42826</v>
      </c>
      <c r="B101">
        <f t="shared" si="48"/>
        <v>2017</v>
      </c>
      <c r="C101" s="2">
        <v>15343596</v>
      </c>
      <c r="D101" s="2">
        <f>VLOOKUP(B101,'Historic CDM'!$B$135:$H$146,2,FALSE)/12</f>
        <v>931954.37951623613</v>
      </c>
      <c r="E101" s="2">
        <f t="shared" si="7"/>
        <v>16275550.379516236</v>
      </c>
      <c r="F101" s="5">
        <v>27239</v>
      </c>
      <c r="G101" s="219">
        <v>4851242</v>
      </c>
      <c r="H101" s="2">
        <f>VLOOKUP(B101,'Historic CDM'!$B$135:$H$147,3,FALSE)/12</f>
        <v>1008417.3725585771</v>
      </c>
      <c r="I101" s="2">
        <f t="shared" si="8"/>
        <v>5859659.372558577</v>
      </c>
      <c r="J101" s="220">
        <v>1957</v>
      </c>
      <c r="K101" s="219">
        <v>11876382</v>
      </c>
      <c r="L101" s="2">
        <f>VLOOKUP(B101,'Historic CDM'!$B$135:$H$146,4,FALSE)/12</f>
        <v>1082686.4618870232</v>
      </c>
      <c r="M101" s="2">
        <f t="shared" si="90"/>
        <v>12959068.461887022</v>
      </c>
      <c r="N101" s="222">
        <v>34096</v>
      </c>
      <c r="O101" s="5">
        <v>250</v>
      </c>
      <c r="P101" s="220">
        <v>214032</v>
      </c>
      <c r="Q101" s="2">
        <v>728</v>
      </c>
      <c r="R101" s="5">
        <v>2746</v>
      </c>
      <c r="S101" s="220">
        <v>25986</v>
      </c>
      <c r="T101" s="2">
        <v>73</v>
      </c>
      <c r="U101" s="5">
        <v>256</v>
      </c>
      <c r="V101" s="221">
        <v>129105</v>
      </c>
      <c r="W101" s="1">
        <v>132</v>
      </c>
      <c r="X101" s="2">
        <v>2405329</v>
      </c>
      <c r="Y101" s="2">
        <v>7004</v>
      </c>
      <c r="Z101" s="5">
        <v>4</v>
      </c>
      <c r="AA101" s="100">
        <f>'Weather Data'!D197</f>
        <v>259.50000000000006</v>
      </c>
      <c r="AB101" s="100">
        <f>'Weather Data'!E197</f>
        <v>0</v>
      </c>
      <c r="AC101" s="100">
        <f>'Weather Data'!F197</f>
        <v>200.50000000000003</v>
      </c>
      <c r="AD101" s="100">
        <f>'Weather Data'!G197</f>
        <v>1</v>
      </c>
      <c r="AE101" s="100">
        <f>'Weather Data'!H197</f>
        <v>147.39999999999995</v>
      </c>
      <c r="AF101" s="100">
        <f>'Weather Data'!I197</f>
        <v>7.9000000000000021</v>
      </c>
      <c r="AG101" s="100">
        <f>'Weather Data'!J197</f>
        <v>100.79999999999997</v>
      </c>
      <c r="AH101" s="100">
        <f>'Weather Data'!K197</f>
        <v>21.300000000000004</v>
      </c>
      <c r="AI101" s="100">
        <f>'Weather Data'!L197</f>
        <v>59.800000000000011</v>
      </c>
      <c r="AJ101" s="100">
        <f>'Weather Data'!M197</f>
        <v>40.300000000000004</v>
      </c>
      <c r="AK101" s="100">
        <f>'Weather Data'!N197</f>
        <v>28</v>
      </c>
      <c r="AL101" s="100">
        <f>'Weather Data'!O197</f>
        <v>68.5</v>
      </c>
      <c r="AM101" s="100">
        <f>'Weather Data'!P197</f>
        <v>9.5</v>
      </c>
      <c r="AN101" s="100">
        <f>'Weather Data'!Q197</f>
        <v>110.00000000000003</v>
      </c>
      <c r="AO101" s="100">
        <f>'Weather Data'!R197</f>
        <v>11.35</v>
      </c>
      <c r="AP101" s="5">
        <f>'Economic Data'!D67</f>
        <v>7055.1</v>
      </c>
      <c r="AQ101" s="5">
        <f>'Economic Data'!E67</f>
        <v>6963.6</v>
      </c>
      <c r="AR101" s="5">
        <f>'Economic Data'!F67</f>
        <v>159.30000000000001</v>
      </c>
      <c r="AS101" s="5">
        <f>'Economic Data'!G67</f>
        <v>156.5</v>
      </c>
      <c r="AT101" s="5">
        <f>'Economic Data'!H67</f>
        <v>764464.8</v>
      </c>
      <c r="AU101" s="5">
        <f>'Economic Data'!I67</f>
        <v>7291.3</v>
      </c>
      <c r="AV101" s="5">
        <f>'Economic Data'!J67</f>
        <v>6223.6</v>
      </c>
      <c r="AW101" s="5">
        <f>'Economic Data'!K67</f>
        <v>4582</v>
      </c>
      <c r="AX101" s="5">
        <f>'Economic Data'!L67</f>
        <v>921.1</v>
      </c>
      <c r="AY101" s="5">
        <f>'Economic Data'!M67</f>
        <v>586.70000000000005</v>
      </c>
      <c r="AZ101" s="5">
        <f>'Economic Data'!N67</f>
        <v>7685.1</v>
      </c>
      <c r="BA101" s="5">
        <f>'Economic Data'!O67</f>
        <v>124.8</v>
      </c>
      <c r="BB101" s="5">
        <f>'Economic Data'!P67</f>
        <v>103.7</v>
      </c>
      <c r="BC101" s="5">
        <f>'Economic Data'!Q67</f>
        <v>764644</v>
      </c>
      <c r="BD101" s="5">
        <f>'Economic Data'!R67</f>
        <v>7237</v>
      </c>
      <c r="BE101" s="5">
        <f>'Economic Data'!S67</f>
        <v>3572</v>
      </c>
      <c r="BF101" s="5">
        <f>'Economic Data'!T67</f>
        <v>13312</v>
      </c>
      <c r="BG101" s="5">
        <f>'EV Data'!V6</f>
        <v>2015.3333333333335</v>
      </c>
      <c r="BH101" s="5">
        <f>'EV Data'!AB6</f>
        <v>13.333333333333334</v>
      </c>
      <c r="BI101" s="5">
        <f>'EV Data'!W6</f>
        <v>40.666666666666664</v>
      </c>
      <c r="BJ101" s="5">
        <f t="shared" si="52"/>
        <v>52</v>
      </c>
      <c r="BK101" s="70">
        <f t="shared" si="53"/>
        <v>1.7160033436347992</v>
      </c>
      <c r="BL101" s="5">
        <f t="shared" si="54"/>
        <v>2704</v>
      </c>
      <c r="BM101">
        <v>0</v>
      </c>
      <c r="BN101">
        <v>0</v>
      </c>
      <c r="BO101">
        <v>0</v>
      </c>
      <c r="BP101">
        <v>1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f t="shared" si="88"/>
        <v>1</v>
      </c>
      <c r="BZ101">
        <f t="shared" si="88"/>
        <v>0</v>
      </c>
      <c r="CA101">
        <f t="shared" si="55"/>
        <v>1</v>
      </c>
      <c r="CB101">
        <v>30</v>
      </c>
      <c r="CC101">
        <v>19</v>
      </c>
      <c r="CD101">
        <v>0</v>
      </c>
      <c r="CE101">
        <v>0</v>
      </c>
      <c r="CF101">
        <f t="shared" si="47"/>
        <v>0</v>
      </c>
      <c r="CG101">
        <v>0</v>
      </c>
      <c r="CH101" s="64">
        <f t="shared" si="56"/>
        <v>0</v>
      </c>
      <c r="CI101" s="64">
        <f t="shared" si="57"/>
        <v>0</v>
      </c>
      <c r="CJ101" s="64">
        <f t="shared" si="58"/>
        <v>0</v>
      </c>
      <c r="CK101" s="64">
        <f t="shared" si="59"/>
        <v>0</v>
      </c>
      <c r="CL101" s="64">
        <f t="shared" si="60"/>
        <v>0</v>
      </c>
      <c r="CM101" s="64">
        <f t="shared" si="61"/>
        <v>0</v>
      </c>
      <c r="CN101" s="64">
        <f t="shared" si="62"/>
        <v>0</v>
      </c>
      <c r="CO101" s="64">
        <f t="shared" si="63"/>
        <v>0</v>
      </c>
      <c r="CP101" s="64">
        <f t="shared" si="64"/>
        <v>0</v>
      </c>
      <c r="CQ101" s="64">
        <f t="shared" si="65"/>
        <v>0</v>
      </c>
      <c r="CR101" s="64">
        <f t="shared" si="66"/>
        <v>0</v>
      </c>
      <c r="CS101" s="64">
        <f t="shared" si="67"/>
        <v>0</v>
      </c>
      <c r="CT101" s="64">
        <f t="shared" si="68"/>
        <v>0</v>
      </c>
      <c r="CU101" s="64">
        <f t="shared" si="69"/>
        <v>0</v>
      </c>
      <c r="CV101" s="69">
        <f t="shared" si="70"/>
        <v>19.916970005649052</v>
      </c>
      <c r="CW101" s="69">
        <f t="shared" si="71"/>
        <v>781.2879163411435</v>
      </c>
      <c r="CX101" s="69">
        <f t="shared" si="45"/>
        <v>2728.2249393446364</v>
      </c>
      <c r="CY101" s="69">
        <f t="shared" si="72"/>
        <v>31649.065789473683</v>
      </c>
      <c r="CZ101" s="64">
        <f t="shared" si="46"/>
        <v>1727.8757949182695</v>
      </c>
      <c r="DA101" s="64">
        <f t="shared" si="73"/>
        <v>20044.408333333333</v>
      </c>
      <c r="DB101">
        <f t="shared" si="74"/>
        <v>0</v>
      </c>
      <c r="DC101">
        <f t="shared" si="75"/>
        <v>0</v>
      </c>
      <c r="DD101">
        <f t="shared" si="76"/>
        <v>0</v>
      </c>
      <c r="DE101">
        <f t="shared" si="77"/>
        <v>0</v>
      </c>
      <c r="DF101">
        <f t="shared" si="78"/>
        <v>0</v>
      </c>
      <c r="DG101">
        <f t="shared" si="79"/>
        <v>0</v>
      </c>
      <c r="DH101">
        <f t="shared" si="80"/>
        <v>0</v>
      </c>
      <c r="DI101">
        <f t="shared" si="81"/>
        <v>0</v>
      </c>
      <c r="DJ101">
        <f t="shared" si="82"/>
        <v>0</v>
      </c>
      <c r="DK101">
        <f t="shared" si="83"/>
        <v>0</v>
      </c>
      <c r="DL101">
        <f t="shared" si="84"/>
        <v>0</v>
      </c>
      <c r="DM101">
        <f t="shared" si="85"/>
        <v>0</v>
      </c>
      <c r="DN101">
        <f t="shared" si="86"/>
        <v>0</v>
      </c>
      <c r="DO101">
        <f t="shared" si="87"/>
        <v>0</v>
      </c>
      <c r="DP101" s="2">
        <f t="shared" si="89"/>
        <v>16</v>
      </c>
      <c r="DQ101" s="2">
        <f t="shared" si="89"/>
        <v>4</v>
      </c>
      <c r="DR101" s="2">
        <v>0</v>
      </c>
      <c r="DS101" s="2">
        <v>0</v>
      </c>
      <c r="DT101" s="2">
        <v>0</v>
      </c>
    </row>
    <row r="102" spans="1:124" s="2" customFormat="1">
      <c r="A102" s="3">
        <v>42856</v>
      </c>
      <c r="B102">
        <f t="shared" si="48"/>
        <v>2017</v>
      </c>
      <c r="C102" s="2">
        <v>15994887</v>
      </c>
      <c r="D102" s="2">
        <f>VLOOKUP(B102,'Historic CDM'!$B$135:$H$146,2,FALSE)/12</f>
        <v>931954.37951623613</v>
      </c>
      <c r="E102" s="2">
        <f t="shared" si="7"/>
        <v>16926841.379516236</v>
      </c>
      <c r="F102" s="5">
        <v>27274</v>
      </c>
      <c r="G102" s="219">
        <v>5068665</v>
      </c>
      <c r="H102" s="2">
        <f>VLOOKUP(B102,'Historic CDM'!$B$135:$H$147,3,FALSE)/12</f>
        <v>1008417.3725585771</v>
      </c>
      <c r="I102" s="2">
        <f t="shared" si="8"/>
        <v>6077082.372558577</v>
      </c>
      <c r="J102" s="220">
        <v>1965</v>
      </c>
      <c r="K102" s="219">
        <v>13103390</v>
      </c>
      <c r="L102" s="2">
        <f>VLOOKUP(B102,'Historic CDM'!$B$135:$H$146,4,FALSE)/12</f>
        <v>1082686.4618870232</v>
      </c>
      <c r="M102" s="2">
        <f t="shared" si="90"/>
        <v>14186076.461887022</v>
      </c>
      <c r="N102" s="222">
        <v>38059</v>
      </c>
      <c r="O102" s="5">
        <v>250</v>
      </c>
      <c r="P102" s="220">
        <v>192738</v>
      </c>
      <c r="Q102" s="2">
        <v>728</v>
      </c>
      <c r="R102" s="5">
        <v>2757</v>
      </c>
      <c r="S102" s="220">
        <v>25985</v>
      </c>
      <c r="T102" s="2">
        <v>73</v>
      </c>
      <c r="U102" s="5">
        <v>255</v>
      </c>
      <c r="V102" s="221">
        <v>129105</v>
      </c>
      <c r="W102" s="1">
        <v>132</v>
      </c>
      <c r="X102" s="2">
        <v>2604156</v>
      </c>
      <c r="Y102" s="2">
        <v>6546</v>
      </c>
      <c r="Z102" s="5">
        <v>4</v>
      </c>
      <c r="AA102" s="100">
        <f>'Weather Data'!D198</f>
        <v>187.8</v>
      </c>
      <c r="AB102" s="100">
        <f>'Weather Data'!E198</f>
        <v>8.1999999999999993</v>
      </c>
      <c r="AC102" s="100">
        <f>'Weather Data'!F198</f>
        <v>135.5</v>
      </c>
      <c r="AD102" s="100">
        <f>'Weather Data'!G198</f>
        <v>17.900000000000002</v>
      </c>
      <c r="AE102" s="100">
        <f>'Weather Data'!H198</f>
        <v>93.700000000000017</v>
      </c>
      <c r="AF102" s="100">
        <f>'Weather Data'!I198</f>
        <v>38.100000000000009</v>
      </c>
      <c r="AG102" s="100">
        <f>'Weather Data'!J198</f>
        <v>58.300000000000004</v>
      </c>
      <c r="AH102" s="100">
        <f>'Weather Data'!K198</f>
        <v>64.7</v>
      </c>
      <c r="AI102" s="100">
        <f>'Weather Data'!L198</f>
        <v>32.1</v>
      </c>
      <c r="AJ102" s="100">
        <f>'Weather Data'!M198</f>
        <v>100.50000000000001</v>
      </c>
      <c r="AK102" s="100">
        <f>'Weather Data'!N198</f>
        <v>14.2</v>
      </c>
      <c r="AL102" s="100">
        <f>'Weather Data'!O198</f>
        <v>144.6</v>
      </c>
      <c r="AM102" s="100">
        <f>'Weather Data'!P198</f>
        <v>2.0000000000000009</v>
      </c>
      <c r="AN102" s="100">
        <f>'Weather Data'!Q198</f>
        <v>194.4</v>
      </c>
      <c r="AO102" s="100">
        <f>'Weather Data'!R198</f>
        <v>14.206451612903226</v>
      </c>
      <c r="AP102" s="5">
        <f>'Economic Data'!D68</f>
        <v>7066.7</v>
      </c>
      <c r="AQ102" s="5">
        <f>'Economic Data'!E68</f>
        <v>7033.4</v>
      </c>
      <c r="AR102" s="5">
        <f>'Economic Data'!F68</f>
        <v>158.5</v>
      </c>
      <c r="AS102" s="5">
        <f>'Economic Data'!G68</f>
        <v>156.9</v>
      </c>
      <c r="AT102" s="5">
        <f>'Economic Data'!H68</f>
        <v>764464.8</v>
      </c>
      <c r="AU102" s="5">
        <f>'Economic Data'!I68</f>
        <v>7291.3</v>
      </c>
      <c r="AV102" s="5">
        <f>'Economic Data'!J68</f>
        <v>6223.6</v>
      </c>
      <c r="AW102" s="5">
        <f>'Economic Data'!K68</f>
        <v>4582</v>
      </c>
      <c r="AX102" s="5">
        <f>'Economic Data'!L68</f>
        <v>921.1</v>
      </c>
      <c r="AY102" s="5">
        <f>'Economic Data'!M68</f>
        <v>586.70000000000005</v>
      </c>
      <c r="AZ102" s="5">
        <f>'Economic Data'!N68</f>
        <v>7685.1</v>
      </c>
      <c r="BA102" s="5">
        <f>'Economic Data'!O68</f>
        <v>124.8</v>
      </c>
      <c r="BB102" s="5">
        <f>'Economic Data'!P68</f>
        <v>103.7</v>
      </c>
      <c r="BC102" s="5">
        <f>'Economic Data'!Q68</f>
        <v>764644</v>
      </c>
      <c r="BD102" s="5">
        <f>'Economic Data'!R68</f>
        <v>7237</v>
      </c>
      <c r="BE102" s="5">
        <f>'Economic Data'!S68</f>
        <v>3572</v>
      </c>
      <c r="BF102" s="5">
        <f>'Economic Data'!T68</f>
        <v>13312</v>
      </c>
      <c r="BG102" s="5">
        <f>'EV Data'!V7</f>
        <v>2711.666666666667</v>
      </c>
      <c r="BH102" s="5">
        <f>'EV Data'!AB7</f>
        <v>16.666666666666668</v>
      </c>
      <c r="BI102" s="5">
        <f>'EV Data'!W7</f>
        <v>54.333333333333329</v>
      </c>
      <c r="BJ102" s="5">
        <f t="shared" si="52"/>
        <v>53</v>
      </c>
      <c r="BK102" s="70">
        <f t="shared" si="53"/>
        <v>1.7242758696007889</v>
      </c>
      <c r="BL102" s="5">
        <f t="shared" si="54"/>
        <v>2809</v>
      </c>
      <c r="BM102">
        <v>0</v>
      </c>
      <c r="BN102">
        <v>0</v>
      </c>
      <c r="BO102">
        <v>0</v>
      </c>
      <c r="BP102">
        <v>0</v>
      </c>
      <c r="BQ102">
        <v>1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f t="shared" si="88"/>
        <v>1</v>
      </c>
      <c r="BZ102">
        <f t="shared" si="88"/>
        <v>0</v>
      </c>
      <c r="CA102">
        <f t="shared" si="55"/>
        <v>1</v>
      </c>
      <c r="CB102">
        <v>31</v>
      </c>
      <c r="CC102">
        <v>22</v>
      </c>
      <c r="CD102">
        <v>0</v>
      </c>
      <c r="CE102">
        <v>0</v>
      </c>
      <c r="CF102">
        <f t="shared" si="47"/>
        <v>0</v>
      </c>
      <c r="CG102">
        <v>0</v>
      </c>
      <c r="CH102" s="64">
        <f t="shared" si="56"/>
        <v>0</v>
      </c>
      <c r="CI102" s="64">
        <f t="shared" si="57"/>
        <v>0</v>
      </c>
      <c r="CJ102" s="64">
        <f t="shared" si="58"/>
        <v>0</v>
      </c>
      <c r="CK102" s="64">
        <f t="shared" si="59"/>
        <v>0</v>
      </c>
      <c r="CL102" s="64">
        <f t="shared" si="60"/>
        <v>0</v>
      </c>
      <c r="CM102" s="64">
        <f t="shared" si="61"/>
        <v>0</v>
      </c>
      <c r="CN102" s="64">
        <f t="shared" si="62"/>
        <v>0</v>
      </c>
      <c r="CO102" s="64">
        <f t="shared" si="63"/>
        <v>0</v>
      </c>
      <c r="CP102" s="64">
        <f t="shared" si="64"/>
        <v>0</v>
      </c>
      <c r="CQ102" s="64">
        <f t="shared" si="65"/>
        <v>0</v>
      </c>
      <c r="CR102" s="64">
        <f t="shared" si="66"/>
        <v>0</v>
      </c>
      <c r="CS102" s="64">
        <f t="shared" si="67"/>
        <v>0</v>
      </c>
      <c r="CT102" s="64">
        <f t="shared" si="68"/>
        <v>0</v>
      </c>
      <c r="CU102" s="64">
        <f t="shared" si="69"/>
        <v>0</v>
      </c>
      <c r="CV102" s="69">
        <f t="shared" si="70"/>
        <v>20.020060910563807</v>
      </c>
      <c r="CW102" s="69">
        <f t="shared" si="71"/>
        <v>784.13966097530022</v>
      </c>
      <c r="CX102" s="69">
        <f t="shared" si="45"/>
        <v>2579.2866294340038</v>
      </c>
      <c r="CY102" s="69">
        <f t="shared" si="72"/>
        <v>29592.68181818182</v>
      </c>
      <c r="CZ102" s="64">
        <f t="shared" si="46"/>
        <v>1830.4614789531643</v>
      </c>
      <c r="DA102" s="64">
        <f t="shared" si="73"/>
        <v>21001.258064516129</v>
      </c>
      <c r="DB102">
        <f t="shared" si="74"/>
        <v>0</v>
      </c>
      <c r="DC102">
        <f t="shared" si="75"/>
        <v>0</v>
      </c>
      <c r="DD102">
        <f t="shared" si="76"/>
        <v>0</v>
      </c>
      <c r="DE102">
        <f t="shared" si="77"/>
        <v>0</v>
      </c>
      <c r="DF102">
        <f t="shared" si="78"/>
        <v>0</v>
      </c>
      <c r="DG102">
        <f t="shared" si="79"/>
        <v>0</v>
      </c>
      <c r="DH102">
        <f t="shared" si="80"/>
        <v>0</v>
      </c>
      <c r="DI102">
        <f t="shared" si="81"/>
        <v>0</v>
      </c>
      <c r="DJ102">
        <f t="shared" si="82"/>
        <v>0</v>
      </c>
      <c r="DK102">
        <f t="shared" si="83"/>
        <v>0</v>
      </c>
      <c r="DL102">
        <f t="shared" si="84"/>
        <v>0</v>
      </c>
      <c r="DM102">
        <f t="shared" si="85"/>
        <v>0</v>
      </c>
      <c r="DN102">
        <f t="shared" si="86"/>
        <v>0</v>
      </c>
      <c r="DO102">
        <f t="shared" si="87"/>
        <v>0</v>
      </c>
      <c r="DP102" s="2">
        <f t="shared" si="89"/>
        <v>17</v>
      </c>
      <c r="DQ102" s="2">
        <f t="shared" si="89"/>
        <v>5</v>
      </c>
      <c r="DR102" s="2">
        <v>0</v>
      </c>
      <c r="DS102" s="2">
        <v>0</v>
      </c>
      <c r="DT102" s="2">
        <v>0</v>
      </c>
    </row>
    <row r="103" spans="1:124" s="2" customFormat="1">
      <c r="A103" s="3">
        <v>42887</v>
      </c>
      <c r="B103">
        <f t="shared" si="48"/>
        <v>2017</v>
      </c>
      <c r="C103" s="2">
        <v>23593375</v>
      </c>
      <c r="D103" s="2">
        <f>VLOOKUP(B103,'Historic CDM'!$B$135:$H$146,2,FALSE)/12</f>
        <v>931954.37951623613</v>
      </c>
      <c r="E103" s="2">
        <f t="shared" ref="E103:E163" si="91">C103+D103</f>
        <v>24525329.379516236</v>
      </c>
      <c r="F103" s="5">
        <v>27302</v>
      </c>
      <c r="G103" s="219">
        <v>5763306</v>
      </c>
      <c r="H103" s="2">
        <f>VLOOKUP(B103,'Historic CDM'!$B$135:$H$147,3,FALSE)/12</f>
        <v>1008417.3725585771</v>
      </c>
      <c r="I103" s="2">
        <f t="shared" ref="I103:I163" si="92">G103+H103</f>
        <v>6771723.372558577</v>
      </c>
      <c r="J103" s="220">
        <v>1966</v>
      </c>
      <c r="K103" s="219">
        <v>14461175</v>
      </c>
      <c r="L103" s="2">
        <f>VLOOKUP(B103,'Historic CDM'!$B$135:$H$146,4,FALSE)/12</f>
        <v>1082686.4618870232</v>
      </c>
      <c r="M103" s="2">
        <f t="shared" si="90"/>
        <v>15543861.461887022</v>
      </c>
      <c r="N103" s="222">
        <v>46506</v>
      </c>
      <c r="O103" s="5">
        <v>250</v>
      </c>
      <c r="P103" s="220">
        <v>169806</v>
      </c>
      <c r="Q103" s="2">
        <v>728</v>
      </c>
      <c r="R103" s="5">
        <v>2757</v>
      </c>
      <c r="S103" s="220">
        <v>25690</v>
      </c>
      <c r="T103" s="2">
        <v>72</v>
      </c>
      <c r="U103" s="5">
        <v>255</v>
      </c>
      <c r="V103" s="221">
        <v>129105</v>
      </c>
      <c r="W103" s="1">
        <v>132</v>
      </c>
      <c r="X103" s="2">
        <v>2874524</v>
      </c>
      <c r="Y103" s="2">
        <v>7849</v>
      </c>
      <c r="Z103" s="5">
        <v>4</v>
      </c>
      <c r="AA103" s="100">
        <f>'Weather Data'!D199</f>
        <v>31.899999999999995</v>
      </c>
      <c r="AB103" s="100">
        <f>'Weather Data'!E199</f>
        <v>65.199999999999989</v>
      </c>
      <c r="AC103" s="100">
        <f>'Weather Data'!F199</f>
        <v>9.1999999999999957</v>
      </c>
      <c r="AD103" s="100">
        <f>'Weather Data'!G199</f>
        <v>102.50000000000003</v>
      </c>
      <c r="AE103" s="100">
        <f>'Weather Data'!H199</f>
        <v>0</v>
      </c>
      <c r="AF103" s="100">
        <f>'Weather Data'!I199</f>
        <v>153.29999999999998</v>
      </c>
      <c r="AG103" s="100">
        <f>'Weather Data'!J199</f>
        <v>0</v>
      </c>
      <c r="AH103" s="100">
        <f>'Weather Data'!K199</f>
        <v>213.29999999999998</v>
      </c>
      <c r="AI103" s="100">
        <f>'Weather Data'!L199</f>
        <v>0</v>
      </c>
      <c r="AJ103" s="100">
        <f>'Weather Data'!M199</f>
        <v>273.3</v>
      </c>
      <c r="AK103" s="100">
        <f>'Weather Data'!N199</f>
        <v>0</v>
      </c>
      <c r="AL103" s="100">
        <f>'Weather Data'!O199</f>
        <v>333.30000000000007</v>
      </c>
      <c r="AM103" s="100">
        <f>'Weather Data'!P199</f>
        <v>0</v>
      </c>
      <c r="AN103" s="100">
        <f>'Weather Data'!Q199</f>
        <v>393.30000000000007</v>
      </c>
      <c r="AO103" s="100">
        <f>'Weather Data'!R199</f>
        <v>21.110000000000003</v>
      </c>
      <c r="AP103" s="5">
        <f>'Economic Data'!D69</f>
        <v>7079.8</v>
      </c>
      <c r="AQ103" s="5">
        <f>'Economic Data'!E69</f>
        <v>7123</v>
      </c>
      <c r="AR103" s="5">
        <f>'Economic Data'!F69</f>
        <v>160</v>
      </c>
      <c r="AS103" s="5">
        <f>'Economic Data'!G69</f>
        <v>160.30000000000001</v>
      </c>
      <c r="AT103" s="5">
        <f>'Economic Data'!H69</f>
        <v>764464.8</v>
      </c>
      <c r="AU103" s="5">
        <f>'Economic Data'!I69</f>
        <v>7291.3</v>
      </c>
      <c r="AV103" s="5">
        <f>'Economic Data'!J69</f>
        <v>6223.6</v>
      </c>
      <c r="AW103" s="5">
        <f>'Economic Data'!K69</f>
        <v>4582</v>
      </c>
      <c r="AX103" s="5">
        <f>'Economic Data'!L69</f>
        <v>921.1</v>
      </c>
      <c r="AY103" s="5">
        <f>'Economic Data'!M69</f>
        <v>586.70000000000005</v>
      </c>
      <c r="AZ103" s="5">
        <f>'Economic Data'!N69</f>
        <v>7685.1</v>
      </c>
      <c r="BA103" s="5">
        <f>'Economic Data'!O69</f>
        <v>124.8</v>
      </c>
      <c r="BB103" s="5">
        <f>'Economic Data'!P69</f>
        <v>103.7</v>
      </c>
      <c r="BC103" s="5">
        <f>'Economic Data'!Q69</f>
        <v>764644</v>
      </c>
      <c r="BD103" s="5">
        <f>'Economic Data'!R69</f>
        <v>7237</v>
      </c>
      <c r="BE103" s="5">
        <f>'Economic Data'!S69</f>
        <v>3572</v>
      </c>
      <c r="BF103" s="5">
        <f>'Economic Data'!T69</f>
        <v>13312</v>
      </c>
      <c r="BG103" s="5">
        <f>'EV Data'!V8</f>
        <v>3408.0000000000005</v>
      </c>
      <c r="BH103" s="5">
        <f>'EV Data'!AB8</f>
        <v>20</v>
      </c>
      <c r="BI103" s="5">
        <f>'EV Data'!W8</f>
        <v>68</v>
      </c>
      <c r="BJ103" s="5">
        <f t="shared" si="52"/>
        <v>54</v>
      </c>
      <c r="BK103" s="70">
        <f t="shared" si="53"/>
        <v>1.7323937598229686</v>
      </c>
      <c r="BL103" s="5">
        <f t="shared" si="54"/>
        <v>2916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1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f t="shared" si="88"/>
        <v>0</v>
      </c>
      <c r="BZ103">
        <f t="shared" si="88"/>
        <v>0</v>
      </c>
      <c r="CA103">
        <f t="shared" si="55"/>
        <v>0</v>
      </c>
      <c r="CB103">
        <v>30</v>
      </c>
      <c r="CC103">
        <v>22</v>
      </c>
      <c r="CD103">
        <v>0</v>
      </c>
      <c r="CE103">
        <v>0</v>
      </c>
      <c r="CF103">
        <f t="shared" si="47"/>
        <v>0</v>
      </c>
      <c r="CG103">
        <v>0</v>
      </c>
      <c r="CH103" s="64">
        <f t="shared" si="56"/>
        <v>0</v>
      </c>
      <c r="CI103" s="64">
        <f t="shared" si="57"/>
        <v>0</v>
      </c>
      <c r="CJ103" s="64">
        <f t="shared" si="58"/>
        <v>0</v>
      </c>
      <c r="CK103" s="64">
        <f t="shared" si="59"/>
        <v>0</v>
      </c>
      <c r="CL103" s="64">
        <f t="shared" si="60"/>
        <v>0</v>
      </c>
      <c r="CM103" s="64">
        <f t="shared" si="61"/>
        <v>0</v>
      </c>
      <c r="CN103" s="64">
        <f t="shared" si="62"/>
        <v>0</v>
      </c>
      <c r="CO103" s="64">
        <f t="shared" si="63"/>
        <v>0</v>
      </c>
      <c r="CP103" s="64">
        <f t="shared" si="64"/>
        <v>0</v>
      </c>
      <c r="CQ103" s="64">
        <f t="shared" si="65"/>
        <v>0</v>
      </c>
      <c r="CR103" s="64">
        <f t="shared" si="66"/>
        <v>0</v>
      </c>
      <c r="CS103" s="64">
        <f t="shared" si="67"/>
        <v>0</v>
      </c>
      <c r="CT103" s="64">
        <f t="shared" si="68"/>
        <v>0</v>
      </c>
      <c r="CU103" s="64">
        <f t="shared" si="69"/>
        <v>0</v>
      </c>
      <c r="CV103" s="69">
        <f t="shared" si="70"/>
        <v>29.943263472170827</v>
      </c>
      <c r="CW103" s="69">
        <f t="shared" si="71"/>
        <v>902.89644967447703</v>
      </c>
      <c r="CX103" s="69">
        <f t="shared" si="45"/>
        <v>2826.1566294340041</v>
      </c>
      <c r="CY103" s="69">
        <f t="shared" si="72"/>
        <v>32665.045454545456</v>
      </c>
      <c r="CZ103" s="64">
        <f t="shared" si="46"/>
        <v>2072.5148615849362</v>
      </c>
      <c r="DA103" s="64">
        <f t="shared" si="73"/>
        <v>23954.366666666665</v>
      </c>
      <c r="DB103">
        <f t="shared" si="74"/>
        <v>0</v>
      </c>
      <c r="DC103">
        <f t="shared" si="75"/>
        <v>0</v>
      </c>
      <c r="DD103">
        <f t="shared" si="76"/>
        <v>0</v>
      </c>
      <c r="DE103">
        <f t="shared" si="77"/>
        <v>0</v>
      </c>
      <c r="DF103">
        <f t="shared" si="78"/>
        <v>0</v>
      </c>
      <c r="DG103">
        <f t="shared" si="79"/>
        <v>0</v>
      </c>
      <c r="DH103">
        <f t="shared" si="80"/>
        <v>0</v>
      </c>
      <c r="DI103">
        <f t="shared" si="81"/>
        <v>0</v>
      </c>
      <c r="DJ103">
        <f t="shared" si="82"/>
        <v>0</v>
      </c>
      <c r="DK103">
        <f t="shared" si="83"/>
        <v>0</v>
      </c>
      <c r="DL103">
        <f t="shared" si="84"/>
        <v>0</v>
      </c>
      <c r="DM103">
        <f t="shared" si="85"/>
        <v>0</v>
      </c>
      <c r="DN103">
        <f t="shared" si="86"/>
        <v>0</v>
      </c>
      <c r="DO103">
        <f t="shared" si="87"/>
        <v>0</v>
      </c>
      <c r="DP103" s="2">
        <f t="shared" si="89"/>
        <v>18</v>
      </c>
      <c r="DQ103" s="2">
        <f t="shared" si="89"/>
        <v>6</v>
      </c>
      <c r="DR103" s="2">
        <v>0</v>
      </c>
      <c r="DS103" s="2">
        <v>0</v>
      </c>
      <c r="DT103" s="2">
        <v>0</v>
      </c>
    </row>
    <row r="104" spans="1:124" s="2" customFormat="1">
      <c r="A104" s="3">
        <v>42917</v>
      </c>
      <c r="B104">
        <f t="shared" si="48"/>
        <v>2017</v>
      </c>
      <c r="C104" s="2">
        <v>28843148</v>
      </c>
      <c r="D104" s="2">
        <f>VLOOKUP(B104,'Historic CDM'!$B$135:$H$146,2,FALSE)/12</f>
        <v>931954.37951623613</v>
      </c>
      <c r="E104" s="2">
        <f t="shared" si="91"/>
        <v>29775102.379516236</v>
      </c>
      <c r="F104" s="5">
        <v>27321</v>
      </c>
      <c r="G104" s="219">
        <v>6403689</v>
      </c>
      <c r="H104" s="2">
        <f>VLOOKUP(B104,'Historic CDM'!$B$135:$H$147,3,FALSE)/12</f>
        <v>1008417.3725585771</v>
      </c>
      <c r="I104" s="2">
        <f t="shared" si="92"/>
        <v>7412106.372558577</v>
      </c>
      <c r="J104" s="220">
        <v>1968</v>
      </c>
      <c r="K104" s="219">
        <v>16282548</v>
      </c>
      <c r="L104" s="2">
        <f>VLOOKUP(B104,'Historic CDM'!$B$135:$H$146,4,FALSE)/12</f>
        <v>1082686.4618870232</v>
      </c>
      <c r="M104" s="2">
        <f t="shared" si="90"/>
        <v>17365234.461887024</v>
      </c>
      <c r="N104" s="222">
        <v>45911</v>
      </c>
      <c r="O104" s="5">
        <v>250</v>
      </c>
      <c r="P104" s="220">
        <v>180361</v>
      </c>
      <c r="Q104" s="2">
        <v>728</v>
      </c>
      <c r="R104" s="5">
        <v>2757</v>
      </c>
      <c r="S104" s="220">
        <v>25313</v>
      </c>
      <c r="T104" s="2">
        <v>71</v>
      </c>
      <c r="U104" s="5">
        <v>253</v>
      </c>
      <c r="V104" s="221">
        <v>129105</v>
      </c>
      <c r="W104" s="1">
        <v>132</v>
      </c>
      <c r="X104" s="2">
        <v>2922427</v>
      </c>
      <c r="Y104" s="2">
        <v>7469</v>
      </c>
      <c r="Z104" s="5">
        <v>4</v>
      </c>
      <c r="AA104" s="100">
        <f>'Weather Data'!D200</f>
        <v>1</v>
      </c>
      <c r="AB104" s="100">
        <f>'Weather Data'!E200</f>
        <v>76</v>
      </c>
      <c r="AC104" s="100">
        <f>'Weather Data'!F200</f>
        <v>0</v>
      </c>
      <c r="AD104" s="100">
        <f>'Weather Data'!G200</f>
        <v>137.00000000000003</v>
      </c>
      <c r="AE104" s="100">
        <f>'Weather Data'!H200</f>
        <v>0</v>
      </c>
      <c r="AF104" s="100">
        <f>'Weather Data'!I200</f>
        <v>198.99999999999997</v>
      </c>
      <c r="AG104" s="100">
        <f>'Weather Data'!J200</f>
        <v>0</v>
      </c>
      <c r="AH104" s="100">
        <f>'Weather Data'!K200</f>
        <v>260.99999999999994</v>
      </c>
      <c r="AI104" s="100">
        <f>'Weather Data'!L200</f>
        <v>0</v>
      </c>
      <c r="AJ104" s="100">
        <f>'Weather Data'!M200</f>
        <v>323</v>
      </c>
      <c r="AK104" s="100">
        <f>'Weather Data'!N200</f>
        <v>0</v>
      </c>
      <c r="AL104" s="100">
        <f>'Weather Data'!O200</f>
        <v>385</v>
      </c>
      <c r="AM104" s="100">
        <f>'Weather Data'!P200</f>
        <v>0</v>
      </c>
      <c r="AN104" s="100">
        <f>'Weather Data'!Q200</f>
        <v>447</v>
      </c>
      <c r="AO104" s="100">
        <f>'Weather Data'!R200</f>
        <v>22.41935483870968</v>
      </c>
      <c r="AP104" s="5">
        <f>'Economic Data'!D70</f>
        <v>7101.9</v>
      </c>
      <c r="AQ104" s="5">
        <f>'Economic Data'!E70</f>
        <v>7196</v>
      </c>
      <c r="AR104" s="5">
        <f>'Economic Data'!F70</f>
        <v>161.1</v>
      </c>
      <c r="AS104" s="5">
        <f>'Economic Data'!G70</f>
        <v>163.1</v>
      </c>
      <c r="AT104" s="5">
        <f>'Economic Data'!H70</f>
        <v>764464.8</v>
      </c>
      <c r="AU104" s="5">
        <f>'Economic Data'!I70</f>
        <v>7291.3</v>
      </c>
      <c r="AV104" s="5">
        <f>'Economic Data'!J70</f>
        <v>6223.6</v>
      </c>
      <c r="AW104" s="5">
        <f>'Economic Data'!K70</f>
        <v>4582</v>
      </c>
      <c r="AX104" s="5">
        <f>'Economic Data'!L70</f>
        <v>921.1</v>
      </c>
      <c r="AY104" s="5">
        <f>'Economic Data'!M70</f>
        <v>586.70000000000005</v>
      </c>
      <c r="AZ104" s="5">
        <f>'Economic Data'!N70</f>
        <v>7685.1</v>
      </c>
      <c r="BA104" s="5">
        <f>'Economic Data'!O70</f>
        <v>124.8</v>
      </c>
      <c r="BB104" s="5">
        <f>'Economic Data'!P70</f>
        <v>103.7</v>
      </c>
      <c r="BC104" s="5">
        <f>'Economic Data'!Q70</f>
        <v>765060</v>
      </c>
      <c r="BD104" s="5">
        <f>'Economic Data'!R70</f>
        <v>7358</v>
      </c>
      <c r="BE104" s="5">
        <f>'Economic Data'!S70</f>
        <v>3557</v>
      </c>
      <c r="BF104" s="5">
        <f>'Economic Data'!T70</f>
        <v>12831</v>
      </c>
      <c r="BG104" s="5">
        <f>'EV Data'!V9</f>
        <v>4118</v>
      </c>
      <c r="BH104" s="5">
        <f>'EV Data'!AB9</f>
        <v>25.666666666666668</v>
      </c>
      <c r="BI104" s="5">
        <f>'EV Data'!W9</f>
        <v>84.666666666666671</v>
      </c>
      <c r="BJ104" s="5">
        <f t="shared" si="52"/>
        <v>55</v>
      </c>
      <c r="BK104" s="70">
        <f t="shared" si="53"/>
        <v>1.7403626894942439</v>
      </c>
      <c r="BL104" s="5">
        <f t="shared" si="54"/>
        <v>3025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f t="shared" si="88"/>
        <v>0</v>
      </c>
      <c r="BZ104">
        <f t="shared" si="88"/>
        <v>0</v>
      </c>
      <c r="CA104">
        <f t="shared" si="55"/>
        <v>0</v>
      </c>
      <c r="CB104">
        <v>31</v>
      </c>
      <c r="CC104">
        <v>20</v>
      </c>
      <c r="CD104">
        <v>0</v>
      </c>
      <c r="CE104">
        <v>0</v>
      </c>
      <c r="CF104">
        <f t="shared" ref="CF104:CF167" si="93">CF103</f>
        <v>0</v>
      </c>
      <c r="CG104">
        <v>0</v>
      </c>
      <c r="CH104" s="64">
        <f t="shared" si="56"/>
        <v>0</v>
      </c>
      <c r="CI104" s="64">
        <f t="shared" si="57"/>
        <v>0</v>
      </c>
      <c r="CJ104" s="64">
        <f t="shared" si="58"/>
        <v>0</v>
      </c>
      <c r="CK104" s="64">
        <f t="shared" si="59"/>
        <v>0</v>
      </c>
      <c r="CL104" s="64">
        <f t="shared" si="60"/>
        <v>0</v>
      </c>
      <c r="CM104" s="64">
        <f t="shared" si="61"/>
        <v>0</v>
      </c>
      <c r="CN104" s="64">
        <f t="shared" si="62"/>
        <v>0</v>
      </c>
      <c r="CO104" s="64">
        <f t="shared" si="63"/>
        <v>0</v>
      </c>
      <c r="CP104" s="64">
        <f t="shared" si="64"/>
        <v>0</v>
      </c>
      <c r="CQ104" s="64">
        <f t="shared" si="65"/>
        <v>0</v>
      </c>
      <c r="CR104" s="64">
        <f t="shared" si="66"/>
        <v>0</v>
      </c>
      <c r="CS104" s="64">
        <f t="shared" si="67"/>
        <v>0</v>
      </c>
      <c r="CT104" s="64">
        <f t="shared" si="68"/>
        <v>0</v>
      </c>
      <c r="CU104" s="64">
        <f t="shared" si="69"/>
        <v>0</v>
      </c>
      <c r="CV104" s="69">
        <f t="shared" si="70"/>
        <v>35.155637551069937</v>
      </c>
      <c r="CW104" s="69">
        <f t="shared" si="71"/>
        <v>956.40082226562276</v>
      </c>
      <c r="CX104" s="69">
        <f t="shared" si="45"/>
        <v>3473.0468923774051</v>
      </c>
      <c r="CY104" s="69">
        <f t="shared" si="72"/>
        <v>36530.337500000001</v>
      </c>
      <c r="CZ104" s="64">
        <f t="shared" si="46"/>
        <v>2240.6754144370357</v>
      </c>
      <c r="DA104" s="64">
        <f t="shared" si="73"/>
        <v>23567.959677419356</v>
      </c>
      <c r="DB104">
        <f t="shared" si="74"/>
        <v>0</v>
      </c>
      <c r="DC104">
        <f t="shared" si="75"/>
        <v>0</v>
      </c>
      <c r="DD104">
        <f t="shared" si="76"/>
        <v>0</v>
      </c>
      <c r="DE104">
        <f t="shared" si="77"/>
        <v>0</v>
      </c>
      <c r="DF104">
        <f t="shared" si="78"/>
        <v>0</v>
      </c>
      <c r="DG104">
        <f t="shared" si="79"/>
        <v>0</v>
      </c>
      <c r="DH104">
        <f t="shared" si="80"/>
        <v>0</v>
      </c>
      <c r="DI104">
        <f t="shared" si="81"/>
        <v>0</v>
      </c>
      <c r="DJ104">
        <f t="shared" si="82"/>
        <v>0</v>
      </c>
      <c r="DK104">
        <f t="shared" si="83"/>
        <v>0</v>
      </c>
      <c r="DL104">
        <f t="shared" si="84"/>
        <v>0</v>
      </c>
      <c r="DM104">
        <f t="shared" si="85"/>
        <v>0</v>
      </c>
      <c r="DN104">
        <f t="shared" si="86"/>
        <v>0</v>
      </c>
      <c r="DO104">
        <f t="shared" si="87"/>
        <v>0</v>
      </c>
      <c r="DP104" s="2">
        <f t="shared" si="89"/>
        <v>19</v>
      </c>
      <c r="DQ104" s="2">
        <f t="shared" si="89"/>
        <v>7</v>
      </c>
      <c r="DR104" s="2">
        <v>0</v>
      </c>
      <c r="DS104" s="2">
        <v>0</v>
      </c>
      <c r="DT104" s="2">
        <v>0</v>
      </c>
    </row>
    <row r="105" spans="1:124" s="2" customFormat="1">
      <c r="A105" s="3">
        <v>42948</v>
      </c>
      <c r="B105">
        <f t="shared" si="48"/>
        <v>2017</v>
      </c>
      <c r="C105" s="2">
        <v>26376096</v>
      </c>
      <c r="D105" s="2">
        <f>VLOOKUP(B105,'Historic CDM'!$B$135:$H$146,2,FALSE)/12</f>
        <v>931954.37951623613</v>
      </c>
      <c r="E105" s="2">
        <f t="shared" si="91"/>
        <v>27308050.379516236</v>
      </c>
      <c r="F105" s="5">
        <v>27377</v>
      </c>
      <c r="G105" s="219">
        <v>6031879</v>
      </c>
      <c r="H105" s="2">
        <f>VLOOKUP(B105,'Historic CDM'!$B$135:$H$147,3,FALSE)/12</f>
        <v>1008417.3725585771</v>
      </c>
      <c r="I105" s="2">
        <f t="shared" si="92"/>
        <v>7040296.372558577</v>
      </c>
      <c r="J105" s="220">
        <v>1973</v>
      </c>
      <c r="K105" s="219">
        <v>15859107</v>
      </c>
      <c r="L105" s="2">
        <f>VLOOKUP(B105,'Historic CDM'!$B$135:$H$146,4,FALSE)/12</f>
        <v>1082686.4618870232</v>
      </c>
      <c r="M105" s="2">
        <f t="shared" si="90"/>
        <v>16941793.461887024</v>
      </c>
      <c r="N105" s="222">
        <v>41560</v>
      </c>
      <c r="O105" s="5">
        <v>250</v>
      </c>
      <c r="P105" s="220">
        <v>202384</v>
      </c>
      <c r="Q105" s="2">
        <v>728</v>
      </c>
      <c r="R105" s="5">
        <v>2757</v>
      </c>
      <c r="S105" s="220">
        <v>24779</v>
      </c>
      <c r="T105" s="2">
        <v>69</v>
      </c>
      <c r="U105" s="5">
        <v>249</v>
      </c>
      <c r="V105" s="221">
        <v>129105</v>
      </c>
      <c r="W105" s="1">
        <v>132</v>
      </c>
      <c r="X105" s="2">
        <v>3048623</v>
      </c>
      <c r="Y105" s="2">
        <v>7933</v>
      </c>
      <c r="Z105" s="5">
        <v>4</v>
      </c>
      <c r="AA105" s="100">
        <f>'Weather Data'!D201</f>
        <v>22.899999999999995</v>
      </c>
      <c r="AB105" s="100">
        <f>'Weather Data'!E201</f>
        <v>34.800000000000011</v>
      </c>
      <c r="AC105" s="100">
        <f>'Weather Data'!F201</f>
        <v>6.6999999999999957</v>
      </c>
      <c r="AD105" s="100">
        <f>'Weather Data'!G201</f>
        <v>80.600000000000009</v>
      </c>
      <c r="AE105" s="100">
        <f>'Weather Data'!H201</f>
        <v>0.5</v>
      </c>
      <c r="AF105" s="100">
        <f>'Weather Data'!I201</f>
        <v>136.4</v>
      </c>
      <c r="AG105" s="100">
        <f>'Weather Data'!J201</f>
        <v>0</v>
      </c>
      <c r="AH105" s="100">
        <f>'Weather Data'!K201</f>
        <v>197.89999999999998</v>
      </c>
      <c r="AI105" s="100">
        <f>'Weather Data'!L201</f>
        <v>0</v>
      </c>
      <c r="AJ105" s="100">
        <f>'Weather Data'!M201</f>
        <v>259.89999999999998</v>
      </c>
      <c r="AK105" s="100">
        <f>'Weather Data'!N201</f>
        <v>0</v>
      </c>
      <c r="AL105" s="100">
        <f>'Weather Data'!O201</f>
        <v>321.90000000000009</v>
      </c>
      <c r="AM105" s="100">
        <f>'Weather Data'!P201</f>
        <v>0</v>
      </c>
      <c r="AN105" s="100">
        <f>'Weather Data'!Q201</f>
        <v>383.90000000000015</v>
      </c>
      <c r="AO105" s="100">
        <f>'Weather Data'!R201</f>
        <v>20.383870967741935</v>
      </c>
      <c r="AP105" s="5">
        <f>'Economic Data'!D71</f>
        <v>7121.1</v>
      </c>
      <c r="AQ105" s="5">
        <f>'Economic Data'!E71</f>
        <v>7216.7</v>
      </c>
      <c r="AR105" s="5">
        <f>'Economic Data'!F71</f>
        <v>165</v>
      </c>
      <c r="AS105" s="5">
        <f>'Economic Data'!G71</f>
        <v>167.9</v>
      </c>
      <c r="AT105" s="5">
        <f>'Economic Data'!H71</f>
        <v>764464.8</v>
      </c>
      <c r="AU105" s="5">
        <f>'Economic Data'!I71</f>
        <v>7291.3</v>
      </c>
      <c r="AV105" s="5">
        <f>'Economic Data'!J71</f>
        <v>6223.6</v>
      </c>
      <c r="AW105" s="5">
        <f>'Economic Data'!K71</f>
        <v>4582</v>
      </c>
      <c r="AX105" s="5">
        <f>'Economic Data'!L71</f>
        <v>921.1</v>
      </c>
      <c r="AY105" s="5">
        <f>'Economic Data'!M71</f>
        <v>586.70000000000005</v>
      </c>
      <c r="AZ105" s="5">
        <f>'Economic Data'!N71</f>
        <v>7685.1</v>
      </c>
      <c r="BA105" s="5">
        <f>'Economic Data'!O71</f>
        <v>124.8</v>
      </c>
      <c r="BB105" s="5">
        <f>'Economic Data'!P71</f>
        <v>103.7</v>
      </c>
      <c r="BC105" s="5">
        <f>'Economic Data'!Q71</f>
        <v>765060</v>
      </c>
      <c r="BD105" s="5">
        <f>'Economic Data'!R71</f>
        <v>7358</v>
      </c>
      <c r="BE105" s="5">
        <f>'Economic Data'!S71</f>
        <v>3557</v>
      </c>
      <c r="BF105" s="5">
        <f>'Economic Data'!T71</f>
        <v>12831</v>
      </c>
      <c r="BG105" s="5">
        <f>'EV Data'!V10</f>
        <v>4828</v>
      </c>
      <c r="BH105" s="5">
        <f>'EV Data'!AB10</f>
        <v>31.333333333333336</v>
      </c>
      <c r="BI105" s="5">
        <f>'EV Data'!W10</f>
        <v>101.33333333333334</v>
      </c>
      <c r="BJ105" s="5">
        <f t="shared" si="52"/>
        <v>56</v>
      </c>
      <c r="BK105" s="70">
        <f t="shared" si="53"/>
        <v>1.7481880270062005</v>
      </c>
      <c r="BL105" s="5">
        <f t="shared" si="54"/>
        <v>3136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1</v>
      </c>
      <c r="BU105">
        <v>0</v>
      </c>
      <c r="BV105">
        <v>0</v>
      </c>
      <c r="BW105">
        <v>0</v>
      </c>
      <c r="BX105">
        <v>0</v>
      </c>
      <c r="BY105">
        <f t="shared" si="88"/>
        <v>0</v>
      </c>
      <c r="BZ105">
        <f t="shared" si="88"/>
        <v>0</v>
      </c>
      <c r="CA105">
        <f t="shared" si="55"/>
        <v>0</v>
      </c>
      <c r="CB105">
        <v>31</v>
      </c>
      <c r="CC105">
        <v>22</v>
      </c>
      <c r="CD105">
        <v>0</v>
      </c>
      <c r="CE105">
        <v>0</v>
      </c>
      <c r="CF105">
        <f t="shared" si="93"/>
        <v>0</v>
      </c>
      <c r="CG105">
        <v>0</v>
      </c>
      <c r="CH105" s="64">
        <f t="shared" si="56"/>
        <v>0</v>
      </c>
      <c r="CI105" s="64">
        <f t="shared" si="57"/>
        <v>0</v>
      </c>
      <c r="CJ105" s="64">
        <f t="shared" si="58"/>
        <v>0</v>
      </c>
      <c r="CK105" s="64">
        <f t="shared" si="59"/>
        <v>0</v>
      </c>
      <c r="CL105" s="64">
        <f t="shared" si="60"/>
        <v>0</v>
      </c>
      <c r="CM105" s="64">
        <f t="shared" si="61"/>
        <v>0</v>
      </c>
      <c r="CN105" s="64">
        <f t="shared" si="62"/>
        <v>0</v>
      </c>
      <c r="CO105" s="64">
        <f t="shared" si="63"/>
        <v>0</v>
      </c>
      <c r="CP105" s="64">
        <f t="shared" si="64"/>
        <v>0</v>
      </c>
      <c r="CQ105" s="64">
        <f t="shared" si="65"/>
        <v>0</v>
      </c>
      <c r="CR105" s="64">
        <f t="shared" si="66"/>
        <v>0</v>
      </c>
      <c r="CS105" s="64">
        <f t="shared" si="67"/>
        <v>0</v>
      </c>
      <c r="CT105" s="64">
        <f t="shared" si="68"/>
        <v>0</v>
      </c>
      <c r="CU105" s="64">
        <f t="shared" si="69"/>
        <v>0</v>
      </c>
      <c r="CV105" s="69">
        <f t="shared" si="70"/>
        <v>32.176821819488502</v>
      </c>
      <c r="CW105" s="69">
        <f t="shared" si="71"/>
        <v>908.42533839465511</v>
      </c>
      <c r="CX105" s="69">
        <f t="shared" si="45"/>
        <v>3080.3260839794589</v>
      </c>
      <c r="CY105" s="69">
        <f t="shared" si="72"/>
        <v>34643.443181818184</v>
      </c>
      <c r="CZ105" s="64">
        <f t="shared" si="46"/>
        <v>2186.0378660499387</v>
      </c>
      <c r="DA105" s="64">
        <f t="shared" si="73"/>
        <v>24585.669354838708</v>
      </c>
      <c r="DB105">
        <f t="shared" si="74"/>
        <v>0</v>
      </c>
      <c r="DC105">
        <f t="shared" si="75"/>
        <v>0</v>
      </c>
      <c r="DD105">
        <f t="shared" si="76"/>
        <v>0</v>
      </c>
      <c r="DE105">
        <f t="shared" si="77"/>
        <v>0</v>
      </c>
      <c r="DF105">
        <f t="shared" si="78"/>
        <v>0</v>
      </c>
      <c r="DG105">
        <f t="shared" si="79"/>
        <v>0</v>
      </c>
      <c r="DH105">
        <f t="shared" si="80"/>
        <v>0</v>
      </c>
      <c r="DI105">
        <f t="shared" si="81"/>
        <v>0</v>
      </c>
      <c r="DJ105">
        <f t="shared" si="82"/>
        <v>0</v>
      </c>
      <c r="DK105">
        <f t="shared" si="83"/>
        <v>0</v>
      </c>
      <c r="DL105">
        <f t="shared" si="84"/>
        <v>0</v>
      </c>
      <c r="DM105">
        <f t="shared" si="85"/>
        <v>0</v>
      </c>
      <c r="DN105">
        <f t="shared" si="86"/>
        <v>0</v>
      </c>
      <c r="DO105">
        <f t="shared" si="87"/>
        <v>0</v>
      </c>
      <c r="DP105" s="2">
        <f t="shared" si="89"/>
        <v>20</v>
      </c>
      <c r="DQ105" s="2">
        <f t="shared" si="89"/>
        <v>8</v>
      </c>
      <c r="DR105" s="2">
        <v>0</v>
      </c>
      <c r="DS105" s="2">
        <v>0</v>
      </c>
      <c r="DT105" s="2">
        <v>0</v>
      </c>
    </row>
    <row r="106" spans="1:124" s="2" customFormat="1">
      <c r="A106" s="3">
        <v>42979</v>
      </c>
      <c r="B106">
        <f t="shared" si="48"/>
        <v>2017</v>
      </c>
      <c r="C106" s="2">
        <v>21471274</v>
      </c>
      <c r="D106" s="2">
        <f>VLOOKUP(B106,'Historic CDM'!$B$135:$H$146,2,FALSE)/12</f>
        <v>931954.37951623613</v>
      </c>
      <c r="E106" s="2">
        <f t="shared" si="91"/>
        <v>22403228.379516236</v>
      </c>
      <c r="F106" s="5">
        <v>27411</v>
      </c>
      <c r="G106" s="219">
        <v>5598472</v>
      </c>
      <c r="H106" s="2">
        <f>VLOOKUP(B106,'Historic CDM'!$B$135:$H$147,3,FALSE)/12</f>
        <v>1008417.3725585771</v>
      </c>
      <c r="I106" s="2">
        <f t="shared" si="92"/>
        <v>6606889.372558577</v>
      </c>
      <c r="J106" s="220">
        <v>1974</v>
      </c>
      <c r="K106" s="219">
        <v>15961826</v>
      </c>
      <c r="L106" s="2">
        <f>VLOOKUP(B106,'Historic CDM'!$B$135:$H$146,4,FALSE)/12</f>
        <v>1082686.4618870232</v>
      </c>
      <c r="M106" s="2">
        <f t="shared" si="90"/>
        <v>17044512.461887024</v>
      </c>
      <c r="N106" s="222">
        <v>46502</v>
      </c>
      <c r="O106" s="5">
        <v>250</v>
      </c>
      <c r="P106" s="220">
        <v>228228</v>
      </c>
      <c r="Q106" s="2">
        <v>728</v>
      </c>
      <c r="R106" s="5">
        <v>2757</v>
      </c>
      <c r="S106" s="220">
        <v>25228</v>
      </c>
      <c r="T106" s="2">
        <v>70</v>
      </c>
      <c r="U106" s="5">
        <v>249</v>
      </c>
      <c r="V106" s="221">
        <v>129105</v>
      </c>
      <c r="W106" s="1">
        <v>132</v>
      </c>
      <c r="X106" s="2">
        <v>2734668</v>
      </c>
      <c r="Y106" s="2">
        <v>7481</v>
      </c>
      <c r="Z106" s="5">
        <v>4</v>
      </c>
      <c r="AA106" s="100">
        <f>'Weather Data'!D202</f>
        <v>79.399999999999991</v>
      </c>
      <c r="AB106" s="100">
        <f>'Weather Data'!E202</f>
        <v>28.3</v>
      </c>
      <c r="AC106" s="100">
        <f>'Weather Data'!F202</f>
        <v>47.5</v>
      </c>
      <c r="AD106" s="100">
        <f>'Weather Data'!G202</f>
        <v>56.400000000000006</v>
      </c>
      <c r="AE106" s="100">
        <f>'Weather Data'!H202</f>
        <v>22.1</v>
      </c>
      <c r="AF106" s="100">
        <f>'Weather Data'!I202</f>
        <v>90.999999999999986</v>
      </c>
      <c r="AG106" s="100">
        <f>'Weather Data'!J202</f>
        <v>4.8000000000000007</v>
      </c>
      <c r="AH106" s="100">
        <f>'Weather Data'!K202</f>
        <v>133.70000000000002</v>
      </c>
      <c r="AI106" s="100">
        <f>'Weather Data'!L202</f>
        <v>0.59999999999999964</v>
      </c>
      <c r="AJ106" s="100">
        <f>'Weather Data'!M202</f>
        <v>189.50000000000003</v>
      </c>
      <c r="AK106" s="100">
        <f>'Weather Data'!N202</f>
        <v>0</v>
      </c>
      <c r="AL106" s="100">
        <f>'Weather Data'!O202</f>
        <v>248.90000000000003</v>
      </c>
      <c r="AM106" s="100">
        <f>'Weather Data'!P202</f>
        <v>0</v>
      </c>
      <c r="AN106" s="100">
        <f>'Weather Data'!Q202</f>
        <v>308.89999999999992</v>
      </c>
      <c r="AO106" s="100">
        <f>'Weather Data'!R202</f>
        <v>18.296666666666667</v>
      </c>
      <c r="AP106" s="5">
        <f>'Economic Data'!D72</f>
        <v>7144.8</v>
      </c>
      <c r="AQ106" s="5">
        <f>'Economic Data'!E72</f>
        <v>7193.4</v>
      </c>
      <c r="AR106" s="5">
        <f>'Economic Data'!F72</f>
        <v>166</v>
      </c>
      <c r="AS106" s="5">
        <f>'Economic Data'!G72</f>
        <v>168.8</v>
      </c>
      <c r="AT106" s="5">
        <f>'Economic Data'!H72</f>
        <v>764464.8</v>
      </c>
      <c r="AU106" s="5">
        <f>'Economic Data'!I72</f>
        <v>7291.3</v>
      </c>
      <c r="AV106" s="5">
        <f>'Economic Data'!J72</f>
        <v>6223.6</v>
      </c>
      <c r="AW106" s="5">
        <f>'Economic Data'!K72</f>
        <v>4582</v>
      </c>
      <c r="AX106" s="5">
        <f>'Economic Data'!L72</f>
        <v>921.1</v>
      </c>
      <c r="AY106" s="5">
        <f>'Economic Data'!M72</f>
        <v>586.70000000000005</v>
      </c>
      <c r="AZ106" s="5">
        <f>'Economic Data'!N72</f>
        <v>7685.1</v>
      </c>
      <c r="BA106" s="5">
        <f>'Economic Data'!O72</f>
        <v>124.8</v>
      </c>
      <c r="BB106" s="5">
        <f>'Economic Data'!P72</f>
        <v>103.7</v>
      </c>
      <c r="BC106" s="5">
        <f>'Economic Data'!Q72</f>
        <v>765060</v>
      </c>
      <c r="BD106" s="5">
        <f>'Economic Data'!R72</f>
        <v>7358</v>
      </c>
      <c r="BE106" s="5">
        <f>'Economic Data'!S72</f>
        <v>3557</v>
      </c>
      <c r="BF106" s="5">
        <f>'Economic Data'!T72</f>
        <v>12831</v>
      </c>
      <c r="BG106" s="5">
        <f>'EV Data'!V11</f>
        <v>5538</v>
      </c>
      <c r="BH106" s="5">
        <f>'EV Data'!AB11</f>
        <v>37</v>
      </c>
      <c r="BI106" s="5">
        <f>'EV Data'!W11</f>
        <v>118.00000000000001</v>
      </c>
      <c r="BJ106" s="5">
        <f t="shared" si="52"/>
        <v>57</v>
      </c>
      <c r="BK106" s="70">
        <f t="shared" si="53"/>
        <v>1.7558748556724915</v>
      </c>
      <c r="BL106" s="5">
        <f t="shared" si="54"/>
        <v>3249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1</v>
      </c>
      <c r="BV106">
        <v>0</v>
      </c>
      <c r="BW106">
        <v>0</v>
      </c>
      <c r="BX106">
        <v>0</v>
      </c>
      <c r="BY106">
        <f t="shared" ref="BY106:BZ125" si="94">BY94</f>
        <v>0</v>
      </c>
      <c r="BZ106">
        <f t="shared" si="94"/>
        <v>0</v>
      </c>
      <c r="CA106">
        <f t="shared" si="55"/>
        <v>0</v>
      </c>
      <c r="CB106">
        <v>30</v>
      </c>
      <c r="CC106">
        <v>20</v>
      </c>
      <c r="CD106">
        <v>0</v>
      </c>
      <c r="CE106">
        <v>0</v>
      </c>
      <c r="CF106">
        <f t="shared" si="93"/>
        <v>0</v>
      </c>
      <c r="CG106">
        <v>0</v>
      </c>
      <c r="CH106" s="64">
        <f t="shared" si="56"/>
        <v>0</v>
      </c>
      <c r="CI106" s="64">
        <f t="shared" si="57"/>
        <v>0</v>
      </c>
      <c r="CJ106" s="64">
        <f t="shared" si="58"/>
        <v>0</v>
      </c>
      <c r="CK106" s="64">
        <f t="shared" si="59"/>
        <v>0</v>
      </c>
      <c r="CL106" s="64">
        <f t="shared" si="60"/>
        <v>0</v>
      </c>
      <c r="CM106" s="64">
        <f t="shared" si="61"/>
        <v>0</v>
      </c>
      <c r="CN106" s="64">
        <f t="shared" si="62"/>
        <v>0</v>
      </c>
      <c r="CO106" s="64">
        <f t="shared" si="63"/>
        <v>0</v>
      </c>
      <c r="CP106" s="64">
        <f t="shared" si="64"/>
        <v>0</v>
      </c>
      <c r="CQ106" s="64">
        <f t="shared" si="65"/>
        <v>0</v>
      </c>
      <c r="CR106" s="64">
        <f t="shared" si="66"/>
        <v>0</v>
      </c>
      <c r="CS106" s="64">
        <f t="shared" si="67"/>
        <v>0</v>
      </c>
      <c r="CT106" s="64">
        <f t="shared" si="68"/>
        <v>0</v>
      </c>
      <c r="CU106" s="64">
        <f t="shared" si="69"/>
        <v>0</v>
      </c>
      <c r="CV106" s="69">
        <f t="shared" si="70"/>
        <v>27.243598530415085</v>
      </c>
      <c r="CW106" s="69">
        <f t="shared" si="71"/>
        <v>880.9185830078103</v>
      </c>
      <c r="CX106" s="69">
        <f t="shared" si="45"/>
        <v>3408.902492377405</v>
      </c>
      <c r="CY106" s="69">
        <f t="shared" si="72"/>
        <v>34183.35</v>
      </c>
      <c r="CZ106" s="64">
        <f t="shared" si="46"/>
        <v>2272.6016615849367</v>
      </c>
      <c r="DA106" s="64">
        <f t="shared" si="73"/>
        <v>22788.9</v>
      </c>
      <c r="DB106">
        <f t="shared" si="74"/>
        <v>0</v>
      </c>
      <c r="DC106">
        <f t="shared" si="75"/>
        <v>0</v>
      </c>
      <c r="DD106">
        <f t="shared" si="76"/>
        <v>0</v>
      </c>
      <c r="DE106">
        <f t="shared" si="77"/>
        <v>0</v>
      </c>
      <c r="DF106">
        <f t="shared" si="78"/>
        <v>0</v>
      </c>
      <c r="DG106">
        <f t="shared" si="79"/>
        <v>0</v>
      </c>
      <c r="DH106">
        <f t="shared" si="80"/>
        <v>0</v>
      </c>
      <c r="DI106">
        <f t="shared" si="81"/>
        <v>0</v>
      </c>
      <c r="DJ106">
        <f t="shared" si="82"/>
        <v>0</v>
      </c>
      <c r="DK106">
        <f t="shared" si="83"/>
        <v>0</v>
      </c>
      <c r="DL106">
        <f t="shared" si="84"/>
        <v>0</v>
      </c>
      <c r="DM106">
        <f t="shared" si="85"/>
        <v>0</v>
      </c>
      <c r="DN106">
        <f t="shared" si="86"/>
        <v>0</v>
      </c>
      <c r="DO106">
        <f t="shared" si="87"/>
        <v>0</v>
      </c>
      <c r="DP106" s="2">
        <f t="shared" si="89"/>
        <v>21</v>
      </c>
      <c r="DQ106" s="2">
        <f t="shared" si="89"/>
        <v>9</v>
      </c>
      <c r="DR106" s="2">
        <v>0</v>
      </c>
      <c r="DS106" s="2">
        <v>0</v>
      </c>
      <c r="DT106" s="2">
        <v>0</v>
      </c>
    </row>
    <row r="107" spans="1:124" s="2" customFormat="1">
      <c r="A107" s="3">
        <v>43009</v>
      </c>
      <c r="B107">
        <f t="shared" si="48"/>
        <v>2017</v>
      </c>
      <c r="C107" s="2">
        <v>18195138</v>
      </c>
      <c r="D107" s="2">
        <f>VLOOKUP(B107,'Historic CDM'!$B$135:$H$146,2,FALSE)/12</f>
        <v>931954.37951623613</v>
      </c>
      <c r="E107" s="2">
        <f t="shared" si="91"/>
        <v>19127092.379516236</v>
      </c>
      <c r="F107" s="5">
        <v>27430</v>
      </c>
      <c r="G107" s="219">
        <v>5044085</v>
      </c>
      <c r="H107" s="2">
        <f>VLOOKUP(B107,'Historic CDM'!$B$135:$H$147,3,FALSE)/12</f>
        <v>1008417.3725585771</v>
      </c>
      <c r="I107" s="2">
        <f t="shared" si="92"/>
        <v>6052502.372558577</v>
      </c>
      <c r="J107" s="220">
        <v>1976</v>
      </c>
      <c r="K107" s="219">
        <v>14532249</v>
      </c>
      <c r="L107" s="2">
        <f>VLOOKUP(B107,'Historic CDM'!$B$135:$H$146,4,FALSE)/12</f>
        <v>1082686.4618870232</v>
      </c>
      <c r="M107" s="2">
        <f t="shared" si="90"/>
        <v>15614935.461887022</v>
      </c>
      <c r="N107" s="222">
        <v>42191</v>
      </c>
      <c r="O107" s="5">
        <v>250</v>
      </c>
      <c r="P107" s="220">
        <v>269724</v>
      </c>
      <c r="Q107" s="2">
        <v>728</v>
      </c>
      <c r="R107" s="5">
        <v>2757</v>
      </c>
      <c r="S107" s="220">
        <v>24883</v>
      </c>
      <c r="T107" s="2">
        <v>70</v>
      </c>
      <c r="U107" s="5">
        <v>248</v>
      </c>
      <c r="V107" s="221">
        <v>129105</v>
      </c>
      <c r="W107" s="1">
        <v>132</v>
      </c>
      <c r="X107" s="2">
        <v>2665747</v>
      </c>
      <c r="Y107" s="2">
        <v>7273</v>
      </c>
      <c r="Z107" s="5">
        <v>4</v>
      </c>
      <c r="AA107" s="100">
        <f>'Weather Data'!D203</f>
        <v>206</v>
      </c>
      <c r="AB107" s="100">
        <f>'Weather Data'!E203</f>
        <v>4.4000000000000021</v>
      </c>
      <c r="AC107" s="100">
        <f>'Weather Data'!F203</f>
        <v>151.59999999999997</v>
      </c>
      <c r="AD107" s="100">
        <f>'Weather Data'!G203</f>
        <v>12.000000000000004</v>
      </c>
      <c r="AE107" s="100">
        <f>'Weather Data'!H203</f>
        <v>105.10000000000001</v>
      </c>
      <c r="AF107" s="100">
        <f>'Weather Data'!I203</f>
        <v>27.5</v>
      </c>
      <c r="AG107" s="100">
        <f>'Weather Data'!J203</f>
        <v>71</v>
      </c>
      <c r="AH107" s="100">
        <f>'Weather Data'!K203</f>
        <v>55.4</v>
      </c>
      <c r="AI107" s="100">
        <f>'Weather Data'!L203</f>
        <v>45</v>
      </c>
      <c r="AJ107" s="100">
        <f>'Weather Data'!M203</f>
        <v>91.399999999999991</v>
      </c>
      <c r="AK107" s="100">
        <f>'Weather Data'!N203</f>
        <v>27.4</v>
      </c>
      <c r="AL107" s="100">
        <f>'Weather Data'!O203</f>
        <v>135.79999999999998</v>
      </c>
      <c r="AM107" s="100">
        <f>'Weather Data'!P203</f>
        <v>15.099999999999998</v>
      </c>
      <c r="AN107" s="100">
        <f>'Weather Data'!Q203</f>
        <v>185.49999999999997</v>
      </c>
      <c r="AO107" s="100">
        <f>'Weather Data'!R203</f>
        <v>13.496774193548386</v>
      </c>
      <c r="AP107" s="5">
        <f>'Economic Data'!D73</f>
        <v>7161</v>
      </c>
      <c r="AQ107" s="5">
        <f>'Economic Data'!E73</f>
        <v>7185.2</v>
      </c>
      <c r="AR107" s="5">
        <f>'Economic Data'!F73</f>
        <v>164</v>
      </c>
      <c r="AS107" s="5">
        <f>'Economic Data'!G73</f>
        <v>166.2</v>
      </c>
      <c r="AT107" s="5">
        <f>'Economic Data'!H73</f>
        <v>764464.8</v>
      </c>
      <c r="AU107" s="5">
        <f>'Economic Data'!I73</f>
        <v>7291.3</v>
      </c>
      <c r="AV107" s="5">
        <f>'Economic Data'!J73</f>
        <v>6223.6</v>
      </c>
      <c r="AW107" s="5">
        <f>'Economic Data'!K73</f>
        <v>4582</v>
      </c>
      <c r="AX107" s="5">
        <f>'Economic Data'!L73</f>
        <v>921.1</v>
      </c>
      <c r="AY107" s="5">
        <f>'Economic Data'!M73</f>
        <v>586.70000000000005</v>
      </c>
      <c r="AZ107" s="5">
        <f>'Economic Data'!N73</f>
        <v>7685.1</v>
      </c>
      <c r="BA107" s="5">
        <f>'Economic Data'!O73</f>
        <v>124.8</v>
      </c>
      <c r="BB107" s="5">
        <f>'Economic Data'!P73</f>
        <v>103.7</v>
      </c>
      <c r="BC107" s="5">
        <f>'Economic Data'!Q73</f>
        <v>771453</v>
      </c>
      <c r="BD107" s="5">
        <f>'Economic Data'!R73</f>
        <v>7463</v>
      </c>
      <c r="BE107" s="5">
        <f>'Economic Data'!S73</f>
        <v>3482</v>
      </c>
      <c r="BF107" s="5">
        <f>'Economic Data'!T73</f>
        <v>12811</v>
      </c>
      <c r="BG107" s="5">
        <f>'EV Data'!V12</f>
        <v>6418.666666666667</v>
      </c>
      <c r="BH107" s="5">
        <f>'EV Data'!AB12</f>
        <v>42</v>
      </c>
      <c r="BI107" s="5">
        <f>'EV Data'!W12</f>
        <v>140.33333333333334</v>
      </c>
      <c r="BJ107" s="5">
        <f t="shared" si="52"/>
        <v>58</v>
      </c>
      <c r="BK107" s="70">
        <f t="shared" si="53"/>
        <v>1.7634279935629373</v>
      </c>
      <c r="BL107" s="5">
        <f t="shared" si="54"/>
        <v>3364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1</v>
      </c>
      <c r="BW107">
        <v>0</v>
      </c>
      <c r="BX107">
        <v>0</v>
      </c>
      <c r="BY107">
        <f t="shared" si="94"/>
        <v>0</v>
      </c>
      <c r="BZ107">
        <f t="shared" si="94"/>
        <v>1</v>
      </c>
      <c r="CA107">
        <f t="shared" si="55"/>
        <v>1</v>
      </c>
      <c r="CB107">
        <v>31</v>
      </c>
      <c r="CC107">
        <v>21</v>
      </c>
      <c r="CD107">
        <v>0</v>
      </c>
      <c r="CE107">
        <v>0</v>
      </c>
      <c r="CF107">
        <f t="shared" si="93"/>
        <v>0</v>
      </c>
      <c r="CG107">
        <v>0</v>
      </c>
      <c r="CH107" s="64">
        <f t="shared" si="56"/>
        <v>0</v>
      </c>
      <c r="CI107" s="64">
        <f t="shared" si="57"/>
        <v>0</v>
      </c>
      <c r="CJ107" s="64">
        <f t="shared" si="58"/>
        <v>0</v>
      </c>
      <c r="CK107" s="64">
        <f t="shared" si="59"/>
        <v>0</v>
      </c>
      <c r="CL107" s="64">
        <f t="shared" si="60"/>
        <v>0</v>
      </c>
      <c r="CM107" s="64">
        <f t="shared" si="61"/>
        <v>0</v>
      </c>
      <c r="CN107" s="64">
        <f t="shared" si="62"/>
        <v>0</v>
      </c>
      <c r="CO107" s="64">
        <f t="shared" si="63"/>
        <v>0</v>
      </c>
      <c r="CP107" s="64">
        <f t="shared" si="64"/>
        <v>0</v>
      </c>
      <c r="CQ107" s="64">
        <f t="shared" si="65"/>
        <v>0</v>
      </c>
      <c r="CR107" s="64">
        <f t="shared" si="66"/>
        <v>0</v>
      </c>
      <c r="CS107" s="64">
        <f t="shared" si="67"/>
        <v>0</v>
      </c>
      <c r="CT107" s="64">
        <f t="shared" si="68"/>
        <v>0</v>
      </c>
      <c r="CU107" s="64">
        <f t="shared" si="69"/>
        <v>0</v>
      </c>
      <c r="CV107" s="69">
        <f t="shared" si="70"/>
        <v>22.493728763557957</v>
      </c>
      <c r="CW107" s="69">
        <f t="shared" si="71"/>
        <v>780.96804807207445</v>
      </c>
      <c r="CX107" s="69">
        <f t="shared" si="45"/>
        <v>2974.2734213118138</v>
      </c>
      <c r="CY107" s="69">
        <f t="shared" si="72"/>
        <v>31735.083333333332</v>
      </c>
      <c r="CZ107" s="64">
        <f t="shared" si="46"/>
        <v>2014.8303821789707</v>
      </c>
      <c r="DA107" s="64">
        <f t="shared" si="73"/>
        <v>21497.959677419356</v>
      </c>
      <c r="DB107">
        <f t="shared" si="74"/>
        <v>0</v>
      </c>
      <c r="DC107">
        <f t="shared" si="75"/>
        <v>0</v>
      </c>
      <c r="DD107">
        <f t="shared" si="76"/>
        <v>0</v>
      </c>
      <c r="DE107">
        <f t="shared" si="77"/>
        <v>0</v>
      </c>
      <c r="DF107">
        <f t="shared" si="78"/>
        <v>0</v>
      </c>
      <c r="DG107">
        <f t="shared" si="79"/>
        <v>0</v>
      </c>
      <c r="DH107">
        <f t="shared" si="80"/>
        <v>0</v>
      </c>
      <c r="DI107">
        <f t="shared" si="81"/>
        <v>0</v>
      </c>
      <c r="DJ107">
        <f t="shared" si="82"/>
        <v>0</v>
      </c>
      <c r="DK107">
        <f t="shared" si="83"/>
        <v>0</v>
      </c>
      <c r="DL107">
        <f t="shared" si="84"/>
        <v>0</v>
      </c>
      <c r="DM107">
        <f t="shared" si="85"/>
        <v>0</v>
      </c>
      <c r="DN107">
        <f t="shared" si="86"/>
        <v>0</v>
      </c>
      <c r="DO107">
        <f t="shared" si="87"/>
        <v>0</v>
      </c>
      <c r="DP107" s="2">
        <f t="shared" si="89"/>
        <v>22</v>
      </c>
      <c r="DQ107" s="2">
        <f t="shared" si="89"/>
        <v>10</v>
      </c>
      <c r="DR107" s="2">
        <v>0</v>
      </c>
      <c r="DS107" s="2">
        <v>0</v>
      </c>
      <c r="DT107" s="2">
        <v>0</v>
      </c>
    </row>
    <row r="108" spans="1:124" s="2" customFormat="1">
      <c r="A108" s="3">
        <v>43040</v>
      </c>
      <c r="B108">
        <f t="shared" si="48"/>
        <v>2017</v>
      </c>
      <c r="C108" s="2">
        <v>17206368</v>
      </c>
      <c r="D108" s="2">
        <f>VLOOKUP(B108,'Historic CDM'!$B$135:$H$146,2,FALSE)/12</f>
        <v>931954.37951623613</v>
      </c>
      <c r="E108" s="2">
        <f t="shared" si="91"/>
        <v>18138322.379516236</v>
      </c>
      <c r="F108" s="5">
        <v>27479</v>
      </c>
      <c r="G108" s="219">
        <v>4967977</v>
      </c>
      <c r="H108" s="2">
        <f>VLOOKUP(B108,'Historic CDM'!$B$135:$H$147,3,FALSE)/12</f>
        <v>1008417.3725585771</v>
      </c>
      <c r="I108" s="2">
        <f t="shared" si="92"/>
        <v>5976394.372558577</v>
      </c>
      <c r="J108" s="220">
        <v>1977</v>
      </c>
      <c r="K108" s="219">
        <v>13877465</v>
      </c>
      <c r="L108" s="2">
        <f>VLOOKUP(B108,'Historic CDM'!$B$135:$H$146,4,FALSE)/12</f>
        <v>1082686.4618870232</v>
      </c>
      <c r="M108" s="2">
        <f t="shared" si="90"/>
        <v>14960151.461887022</v>
      </c>
      <c r="N108" s="222">
        <v>37003</v>
      </c>
      <c r="O108" s="5">
        <v>250</v>
      </c>
      <c r="P108" s="220">
        <v>276165</v>
      </c>
      <c r="Q108" s="2">
        <v>728</v>
      </c>
      <c r="R108" s="5">
        <v>2757</v>
      </c>
      <c r="S108" s="220">
        <v>24746</v>
      </c>
      <c r="T108" s="2">
        <v>69</v>
      </c>
      <c r="U108" s="5">
        <v>246</v>
      </c>
      <c r="V108" s="221">
        <v>129105</v>
      </c>
      <c r="W108" s="1">
        <v>132</v>
      </c>
      <c r="X108" s="2">
        <v>2738878</v>
      </c>
      <c r="Y108" s="2">
        <v>6829</v>
      </c>
      <c r="Z108" s="5">
        <v>4</v>
      </c>
      <c r="AA108" s="100">
        <f>'Weather Data'!D204</f>
        <v>474.93552299140981</v>
      </c>
      <c r="AB108" s="100">
        <f>'Weather Data'!E204</f>
        <v>0</v>
      </c>
      <c r="AC108" s="100">
        <f>'Weather Data'!F204</f>
        <v>414.93552299140981</v>
      </c>
      <c r="AD108" s="100">
        <f>'Weather Data'!G204</f>
        <v>0</v>
      </c>
      <c r="AE108" s="100">
        <f>'Weather Data'!H204</f>
        <v>354.93552299140981</v>
      </c>
      <c r="AF108" s="100">
        <f>'Weather Data'!I204</f>
        <v>0</v>
      </c>
      <c r="AG108" s="100">
        <f>'Weather Data'!J204</f>
        <v>294.93552299140987</v>
      </c>
      <c r="AH108" s="100">
        <f>'Weather Data'!K204</f>
        <v>0</v>
      </c>
      <c r="AI108" s="100">
        <f>'Weather Data'!L204</f>
        <v>235.33552299140985</v>
      </c>
      <c r="AJ108" s="100">
        <f>'Weather Data'!M204</f>
        <v>0.40000000000000036</v>
      </c>
      <c r="AK108" s="100">
        <f>'Weather Data'!N204</f>
        <v>179.03552299140983</v>
      </c>
      <c r="AL108" s="100">
        <f>'Weather Data'!O204</f>
        <v>4.1000000000000014</v>
      </c>
      <c r="AM108" s="100">
        <f>'Weather Data'!P204</f>
        <v>125.03552299140979</v>
      </c>
      <c r="AN108" s="100">
        <f>'Weather Data'!Q204</f>
        <v>10.100000000000001</v>
      </c>
      <c r="AO108" s="100">
        <f>'Weather Data'!R204</f>
        <v>4.1688159002863392</v>
      </c>
      <c r="AP108" s="5">
        <f>'Economic Data'!D74</f>
        <v>7184.7</v>
      </c>
      <c r="AQ108" s="5">
        <f>'Economic Data'!E74</f>
        <v>7186</v>
      </c>
      <c r="AR108" s="5">
        <f>'Economic Data'!F74</f>
        <v>165.3</v>
      </c>
      <c r="AS108" s="5">
        <f>'Economic Data'!G74</f>
        <v>167.1</v>
      </c>
      <c r="AT108" s="5">
        <f>'Economic Data'!H74</f>
        <v>764464.8</v>
      </c>
      <c r="AU108" s="5">
        <f>'Economic Data'!I74</f>
        <v>7291.3</v>
      </c>
      <c r="AV108" s="5">
        <f>'Economic Data'!J74</f>
        <v>6223.6</v>
      </c>
      <c r="AW108" s="5">
        <f>'Economic Data'!K74</f>
        <v>4582</v>
      </c>
      <c r="AX108" s="5">
        <f>'Economic Data'!L74</f>
        <v>921.1</v>
      </c>
      <c r="AY108" s="5">
        <f>'Economic Data'!M74</f>
        <v>586.70000000000005</v>
      </c>
      <c r="AZ108" s="5">
        <f>'Economic Data'!N74</f>
        <v>7685.1</v>
      </c>
      <c r="BA108" s="5">
        <f>'Economic Data'!O74</f>
        <v>124.8</v>
      </c>
      <c r="BB108" s="5">
        <f>'Economic Data'!P74</f>
        <v>103.7</v>
      </c>
      <c r="BC108" s="5">
        <f>'Economic Data'!Q74</f>
        <v>771453</v>
      </c>
      <c r="BD108" s="5">
        <f>'Economic Data'!R74</f>
        <v>7463</v>
      </c>
      <c r="BE108" s="5">
        <f>'Economic Data'!S74</f>
        <v>3482</v>
      </c>
      <c r="BF108" s="5">
        <f>'Economic Data'!T74</f>
        <v>12811</v>
      </c>
      <c r="BG108" s="5">
        <f>'EV Data'!V13</f>
        <v>7299.3333333333339</v>
      </c>
      <c r="BH108" s="5">
        <f>'EV Data'!AB13</f>
        <v>47</v>
      </c>
      <c r="BI108" s="5">
        <f>'EV Data'!W13</f>
        <v>162.66666666666669</v>
      </c>
      <c r="BJ108" s="5">
        <f t="shared" si="52"/>
        <v>59</v>
      </c>
      <c r="BK108" s="70">
        <f t="shared" si="53"/>
        <v>1.7708520116421442</v>
      </c>
      <c r="BL108" s="5">
        <f t="shared" si="54"/>
        <v>3481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1</v>
      </c>
      <c r="BX108">
        <v>0</v>
      </c>
      <c r="BY108">
        <f t="shared" si="94"/>
        <v>0</v>
      </c>
      <c r="BZ108">
        <f t="shared" si="94"/>
        <v>1</v>
      </c>
      <c r="CA108">
        <f t="shared" si="55"/>
        <v>1</v>
      </c>
      <c r="CB108">
        <v>30</v>
      </c>
      <c r="CC108">
        <v>22</v>
      </c>
      <c r="CD108">
        <v>0</v>
      </c>
      <c r="CE108">
        <v>0</v>
      </c>
      <c r="CF108">
        <f t="shared" si="93"/>
        <v>0</v>
      </c>
      <c r="CG108">
        <v>0</v>
      </c>
      <c r="CH108" s="64">
        <f t="shared" si="56"/>
        <v>0</v>
      </c>
      <c r="CI108" s="64">
        <f t="shared" si="57"/>
        <v>0</v>
      </c>
      <c r="CJ108" s="64">
        <f t="shared" si="58"/>
        <v>0</v>
      </c>
      <c r="CK108" s="64">
        <f t="shared" si="59"/>
        <v>0</v>
      </c>
      <c r="CL108" s="64">
        <f t="shared" si="60"/>
        <v>0</v>
      </c>
      <c r="CM108" s="64">
        <f t="shared" si="61"/>
        <v>0</v>
      </c>
      <c r="CN108" s="64">
        <f t="shared" si="62"/>
        <v>0</v>
      </c>
      <c r="CO108" s="64">
        <f t="shared" si="63"/>
        <v>0</v>
      </c>
      <c r="CP108" s="64">
        <f t="shared" si="64"/>
        <v>0</v>
      </c>
      <c r="CQ108" s="64">
        <f t="shared" si="65"/>
        <v>0</v>
      </c>
      <c r="CR108" s="64">
        <f t="shared" si="66"/>
        <v>0</v>
      </c>
      <c r="CS108" s="64">
        <f t="shared" si="67"/>
        <v>0</v>
      </c>
      <c r="CT108" s="64">
        <f t="shared" si="68"/>
        <v>0</v>
      </c>
      <c r="CU108" s="64">
        <f t="shared" si="69"/>
        <v>0</v>
      </c>
      <c r="CV108" s="69">
        <f t="shared" si="70"/>
        <v>22.002647330102061</v>
      </c>
      <c r="CW108" s="69">
        <f t="shared" si="71"/>
        <v>796.85258300781027</v>
      </c>
      <c r="CX108" s="69">
        <f t="shared" si="45"/>
        <v>2720.0275385249133</v>
      </c>
      <c r="CY108" s="69">
        <f t="shared" si="72"/>
        <v>31123.613636363636</v>
      </c>
      <c r="CZ108" s="64">
        <f t="shared" si="46"/>
        <v>1994.6868615849362</v>
      </c>
      <c r="DA108" s="64">
        <f t="shared" si="73"/>
        <v>22823.983333333334</v>
      </c>
      <c r="DB108">
        <f t="shared" si="74"/>
        <v>0</v>
      </c>
      <c r="DC108">
        <f t="shared" si="75"/>
        <v>0</v>
      </c>
      <c r="DD108">
        <f t="shared" si="76"/>
        <v>0</v>
      </c>
      <c r="DE108">
        <f t="shared" si="77"/>
        <v>0</v>
      </c>
      <c r="DF108">
        <f t="shared" si="78"/>
        <v>0</v>
      </c>
      <c r="DG108">
        <f t="shared" si="79"/>
        <v>0</v>
      </c>
      <c r="DH108">
        <f t="shared" si="80"/>
        <v>0</v>
      </c>
      <c r="DI108">
        <f t="shared" si="81"/>
        <v>0</v>
      </c>
      <c r="DJ108">
        <f t="shared" si="82"/>
        <v>0</v>
      </c>
      <c r="DK108">
        <f t="shared" si="83"/>
        <v>0</v>
      </c>
      <c r="DL108">
        <f t="shared" si="84"/>
        <v>0</v>
      </c>
      <c r="DM108">
        <f t="shared" si="85"/>
        <v>0</v>
      </c>
      <c r="DN108">
        <f t="shared" si="86"/>
        <v>0</v>
      </c>
      <c r="DO108">
        <f t="shared" si="87"/>
        <v>0</v>
      </c>
      <c r="DP108" s="2">
        <f t="shared" si="89"/>
        <v>23</v>
      </c>
      <c r="DQ108" s="2">
        <f t="shared" si="89"/>
        <v>11</v>
      </c>
      <c r="DR108" s="2">
        <v>0</v>
      </c>
      <c r="DS108" s="2">
        <v>0</v>
      </c>
      <c r="DT108" s="2">
        <v>0</v>
      </c>
    </row>
    <row r="109" spans="1:124" s="2" customFormat="1">
      <c r="A109" s="3">
        <v>43070</v>
      </c>
      <c r="B109">
        <f t="shared" si="48"/>
        <v>2017</v>
      </c>
      <c r="C109" s="2">
        <v>20228375</v>
      </c>
      <c r="D109" s="2">
        <f>VLOOKUP(B109,'Historic CDM'!$B$135:$H$146,2,FALSE)/12</f>
        <v>931954.37951623613</v>
      </c>
      <c r="E109" s="2">
        <f t="shared" si="91"/>
        <v>21160329.379516236</v>
      </c>
      <c r="F109" s="5">
        <v>27523</v>
      </c>
      <c r="G109" s="219">
        <v>5540507</v>
      </c>
      <c r="H109" s="2">
        <f>VLOOKUP(B109,'Historic CDM'!$B$135:$H$147,3,FALSE)/12</f>
        <v>1008417.3725585771</v>
      </c>
      <c r="I109" s="2">
        <f t="shared" si="92"/>
        <v>6548924.372558577</v>
      </c>
      <c r="J109" s="220">
        <v>1978</v>
      </c>
      <c r="K109" s="219">
        <v>11998672</v>
      </c>
      <c r="L109" s="2">
        <f>VLOOKUP(B109,'Historic CDM'!$B$135:$H$146,4,FALSE)/12</f>
        <v>1082686.4618870232</v>
      </c>
      <c r="M109" s="2">
        <f t="shared" si="90"/>
        <v>13081358.461887022</v>
      </c>
      <c r="N109" s="222">
        <v>36767</v>
      </c>
      <c r="O109" s="5">
        <v>250</v>
      </c>
      <c r="P109" s="220">
        <v>309143</v>
      </c>
      <c r="Q109" s="2">
        <v>727</v>
      </c>
      <c r="R109" s="5">
        <v>2759</v>
      </c>
      <c r="S109" s="220">
        <v>24060</v>
      </c>
      <c r="T109" s="2">
        <v>67</v>
      </c>
      <c r="U109" s="5">
        <v>246</v>
      </c>
      <c r="V109" s="221">
        <v>129105</v>
      </c>
      <c r="W109" s="1">
        <v>132</v>
      </c>
      <c r="X109" s="2">
        <v>2623050</v>
      </c>
      <c r="Y109" s="2">
        <v>6916</v>
      </c>
      <c r="Z109" s="5">
        <v>5</v>
      </c>
      <c r="AA109" s="100">
        <f>'Weather Data'!D205</f>
        <v>734.00000000000011</v>
      </c>
      <c r="AB109" s="100">
        <f>'Weather Data'!E205</f>
        <v>0</v>
      </c>
      <c r="AC109" s="100">
        <f>'Weather Data'!F205</f>
        <v>672.00000000000011</v>
      </c>
      <c r="AD109" s="100">
        <f>'Weather Data'!G205</f>
        <v>0</v>
      </c>
      <c r="AE109" s="100">
        <f>'Weather Data'!H205</f>
        <v>610.00000000000011</v>
      </c>
      <c r="AF109" s="100">
        <f>'Weather Data'!I205</f>
        <v>0</v>
      </c>
      <c r="AG109" s="100">
        <f>'Weather Data'!J205</f>
        <v>548.00000000000011</v>
      </c>
      <c r="AH109" s="100">
        <f>'Weather Data'!K205</f>
        <v>0</v>
      </c>
      <c r="AI109" s="100">
        <f>'Weather Data'!L205</f>
        <v>486.00000000000006</v>
      </c>
      <c r="AJ109" s="100">
        <f>'Weather Data'!M205</f>
        <v>0</v>
      </c>
      <c r="AK109" s="100">
        <f>'Weather Data'!N205</f>
        <v>424.00000000000006</v>
      </c>
      <c r="AL109" s="100">
        <f>'Weather Data'!O205</f>
        <v>0</v>
      </c>
      <c r="AM109" s="100">
        <f>'Weather Data'!P205</f>
        <v>362.00000000000006</v>
      </c>
      <c r="AN109" s="100">
        <f>'Weather Data'!Q205</f>
        <v>0</v>
      </c>
      <c r="AO109" s="100">
        <f>'Weather Data'!R205</f>
        <v>-3.6774193548387095</v>
      </c>
      <c r="AP109" s="5">
        <f>'Economic Data'!D75</f>
        <v>7199.5</v>
      </c>
      <c r="AQ109" s="5">
        <f>'Economic Data'!E75</f>
        <v>7206.8</v>
      </c>
      <c r="AR109" s="5">
        <f>'Economic Data'!F75</f>
        <v>165.8</v>
      </c>
      <c r="AS109" s="5">
        <f>'Economic Data'!G75</f>
        <v>166.6</v>
      </c>
      <c r="AT109" s="5">
        <f>'Economic Data'!H75</f>
        <v>764464.8</v>
      </c>
      <c r="AU109" s="5">
        <f>'Economic Data'!I75</f>
        <v>7291.3</v>
      </c>
      <c r="AV109" s="5">
        <f>'Economic Data'!J75</f>
        <v>6223.6</v>
      </c>
      <c r="AW109" s="5">
        <f>'Economic Data'!K75</f>
        <v>4582</v>
      </c>
      <c r="AX109" s="5">
        <f>'Economic Data'!L75</f>
        <v>921.1</v>
      </c>
      <c r="AY109" s="5">
        <f>'Economic Data'!M75</f>
        <v>586.70000000000005</v>
      </c>
      <c r="AZ109" s="5">
        <f>'Economic Data'!N75</f>
        <v>7685.1</v>
      </c>
      <c r="BA109" s="5">
        <f>'Economic Data'!O75</f>
        <v>124.8</v>
      </c>
      <c r="BB109" s="5">
        <f>'Economic Data'!P75</f>
        <v>103.7</v>
      </c>
      <c r="BC109" s="5">
        <f>'Economic Data'!Q75</f>
        <v>771453</v>
      </c>
      <c r="BD109" s="5">
        <f>'Economic Data'!R75</f>
        <v>7463</v>
      </c>
      <c r="BE109" s="5">
        <f>'Economic Data'!S75</f>
        <v>3482</v>
      </c>
      <c r="BF109" s="5">
        <f>'Economic Data'!T75</f>
        <v>12811</v>
      </c>
      <c r="BG109" s="5">
        <f>'EV Data'!V14</f>
        <v>8180.0000000000009</v>
      </c>
      <c r="BH109" s="5">
        <f>'EV Data'!AB14</f>
        <v>52</v>
      </c>
      <c r="BI109" s="5">
        <f>'EV Data'!W14</f>
        <v>185.00000000000003</v>
      </c>
      <c r="BJ109" s="5">
        <f t="shared" si="52"/>
        <v>60</v>
      </c>
      <c r="BK109" s="70">
        <f t="shared" si="53"/>
        <v>1.7781512503836436</v>
      </c>
      <c r="BL109" s="5">
        <f t="shared" si="54"/>
        <v>3600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1</v>
      </c>
      <c r="BY109">
        <f t="shared" si="94"/>
        <v>0</v>
      </c>
      <c r="BZ109">
        <f t="shared" si="94"/>
        <v>0</v>
      </c>
      <c r="CA109">
        <f t="shared" si="55"/>
        <v>0</v>
      </c>
      <c r="CB109">
        <v>31</v>
      </c>
      <c r="CC109">
        <v>19</v>
      </c>
      <c r="CD109">
        <v>0</v>
      </c>
      <c r="CE109">
        <v>0</v>
      </c>
      <c r="CF109">
        <f t="shared" si="93"/>
        <v>0</v>
      </c>
      <c r="CG109">
        <v>0</v>
      </c>
      <c r="CH109" s="64">
        <f t="shared" si="56"/>
        <v>0</v>
      </c>
      <c r="CI109" s="64">
        <f t="shared" si="57"/>
        <v>0</v>
      </c>
      <c r="CJ109" s="64">
        <f t="shared" si="58"/>
        <v>0</v>
      </c>
      <c r="CK109" s="64">
        <f t="shared" si="59"/>
        <v>0</v>
      </c>
      <c r="CL109" s="64">
        <f t="shared" si="60"/>
        <v>0</v>
      </c>
      <c r="CM109" s="64">
        <f t="shared" si="61"/>
        <v>0</v>
      </c>
      <c r="CN109" s="64">
        <f t="shared" si="62"/>
        <v>0</v>
      </c>
      <c r="CO109" s="64">
        <f t="shared" si="63"/>
        <v>0</v>
      </c>
      <c r="CP109" s="64">
        <f t="shared" si="64"/>
        <v>0</v>
      </c>
      <c r="CQ109" s="64">
        <f t="shared" si="65"/>
        <v>0</v>
      </c>
      <c r="CR109" s="64">
        <f t="shared" si="66"/>
        <v>0</v>
      </c>
      <c r="CS109" s="64">
        <f t="shared" si="67"/>
        <v>0</v>
      </c>
      <c r="CT109" s="64">
        <f t="shared" si="68"/>
        <v>0</v>
      </c>
      <c r="CU109" s="64">
        <f t="shared" si="69"/>
        <v>0</v>
      </c>
      <c r="CV109" s="69">
        <f t="shared" si="70"/>
        <v>24.800758286050769</v>
      </c>
      <c r="CW109" s="69">
        <f t="shared" si="71"/>
        <v>845.02249968497767</v>
      </c>
      <c r="CX109" s="69">
        <f t="shared" si="45"/>
        <v>2753.9702025025308</v>
      </c>
      <c r="CY109" s="69">
        <f t="shared" si="72"/>
        <v>27611.05263157895</v>
      </c>
      <c r="CZ109" s="64">
        <f t="shared" si="46"/>
        <v>1687.917220888648</v>
      </c>
      <c r="DA109" s="64">
        <f t="shared" si="73"/>
        <v>16922.903225806451</v>
      </c>
      <c r="DB109">
        <f t="shared" si="74"/>
        <v>0</v>
      </c>
      <c r="DC109">
        <f t="shared" si="75"/>
        <v>0</v>
      </c>
      <c r="DD109">
        <f t="shared" si="76"/>
        <v>0</v>
      </c>
      <c r="DE109">
        <f t="shared" si="77"/>
        <v>0</v>
      </c>
      <c r="DF109">
        <f t="shared" si="78"/>
        <v>0</v>
      </c>
      <c r="DG109">
        <f t="shared" si="79"/>
        <v>0</v>
      </c>
      <c r="DH109">
        <f t="shared" si="80"/>
        <v>0</v>
      </c>
      <c r="DI109">
        <f t="shared" si="81"/>
        <v>0</v>
      </c>
      <c r="DJ109">
        <f t="shared" si="82"/>
        <v>0</v>
      </c>
      <c r="DK109">
        <f t="shared" si="83"/>
        <v>0</v>
      </c>
      <c r="DL109">
        <f t="shared" si="84"/>
        <v>0</v>
      </c>
      <c r="DM109">
        <f t="shared" si="85"/>
        <v>0</v>
      </c>
      <c r="DN109">
        <f t="shared" si="86"/>
        <v>0</v>
      </c>
      <c r="DO109">
        <f t="shared" si="87"/>
        <v>0</v>
      </c>
      <c r="DP109" s="2">
        <f t="shared" si="89"/>
        <v>24</v>
      </c>
      <c r="DQ109" s="2">
        <f t="shared" si="89"/>
        <v>12</v>
      </c>
      <c r="DR109" s="2">
        <v>0</v>
      </c>
      <c r="DS109" s="2">
        <v>0</v>
      </c>
      <c r="DT109" s="2">
        <v>0</v>
      </c>
    </row>
    <row r="110" spans="1:124" s="2" customFormat="1">
      <c r="A110" s="3">
        <v>43101</v>
      </c>
      <c r="B110">
        <f t="shared" si="48"/>
        <v>2018</v>
      </c>
      <c r="C110" s="2">
        <v>21195995</v>
      </c>
      <c r="D110" s="2">
        <f>VLOOKUP(B110,'Historic CDM'!$B$135:$H$146,2,FALSE)/12</f>
        <v>1140167.2458511787</v>
      </c>
      <c r="E110" s="2">
        <f t="shared" si="91"/>
        <v>22336162.245851178</v>
      </c>
      <c r="F110" s="5">
        <v>27548</v>
      </c>
      <c r="G110" s="219">
        <v>5852736</v>
      </c>
      <c r="H110" s="2">
        <f>VLOOKUP(B110,'Historic CDM'!$B$135:$H$147,3,FALSE)/12</f>
        <v>1108937.0655590973</v>
      </c>
      <c r="I110" s="2">
        <f t="shared" si="92"/>
        <v>6961673.0655590976</v>
      </c>
      <c r="J110" s="220">
        <v>1978</v>
      </c>
      <c r="K110" s="219">
        <v>14395468</v>
      </c>
      <c r="L110" s="2">
        <f>VLOOKUP(B110,'Historic CDM'!$B$135:$H$146,4,FALSE)/12</f>
        <v>1184612.1746571031</v>
      </c>
      <c r="M110" s="2">
        <f t="shared" si="90"/>
        <v>15580080.174657103</v>
      </c>
      <c r="N110" s="222">
        <v>40099</v>
      </c>
      <c r="O110" s="5">
        <v>250</v>
      </c>
      <c r="P110" s="219">
        <v>304057</v>
      </c>
      <c r="Q110" s="2">
        <v>727</v>
      </c>
      <c r="R110" s="5">
        <v>2758</v>
      </c>
      <c r="S110" s="220">
        <v>25855</v>
      </c>
      <c r="T110" s="2">
        <v>72</v>
      </c>
      <c r="U110" s="5">
        <v>246</v>
      </c>
      <c r="V110" s="221">
        <v>129105</v>
      </c>
      <c r="W110" s="1">
        <v>132</v>
      </c>
      <c r="X110" s="2">
        <v>2945901</v>
      </c>
      <c r="Y110" s="2">
        <v>7324</v>
      </c>
      <c r="Z110" s="5">
        <v>5</v>
      </c>
      <c r="AA110" s="100">
        <f>'Weather Data'!D206</f>
        <v>767.60000000000014</v>
      </c>
      <c r="AB110" s="100">
        <f>'Weather Data'!E206</f>
        <v>0</v>
      </c>
      <c r="AC110" s="100">
        <f>'Weather Data'!F206</f>
        <v>705.60000000000014</v>
      </c>
      <c r="AD110" s="100">
        <f>'Weather Data'!G206</f>
        <v>0</v>
      </c>
      <c r="AE110" s="100">
        <f>'Weather Data'!H206</f>
        <v>643.6</v>
      </c>
      <c r="AF110" s="100">
        <f>'Weather Data'!I206</f>
        <v>0</v>
      </c>
      <c r="AG110" s="100">
        <f>'Weather Data'!J206</f>
        <v>581.6</v>
      </c>
      <c r="AH110" s="100">
        <f>'Weather Data'!K206</f>
        <v>0</v>
      </c>
      <c r="AI110" s="100">
        <f>'Weather Data'!L206</f>
        <v>519.59999999999991</v>
      </c>
      <c r="AJ110" s="100">
        <f>'Weather Data'!M206</f>
        <v>0</v>
      </c>
      <c r="AK110" s="100">
        <f>'Weather Data'!N206</f>
        <v>457.59999999999985</v>
      </c>
      <c r="AL110" s="100">
        <f>'Weather Data'!O206</f>
        <v>0</v>
      </c>
      <c r="AM110" s="100">
        <f>'Weather Data'!P206</f>
        <v>396.89999999999986</v>
      </c>
      <c r="AN110" s="100">
        <f>'Weather Data'!Q206</f>
        <v>1.3000000000000007</v>
      </c>
      <c r="AO110" s="100">
        <f>'Weather Data'!R206</f>
        <v>-4.7612903225806438</v>
      </c>
      <c r="AP110" s="5">
        <f>'Economic Data'!D76</f>
        <v>7199.4</v>
      </c>
      <c r="AQ110" s="5">
        <f>'Economic Data'!E76</f>
        <v>7167.3</v>
      </c>
      <c r="AR110" s="5">
        <f>'Economic Data'!F76</f>
        <v>168.3</v>
      </c>
      <c r="AS110" s="5">
        <f>'Economic Data'!G76</f>
        <v>167.9</v>
      </c>
      <c r="AT110" s="5">
        <f>'Economic Data'!H76</f>
        <v>789531.6</v>
      </c>
      <c r="AU110" s="5">
        <f>'Economic Data'!I76</f>
        <v>7545.5</v>
      </c>
      <c r="AV110" s="5">
        <f>'Economic Data'!J76</f>
        <v>6450.3</v>
      </c>
      <c r="AW110" s="5">
        <f>'Economic Data'!K76</f>
        <v>4822.2</v>
      </c>
      <c r="AX110" s="5">
        <f>'Economic Data'!L76</f>
        <v>975.3</v>
      </c>
      <c r="AY110" s="5">
        <f>'Economic Data'!M76</f>
        <v>828.8</v>
      </c>
      <c r="AZ110" s="5">
        <f>'Economic Data'!N76</f>
        <v>7677.9</v>
      </c>
      <c r="BA110" s="5">
        <f>'Economic Data'!O76</f>
        <v>120.2</v>
      </c>
      <c r="BB110" s="5">
        <f>'Economic Data'!P76</f>
        <v>138.5</v>
      </c>
      <c r="BC110" s="5">
        <f>'Economic Data'!Q76</f>
        <v>779459</v>
      </c>
      <c r="BD110" s="5">
        <f>'Economic Data'!R76</f>
        <v>7503</v>
      </c>
      <c r="BE110" s="5">
        <f>'Economic Data'!S76</f>
        <v>3689</v>
      </c>
      <c r="BF110" s="5">
        <f>'Economic Data'!T76</f>
        <v>13681</v>
      </c>
      <c r="BG110" s="5">
        <f>'EV Data'!V15</f>
        <v>9096</v>
      </c>
      <c r="BH110" s="5">
        <f>'EV Data'!AB15</f>
        <v>55.666666666666664</v>
      </c>
      <c r="BI110" s="5">
        <f>'EV Data'!W15</f>
        <v>201.66666666666669</v>
      </c>
      <c r="BJ110" s="5">
        <f t="shared" si="52"/>
        <v>61</v>
      </c>
      <c r="BK110" s="70">
        <f t="shared" si="53"/>
        <v>1.7853298350107671</v>
      </c>
      <c r="BL110" s="5">
        <f t="shared" si="54"/>
        <v>3721</v>
      </c>
      <c r="BM110">
        <v>1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f t="shared" si="94"/>
        <v>0</v>
      </c>
      <c r="BZ110">
        <f t="shared" si="94"/>
        <v>0</v>
      </c>
      <c r="CA110">
        <f t="shared" si="55"/>
        <v>0</v>
      </c>
      <c r="CB110">
        <v>31</v>
      </c>
      <c r="CC110">
        <v>22</v>
      </c>
      <c r="CD110">
        <v>0</v>
      </c>
      <c r="CE110">
        <v>0</v>
      </c>
      <c r="CF110">
        <f t="shared" si="93"/>
        <v>0</v>
      </c>
      <c r="CG110">
        <v>0</v>
      </c>
      <c r="CH110" s="64">
        <f t="shared" si="56"/>
        <v>0</v>
      </c>
      <c r="CI110" s="64">
        <f t="shared" si="57"/>
        <v>0</v>
      </c>
      <c r="CJ110" s="64">
        <f t="shared" si="58"/>
        <v>0</v>
      </c>
      <c r="CK110" s="64">
        <f t="shared" si="59"/>
        <v>0</v>
      </c>
      <c r="CL110" s="64">
        <f t="shared" si="60"/>
        <v>0</v>
      </c>
      <c r="CM110" s="64">
        <f t="shared" si="61"/>
        <v>0</v>
      </c>
      <c r="CN110" s="64">
        <f t="shared" si="62"/>
        <v>0</v>
      </c>
      <c r="CO110" s="64">
        <f t="shared" si="63"/>
        <v>0</v>
      </c>
      <c r="CP110" s="64">
        <f t="shared" si="64"/>
        <v>0</v>
      </c>
      <c r="CQ110" s="64">
        <f t="shared" si="65"/>
        <v>0</v>
      </c>
      <c r="CR110" s="64">
        <f t="shared" si="66"/>
        <v>0</v>
      </c>
      <c r="CS110" s="64">
        <f t="shared" si="67"/>
        <v>0</v>
      </c>
      <c r="CT110" s="64">
        <f t="shared" si="68"/>
        <v>0</v>
      </c>
      <c r="CU110" s="64">
        <f t="shared" si="69"/>
        <v>0</v>
      </c>
      <c r="CV110" s="69">
        <f t="shared" si="70"/>
        <v>26.155124247473239</v>
      </c>
      <c r="CW110" s="69">
        <f t="shared" si="71"/>
        <v>898.28039555601265</v>
      </c>
      <c r="CX110" s="69">
        <f t="shared" si="45"/>
        <v>2832.7418499376549</v>
      </c>
      <c r="CY110" s="69">
        <f t="shared" si="72"/>
        <v>26780.918181818182</v>
      </c>
      <c r="CZ110" s="64">
        <f t="shared" si="46"/>
        <v>2010.3329257622067</v>
      </c>
      <c r="DA110" s="64">
        <f t="shared" si="73"/>
        <v>19005.812903225808</v>
      </c>
      <c r="DB110">
        <f t="shared" si="74"/>
        <v>0</v>
      </c>
      <c r="DC110">
        <f t="shared" si="75"/>
        <v>0</v>
      </c>
      <c r="DD110">
        <f t="shared" si="76"/>
        <v>0</v>
      </c>
      <c r="DE110">
        <f t="shared" si="77"/>
        <v>0</v>
      </c>
      <c r="DF110">
        <f t="shared" si="78"/>
        <v>0</v>
      </c>
      <c r="DG110">
        <f t="shared" si="79"/>
        <v>0</v>
      </c>
      <c r="DH110">
        <f t="shared" si="80"/>
        <v>0</v>
      </c>
      <c r="DI110">
        <f t="shared" si="81"/>
        <v>0</v>
      </c>
      <c r="DJ110">
        <f t="shared" si="82"/>
        <v>0</v>
      </c>
      <c r="DK110">
        <f t="shared" si="83"/>
        <v>0</v>
      </c>
      <c r="DL110">
        <f t="shared" si="84"/>
        <v>0</v>
      </c>
      <c r="DM110">
        <f t="shared" si="85"/>
        <v>0</v>
      </c>
      <c r="DN110">
        <f t="shared" si="86"/>
        <v>0</v>
      </c>
      <c r="DO110">
        <f t="shared" si="87"/>
        <v>0</v>
      </c>
      <c r="DP110" s="2">
        <f t="shared" si="89"/>
        <v>25</v>
      </c>
      <c r="DQ110" s="2">
        <f t="shared" si="89"/>
        <v>13</v>
      </c>
      <c r="DR110" s="2">
        <v>1</v>
      </c>
      <c r="DS110" s="2">
        <v>0</v>
      </c>
      <c r="DT110" s="2">
        <v>0</v>
      </c>
    </row>
    <row r="111" spans="1:124" s="2" customFormat="1">
      <c r="A111" s="3">
        <v>43132</v>
      </c>
      <c r="B111">
        <f t="shared" si="48"/>
        <v>2018</v>
      </c>
      <c r="C111" s="2">
        <v>18076152</v>
      </c>
      <c r="D111" s="2">
        <f>VLOOKUP(B111,'Historic CDM'!$B$135:$H$146,2,FALSE)/12</f>
        <v>1140167.2458511787</v>
      </c>
      <c r="E111" s="2">
        <f t="shared" si="91"/>
        <v>19216319.245851178</v>
      </c>
      <c r="F111" s="5">
        <v>27572</v>
      </c>
      <c r="G111" s="219">
        <v>5260455</v>
      </c>
      <c r="H111" s="2">
        <f>VLOOKUP(B111,'Historic CDM'!$B$135:$H$147,3,FALSE)/12</f>
        <v>1108937.0655590973</v>
      </c>
      <c r="I111" s="2">
        <f t="shared" si="92"/>
        <v>6369392.0655590976</v>
      </c>
      <c r="J111" s="220">
        <v>1974</v>
      </c>
      <c r="K111" s="219">
        <v>10395349</v>
      </c>
      <c r="L111" s="2">
        <f>VLOOKUP(B111,'Historic CDM'!$B$135:$H$146,4,FALSE)/12</f>
        <v>1184612.1746571031</v>
      </c>
      <c r="M111" s="2">
        <f t="shared" si="90"/>
        <v>11579961.174657103</v>
      </c>
      <c r="N111" s="222">
        <v>34813</v>
      </c>
      <c r="O111" s="5">
        <v>249</v>
      </c>
      <c r="P111" s="219">
        <v>274632</v>
      </c>
      <c r="Q111" s="2">
        <v>727</v>
      </c>
      <c r="R111" s="5">
        <v>2758</v>
      </c>
      <c r="S111" s="220">
        <v>24724</v>
      </c>
      <c r="T111" s="2">
        <v>69</v>
      </c>
      <c r="U111" s="5">
        <v>246</v>
      </c>
      <c r="V111" s="221">
        <v>129105</v>
      </c>
      <c r="W111" s="1">
        <v>132</v>
      </c>
      <c r="X111" s="2">
        <v>2641888</v>
      </c>
      <c r="Y111" s="2">
        <v>7081</v>
      </c>
      <c r="Z111" s="5">
        <v>5</v>
      </c>
      <c r="AA111" s="100">
        <f>'Weather Data'!D207</f>
        <v>600.5</v>
      </c>
      <c r="AB111" s="100">
        <f>'Weather Data'!E207</f>
        <v>0</v>
      </c>
      <c r="AC111" s="100">
        <f>'Weather Data'!F207</f>
        <v>544.49999999999989</v>
      </c>
      <c r="AD111" s="100">
        <f>'Weather Data'!G207</f>
        <v>0</v>
      </c>
      <c r="AE111" s="100">
        <f>'Weather Data'!H207</f>
        <v>488.49999999999994</v>
      </c>
      <c r="AF111" s="100">
        <f>'Weather Data'!I207</f>
        <v>0</v>
      </c>
      <c r="AG111" s="100">
        <f>'Weather Data'!J207</f>
        <v>432.49999999999994</v>
      </c>
      <c r="AH111" s="100">
        <f>'Weather Data'!K207</f>
        <v>0</v>
      </c>
      <c r="AI111" s="100">
        <f>'Weather Data'!L207</f>
        <v>377.5</v>
      </c>
      <c r="AJ111" s="100">
        <f>'Weather Data'!M207</f>
        <v>1</v>
      </c>
      <c r="AK111" s="100">
        <f>'Weather Data'!N207</f>
        <v>323.5</v>
      </c>
      <c r="AL111" s="100">
        <f>'Weather Data'!O207</f>
        <v>3</v>
      </c>
      <c r="AM111" s="100">
        <f>'Weather Data'!P207</f>
        <v>270.39999999999998</v>
      </c>
      <c r="AN111" s="100">
        <f>'Weather Data'!Q207</f>
        <v>5.9</v>
      </c>
      <c r="AO111" s="100">
        <f>'Weather Data'!R207</f>
        <v>-1.4464285714285716</v>
      </c>
      <c r="AP111" s="5">
        <f>'Economic Data'!D77</f>
        <v>7188.9</v>
      </c>
      <c r="AQ111" s="5">
        <f>'Economic Data'!E77</f>
        <v>7120.1</v>
      </c>
      <c r="AR111" s="5">
        <f>'Economic Data'!F77</f>
        <v>165.4</v>
      </c>
      <c r="AS111" s="5">
        <f>'Economic Data'!G77</f>
        <v>163.6</v>
      </c>
      <c r="AT111" s="5">
        <f>'Economic Data'!H77</f>
        <v>789531.6</v>
      </c>
      <c r="AU111" s="5">
        <f>'Economic Data'!I77</f>
        <v>7545.5</v>
      </c>
      <c r="AV111" s="5">
        <f>'Economic Data'!J77</f>
        <v>6450.3</v>
      </c>
      <c r="AW111" s="5">
        <f>'Economic Data'!K77</f>
        <v>4822.2</v>
      </c>
      <c r="AX111" s="5">
        <f>'Economic Data'!L77</f>
        <v>975.3</v>
      </c>
      <c r="AY111" s="5">
        <f>'Economic Data'!M77</f>
        <v>828.8</v>
      </c>
      <c r="AZ111" s="5">
        <f>'Economic Data'!N77</f>
        <v>7677.9</v>
      </c>
      <c r="BA111" s="5">
        <f>'Economic Data'!O77</f>
        <v>120.2</v>
      </c>
      <c r="BB111" s="5">
        <f>'Economic Data'!P77</f>
        <v>138.5</v>
      </c>
      <c r="BC111" s="5">
        <f>'Economic Data'!Q77</f>
        <v>779459</v>
      </c>
      <c r="BD111" s="5">
        <f>'Economic Data'!R77</f>
        <v>7503</v>
      </c>
      <c r="BE111" s="5">
        <f>'Economic Data'!S77</f>
        <v>3689</v>
      </c>
      <c r="BF111" s="5">
        <f>'Economic Data'!T77</f>
        <v>13681</v>
      </c>
      <c r="BG111" s="5">
        <f>'EV Data'!V16</f>
        <v>10012</v>
      </c>
      <c r="BH111" s="5">
        <f>'EV Data'!AB16</f>
        <v>59.333333333333329</v>
      </c>
      <c r="BI111" s="5">
        <f>'EV Data'!W16</f>
        <v>218.33333333333334</v>
      </c>
      <c r="BJ111" s="5">
        <f t="shared" si="52"/>
        <v>62</v>
      </c>
      <c r="BK111" s="70">
        <f t="shared" si="53"/>
        <v>1.7923916894982539</v>
      </c>
      <c r="BL111" s="5">
        <f t="shared" si="54"/>
        <v>3844</v>
      </c>
      <c r="BM111">
        <v>0</v>
      </c>
      <c r="BN111">
        <v>1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f t="shared" si="94"/>
        <v>0</v>
      </c>
      <c r="BZ111">
        <f t="shared" si="94"/>
        <v>0</v>
      </c>
      <c r="CA111">
        <f t="shared" si="55"/>
        <v>0</v>
      </c>
      <c r="CB111">
        <v>28</v>
      </c>
      <c r="CC111">
        <v>19</v>
      </c>
      <c r="CD111">
        <v>0</v>
      </c>
      <c r="CE111">
        <v>0</v>
      </c>
      <c r="CF111">
        <f t="shared" si="93"/>
        <v>0</v>
      </c>
      <c r="CG111">
        <v>0</v>
      </c>
      <c r="CH111" s="64">
        <f t="shared" si="56"/>
        <v>0</v>
      </c>
      <c r="CI111" s="64">
        <f t="shared" si="57"/>
        <v>0</v>
      </c>
      <c r="CJ111" s="64">
        <f t="shared" si="58"/>
        <v>0</v>
      </c>
      <c r="CK111" s="64">
        <f t="shared" si="59"/>
        <v>0</v>
      </c>
      <c r="CL111" s="64">
        <f t="shared" si="60"/>
        <v>0</v>
      </c>
      <c r="CM111" s="64">
        <f t="shared" si="61"/>
        <v>0</v>
      </c>
      <c r="CN111" s="64">
        <f t="shared" si="62"/>
        <v>0</v>
      </c>
      <c r="CO111" s="64">
        <f t="shared" si="63"/>
        <v>0</v>
      </c>
      <c r="CP111" s="64">
        <f t="shared" si="64"/>
        <v>0</v>
      </c>
      <c r="CQ111" s="64">
        <f t="shared" si="65"/>
        <v>0</v>
      </c>
      <c r="CR111" s="64">
        <f t="shared" si="66"/>
        <v>0</v>
      </c>
      <c r="CS111" s="64">
        <f t="shared" si="67"/>
        <v>0</v>
      </c>
      <c r="CT111" s="64">
        <f t="shared" si="68"/>
        <v>0</v>
      </c>
      <c r="CU111" s="64">
        <f t="shared" si="69"/>
        <v>0</v>
      </c>
      <c r="CV111" s="69">
        <f t="shared" si="70"/>
        <v>24.891089363240113</v>
      </c>
      <c r="CW111" s="69">
        <f t="shared" si="71"/>
        <v>913.56742191036972</v>
      </c>
      <c r="CX111" s="69">
        <f t="shared" si="45"/>
        <v>2447.6772721744037</v>
      </c>
      <c r="CY111" s="69">
        <f t="shared" si="72"/>
        <v>27809.347368421051</v>
      </c>
      <c r="CZ111" s="64">
        <f t="shared" si="46"/>
        <v>1660.9238632612025</v>
      </c>
      <c r="DA111" s="64">
        <f t="shared" si="73"/>
        <v>18870.62857142857</v>
      </c>
      <c r="DB111">
        <f t="shared" si="74"/>
        <v>0</v>
      </c>
      <c r="DC111">
        <f t="shared" si="75"/>
        <v>0</v>
      </c>
      <c r="DD111">
        <f t="shared" si="76"/>
        <v>0</v>
      </c>
      <c r="DE111">
        <f t="shared" si="77"/>
        <v>0</v>
      </c>
      <c r="DF111">
        <f t="shared" si="78"/>
        <v>0</v>
      </c>
      <c r="DG111">
        <f t="shared" si="79"/>
        <v>0</v>
      </c>
      <c r="DH111">
        <f t="shared" si="80"/>
        <v>0</v>
      </c>
      <c r="DI111">
        <f t="shared" si="81"/>
        <v>0</v>
      </c>
      <c r="DJ111">
        <f t="shared" si="82"/>
        <v>0</v>
      </c>
      <c r="DK111">
        <f t="shared" si="83"/>
        <v>0</v>
      </c>
      <c r="DL111">
        <f t="shared" si="84"/>
        <v>0</v>
      </c>
      <c r="DM111">
        <f t="shared" si="85"/>
        <v>0</v>
      </c>
      <c r="DN111">
        <f t="shared" si="86"/>
        <v>0</v>
      </c>
      <c r="DO111">
        <f t="shared" si="87"/>
        <v>0</v>
      </c>
      <c r="DP111" s="2">
        <f t="shared" si="89"/>
        <v>26</v>
      </c>
      <c r="DQ111" s="2">
        <f t="shared" si="89"/>
        <v>14</v>
      </c>
      <c r="DR111" s="2">
        <f>DR110+1</f>
        <v>2</v>
      </c>
      <c r="DS111" s="2">
        <v>0</v>
      </c>
      <c r="DT111" s="2">
        <v>0</v>
      </c>
    </row>
    <row r="112" spans="1:124" s="2" customFormat="1">
      <c r="A112" s="3">
        <v>43160</v>
      </c>
      <c r="B112">
        <f t="shared" si="48"/>
        <v>2018</v>
      </c>
      <c r="C112" s="2">
        <v>17181060</v>
      </c>
      <c r="D112" s="2">
        <f>VLOOKUP(B112,'Historic CDM'!$B$135:$H$146,2,FALSE)/12</f>
        <v>1140167.2458511787</v>
      </c>
      <c r="E112" s="2">
        <f t="shared" si="91"/>
        <v>18321227.245851178</v>
      </c>
      <c r="F112" s="5">
        <v>27579</v>
      </c>
      <c r="G112" s="219">
        <v>5178673</v>
      </c>
      <c r="H112" s="2">
        <f>VLOOKUP(B112,'Historic CDM'!$B$135:$H$147,3,FALSE)/12</f>
        <v>1108937.0655590973</v>
      </c>
      <c r="I112" s="2">
        <f t="shared" si="92"/>
        <v>6287610.0655590976</v>
      </c>
      <c r="J112" s="220">
        <v>1974</v>
      </c>
      <c r="K112" s="219">
        <v>13457060</v>
      </c>
      <c r="L112" s="2">
        <f>VLOOKUP(B112,'Historic CDM'!$B$135:$H$146,4,FALSE)/12</f>
        <v>1184612.1746571031</v>
      </c>
      <c r="M112" s="2">
        <f t="shared" si="90"/>
        <v>14641672.174657103</v>
      </c>
      <c r="N112" s="222">
        <v>41252</v>
      </c>
      <c r="O112" s="5">
        <v>249</v>
      </c>
      <c r="P112" s="219">
        <v>254288</v>
      </c>
      <c r="Q112" s="2">
        <v>727</v>
      </c>
      <c r="R112" s="5">
        <v>2758</v>
      </c>
      <c r="S112" s="220">
        <v>24513</v>
      </c>
      <c r="T112" s="2">
        <v>68</v>
      </c>
      <c r="U112" s="5">
        <v>245</v>
      </c>
      <c r="V112" s="221">
        <v>129105</v>
      </c>
      <c r="W112" s="1">
        <v>132</v>
      </c>
      <c r="X112" s="2">
        <v>2707092</v>
      </c>
      <c r="Y112" s="2">
        <v>6792</v>
      </c>
      <c r="Z112" s="5">
        <v>5</v>
      </c>
      <c r="AA112" s="100">
        <f>'Weather Data'!D208</f>
        <v>596.4</v>
      </c>
      <c r="AB112" s="100">
        <f>'Weather Data'!E208</f>
        <v>0</v>
      </c>
      <c r="AC112" s="100">
        <f>'Weather Data'!F208</f>
        <v>534.40000000000009</v>
      </c>
      <c r="AD112" s="100">
        <f>'Weather Data'!G208</f>
        <v>0</v>
      </c>
      <c r="AE112" s="100">
        <f>'Weather Data'!H208</f>
        <v>472.40000000000003</v>
      </c>
      <c r="AF112" s="100">
        <f>'Weather Data'!I208</f>
        <v>0</v>
      </c>
      <c r="AG112" s="100">
        <f>'Weather Data'!J208</f>
        <v>410.40000000000009</v>
      </c>
      <c r="AH112" s="100">
        <f>'Weather Data'!K208</f>
        <v>0</v>
      </c>
      <c r="AI112" s="100">
        <f>'Weather Data'!L208</f>
        <v>348.40000000000009</v>
      </c>
      <c r="AJ112" s="100">
        <f>'Weather Data'!M208</f>
        <v>0</v>
      </c>
      <c r="AK112" s="100">
        <f>'Weather Data'!N208</f>
        <v>286.40000000000003</v>
      </c>
      <c r="AL112" s="100">
        <f>'Weather Data'!O208</f>
        <v>0</v>
      </c>
      <c r="AM112" s="100">
        <f>'Weather Data'!P208</f>
        <v>224.4</v>
      </c>
      <c r="AN112" s="100">
        <f>'Weather Data'!Q208</f>
        <v>0</v>
      </c>
      <c r="AO112" s="100">
        <f>'Weather Data'!R208</f>
        <v>0.76129032258064511</v>
      </c>
      <c r="AP112" s="5">
        <f>'Economic Data'!D78</f>
        <v>7188.8</v>
      </c>
      <c r="AQ112" s="5">
        <f>'Economic Data'!E78</f>
        <v>7084.1</v>
      </c>
      <c r="AR112" s="5">
        <f>'Economic Data'!F78</f>
        <v>165.6</v>
      </c>
      <c r="AS112" s="5">
        <f>'Economic Data'!G78</f>
        <v>163.19999999999999</v>
      </c>
      <c r="AT112" s="5">
        <f>'Economic Data'!H78</f>
        <v>789531.6</v>
      </c>
      <c r="AU112" s="5">
        <f>'Economic Data'!I78</f>
        <v>7545.5</v>
      </c>
      <c r="AV112" s="5">
        <f>'Economic Data'!J78</f>
        <v>6450.3</v>
      </c>
      <c r="AW112" s="5">
        <f>'Economic Data'!K78</f>
        <v>4822.2</v>
      </c>
      <c r="AX112" s="5">
        <f>'Economic Data'!L78</f>
        <v>975.3</v>
      </c>
      <c r="AY112" s="5">
        <f>'Economic Data'!M78</f>
        <v>828.8</v>
      </c>
      <c r="AZ112" s="5">
        <f>'Economic Data'!N78</f>
        <v>7677.9</v>
      </c>
      <c r="BA112" s="5">
        <f>'Economic Data'!O78</f>
        <v>120.2</v>
      </c>
      <c r="BB112" s="5">
        <f>'Economic Data'!P78</f>
        <v>138.5</v>
      </c>
      <c r="BC112" s="5">
        <f>'Economic Data'!Q78</f>
        <v>779459</v>
      </c>
      <c r="BD112" s="5">
        <f>'Economic Data'!R78</f>
        <v>7503</v>
      </c>
      <c r="BE112" s="5">
        <f>'Economic Data'!S78</f>
        <v>3689</v>
      </c>
      <c r="BF112" s="5">
        <f>'Economic Data'!T78</f>
        <v>13681</v>
      </c>
      <c r="BG112" s="5">
        <f>'EV Data'!V17</f>
        <v>10928</v>
      </c>
      <c r="BH112" s="5">
        <f>'EV Data'!AB17</f>
        <v>62.999999999999993</v>
      </c>
      <c r="BI112" s="5">
        <f>'EV Data'!W17</f>
        <v>235</v>
      </c>
      <c r="BJ112" s="5">
        <f t="shared" si="52"/>
        <v>63</v>
      </c>
      <c r="BK112" s="70">
        <f t="shared" si="53"/>
        <v>1.7993405494535817</v>
      </c>
      <c r="BL112" s="5">
        <f t="shared" si="54"/>
        <v>3969</v>
      </c>
      <c r="BM112">
        <v>0</v>
      </c>
      <c r="BN112">
        <v>0</v>
      </c>
      <c r="BO112">
        <v>1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f t="shared" si="94"/>
        <v>1</v>
      </c>
      <c r="BZ112">
        <f t="shared" si="94"/>
        <v>0</v>
      </c>
      <c r="CA112">
        <f t="shared" si="55"/>
        <v>1</v>
      </c>
      <c r="CB112">
        <v>31</v>
      </c>
      <c r="CC112">
        <v>21</v>
      </c>
      <c r="CD112">
        <v>0</v>
      </c>
      <c r="CE112">
        <v>0</v>
      </c>
      <c r="CF112">
        <f t="shared" si="93"/>
        <v>0</v>
      </c>
      <c r="CG112">
        <v>0</v>
      </c>
      <c r="CH112" s="64">
        <f t="shared" si="56"/>
        <v>0</v>
      </c>
      <c r="CI112" s="64">
        <f t="shared" si="57"/>
        <v>0</v>
      </c>
      <c r="CJ112" s="64">
        <f t="shared" si="58"/>
        <v>0</v>
      </c>
      <c r="CK112" s="64">
        <f t="shared" si="59"/>
        <v>0</v>
      </c>
      <c r="CL112" s="64">
        <f t="shared" si="60"/>
        <v>0</v>
      </c>
      <c r="CM112" s="64">
        <f t="shared" si="61"/>
        <v>0</v>
      </c>
      <c r="CN112" s="64">
        <f t="shared" si="62"/>
        <v>0</v>
      </c>
      <c r="CO112" s="64">
        <f t="shared" si="63"/>
        <v>0</v>
      </c>
      <c r="CP112" s="64">
        <f t="shared" si="64"/>
        <v>0</v>
      </c>
      <c r="CQ112" s="64">
        <f t="shared" si="65"/>
        <v>0</v>
      </c>
      <c r="CR112" s="64">
        <f t="shared" si="66"/>
        <v>0</v>
      </c>
      <c r="CS112" s="64">
        <f t="shared" si="67"/>
        <v>0</v>
      </c>
      <c r="CT112" s="64">
        <f t="shared" si="68"/>
        <v>0</v>
      </c>
      <c r="CU112" s="64">
        <f t="shared" si="69"/>
        <v>0</v>
      </c>
      <c r="CV112" s="69">
        <f t="shared" si="70"/>
        <v>21.429614217750039</v>
      </c>
      <c r="CW112" s="69">
        <f t="shared" si="71"/>
        <v>814.56277569103486</v>
      </c>
      <c r="CX112" s="69">
        <f t="shared" si="45"/>
        <v>2800.0902992268316</v>
      </c>
      <c r="CY112" s="69">
        <f t="shared" si="72"/>
        <v>25781.82857142857</v>
      </c>
      <c r="CZ112" s="64">
        <f t="shared" si="46"/>
        <v>1896.8353639923698</v>
      </c>
      <c r="DA112" s="64">
        <f t="shared" si="73"/>
        <v>17465.109677419354</v>
      </c>
      <c r="DB112">
        <f t="shared" si="74"/>
        <v>0</v>
      </c>
      <c r="DC112">
        <f t="shared" si="75"/>
        <v>0</v>
      </c>
      <c r="DD112">
        <f t="shared" si="76"/>
        <v>0</v>
      </c>
      <c r="DE112">
        <f t="shared" si="77"/>
        <v>0</v>
      </c>
      <c r="DF112">
        <f t="shared" si="78"/>
        <v>0</v>
      </c>
      <c r="DG112">
        <f t="shared" si="79"/>
        <v>0</v>
      </c>
      <c r="DH112">
        <f t="shared" si="80"/>
        <v>0</v>
      </c>
      <c r="DI112">
        <f t="shared" si="81"/>
        <v>0</v>
      </c>
      <c r="DJ112">
        <f t="shared" si="82"/>
        <v>0</v>
      </c>
      <c r="DK112">
        <f t="shared" si="83"/>
        <v>0</v>
      </c>
      <c r="DL112">
        <f t="shared" si="84"/>
        <v>0</v>
      </c>
      <c r="DM112">
        <f t="shared" si="85"/>
        <v>0</v>
      </c>
      <c r="DN112">
        <f t="shared" si="86"/>
        <v>0</v>
      </c>
      <c r="DO112">
        <f t="shared" si="87"/>
        <v>0</v>
      </c>
      <c r="DP112" s="2">
        <f t="shared" si="89"/>
        <v>27</v>
      </c>
      <c r="DQ112" s="2">
        <f t="shared" si="89"/>
        <v>15</v>
      </c>
      <c r="DR112" s="2">
        <f t="shared" si="89"/>
        <v>3</v>
      </c>
      <c r="DS112" s="2">
        <v>0</v>
      </c>
      <c r="DT112" s="2">
        <v>0</v>
      </c>
    </row>
    <row r="113" spans="1:124" s="2" customFormat="1">
      <c r="A113" s="3">
        <v>43191</v>
      </c>
      <c r="B113">
        <f t="shared" si="48"/>
        <v>2018</v>
      </c>
      <c r="C113" s="2">
        <v>16307601</v>
      </c>
      <c r="D113" s="2">
        <f>VLOOKUP(B113,'Historic CDM'!$B$135:$H$146,2,FALSE)/12</f>
        <v>1140167.2458511787</v>
      </c>
      <c r="E113" s="2">
        <f t="shared" si="91"/>
        <v>17447768.245851178</v>
      </c>
      <c r="F113" s="5">
        <v>27607</v>
      </c>
      <c r="G113" s="219">
        <v>4816122</v>
      </c>
      <c r="H113" s="2">
        <f>VLOOKUP(B113,'Historic CDM'!$B$135:$H$147,3,FALSE)/12</f>
        <v>1108937.0655590973</v>
      </c>
      <c r="I113" s="2">
        <f t="shared" si="92"/>
        <v>5925059.0655590976</v>
      </c>
      <c r="J113" s="220">
        <v>1973</v>
      </c>
      <c r="K113" s="219">
        <v>12478886</v>
      </c>
      <c r="L113" s="2">
        <f>VLOOKUP(B113,'Historic CDM'!$B$135:$H$146,4,FALSE)/12</f>
        <v>1184612.1746571031</v>
      </c>
      <c r="M113" s="2">
        <f t="shared" si="90"/>
        <v>13663498.174657103</v>
      </c>
      <c r="N113" s="222">
        <v>39485</v>
      </c>
      <c r="O113" s="5">
        <v>249</v>
      </c>
      <c r="P113" s="219">
        <v>213603</v>
      </c>
      <c r="Q113" s="2">
        <v>727</v>
      </c>
      <c r="R113" s="5">
        <v>2758</v>
      </c>
      <c r="S113" s="220">
        <v>24616</v>
      </c>
      <c r="T113" s="2">
        <v>69</v>
      </c>
      <c r="U113" s="5">
        <v>243</v>
      </c>
      <c r="V113" s="221">
        <v>129105</v>
      </c>
      <c r="W113" s="1">
        <v>132</v>
      </c>
      <c r="X113" s="2">
        <v>2546244</v>
      </c>
      <c r="Y113" s="2">
        <v>12526</v>
      </c>
      <c r="Z113" s="5">
        <v>5</v>
      </c>
      <c r="AA113" s="100">
        <f>'Weather Data'!D209</f>
        <v>455.59999999999997</v>
      </c>
      <c r="AB113" s="100">
        <f>'Weather Data'!E209</f>
        <v>0</v>
      </c>
      <c r="AC113" s="100">
        <f>'Weather Data'!F209</f>
        <v>395.6</v>
      </c>
      <c r="AD113" s="100">
        <f>'Weather Data'!G209</f>
        <v>0</v>
      </c>
      <c r="AE113" s="100">
        <f>'Weather Data'!H209</f>
        <v>335.59999999999997</v>
      </c>
      <c r="AF113" s="100">
        <f>'Weather Data'!I209</f>
        <v>0</v>
      </c>
      <c r="AG113" s="100">
        <f>'Weather Data'!J209</f>
        <v>275.70000000000005</v>
      </c>
      <c r="AH113" s="100">
        <f>'Weather Data'!K209</f>
        <v>9.9999999999999645E-2</v>
      </c>
      <c r="AI113" s="100">
        <f>'Weather Data'!L209</f>
        <v>217.89999999999998</v>
      </c>
      <c r="AJ113" s="100">
        <f>'Weather Data'!M209</f>
        <v>2.2999999999999989</v>
      </c>
      <c r="AK113" s="100">
        <f>'Weather Data'!N209</f>
        <v>165</v>
      </c>
      <c r="AL113" s="100">
        <f>'Weather Data'!O209</f>
        <v>9.4</v>
      </c>
      <c r="AM113" s="100">
        <f>'Weather Data'!P209</f>
        <v>116.89999999999999</v>
      </c>
      <c r="AN113" s="100">
        <f>'Weather Data'!Q209</f>
        <v>21.3</v>
      </c>
      <c r="AO113" s="100">
        <f>'Weather Data'!R209</f>
        <v>4.8133333333333344</v>
      </c>
      <c r="AP113" s="5">
        <f>'Economic Data'!D79</f>
        <v>7201.1</v>
      </c>
      <c r="AQ113" s="5">
        <f>'Economic Data'!E79</f>
        <v>7111.6</v>
      </c>
      <c r="AR113" s="5">
        <f>'Economic Data'!F79</f>
        <v>166</v>
      </c>
      <c r="AS113" s="5">
        <f>'Economic Data'!G79</f>
        <v>165.1</v>
      </c>
      <c r="AT113" s="5">
        <f>'Economic Data'!H79</f>
        <v>789531.6</v>
      </c>
      <c r="AU113" s="5">
        <f>'Economic Data'!I79</f>
        <v>7545.5</v>
      </c>
      <c r="AV113" s="5">
        <f>'Economic Data'!J79</f>
        <v>6450.3</v>
      </c>
      <c r="AW113" s="5">
        <f>'Economic Data'!K79</f>
        <v>4822.2</v>
      </c>
      <c r="AX113" s="5">
        <f>'Economic Data'!L79</f>
        <v>975.3</v>
      </c>
      <c r="AY113" s="5">
        <f>'Economic Data'!M79</f>
        <v>828.8</v>
      </c>
      <c r="AZ113" s="5">
        <f>'Economic Data'!N79</f>
        <v>7677.9</v>
      </c>
      <c r="BA113" s="5">
        <f>'Economic Data'!O79</f>
        <v>120.2</v>
      </c>
      <c r="BB113" s="5">
        <f>'Economic Data'!P79</f>
        <v>138.5</v>
      </c>
      <c r="BC113" s="5">
        <f>'Economic Data'!Q79</f>
        <v>784896</v>
      </c>
      <c r="BD113" s="5">
        <f>'Economic Data'!R79</f>
        <v>7580</v>
      </c>
      <c r="BE113" s="5">
        <f>'Economic Data'!S79</f>
        <v>3756</v>
      </c>
      <c r="BF113" s="5">
        <f>'Economic Data'!T79</f>
        <v>13459</v>
      </c>
      <c r="BG113" s="5">
        <f>'EV Data'!V18</f>
        <v>13243.333333333334</v>
      </c>
      <c r="BH113" s="5">
        <f>'EV Data'!AB18</f>
        <v>73.333333333333329</v>
      </c>
      <c r="BI113" s="5">
        <f>'EV Data'!W18</f>
        <v>264.66666666666669</v>
      </c>
      <c r="BJ113" s="5">
        <f t="shared" si="52"/>
        <v>64</v>
      </c>
      <c r="BK113" s="70">
        <f t="shared" si="53"/>
        <v>1.8061799739838871</v>
      </c>
      <c r="BL113" s="5">
        <f t="shared" si="54"/>
        <v>4096</v>
      </c>
      <c r="BM113">
        <v>0</v>
      </c>
      <c r="BN113">
        <v>0</v>
      </c>
      <c r="BO113">
        <v>0</v>
      </c>
      <c r="BP113">
        <v>1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f t="shared" si="94"/>
        <v>1</v>
      </c>
      <c r="BZ113">
        <f t="shared" si="94"/>
        <v>0</v>
      </c>
      <c r="CA113">
        <f t="shared" si="55"/>
        <v>1</v>
      </c>
      <c r="CB113">
        <v>30</v>
      </c>
      <c r="CC113">
        <v>21</v>
      </c>
      <c r="CD113">
        <v>0</v>
      </c>
      <c r="CE113">
        <v>0</v>
      </c>
      <c r="CF113">
        <f t="shared" si="93"/>
        <v>0</v>
      </c>
      <c r="CG113">
        <v>0</v>
      </c>
      <c r="CH113" s="64">
        <f t="shared" si="56"/>
        <v>0</v>
      </c>
      <c r="CI113" s="64">
        <f t="shared" si="57"/>
        <v>0</v>
      </c>
      <c r="CJ113" s="64">
        <f t="shared" si="58"/>
        <v>0</v>
      </c>
      <c r="CK113" s="64">
        <f t="shared" si="59"/>
        <v>0</v>
      </c>
      <c r="CL113" s="64">
        <f t="shared" si="60"/>
        <v>0</v>
      </c>
      <c r="CM113" s="64">
        <f t="shared" si="61"/>
        <v>0</v>
      </c>
      <c r="CN113" s="64">
        <f t="shared" si="62"/>
        <v>0</v>
      </c>
      <c r="CO113" s="64">
        <f t="shared" si="63"/>
        <v>0</v>
      </c>
      <c r="CP113" s="64">
        <f t="shared" si="64"/>
        <v>0</v>
      </c>
      <c r="CQ113" s="64">
        <f t="shared" si="65"/>
        <v>0</v>
      </c>
      <c r="CR113" s="64">
        <f t="shared" si="66"/>
        <v>0</v>
      </c>
      <c r="CS113" s="64">
        <f t="shared" si="67"/>
        <v>0</v>
      </c>
      <c r="CT113" s="64">
        <f t="shared" si="68"/>
        <v>0</v>
      </c>
      <c r="CU113" s="64">
        <f t="shared" si="69"/>
        <v>0</v>
      </c>
      <c r="CV113" s="69">
        <f t="shared" si="70"/>
        <v>21.066840832459373</v>
      </c>
      <c r="CW113" s="69">
        <f t="shared" si="71"/>
        <v>793.18059779907605</v>
      </c>
      <c r="CX113" s="69">
        <f t="shared" si="45"/>
        <v>2613.0231735813927</v>
      </c>
      <c r="CY113" s="69">
        <f t="shared" si="72"/>
        <v>24249.942857142858</v>
      </c>
      <c r="CZ113" s="64">
        <f t="shared" si="46"/>
        <v>1829.1162215069749</v>
      </c>
      <c r="DA113" s="64">
        <f t="shared" si="73"/>
        <v>16974.96</v>
      </c>
      <c r="DB113">
        <f t="shared" si="74"/>
        <v>0</v>
      </c>
      <c r="DC113">
        <f t="shared" si="75"/>
        <v>0</v>
      </c>
      <c r="DD113">
        <f t="shared" si="76"/>
        <v>0</v>
      </c>
      <c r="DE113">
        <f t="shared" si="77"/>
        <v>0</v>
      </c>
      <c r="DF113">
        <f t="shared" si="78"/>
        <v>0</v>
      </c>
      <c r="DG113">
        <f t="shared" si="79"/>
        <v>0</v>
      </c>
      <c r="DH113">
        <f t="shared" si="80"/>
        <v>0</v>
      </c>
      <c r="DI113">
        <f t="shared" si="81"/>
        <v>0</v>
      </c>
      <c r="DJ113">
        <f t="shared" si="82"/>
        <v>0</v>
      </c>
      <c r="DK113">
        <f t="shared" si="83"/>
        <v>0</v>
      </c>
      <c r="DL113">
        <f t="shared" si="84"/>
        <v>0</v>
      </c>
      <c r="DM113">
        <f t="shared" si="85"/>
        <v>0</v>
      </c>
      <c r="DN113">
        <f t="shared" si="86"/>
        <v>0</v>
      </c>
      <c r="DO113">
        <f t="shared" si="87"/>
        <v>0</v>
      </c>
      <c r="DP113" s="2">
        <f t="shared" si="89"/>
        <v>28</v>
      </c>
      <c r="DQ113" s="2">
        <f t="shared" si="89"/>
        <v>16</v>
      </c>
      <c r="DR113" s="2">
        <f t="shared" si="89"/>
        <v>4</v>
      </c>
      <c r="DS113" s="2">
        <v>0</v>
      </c>
      <c r="DT113" s="2">
        <v>0</v>
      </c>
    </row>
    <row r="114" spans="1:124" s="2" customFormat="1">
      <c r="A114" s="3">
        <v>43221</v>
      </c>
      <c r="B114">
        <f t="shared" si="48"/>
        <v>2018</v>
      </c>
      <c r="C114" s="2">
        <v>19314153</v>
      </c>
      <c r="D114" s="2">
        <f>VLOOKUP(B114,'Historic CDM'!$B$135:$H$146,2,FALSE)/12</f>
        <v>1140167.2458511787</v>
      </c>
      <c r="E114" s="2">
        <f t="shared" si="91"/>
        <v>20454320.245851178</v>
      </c>
      <c r="F114" s="5">
        <v>27616</v>
      </c>
      <c r="G114" s="219">
        <v>5418952</v>
      </c>
      <c r="H114" s="2">
        <f>VLOOKUP(B114,'Historic CDM'!$B$135:$H$147,3,FALSE)/12</f>
        <v>1108937.0655590973</v>
      </c>
      <c r="I114" s="2">
        <f t="shared" si="92"/>
        <v>6527889.0655590976</v>
      </c>
      <c r="J114" s="220">
        <v>1973</v>
      </c>
      <c r="K114" s="219">
        <v>13260231</v>
      </c>
      <c r="L114" s="2">
        <f>VLOOKUP(B114,'Historic CDM'!$B$135:$H$146,4,FALSE)/12</f>
        <v>1184612.1746571031</v>
      </c>
      <c r="M114" s="2">
        <f t="shared" si="90"/>
        <v>14444843.174657103</v>
      </c>
      <c r="N114" s="222">
        <v>45424</v>
      </c>
      <c r="O114" s="5">
        <v>249</v>
      </c>
      <c r="P114" s="219">
        <v>192351</v>
      </c>
      <c r="Q114" s="2">
        <v>727</v>
      </c>
      <c r="R114" s="5">
        <v>2758</v>
      </c>
      <c r="S114" s="220">
        <v>24477</v>
      </c>
      <c r="T114" s="2">
        <v>68</v>
      </c>
      <c r="U114" s="5">
        <v>243</v>
      </c>
      <c r="V114" s="221">
        <v>129105</v>
      </c>
      <c r="W114" s="1">
        <v>132</v>
      </c>
      <c r="X114" s="2">
        <v>2646635</v>
      </c>
      <c r="Y114" s="2">
        <v>7812</v>
      </c>
      <c r="Z114" s="5">
        <v>5</v>
      </c>
      <c r="AA114" s="100">
        <f>'Weather Data'!D210</f>
        <v>105.4</v>
      </c>
      <c r="AB114" s="100">
        <f>'Weather Data'!E210</f>
        <v>30.400000000000006</v>
      </c>
      <c r="AC114" s="100">
        <f>'Weather Data'!F210</f>
        <v>62.900000000000006</v>
      </c>
      <c r="AD114" s="100">
        <f>'Weather Data'!G210</f>
        <v>49.900000000000006</v>
      </c>
      <c r="AE114" s="100">
        <f>'Weather Data'!H210</f>
        <v>33.099999999999994</v>
      </c>
      <c r="AF114" s="100">
        <f>'Weather Data'!I210</f>
        <v>82.1</v>
      </c>
      <c r="AG114" s="100">
        <f>'Weather Data'!J210</f>
        <v>16.699999999999996</v>
      </c>
      <c r="AH114" s="100">
        <f>'Weather Data'!K210</f>
        <v>127.69999999999999</v>
      </c>
      <c r="AI114" s="100">
        <f>'Weather Data'!L210</f>
        <v>9.1</v>
      </c>
      <c r="AJ114" s="100">
        <f>'Weather Data'!M210</f>
        <v>182.1</v>
      </c>
      <c r="AK114" s="100">
        <f>'Weather Data'!N210</f>
        <v>4.7</v>
      </c>
      <c r="AL114" s="100">
        <f>'Weather Data'!O210</f>
        <v>239.70000000000002</v>
      </c>
      <c r="AM114" s="100">
        <f>'Weather Data'!P210</f>
        <v>1.2000000000000002</v>
      </c>
      <c r="AN114" s="100">
        <f>'Weather Data'!Q210</f>
        <v>298.20000000000005</v>
      </c>
      <c r="AO114" s="100">
        <f>'Weather Data'!R210</f>
        <v>17.580645161290327</v>
      </c>
      <c r="AP114" s="5">
        <f>'Economic Data'!D80</f>
        <v>7208.5</v>
      </c>
      <c r="AQ114" s="5">
        <f>'Economic Data'!E80</f>
        <v>7176</v>
      </c>
      <c r="AR114" s="5">
        <f>'Economic Data'!F80</f>
        <v>166.1</v>
      </c>
      <c r="AS114" s="5">
        <f>'Economic Data'!G80</f>
        <v>166.2</v>
      </c>
      <c r="AT114" s="5">
        <f>'Economic Data'!H80</f>
        <v>789531.6</v>
      </c>
      <c r="AU114" s="5">
        <f>'Economic Data'!I80</f>
        <v>7545.5</v>
      </c>
      <c r="AV114" s="5">
        <f>'Economic Data'!J80</f>
        <v>6450.3</v>
      </c>
      <c r="AW114" s="5">
        <f>'Economic Data'!K80</f>
        <v>4822.2</v>
      </c>
      <c r="AX114" s="5">
        <f>'Economic Data'!L80</f>
        <v>975.3</v>
      </c>
      <c r="AY114" s="5">
        <f>'Economic Data'!M80</f>
        <v>828.8</v>
      </c>
      <c r="AZ114" s="5">
        <f>'Economic Data'!N80</f>
        <v>7677.9</v>
      </c>
      <c r="BA114" s="5">
        <f>'Economic Data'!O80</f>
        <v>120.2</v>
      </c>
      <c r="BB114" s="5">
        <f>'Economic Data'!P80</f>
        <v>138.5</v>
      </c>
      <c r="BC114" s="5">
        <f>'Economic Data'!Q80</f>
        <v>784896</v>
      </c>
      <c r="BD114" s="5">
        <f>'Economic Data'!R80</f>
        <v>7580</v>
      </c>
      <c r="BE114" s="5">
        <f>'Economic Data'!S80</f>
        <v>3756</v>
      </c>
      <c r="BF114" s="5">
        <f>'Economic Data'!T80</f>
        <v>13459</v>
      </c>
      <c r="BG114" s="5">
        <f>'EV Data'!V19</f>
        <v>15558.666666666668</v>
      </c>
      <c r="BH114" s="5">
        <f>'EV Data'!AB19</f>
        <v>83.666666666666657</v>
      </c>
      <c r="BI114" s="5">
        <f>'EV Data'!W19</f>
        <v>294.33333333333337</v>
      </c>
      <c r="BJ114" s="5">
        <f t="shared" si="52"/>
        <v>65</v>
      </c>
      <c r="BK114" s="70">
        <f t="shared" si="53"/>
        <v>1.8129133566428555</v>
      </c>
      <c r="BL114" s="5">
        <f t="shared" si="54"/>
        <v>4225</v>
      </c>
      <c r="BM114">
        <v>0</v>
      </c>
      <c r="BN114">
        <v>0</v>
      </c>
      <c r="BO114">
        <v>0</v>
      </c>
      <c r="BP114">
        <v>0</v>
      </c>
      <c r="BQ114">
        <v>1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f t="shared" si="94"/>
        <v>1</v>
      </c>
      <c r="BZ114">
        <f t="shared" si="94"/>
        <v>0</v>
      </c>
      <c r="CA114">
        <f t="shared" si="55"/>
        <v>1</v>
      </c>
      <c r="CB114">
        <v>31</v>
      </c>
      <c r="CC114">
        <v>22</v>
      </c>
      <c r="CD114">
        <v>0</v>
      </c>
      <c r="CE114">
        <v>0</v>
      </c>
      <c r="CF114">
        <f t="shared" si="93"/>
        <v>0</v>
      </c>
      <c r="CG114">
        <v>0</v>
      </c>
      <c r="CH114" s="64">
        <f t="shared" ref="CH114:CH145" si="95">AA114*$CD114</f>
        <v>0</v>
      </c>
      <c r="CI114" s="64">
        <f t="shared" ref="CI114:CI145" si="96">AB114*$CD114</f>
        <v>0</v>
      </c>
      <c r="CJ114" s="64">
        <f t="shared" ref="CJ114:CJ145" si="97">AC114*$CD114</f>
        <v>0</v>
      </c>
      <c r="CK114" s="64">
        <f t="shared" ref="CK114:CK145" si="98">AD114*$CD114</f>
        <v>0</v>
      </c>
      <c r="CL114" s="64">
        <f t="shared" ref="CL114:CL145" si="99">AE114*$CD114</f>
        <v>0</v>
      </c>
      <c r="CM114" s="64">
        <f t="shared" ref="CM114:CM145" si="100">AF114*$CD114</f>
        <v>0</v>
      </c>
      <c r="CN114" s="64">
        <f t="shared" ref="CN114:CN145" si="101">AG114*$CD114</f>
        <v>0</v>
      </c>
      <c r="CO114" s="64">
        <f t="shared" ref="CO114:CO145" si="102">AH114*$CD114</f>
        <v>0</v>
      </c>
      <c r="CP114" s="64">
        <f t="shared" ref="CP114:CP145" si="103">AI114*$CD114</f>
        <v>0</v>
      </c>
      <c r="CQ114" s="64">
        <f t="shared" ref="CQ114:CQ145" si="104">AJ114*$CD114</f>
        <v>0</v>
      </c>
      <c r="CR114" s="64">
        <f t="shared" ref="CR114:CR145" si="105">AK114*$CD114</f>
        <v>0</v>
      </c>
      <c r="CS114" s="64">
        <f t="shared" ref="CS114:CS145" si="106">AL114*$CD114</f>
        <v>0</v>
      </c>
      <c r="CT114" s="64">
        <f t="shared" ref="CT114:CT145" si="107">AM114*$CD114</f>
        <v>0</v>
      </c>
      <c r="CU114" s="64">
        <f t="shared" ref="CU114:CU145" si="108">AN114*$CD114</f>
        <v>0</v>
      </c>
      <c r="CV114" s="69">
        <f t="shared" ref="CV114:CV145" si="109">E114/$CB114/F114</f>
        <v>23.892554393258674</v>
      </c>
      <c r="CW114" s="69">
        <f t="shared" ref="CW114:CW145" si="110">I114/$CB114/O114</f>
        <v>845.69103064633998</v>
      </c>
      <c r="CX114" s="69">
        <f t="shared" si="45"/>
        <v>2636.8826532780399</v>
      </c>
      <c r="CY114" s="69">
        <f t="shared" ref="CY114:CY145" si="111">X114/$CC114/Z114</f>
        <v>24060.318181818184</v>
      </c>
      <c r="CZ114" s="64">
        <f t="shared" si="46"/>
        <v>1871.3360765198993</v>
      </c>
      <c r="DA114" s="64">
        <f t="shared" ref="DA114:DA145" si="112">X114/$CB114/Z114</f>
        <v>17075.064516129034</v>
      </c>
      <c r="DB114">
        <f t="shared" ref="DB114:DB145" si="113">$CF114*AA114</f>
        <v>0</v>
      </c>
      <c r="DC114">
        <f t="shared" ref="DC114:DC145" si="114">$CF114*AB114</f>
        <v>0</v>
      </c>
      <c r="DD114">
        <f t="shared" ref="DD114:DD145" si="115">$CF114*AC114</f>
        <v>0</v>
      </c>
      <c r="DE114">
        <f t="shared" ref="DE114:DE145" si="116">$CF114*AD114</f>
        <v>0</v>
      </c>
      <c r="DF114">
        <f t="shared" ref="DF114:DF145" si="117">$CF114*AE114</f>
        <v>0</v>
      </c>
      <c r="DG114">
        <f t="shared" ref="DG114:DG145" si="118">$CF114*AF114</f>
        <v>0</v>
      </c>
      <c r="DH114">
        <f t="shared" ref="DH114:DH145" si="119">$CF114*AG114</f>
        <v>0</v>
      </c>
      <c r="DI114">
        <f t="shared" ref="DI114:DI145" si="120">$CF114*AH114</f>
        <v>0</v>
      </c>
      <c r="DJ114">
        <f t="shared" ref="DJ114:DJ145" si="121">$CF114*AI114</f>
        <v>0</v>
      </c>
      <c r="DK114">
        <f t="shared" ref="DK114:DK145" si="122">$CF114*AJ114</f>
        <v>0</v>
      </c>
      <c r="DL114">
        <f t="shared" ref="DL114:DL145" si="123">$CF114*AK114</f>
        <v>0</v>
      </c>
      <c r="DM114">
        <f t="shared" ref="DM114:DM145" si="124">$CF114*AL114</f>
        <v>0</v>
      </c>
      <c r="DN114">
        <f t="shared" ref="DN114:DN145" si="125">$CF114*AM114</f>
        <v>0</v>
      </c>
      <c r="DO114">
        <f t="shared" ref="DO114:DO145" si="126">$CF114*AN114</f>
        <v>0</v>
      </c>
      <c r="DP114" s="2">
        <f t="shared" si="89"/>
        <v>29</v>
      </c>
      <c r="DQ114" s="2">
        <f t="shared" si="89"/>
        <v>17</v>
      </c>
      <c r="DR114" s="2">
        <f t="shared" si="89"/>
        <v>5</v>
      </c>
      <c r="DS114" s="2">
        <v>0</v>
      </c>
      <c r="DT114" s="2">
        <v>0</v>
      </c>
    </row>
    <row r="115" spans="1:124" s="2" customFormat="1">
      <c r="A115" s="3">
        <v>43252</v>
      </c>
      <c r="B115">
        <f t="shared" si="48"/>
        <v>2018</v>
      </c>
      <c r="C115" s="2">
        <v>24809417</v>
      </c>
      <c r="D115" s="2">
        <f>VLOOKUP(B115,'Historic CDM'!$B$135:$H$146,2,FALSE)/12</f>
        <v>1140167.2458511787</v>
      </c>
      <c r="E115" s="2">
        <f t="shared" si="91"/>
        <v>25949584.245851178</v>
      </c>
      <c r="F115" s="5">
        <v>27618</v>
      </c>
      <c r="G115" s="219">
        <v>5852245</v>
      </c>
      <c r="H115" s="2">
        <f>VLOOKUP(B115,'Historic CDM'!$B$135:$H$147,3,FALSE)/12</f>
        <v>1108937.0655590973</v>
      </c>
      <c r="I115" s="2">
        <f t="shared" si="92"/>
        <v>6961182.0655590976</v>
      </c>
      <c r="J115" s="220">
        <v>1985</v>
      </c>
      <c r="K115" s="219">
        <v>14440952</v>
      </c>
      <c r="L115" s="2">
        <f>VLOOKUP(B115,'Historic CDM'!$B$135:$H$146,4,FALSE)/12</f>
        <v>1184612.1746571031</v>
      </c>
      <c r="M115" s="2">
        <f t="shared" si="90"/>
        <v>15625564.174657103</v>
      </c>
      <c r="N115" s="222">
        <v>50010</v>
      </c>
      <c r="O115" s="5">
        <v>244</v>
      </c>
      <c r="P115" s="219">
        <v>170340</v>
      </c>
      <c r="Q115" s="2">
        <v>731</v>
      </c>
      <c r="R115" s="5">
        <v>2760</v>
      </c>
      <c r="S115" s="220">
        <v>24591</v>
      </c>
      <c r="T115" s="2">
        <v>69</v>
      </c>
      <c r="U115" s="5">
        <v>243</v>
      </c>
      <c r="V115" s="221">
        <v>129105</v>
      </c>
      <c r="W115" s="1">
        <v>132</v>
      </c>
      <c r="X115" s="2">
        <v>2755014</v>
      </c>
      <c r="Y115" s="2">
        <v>11130</v>
      </c>
      <c r="Z115" s="5">
        <v>5</v>
      </c>
      <c r="AA115" s="100">
        <f>'Weather Data'!D211</f>
        <v>25.500000000000004</v>
      </c>
      <c r="AB115" s="100">
        <f>'Weather Data'!E211</f>
        <v>51.8</v>
      </c>
      <c r="AC115" s="100">
        <f>'Weather Data'!F211</f>
        <v>7.6000000000000014</v>
      </c>
      <c r="AD115" s="100">
        <f>'Weather Data'!G211</f>
        <v>93.9</v>
      </c>
      <c r="AE115" s="100">
        <f>'Weather Data'!H211</f>
        <v>2.5</v>
      </c>
      <c r="AF115" s="100">
        <f>'Weather Data'!I211</f>
        <v>148.80000000000001</v>
      </c>
      <c r="AG115" s="100">
        <f>'Weather Data'!J211</f>
        <v>0</v>
      </c>
      <c r="AH115" s="100">
        <f>'Weather Data'!K211</f>
        <v>206.29999999999998</v>
      </c>
      <c r="AI115" s="100">
        <f>'Weather Data'!L211</f>
        <v>0</v>
      </c>
      <c r="AJ115" s="100">
        <f>'Weather Data'!M211</f>
        <v>266.29999999999995</v>
      </c>
      <c r="AK115" s="100">
        <f>'Weather Data'!N211</f>
        <v>0</v>
      </c>
      <c r="AL115" s="100">
        <f>'Weather Data'!O211</f>
        <v>326.29999999999995</v>
      </c>
      <c r="AM115" s="100">
        <f>'Weather Data'!P211</f>
        <v>0</v>
      </c>
      <c r="AN115" s="100">
        <f>'Weather Data'!Q211</f>
        <v>386.29999999999995</v>
      </c>
      <c r="AO115" s="100">
        <f>'Weather Data'!R211</f>
        <v>20.876666666666669</v>
      </c>
      <c r="AP115" s="5">
        <f>'Economic Data'!D81</f>
        <v>7221.1</v>
      </c>
      <c r="AQ115" s="5">
        <f>'Economic Data'!E81</f>
        <v>7264.3</v>
      </c>
      <c r="AR115" s="5">
        <f>'Economic Data'!F81</f>
        <v>164.3</v>
      </c>
      <c r="AS115" s="5">
        <f>'Economic Data'!G81</f>
        <v>165.8</v>
      </c>
      <c r="AT115" s="5">
        <f>'Economic Data'!H81</f>
        <v>789531.6</v>
      </c>
      <c r="AU115" s="5">
        <f>'Economic Data'!I81</f>
        <v>7545.5</v>
      </c>
      <c r="AV115" s="5">
        <f>'Economic Data'!J81</f>
        <v>6450.3</v>
      </c>
      <c r="AW115" s="5">
        <f>'Economic Data'!K81</f>
        <v>4822.2</v>
      </c>
      <c r="AX115" s="5">
        <f>'Economic Data'!L81</f>
        <v>975.3</v>
      </c>
      <c r="AY115" s="5">
        <f>'Economic Data'!M81</f>
        <v>828.8</v>
      </c>
      <c r="AZ115" s="5">
        <f>'Economic Data'!N81</f>
        <v>7677.9</v>
      </c>
      <c r="BA115" s="5">
        <f>'Economic Data'!O81</f>
        <v>120.2</v>
      </c>
      <c r="BB115" s="5">
        <f>'Economic Data'!P81</f>
        <v>138.5</v>
      </c>
      <c r="BC115" s="5">
        <f>'Economic Data'!Q81</f>
        <v>784896</v>
      </c>
      <c r="BD115" s="5">
        <f>'Economic Data'!R81</f>
        <v>7580</v>
      </c>
      <c r="BE115" s="5">
        <f>'Economic Data'!S81</f>
        <v>3756</v>
      </c>
      <c r="BF115" s="5">
        <f>'Economic Data'!T81</f>
        <v>13459</v>
      </c>
      <c r="BG115" s="5">
        <f>'EV Data'!V20</f>
        <v>17874</v>
      </c>
      <c r="BH115" s="5">
        <f>'EV Data'!AB20</f>
        <v>93.999999999999986</v>
      </c>
      <c r="BI115" s="5">
        <f>'EV Data'!W20</f>
        <v>324.00000000000006</v>
      </c>
      <c r="BJ115" s="5">
        <f t="shared" si="52"/>
        <v>66</v>
      </c>
      <c r="BK115" s="70">
        <f t="shared" si="53"/>
        <v>1.8195439355418688</v>
      </c>
      <c r="BL115" s="5">
        <f t="shared" si="54"/>
        <v>4356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f t="shared" si="94"/>
        <v>0</v>
      </c>
      <c r="BZ115">
        <f t="shared" si="94"/>
        <v>0</v>
      </c>
      <c r="CA115">
        <f t="shared" si="55"/>
        <v>0</v>
      </c>
      <c r="CB115">
        <v>30</v>
      </c>
      <c r="CC115">
        <v>21</v>
      </c>
      <c r="CD115">
        <v>0</v>
      </c>
      <c r="CE115">
        <v>0</v>
      </c>
      <c r="CF115">
        <f t="shared" si="93"/>
        <v>0</v>
      </c>
      <c r="CG115">
        <v>0</v>
      </c>
      <c r="CH115" s="64">
        <f t="shared" si="95"/>
        <v>0</v>
      </c>
      <c r="CI115" s="64">
        <f t="shared" si="96"/>
        <v>0</v>
      </c>
      <c r="CJ115" s="64">
        <f t="shared" si="97"/>
        <v>0</v>
      </c>
      <c r="CK115" s="64">
        <f t="shared" si="98"/>
        <v>0</v>
      </c>
      <c r="CL115" s="64">
        <f t="shared" si="99"/>
        <v>0</v>
      </c>
      <c r="CM115" s="64">
        <f t="shared" si="100"/>
        <v>0</v>
      </c>
      <c r="CN115" s="64">
        <f t="shared" si="101"/>
        <v>0</v>
      </c>
      <c r="CO115" s="64">
        <f t="shared" si="102"/>
        <v>0</v>
      </c>
      <c r="CP115" s="64">
        <f t="shared" si="103"/>
        <v>0</v>
      </c>
      <c r="CQ115" s="64">
        <f t="shared" si="104"/>
        <v>0</v>
      </c>
      <c r="CR115" s="64">
        <f t="shared" si="105"/>
        <v>0</v>
      </c>
      <c r="CS115" s="64">
        <f t="shared" si="106"/>
        <v>0</v>
      </c>
      <c r="CT115" s="64">
        <f t="shared" si="107"/>
        <v>0</v>
      </c>
      <c r="CU115" s="64">
        <f t="shared" si="108"/>
        <v>0</v>
      </c>
      <c r="CV115" s="69">
        <f t="shared" si="109"/>
        <v>31.319651731782624</v>
      </c>
      <c r="CW115" s="69">
        <f t="shared" si="110"/>
        <v>950.98115649714441</v>
      </c>
      <c r="CX115" s="69">
        <f t="shared" ref="CX115:CX169" si="127">M115/$CC115/O115</f>
        <v>3049.485592243775</v>
      </c>
      <c r="CY115" s="69">
        <f t="shared" si="111"/>
        <v>26238.228571428575</v>
      </c>
      <c r="CZ115" s="64">
        <f t="shared" ref="CZ115:CZ169" si="128">M115/$CB115/O115</f>
        <v>2134.6399145706423</v>
      </c>
      <c r="DA115" s="64">
        <f t="shared" si="112"/>
        <v>18366.760000000002</v>
      </c>
      <c r="DB115">
        <f t="shared" si="113"/>
        <v>0</v>
      </c>
      <c r="DC115">
        <f t="shared" si="114"/>
        <v>0</v>
      </c>
      <c r="DD115">
        <f t="shared" si="115"/>
        <v>0</v>
      </c>
      <c r="DE115">
        <f t="shared" si="116"/>
        <v>0</v>
      </c>
      <c r="DF115">
        <f t="shared" si="117"/>
        <v>0</v>
      </c>
      <c r="DG115">
        <f t="shared" si="118"/>
        <v>0</v>
      </c>
      <c r="DH115">
        <f t="shared" si="119"/>
        <v>0</v>
      </c>
      <c r="DI115">
        <f t="shared" si="120"/>
        <v>0</v>
      </c>
      <c r="DJ115">
        <f t="shared" si="121"/>
        <v>0</v>
      </c>
      <c r="DK115">
        <f t="shared" si="122"/>
        <v>0</v>
      </c>
      <c r="DL115">
        <f t="shared" si="123"/>
        <v>0</v>
      </c>
      <c r="DM115">
        <f t="shared" si="124"/>
        <v>0</v>
      </c>
      <c r="DN115">
        <f t="shared" si="125"/>
        <v>0</v>
      </c>
      <c r="DO115">
        <f t="shared" si="126"/>
        <v>0</v>
      </c>
      <c r="DP115" s="2">
        <f t="shared" si="89"/>
        <v>30</v>
      </c>
      <c r="DQ115" s="2">
        <f t="shared" si="89"/>
        <v>18</v>
      </c>
      <c r="DR115" s="2">
        <f t="shared" si="89"/>
        <v>6</v>
      </c>
      <c r="DS115" s="2">
        <v>0</v>
      </c>
      <c r="DT115" s="2">
        <v>0</v>
      </c>
    </row>
    <row r="116" spans="1:124" s="2" customFormat="1">
      <c r="A116" s="3">
        <v>43282</v>
      </c>
      <c r="B116">
        <f t="shared" si="48"/>
        <v>2018</v>
      </c>
      <c r="C116" s="2">
        <v>31910072</v>
      </c>
      <c r="D116" s="2">
        <f>VLOOKUP(B116,'Historic CDM'!$B$135:$H$146,2,FALSE)/12</f>
        <v>1140167.2458511787</v>
      </c>
      <c r="E116" s="2">
        <f t="shared" si="91"/>
        <v>33050239.245851178</v>
      </c>
      <c r="F116" s="5">
        <v>27622</v>
      </c>
      <c r="G116" s="219">
        <v>6741791</v>
      </c>
      <c r="H116" s="2">
        <f>VLOOKUP(B116,'Historic CDM'!$B$135:$H$147,3,FALSE)/12</f>
        <v>1108937.0655590973</v>
      </c>
      <c r="I116" s="2">
        <f t="shared" si="92"/>
        <v>7850728.0655590976</v>
      </c>
      <c r="J116" s="220">
        <v>1989</v>
      </c>
      <c r="K116" s="219">
        <v>15904896</v>
      </c>
      <c r="L116" s="2">
        <f>VLOOKUP(B116,'Historic CDM'!$B$135:$H$146,4,FALSE)/12</f>
        <v>1184612.1746571031</v>
      </c>
      <c r="M116" s="2">
        <f t="shared" si="90"/>
        <v>17089508.174657103</v>
      </c>
      <c r="N116" s="222">
        <v>46992</v>
      </c>
      <c r="O116" s="5">
        <v>240</v>
      </c>
      <c r="P116" s="219">
        <v>180929</v>
      </c>
      <c r="Q116" s="2">
        <v>730</v>
      </c>
      <c r="R116" s="5">
        <v>2762</v>
      </c>
      <c r="S116" s="220">
        <v>24136</v>
      </c>
      <c r="T116" s="2">
        <v>67</v>
      </c>
      <c r="U116" s="5">
        <v>243</v>
      </c>
      <c r="V116" s="221">
        <v>129487</v>
      </c>
      <c r="W116" s="1">
        <v>131</v>
      </c>
      <c r="X116" s="2">
        <v>2895706</v>
      </c>
      <c r="Y116" s="2">
        <v>8050</v>
      </c>
      <c r="Z116" s="5">
        <v>5</v>
      </c>
      <c r="AA116" s="100">
        <f>'Weather Data'!D212</f>
        <v>2.5</v>
      </c>
      <c r="AB116" s="100">
        <f>'Weather Data'!E212</f>
        <v>103.60000000000002</v>
      </c>
      <c r="AC116" s="100">
        <f>'Weather Data'!F212</f>
        <v>0.19999999999999929</v>
      </c>
      <c r="AD116" s="100">
        <f>'Weather Data'!G212</f>
        <v>163.30000000000001</v>
      </c>
      <c r="AE116" s="100">
        <f>'Weather Data'!H212</f>
        <v>0</v>
      </c>
      <c r="AF116" s="100">
        <f>'Weather Data'!I212</f>
        <v>225.1</v>
      </c>
      <c r="AG116" s="100">
        <f>'Weather Data'!J212</f>
        <v>0</v>
      </c>
      <c r="AH116" s="100">
        <f>'Weather Data'!K212</f>
        <v>287.10000000000008</v>
      </c>
      <c r="AI116" s="100">
        <f>'Weather Data'!L212</f>
        <v>0</v>
      </c>
      <c r="AJ116" s="100">
        <f>'Weather Data'!M212</f>
        <v>349.10000000000008</v>
      </c>
      <c r="AK116" s="100">
        <f>'Weather Data'!N212</f>
        <v>0</v>
      </c>
      <c r="AL116" s="100">
        <f>'Weather Data'!O212</f>
        <v>411.10000000000014</v>
      </c>
      <c r="AM116" s="100">
        <f>'Weather Data'!P212</f>
        <v>0</v>
      </c>
      <c r="AN116" s="100">
        <f>'Weather Data'!Q212</f>
        <v>473.10000000000014</v>
      </c>
      <c r="AO116" s="100">
        <f>'Weather Data'!R212</f>
        <v>23.261290322580646</v>
      </c>
      <c r="AP116" s="5">
        <f>'Economic Data'!D82</f>
        <v>7255</v>
      </c>
      <c r="AQ116" s="5">
        <f>'Economic Data'!E82</f>
        <v>7345.7</v>
      </c>
      <c r="AR116" s="5">
        <f>'Economic Data'!F82</f>
        <v>164.1</v>
      </c>
      <c r="AS116" s="5">
        <f>'Economic Data'!G82</f>
        <v>164.3</v>
      </c>
      <c r="AT116" s="5">
        <f>'Economic Data'!H82</f>
        <v>789531.6</v>
      </c>
      <c r="AU116" s="5">
        <f>'Economic Data'!I82</f>
        <v>7545.5</v>
      </c>
      <c r="AV116" s="5">
        <f>'Economic Data'!J82</f>
        <v>6450.3</v>
      </c>
      <c r="AW116" s="5">
        <f>'Economic Data'!K82</f>
        <v>4822.2</v>
      </c>
      <c r="AX116" s="5">
        <f>'Economic Data'!L82</f>
        <v>975.3</v>
      </c>
      <c r="AY116" s="5">
        <f>'Economic Data'!M82</f>
        <v>828.8</v>
      </c>
      <c r="AZ116" s="5">
        <f>'Economic Data'!N82</f>
        <v>7677.9</v>
      </c>
      <c r="BA116" s="5">
        <f>'Economic Data'!O82</f>
        <v>120.2</v>
      </c>
      <c r="BB116" s="5">
        <f>'Economic Data'!P82</f>
        <v>138.5</v>
      </c>
      <c r="BC116" s="5">
        <f>'Economic Data'!Q82</f>
        <v>794140</v>
      </c>
      <c r="BD116" s="5">
        <f>'Economic Data'!R82</f>
        <v>7572</v>
      </c>
      <c r="BE116" s="5">
        <f>'Economic Data'!S82</f>
        <v>3851</v>
      </c>
      <c r="BF116" s="5">
        <f>'Economic Data'!T82</f>
        <v>14848</v>
      </c>
      <c r="BG116" s="5">
        <f>'EV Data'!V21</f>
        <v>19626.666666666668</v>
      </c>
      <c r="BH116" s="5">
        <f>'EV Data'!AB21</f>
        <v>99.333333333333314</v>
      </c>
      <c r="BI116" s="5">
        <f>'EV Data'!W21</f>
        <v>343.00000000000006</v>
      </c>
      <c r="BJ116" s="5">
        <f t="shared" si="52"/>
        <v>67</v>
      </c>
      <c r="BK116" s="70">
        <f t="shared" si="53"/>
        <v>1.8260748027008264</v>
      </c>
      <c r="BL116" s="5">
        <f t="shared" si="54"/>
        <v>4489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1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f t="shared" si="94"/>
        <v>0</v>
      </c>
      <c r="BZ116">
        <f t="shared" si="94"/>
        <v>0</v>
      </c>
      <c r="CA116">
        <f t="shared" si="55"/>
        <v>0</v>
      </c>
      <c r="CB116">
        <v>31</v>
      </c>
      <c r="CC116">
        <v>21</v>
      </c>
      <c r="CD116">
        <v>0</v>
      </c>
      <c r="CE116">
        <v>0</v>
      </c>
      <c r="CF116">
        <f t="shared" si="93"/>
        <v>0</v>
      </c>
      <c r="CG116">
        <v>0</v>
      </c>
      <c r="CH116" s="64">
        <f t="shared" si="95"/>
        <v>0</v>
      </c>
      <c r="CI116" s="64">
        <f t="shared" si="96"/>
        <v>0</v>
      </c>
      <c r="CJ116" s="64">
        <f t="shared" si="97"/>
        <v>0</v>
      </c>
      <c r="CK116" s="64">
        <f t="shared" si="98"/>
        <v>0</v>
      </c>
      <c r="CL116" s="64">
        <f t="shared" si="99"/>
        <v>0</v>
      </c>
      <c r="CM116" s="64">
        <f t="shared" si="100"/>
        <v>0</v>
      </c>
      <c r="CN116" s="64">
        <f t="shared" si="101"/>
        <v>0</v>
      </c>
      <c r="CO116" s="64">
        <f t="shared" si="102"/>
        <v>0</v>
      </c>
      <c r="CP116" s="64">
        <f t="shared" si="103"/>
        <v>0</v>
      </c>
      <c r="CQ116" s="64">
        <f t="shared" si="104"/>
        <v>0</v>
      </c>
      <c r="CR116" s="64">
        <f t="shared" si="105"/>
        <v>0</v>
      </c>
      <c r="CS116" s="64">
        <f t="shared" si="106"/>
        <v>0</v>
      </c>
      <c r="CT116" s="64">
        <f t="shared" si="107"/>
        <v>0</v>
      </c>
      <c r="CU116" s="64">
        <f t="shared" si="108"/>
        <v>0</v>
      </c>
      <c r="CV116" s="69">
        <f t="shared" si="109"/>
        <v>38.597377085879629</v>
      </c>
      <c r="CW116" s="69">
        <f t="shared" si="110"/>
        <v>1055.2053851557928</v>
      </c>
      <c r="CX116" s="69">
        <f t="shared" si="127"/>
        <v>3390.7754314795839</v>
      </c>
      <c r="CY116" s="69">
        <f t="shared" si="111"/>
        <v>27578.152380952379</v>
      </c>
      <c r="CZ116" s="64">
        <f t="shared" si="128"/>
        <v>2296.9769051958474</v>
      </c>
      <c r="DA116" s="64">
        <f t="shared" si="112"/>
        <v>18681.974193548387</v>
      </c>
      <c r="DB116">
        <f t="shared" si="113"/>
        <v>0</v>
      </c>
      <c r="DC116">
        <f t="shared" si="114"/>
        <v>0</v>
      </c>
      <c r="DD116">
        <f t="shared" si="115"/>
        <v>0</v>
      </c>
      <c r="DE116">
        <f t="shared" si="116"/>
        <v>0</v>
      </c>
      <c r="DF116">
        <f t="shared" si="117"/>
        <v>0</v>
      </c>
      <c r="DG116">
        <f t="shared" si="118"/>
        <v>0</v>
      </c>
      <c r="DH116">
        <f t="shared" si="119"/>
        <v>0</v>
      </c>
      <c r="DI116">
        <f t="shared" si="120"/>
        <v>0</v>
      </c>
      <c r="DJ116">
        <f t="shared" si="121"/>
        <v>0</v>
      </c>
      <c r="DK116">
        <f t="shared" si="122"/>
        <v>0</v>
      </c>
      <c r="DL116">
        <f t="shared" si="123"/>
        <v>0</v>
      </c>
      <c r="DM116">
        <f t="shared" si="124"/>
        <v>0</v>
      </c>
      <c r="DN116">
        <f t="shared" si="125"/>
        <v>0</v>
      </c>
      <c r="DO116">
        <f t="shared" si="126"/>
        <v>0</v>
      </c>
      <c r="DP116" s="2">
        <f t="shared" si="89"/>
        <v>31</v>
      </c>
      <c r="DQ116" s="2">
        <f t="shared" si="89"/>
        <v>19</v>
      </c>
      <c r="DR116" s="2">
        <f t="shared" si="89"/>
        <v>7</v>
      </c>
      <c r="DS116" s="2">
        <v>0</v>
      </c>
      <c r="DT116" s="2">
        <v>0</v>
      </c>
    </row>
    <row r="117" spans="1:124" s="2" customFormat="1">
      <c r="A117" s="3">
        <v>43313</v>
      </c>
      <c r="B117">
        <f t="shared" si="48"/>
        <v>2018</v>
      </c>
      <c r="C117" s="2">
        <v>31720398</v>
      </c>
      <c r="D117" s="2">
        <f>VLOOKUP(B117,'Historic CDM'!$B$135:$H$146,2,FALSE)/12</f>
        <v>1140167.2458511787</v>
      </c>
      <c r="E117" s="2">
        <f t="shared" si="91"/>
        <v>32860565.245851178</v>
      </c>
      <c r="F117" s="5">
        <v>27655</v>
      </c>
      <c r="G117" s="219">
        <v>6691648</v>
      </c>
      <c r="H117" s="2">
        <f>VLOOKUP(B117,'Historic CDM'!$B$135:$H$147,3,FALSE)/12</f>
        <v>1108937.0655590973</v>
      </c>
      <c r="I117" s="2">
        <f t="shared" si="92"/>
        <v>7800585.0655590976</v>
      </c>
      <c r="J117" s="220">
        <v>1989</v>
      </c>
      <c r="K117" s="219">
        <v>16785104</v>
      </c>
      <c r="L117" s="2">
        <f>VLOOKUP(B117,'Historic CDM'!$B$135:$H$146,4,FALSE)/12</f>
        <v>1184612.1746571031</v>
      </c>
      <c r="M117" s="2">
        <f t="shared" si="90"/>
        <v>17969716.174657103</v>
      </c>
      <c r="N117" s="222">
        <v>47423</v>
      </c>
      <c r="O117" s="5">
        <v>239</v>
      </c>
      <c r="P117" s="219">
        <v>203020</v>
      </c>
      <c r="Q117" s="2">
        <v>730</v>
      </c>
      <c r="R117" s="5">
        <v>2762</v>
      </c>
      <c r="S117" s="220">
        <v>24109</v>
      </c>
      <c r="T117" s="2">
        <v>67</v>
      </c>
      <c r="U117" s="5">
        <v>241</v>
      </c>
      <c r="V117" s="221">
        <v>128623</v>
      </c>
      <c r="W117" s="1">
        <v>130</v>
      </c>
      <c r="X117" s="2">
        <v>2972667</v>
      </c>
      <c r="Y117" s="2">
        <v>7786</v>
      </c>
      <c r="Z117" s="5">
        <v>5</v>
      </c>
      <c r="AA117" s="100">
        <f>'Weather Data'!D213</f>
        <v>2.8999999999999986</v>
      </c>
      <c r="AB117" s="100">
        <f>'Weather Data'!E213</f>
        <v>100.7</v>
      </c>
      <c r="AC117" s="100">
        <f>'Weather Data'!F213</f>
        <v>0</v>
      </c>
      <c r="AD117" s="100">
        <f>'Weather Data'!G213</f>
        <v>159.80000000000001</v>
      </c>
      <c r="AE117" s="100">
        <f>'Weather Data'!H213</f>
        <v>0</v>
      </c>
      <c r="AF117" s="100">
        <f>'Weather Data'!I213</f>
        <v>221.79999999999995</v>
      </c>
      <c r="AG117" s="100">
        <f>'Weather Data'!J213</f>
        <v>0</v>
      </c>
      <c r="AH117" s="100">
        <f>'Weather Data'!K213</f>
        <v>283.79999999999995</v>
      </c>
      <c r="AI117" s="100">
        <f>'Weather Data'!L213</f>
        <v>0</v>
      </c>
      <c r="AJ117" s="100">
        <f>'Weather Data'!M213</f>
        <v>345.79999999999995</v>
      </c>
      <c r="AK117" s="100">
        <f>'Weather Data'!N213</f>
        <v>0</v>
      </c>
      <c r="AL117" s="100">
        <f>'Weather Data'!O213</f>
        <v>407.8</v>
      </c>
      <c r="AM117" s="100">
        <f>'Weather Data'!P213</f>
        <v>0</v>
      </c>
      <c r="AN117" s="100">
        <f>'Weather Data'!Q213</f>
        <v>469.8</v>
      </c>
      <c r="AO117" s="100">
        <f>'Weather Data'!R213</f>
        <v>23.154838709677417</v>
      </c>
      <c r="AP117" s="5">
        <f>'Economic Data'!D83</f>
        <v>7266.2</v>
      </c>
      <c r="AQ117" s="5">
        <f>'Economic Data'!E83</f>
        <v>7359.5</v>
      </c>
      <c r="AR117" s="5">
        <f>'Economic Data'!F83</f>
        <v>163.9</v>
      </c>
      <c r="AS117" s="5">
        <f>'Economic Data'!G83</f>
        <v>164.6</v>
      </c>
      <c r="AT117" s="5">
        <f>'Economic Data'!H83</f>
        <v>789531.6</v>
      </c>
      <c r="AU117" s="5">
        <f>'Economic Data'!I83</f>
        <v>7545.5</v>
      </c>
      <c r="AV117" s="5">
        <f>'Economic Data'!J83</f>
        <v>6450.3</v>
      </c>
      <c r="AW117" s="5">
        <f>'Economic Data'!K83</f>
        <v>4822.2</v>
      </c>
      <c r="AX117" s="5">
        <f>'Economic Data'!L83</f>
        <v>975.3</v>
      </c>
      <c r="AY117" s="5">
        <f>'Economic Data'!M83</f>
        <v>828.8</v>
      </c>
      <c r="AZ117" s="5">
        <f>'Economic Data'!N83</f>
        <v>7677.9</v>
      </c>
      <c r="BA117" s="5">
        <f>'Economic Data'!O83</f>
        <v>120.2</v>
      </c>
      <c r="BB117" s="5">
        <f>'Economic Data'!P83</f>
        <v>138.5</v>
      </c>
      <c r="BC117" s="5">
        <f>'Economic Data'!Q83</f>
        <v>794140</v>
      </c>
      <c r="BD117" s="5">
        <f>'Economic Data'!R83</f>
        <v>7572</v>
      </c>
      <c r="BE117" s="5">
        <f>'Economic Data'!S83</f>
        <v>3851</v>
      </c>
      <c r="BF117" s="5">
        <f>'Economic Data'!T83</f>
        <v>14848</v>
      </c>
      <c r="BG117" s="5">
        <f>'EV Data'!V22</f>
        <v>21379.333333333336</v>
      </c>
      <c r="BH117" s="5">
        <f>'EV Data'!AB22</f>
        <v>104.66666666666664</v>
      </c>
      <c r="BI117" s="5">
        <f>'EV Data'!W22</f>
        <v>362.00000000000006</v>
      </c>
      <c r="BJ117" s="5">
        <f t="shared" si="52"/>
        <v>68</v>
      </c>
      <c r="BK117" s="70">
        <f t="shared" si="53"/>
        <v>1.8325089127062364</v>
      </c>
      <c r="BL117" s="5">
        <f t="shared" si="54"/>
        <v>4624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1</v>
      </c>
      <c r="BU117">
        <v>0</v>
      </c>
      <c r="BV117">
        <v>0</v>
      </c>
      <c r="BW117">
        <v>0</v>
      </c>
      <c r="BX117">
        <v>0</v>
      </c>
      <c r="BY117">
        <f t="shared" si="94"/>
        <v>0</v>
      </c>
      <c r="BZ117">
        <f t="shared" si="94"/>
        <v>0</v>
      </c>
      <c r="CA117">
        <f t="shared" si="55"/>
        <v>0</v>
      </c>
      <c r="CB117">
        <v>31</v>
      </c>
      <c r="CC117">
        <v>22</v>
      </c>
      <c r="CD117">
        <v>0</v>
      </c>
      <c r="CE117">
        <v>0</v>
      </c>
      <c r="CF117">
        <f t="shared" si="93"/>
        <v>0</v>
      </c>
      <c r="CG117">
        <v>0</v>
      </c>
      <c r="CH117" s="64">
        <f t="shared" si="95"/>
        <v>0</v>
      </c>
      <c r="CI117" s="64">
        <f t="shared" si="96"/>
        <v>0</v>
      </c>
      <c r="CJ117" s="64">
        <f t="shared" si="97"/>
        <v>0</v>
      </c>
      <c r="CK117" s="64">
        <f t="shared" si="98"/>
        <v>0</v>
      </c>
      <c r="CL117" s="64">
        <f t="shared" si="99"/>
        <v>0</v>
      </c>
      <c r="CM117" s="64">
        <f t="shared" si="100"/>
        <v>0</v>
      </c>
      <c r="CN117" s="64">
        <f t="shared" si="101"/>
        <v>0</v>
      </c>
      <c r="CO117" s="64">
        <f t="shared" si="102"/>
        <v>0</v>
      </c>
      <c r="CP117" s="64">
        <f t="shared" si="103"/>
        <v>0</v>
      </c>
      <c r="CQ117" s="64">
        <f t="shared" si="104"/>
        <v>0</v>
      </c>
      <c r="CR117" s="64">
        <f t="shared" si="105"/>
        <v>0</v>
      </c>
      <c r="CS117" s="64">
        <f t="shared" si="106"/>
        <v>0</v>
      </c>
      <c r="CT117" s="64">
        <f t="shared" si="107"/>
        <v>0</v>
      </c>
      <c r="CU117" s="64">
        <f t="shared" si="108"/>
        <v>0</v>
      </c>
      <c r="CV117" s="69">
        <f t="shared" si="109"/>
        <v>38.330075347573128</v>
      </c>
      <c r="CW117" s="69">
        <f t="shared" si="110"/>
        <v>1052.8526205370626</v>
      </c>
      <c r="CX117" s="69">
        <f t="shared" si="127"/>
        <v>3417.5953165951128</v>
      </c>
      <c r="CY117" s="69">
        <f t="shared" si="111"/>
        <v>27024.245454545453</v>
      </c>
      <c r="CZ117" s="64">
        <f t="shared" si="128"/>
        <v>2425.3902246804023</v>
      </c>
      <c r="DA117" s="64">
        <f t="shared" si="112"/>
        <v>19178.496774193547</v>
      </c>
      <c r="DB117">
        <f t="shared" si="113"/>
        <v>0</v>
      </c>
      <c r="DC117">
        <f t="shared" si="114"/>
        <v>0</v>
      </c>
      <c r="DD117">
        <f t="shared" si="115"/>
        <v>0</v>
      </c>
      <c r="DE117">
        <f t="shared" si="116"/>
        <v>0</v>
      </c>
      <c r="DF117">
        <f t="shared" si="117"/>
        <v>0</v>
      </c>
      <c r="DG117">
        <f t="shared" si="118"/>
        <v>0</v>
      </c>
      <c r="DH117">
        <f t="shared" si="119"/>
        <v>0</v>
      </c>
      <c r="DI117">
        <f t="shared" si="120"/>
        <v>0</v>
      </c>
      <c r="DJ117">
        <f t="shared" si="121"/>
        <v>0</v>
      </c>
      <c r="DK117">
        <f t="shared" si="122"/>
        <v>0</v>
      </c>
      <c r="DL117">
        <f t="shared" si="123"/>
        <v>0</v>
      </c>
      <c r="DM117">
        <f t="shared" si="124"/>
        <v>0</v>
      </c>
      <c r="DN117">
        <f t="shared" si="125"/>
        <v>0</v>
      </c>
      <c r="DO117">
        <f t="shared" si="126"/>
        <v>0</v>
      </c>
      <c r="DP117" s="2">
        <f t="shared" si="89"/>
        <v>32</v>
      </c>
      <c r="DQ117" s="2">
        <f t="shared" si="89"/>
        <v>20</v>
      </c>
      <c r="DR117" s="2">
        <f t="shared" si="89"/>
        <v>8</v>
      </c>
      <c r="DS117" s="2">
        <v>0</v>
      </c>
      <c r="DT117" s="2">
        <v>0</v>
      </c>
    </row>
    <row r="118" spans="1:124" s="2" customFormat="1">
      <c r="A118" s="3">
        <v>43344</v>
      </c>
      <c r="B118">
        <f t="shared" si="48"/>
        <v>2018</v>
      </c>
      <c r="C118" s="2">
        <v>23742943</v>
      </c>
      <c r="D118" s="2">
        <f>VLOOKUP(B118,'Historic CDM'!$B$135:$H$146,2,FALSE)/12</f>
        <v>1140167.2458511787</v>
      </c>
      <c r="E118" s="2">
        <f t="shared" si="91"/>
        <v>24883110.245851178</v>
      </c>
      <c r="F118" s="5">
        <v>27668</v>
      </c>
      <c r="G118" s="219">
        <v>5733511</v>
      </c>
      <c r="H118" s="2">
        <f>VLOOKUP(B118,'Historic CDM'!$B$135:$H$147,3,FALSE)/12</f>
        <v>1108937.0655590973</v>
      </c>
      <c r="I118" s="2">
        <f t="shared" si="92"/>
        <v>6842448.0655590976</v>
      </c>
      <c r="J118" s="220">
        <v>1978</v>
      </c>
      <c r="K118" s="219">
        <v>16919056</v>
      </c>
      <c r="L118" s="2">
        <f>VLOOKUP(B118,'Historic CDM'!$B$135:$H$146,4,FALSE)/12</f>
        <v>1184612.1746571031</v>
      </c>
      <c r="M118" s="2">
        <f t="shared" si="90"/>
        <v>18103668.174657103</v>
      </c>
      <c r="N118" s="222">
        <v>50580</v>
      </c>
      <c r="O118" s="5">
        <v>240</v>
      </c>
      <c r="P118" s="219">
        <v>228945</v>
      </c>
      <c r="Q118" s="2">
        <v>730</v>
      </c>
      <c r="R118" s="5">
        <v>2762</v>
      </c>
      <c r="S118" s="220">
        <v>24037</v>
      </c>
      <c r="T118" s="2">
        <v>67</v>
      </c>
      <c r="U118" s="5">
        <v>241</v>
      </c>
      <c r="V118" s="221">
        <v>128623</v>
      </c>
      <c r="W118" s="1">
        <v>130</v>
      </c>
      <c r="X118" s="2">
        <v>2476319</v>
      </c>
      <c r="Y118" s="2">
        <v>7226</v>
      </c>
      <c r="Z118" s="5">
        <v>5</v>
      </c>
      <c r="AA118" s="100">
        <f>'Weather Data'!D214</f>
        <v>69.3</v>
      </c>
      <c r="AB118" s="100">
        <f>'Weather Data'!E214</f>
        <v>53.199999999999996</v>
      </c>
      <c r="AC118" s="100">
        <f>'Weather Data'!F214</f>
        <v>41.400000000000006</v>
      </c>
      <c r="AD118" s="100">
        <f>'Weather Data'!G214</f>
        <v>85.300000000000011</v>
      </c>
      <c r="AE118" s="100">
        <f>'Weather Data'!H214</f>
        <v>21.2</v>
      </c>
      <c r="AF118" s="100">
        <f>'Weather Data'!I214</f>
        <v>125.1</v>
      </c>
      <c r="AG118" s="100">
        <f>'Weather Data'!J214</f>
        <v>7.4000000000000021</v>
      </c>
      <c r="AH118" s="100">
        <f>'Weather Data'!K214</f>
        <v>171.29999999999995</v>
      </c>
      <c r="AI118" s="100">
        <f>'Weather Data'!L214</f>
        <v>0.30000000000000071</v>
      </c>
      <c r="AJ118" s="100">
        <f>'Weather Data'!M214</f>
        <v>224.19999999999996</v>
      </c>
      <c r="AK118" s="100">
        <f>'Weather Data'!N214</f>
        <v>0</v>
      </c>
      <c r="AL118" s="100">
        <f>'Weather Data'!O214</f>
        <v>283.89999999999992</v>
      </c>
      <c r="AM118" s="100">
        <f>'Weather Data'!P214</f>
        <v>0</v>
      </c>
      <c r="AN118" s="100">
        <f>'Weather Data'!Q214</f>
        <v>343.9</v>
      </c>
      <c r="AO118" s="100">
        <f>'Weather Data'!R214</f>
        <v>19.463333333333335</v>
      </c>
      <c r="AP118" s="5">
        <f>'Economic Data'!D84</f>
        <v>7279.6</v>
      </c>
      <c r="AQ118" s="5">
        <f>'Economic Data'!E84</f>
        <v>7324.4</v>
      </c>
      <c r="AR118" s="5">
        <f>'Economic Data'!F84</f>
        <v>164.4</v>
      </c>
      <c r="AS118" s="5">
        <f>'Economic Data'!G84</f>
        <v>165.6</v>
      </c>
      <c r="AT118" s="5">
        <f>'Economic Data'!H84</f>
        <v>789531.6</v>
      </c>
      <c r="AU118" s="5">
        <f>'Economic Data'!I84</f>
        <v>7545.5</v>
      </c>
      <c r="AV118" s="5">
        <f>'Economic Data'!J84</f>
        <v>6450.3</v>
      </c>
      <c r="AW118" s="5">
        <f>'Economic Data'!K84</f>
        <v>4822.2</v>
      </c>
      <c r="AX118" s="5">
        <f>'Economic Data'!L84</f>
        <v>975.3</v>
      </c>
      <c r="AY118" s="5">
        <f>'Economic Data'!M84</f>
        <v>828.8</v>
      </c>
      <c r="AZ118" s="5">
        <f>'Economic Data'!N84</f>
        <v>7677.9</v>
      </c>
      <c r="BA118" s="5">
        <f>'Economic Data'!O84</f>
        <v>120.2</v>
      </c>
      <c r="BB118" s="5">
        <f>'Economic Data'!P84</f>
        <v>138.5</v>
      </c>
      <c r="BC118" s="5">
        <f>'Economic Data'!Q84</f>
        <v>794140</v>
      </c>
      <c r="BD118" s="5">
        <f>'Economic Data'!R84</f>
        <v>7572</v>
      </c>
      <c r="BE118" s="5">
        <f>'Economic Data'!S84</f>
        <v>3851</v>
      </c>
      <c r="BF118" s="5">
        <f>'Economic Data'!T84</f>
        <v>14848</v>
      </c>
      <c r="BG118" s="5">
        <f>'EV Data'!V23</f>
        <v>23132.000000000004</v>
      </c>
      <c r="BH118" s="5">
        <f>'EV Data'!AB23</f>
        <v>109.99999999999997</v>
      </c>
      <c r="BI118" s="5">
        <f>'EV Data'!W23</f>
        <v>381.00000000000006</v>
      </c>
      <c r="BJ118" s="5">
        <f t="shared" si="52"/>
        <v>69</v>
      </c>
      <c r="BK118" s="70">
        <f t="shared" si="53"/>
        <v>1.8388490907372552</v>
      </c>
      <c r="BL118" s="5">
        <f t="shared" si="54"/>
        <v>4761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1</v>
      </c>
      <c r="BV118">
        <v>0</v>
      </c>
      <c r="BW118">
        <v>0</v>
      </c>
      <c r="BX118">
        <v>0</v>
      </c>
      <c r="BY118">
        <f t="shared" si="94"/>
        <v>0</v>
      </c>
      <c r="BZ118">
        <f t="shared" si="94"/>
        <v>0</v>
      </c>
      <c r="CA118">
        <f t="shared" si="55"/>
        <v>0</v>
      </c>
      <c r="CB118">
        <v>30</v>
      </c>
      <c r="CC118">
        <v>19</v>
      </c>
      <c r="CD118">
        <v>0</v>
      </c>
      <c r="CE118">
        <v>0</v>
      </c>
      <c r="CF118">
        <f t="shared" si="93"/>
        <v>0</v>
      </c>
      <c r="CG118">
        <v>0</v>
      </c>
      <c r="CH118" s="64">
        <f t="shared" si="95"/>
        <v>0</v>
      </c>
      <c r="CI118" s="64">
        <f t="shared" si="96"/>
        <v>0</v>
      </c>
      <c r="CJ118" s="64">
        <f t="shared" si="97"/>
        <v>0</v>
      </c>
      <c r="CK118" s="64">
        <f t="shared" si="98"/>
        <v>0</v>
      </c>
      <c r="CL118" s="64">
        <f t="shared" si="99"/>
        <v>0</v>
      </c>
      <c r="CM118" s="64">
        <f t="shared" si="100"/>
        <v>0</v>
      </c>
      <c r="CN118" s="64">
        <f t="shared" si="101"/>
        <v>0</v>
      </c>
      <c r="CO118" s="64">
        <f t="shared" si="102"/>
        <v>0</v>
      </c>
      <c r="CP118" s="64">
        <f t="shared" si="103"/>
        <v>0</v>
      </c>
      <c r="CQ118" s="64">
        <f t="shared" si="104"/>
        <v>0</v>
      </c>
      <c r="CR118" s="64">
        <f t="shared" si="105"/>
        <v>0</v>
      </c>
      <c r="CS118" s="64">
        <f t="shared" si="106"/>
        <v>0</v>
      </c>
      <c r="CT118" s="64">
        <f t="shared" si="107"/>
        <v>0</v>
      </c>
      <c r="CU118" s="64">
        <f t="shared" si="108"/>
        <v>0</v>
      </c>
      <c r="CV118" s="69">
        <f t="shared" si="109"/>
        <v>29.97820616578861</v>
      </c>
      <c r="CW118" s="69">
        <f t="shared" si="110"/>
        <v>950.34000910543023</v>
      </c>
      <c r="CX118" s="69">
        <f t="shared" si="127"/>
        <v>3970.1026698809437</v>
      </c>
      <c r="CY118" s="69">
        <f t="shared" si="111"/>
        <v>26066.515789473684</v>
      </c>
      <c r="CZ118" s="64">
        <f t="shared" si="128"/>
        <v>2514.3983575912644</v>
      </c>
      <c r="DA118" s="64">
        <f t="shared" si="112"/>
        <v>16508.793333333331</v>
      </c>
      <c r="DB118">
        <f t="shared" si="113"/>
        <v>0</v>
      </c>
      <c r="DC118">
        <f t="shared" si="114"/>
        <v>0</v>
      </c>
      <c r="DD118">
        <f t="shared" si="115"/>
        <v>0</v>
      </c>
      <c r="DE118">
        <f t="shared" si="116"/>
        <v>0</v>
      </c>
      <c r="DF118">
        <f t="shared" si="117"/>
        <v>0</v>
      </c>
      <c r="DG118">
        <f t="shared" si="118"/>
        <v>0</v>
      </c>
      <c r="DH118">
        <f t="shared" si="119"/>
        <v>0</v>
      </c>
      <c r="DI118">
        <f t="shared" si="120"/>
        <v>0</v>
      </c>
      <c r="DJ118">
        <f t="shared" si="121"/>
        <v>0</v>
      </c>
      <c r="DK118">
        <f t="shared" si="122"/>
        <v>0</v>
      </c>
      <c r="DL118">
        <f t="shared" si="123"/>
        <v>0</v>
      </c>
      <c r="DM118">
        <f t="shared" si="124"/>
        <v>0</v>
      </c>
      <c r="DN118">
        <f t="shared" si="125"/>
        <v>0</v>
      </c>
      <c r="DO118">
        <f t="shared" si="126"/>
        <v>0</v>
      </c>
      <c r="DP118" s="2">
        <f t="shared" si="89"/>
        <v>33</v>
      </c>
      <c r="DQ118" s="2">
        <f t="shared" si="89"/>
        <v>21</v>
      </c>
      <c r="DR118" s="2">
        <f t="shared" si="89"/>
        <v>9</v>
      </c>
      <c r="DS118" s="2">
        <v>0</v>
      </c>
      <c r="DT118" s="2">
        <v>0</v>
      </c>
    </row>
    <row r="119" spans="1:124" s="2" customFormat="1">
      <c r="A119" s="3">
        <v>43374</v>
      </c>
      <c r="B119">
        <f t="shared" si="48"/>
        <v>2018</v>
      </c>
      <c r="C119" s="2">
        <v>17631713</v>
      </c>
      <c r="D119" s="2">
        <f>VLOOKUP(B119,'Historic CDM'!$B$135:$H$146,2,FALSE)/12</f>
        <v>1140167.2458511787</v>
      </c>
      <c r="E119" s="2">
        <f t="shared" si="91"/>
        <v>18771880.245851178</v>
      </c>
      <c r="F119" s="5">
        <v>27710</v>
      </c>
      <c r="G119" s="219">
        <v>4795685</v>
      </c>
      <c r="H119" s="2">
        <f>VLOOKUP(B119,'Historic CDM'!$B$135:$H$147,3,FALSE)/12</f>
        <v>1108937.0655590973</v>
      </c>
      <c r="I119" s="2">
        <f t="shared" si="92"/>
        <v>5904622.0655590976</v>
      </c>
      <c r="J119" s="220">
        <v>1970</v>
      </c>
      <c r="K119" s="219">
        <v>15053713</v>
      </c>
      <c r="L119" s="2">
        <f>VLOOKUP(B119,'Historic CDM'!$B$135:$H$146,4,FALSE)/12</f>
        <v>1184612.1746571031</v>
      </c>
      <c r="M119" s="2">
        <f t="shared" si="90"/>
        <v>16238325.174657103</v>
      </c>
      <c r="N119" s="222">
        <v>51414</v>
      </c>
      <c r="O119" s="5">
        <v>259</v>
      </c>
      <c r="P119" s="219">
        <v>270572</v>
      </c>
      <c r="Q119" s="2">
        <v>730</v>
      </c>
      <c r="R119" s="5">
        <v>2764</v>
      </c>
      <c r="S119" s="220">
        <v>24488</v>
      </c>
      <c r="T119" s="2">
        <v>67</v>
      </c>
      <c r="U119" s="5">
        <v>240</v>
      </c>
      <c r="V119" s="221">
        <v>128627</v>
      </c>
      <c r="W119" s="1">
        <v>130</v>
      </c>
      <c r="X119" s="2">
        <v>2237779</v>
      </c>
      <c r="Y119" s="2">
        <v>6521</v>
      </c>
      <c r="Z119" s="5">
        <v>4</v>
      </c>
      <c r="AA119" s="100">
        <f>'Weather Data'!D215</f>
        <v>294.60000000000002</v>
      </c>
      <c r="AB119" s="100">
        <f>'Weather Data'!E215</f>
        <v>9.8999999999999986</v>
      </c>
      <c r="AC119" s="100">
        <f>'Weather Data'!F215</f>
        <v>242.29999999999998</v>
      </c>
      <c r="AD119" s="100">
        <f>'Weather Data'!G215</f>
        <v>19.600000000000001</v>
      </c>
      <c r="AE119" s="100">
        <f>'Weather Data'!H215</f>
        <v>192.49999999999997</v>
      </c>
      <c r="AF119" s="100">
        <f>'Weather Data'!I215</f>
        <v>31.8</v>
      </c>
      <c r="AG119" s="100">
        <f>'Weather Data'!J215</f>
        <v>145.99999999999997</v>
      </c>
      <c r="AH119" s="100">
        <f>'Weather Data'!K215</f>
        <v>47.3</v>
      </c>
      <c r="AI119" s="100">
        <f>'Weather Data'!L215</f>
        <v>104.00000000000001</v>
      </c>
      <c r="AJ119" s="100">
        <f>'Weather Data'!M215</f>
        <v>67.3</v>
      </c>
      <c r="AK119" s="100">
        <f>'Weather Data'!N215</f>
        <v>64</v>
      </c>
      <c r="AL119" s="100">
        <f>'Weather Data'!O215</f>
        <v>89.3</v>
      </c>
      <c r="AM119" s="100">
        <f>'Weather Data'!P215</f>
        <v>29.499999999999996</v>
      </c>
      <c r="AN119" s="100">
        <f>'Weather Data'!Q215</f>
        <v>116.79999999999998</v>
      </c>
      <c r="AO119" s="100">
        <f>'Weather Data'!R215</f>
        <v>10.816129032258065</v>
      </c>
      <c r="AP119" s="5">
        <f>'Economic Data'!D85</f>
        <v>7270.3</v>
      </c>
      <c r="AQ119" s="5">
        <f>'Economic Data'!E85</f>
        <v>7290.6</v>
      </c>
      <c r="AR119" s="5">
        <f>'Economic Data'!F85</f>
        <v>164.9</v>
      </c>
      <c r="AS119" s="5">
        <f>'Economic Data'!G85</f>
        <v>167.1</v>
      </c>
      <c r="AT119" s="5">
        <f>'Economic Data'!H85</f>
        <v>789531.6</v>
      </c>
      <c r="AU119" s="5">
        <f>'Economic Data'!I85</f>
        <v>7545.5</v>
      </c>
      <c r="AV119" s="5">
        <f>'Economic Data'!J85</f>
        <v>6450.3</v>
      </c>
      <c r="AW119" s="5">
        <f>'Economic Data'!K85</f>
        <v>4822.2</v>
      </c>
      <c r="AX119" s="5">
        <f>'Economic Data'!L85</f>
        <v>975.3</v>
      </c>
      <c r="AY119" s="5">
        <f>'Economic Data'!M85</f>
        <v>828.8</v>
      </c>
      <c r="AZ119" s="5">
        <f>'Economic Data'!N85</f>
        <v>7677.9</v>
      </c>
      <c r="BA119" s="5">
        <f>'Economic Data'!O85</f>
        <v>120.2</v>
      </c>
      <c r="BB119" s="5">
        <f>'Economic Data'!P85</f>
        <v>138.5</v>
      </c>
      <c r="BC119" s="5">
        <f>'Economic Data'!Q85</f>
        <v>799632</v>
      </c>
      <c r="BD119" s="5">
        <f>'Economic Data'!R85</f>
        <v>7527</v>
      </c>
      <c r="BE119" s="5">
        <f>'Economic Data'!S85</f>
        <v>3885</v>
      </c>
      <c r="BF119" s="5">
        <f>'Economic Data'!T85</f>
        <v>15040</v>
      </c>
      <c r="BG119" s="5">
        <f>'EV Data'!V24</f>
        <v>23734.000000000004</v>
      </c>
      <c r="BH119" s="5">
        <f>'EV Data'!AB24</f>
        <v>113.66666666666664</v>
      </c>
      <c r="BI119" s="5">
        <f>'EV Data'!W24</f>
        <v>391.66666666666674</v>
      </c>
      <c r="BJ119" s="5">
        <f t="shared" si="52"/>
        <v>70</v>
      </c>
      <c r="BK119" s="70">
        <f t="shared" si="53"/>
        <v>1.8450980400142569</v>
      </c>
      <c r="BL119" s="5">
        <f t="shared" si="54"/>
        <v>4900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1</v>
      </c>
      <c r="BW119">
        <v>0</v>
      </c>
      <c r="BX119">
        <v>0</v>
      </c>
      <c r="BY119">
        <f t="shared" si="94"/>
        <v>0</v>
      </c>
      <c r="BZ119">
        <f t="shared" si="94"/>
        <v>1</v>
      </c>
      <c r="CA119">
        <f t="shared" si="55"/>
        <v>1</v>
      </c>
      <c r="CB119">
        <v>31</v>
      </c>
      <c r="CC119">
        <v>22</v>
      </c>
      <c r="CD119">
        <v>0</v>
      </c>
      <c r="CE119">
        <v>0</v>
      </c>
      <c r="CF119">
        <f t="shared" si="93"/>
        <v>0</v>
      </c>
      <c r="CG119">
        <v>0</v>
      </c>
      <c r="CH119" s="64">
        <f t="shared" si="95"/>
        <v>0</v>
      </c>
      <c r="CI119" s="64">
        <f t="shared" si="96"/>
        <v>0</v>
      </c>
      <c r="CJ119" s="64">
        <f t="shared" si="97"/>
        <v>0</v>
      </c>
      <c r="CK119" s="64">
        <f t="shared" si="98"/>
        <v>0</v>
      </c>
      <c r="CL119" s="64">
        <f t="shared" si="99"/>
        <v>0</v>
      </c>
      <c r="CM119" s="64">
        <f t="shared" si="100"/>
        <v>0</v>
      </c>
      <c r="CN119" s="64">
        <f t="shared" si="101"/>
        <v>0</v>
      </c>
      <c r="CO119" s="64">
        <f t="shared" si="102"/>
        <v>0</v>
      </c>
      <c r="CP119" s="64">
        <f t="shared" si="103"/>
        <v>0</v>
      </c>
      <c r="CQ119" s="64">
        <f t="shared" si="104"/>
        <v>0</v>
      </c>
      <c r="CR119" s="64">
        <f t="shared" si="105"/>
        <v>0</v>
      </c>
      <c r="CS119" s="64">
        <f t="shared" si="106"/>
        <v>0</v>
      </c>
      <c r="CT119" s="64">
        <f t="shared" si="107"/>
        <v>0</v>
      </c>
      <c r="CU119" s="64">
        <f t="shared" si="108"/>
        <v>0</v>
      </c>
      <c r="CV119" s="69">
        <f t="shared" si="109"/>
        <v>21.852924000711493</v>
      </c>
      <c r="CW119" s="69">
        <f t="shared" si="110"/>
        <v>735.41189009329901</v>
      </c>
      <c r="CX119" s="69">
        <f t="shared" si="127"/>
        <v>2849.8289179812396</v>
      </c>
      <c r="CY119" s="69">
        <f t="shared" si="111"/>
        <v>25429.30681818182</v>
      </c>
      <c r="CZ119" s="64">
        <f t="shared" si="128"/>
        <v>2022.4592321157184</v>
      </c>
      <c r="DA119" s="64">
        <f t="shared" si="112"/>
        <v>18046.604838709678</v>
      </c>
      <c r="DB119">
        <f t="shared" si="113"/>
        <v>0</v>
      </c>
      <c r="DC119">
        <f t="shared" si="114"/>
        <v>0</v>
      </c>
      <c r="DD119">
        <f t="shared" si="115"/>
        <v>0</v>
      </c>
      <c r="DE119">
        <f t="shared" si="116"/>
        <v>0</v>
      </c>
      <c r="DF119">
        <f t="shared" si="117"/>
        <v>0</v>
      </c>
      <c r="DG119">
        <f t="shared" si="118"/>
        <v>0</v>
      </c>
      <c r="DH119">
        <f t="shared" si="119"/>
        <v>0</v>
      </c>
      <c r="DI119">
        <f t="shared" si="120"/>
        <v>0</v>
      </c>
      <c r="DJ119">
        <f t="shared" si="121"/>
        <v>0</v>
      </c>
      <c r="DK119">
        <f t="shared" si="122"/>
        <v>0</v>
      </c>
      <c r="DL119">
        <f t="shared" si="123"/>
        <v>0</v>
      </c>
      <c r="DM119">
        <f t="shared" si="124"/>
        <v>0</v>
      </c>
      <c r="DN119">
        <f t="shared" si="125"/>
        <v>0</v>
      </c>
      <c r="DO119">
        <f t="shared" si="126"/>
        <v>0</v>
      </c>
      <c r="DP119" s="2">
        <f t="shared" si="89"/>
        <v>34</v>
      </c>
      <c r="DQ119" s="2">
        <f t="shared" si="89"/>
        <v>22</v>
      </c>
      <c r="DR119" s="2">
        <f t="shared" si="89"/>
        <v>10</v>
      </c>
      <c r="DS119" s="2">
        <v>0</v>
      </c>
      <c r="DT119" s="2">
        <v>0</v>
      </c>
    </row>
    <row r="120" spans="1:124" s="2" customFormat="1">
      <c r="A120" s="3">
        <v>43405</v>
      </c>
      <c r="B120">
        <f t="shared" si="48"/>
        <v>2018</v>
      </c>
      <c r="C120" s="2">
        <v>17842216</v>
      </c>
      <c r="D120" s="2">
        <f>VLOOKUP(B120,'Historic CDM'!$B$135:$H$146,2,FALSE)/12</f>
        <v>1140167.2458511787</v>
      </c>
      <c r="E120" s="2">
        <f t="shared" si="91"/>
        <v>18982383.245851178</v>
      </c>
      <c r="F120" s="5">
        <v>27734</v>
      </c>
      <c r="G120" s="219">
        <v>4901621</v>
      </c>
      <c r="H120" s="2">
        <f>VLOOKUP(B120,'Historic CDM'!$B$135:$H$147,3,FALSE)/12</f>
        <v>1108937.0655590973</v>
      </c>
      <c r="I120" s="2">
        <f t="shared" si="92"/>
        <v>6010558.0655590976</v>
      </c>
      <c r="J120" s="220">
        <v>1969</v>
      </c>
      <c r="K120" s="219">
        <v>14526740</v>
      </c>
      <c r="L120" s="2">
        <f>VLOOKUP(B120,'Historic CDM'!$B$135:$H$146,4,FALSE)/12</f>
        <v>1184612.1746571031</v>
      </c>
      <c r="M120" s="2">
        <f t="shared" si="90"/>
        <v>15711352.174657103</v>
      </c>
      <c r="N120" s="222">
        <v>43807</v>
      </c>
      <c r="O120" s="5">
        <v>261</v>
      </c>
      <c r="P120" s="219">
        <v>284080</v>
      </c>
      <c r="Q120" s="2">
        <v>730</v>
      </c>
      <c r="R120" s="5">
        <v>2765</v>
      </c>
      <c r="S120" s="220">
        <v>23820</v>
      </c>
      <c r="T120" s="2">
        <v>65</v>
      </c>
      <c r="U120" s="5">
        <v>240</v>
      </c>
      <c r="V120" s="221">
        <v>128623</v>
      </c>
      <c r="W120" s="1">
        <v>130</v>
      </c>
      <c r="X120" s="2">
        <v>2748670</v>
      </c>
      <c r="Y120" s="2">
        <v>6013</v>
      </c>
      <c r="Z120" s="5">
        <v>4</v>
      </c>
      <c r="AA120" s="100">
        <f>'Weather Data'!D216</f>
        <v>545.73552299140988</v>
      </c>
      <c r="AB120" s="100">
        <f>'Weather Data'!E216</f>
        <v>0</v>
      </c>
      <c r="AC120" s="100">
        <f>'Weather Data'!F216</f>
        <v>485.73552299140988</v>
      </c>
      <c r="AD120" s="100">
        <f>'Weather Data'!G216</f>
        <v>0</v>
      </c>
      <c r="AE120" s="100">
        <f>'Weather Data'!H216</f>
        <v>425.73552299140994</v>
      </c>
      <c r="AF120" s="100">
        <f>'Weather Data'!I216</f>
        <v>0</v>
      </c>
      <c r="AG120" s="100">
        <f>'Weather Data'!J216</f>
        <v>365.73552299140988</v>
      </c>
      <c r="AH120" s="100">
        <f>'Weather Data'!K216</f>
        <v>0</v>
      </c>
      <c r="AI120" s="100">
        <f>'Weather Data'!L216</f>
        <v>305.73552299140982</v>
      </c>
      <c r="AJ120" s="100">
        <f>'Weather Data'!M216</f>
        <v>0</v>
      </c>
      <c r="AK120" s="100">
        <f>'Weather Data'!N216</f>
        <v>246.23552299140979</v>
      </c>
      <c r="AL120" s="100">
        <f>'Weather Data'!O216</f>
        <v>0.5</v>
      </c>
      <c r="AM120" s="100">
        <f>'Weather Data'!P216</f>
        <v>190.23552299140979</v>
      </c>
      <c r="AN120" s="100">
        <f>'Weather Data'!Q216</f>
        <v>4.5</v>
      </c>
      <c r="AO120" s="100">
        <f>'Weather Data'!R216</f>
        <v>1.80881590028634</v>
      </c>
      <c r="AP120" s="5">
        <f>'Economic Data'!D86</f>
        <v>7290</v>
      </c>
      <c r="AQ120" s="5">
        <f>'Economic Data'!E86</f>
        <v>7288.9</v>
      </c>
      <c r="AR120" s="5">
        <f>'Economic Data'!F86</f>
        <v>168.2</v>
      </c>
      <c r="AS120" s="5">
        <f>'Economic Data'!G86</f>
        <v>170.4</v>
      </c>
      <c r="AT120" s="5">
        <f>'Economic Data'!H86</f>
        <v>789531.6</v>
      </c>
      <c r="AU120" s="5">
        <f>'Economic Data'!I86</f>
        <v>7545.5</v>
      </c>
      <c r="AV120" s="5">
        <f>'Economic Data'!J86</f>
        <v>6450.3</v>
      </c>
      <c r="AW120" s="5">
        <f>'Economic Data'!K86</f>
        <v>4822.2</v>
      </c>
      <c r="AX120" s="5">
        <f>'Economic Data'!L86</f>
        <v>975.3</v>
      </c>
      <c r="AY120" s="5">
        <f>'Economic Data'!M86</f>
        <v>828.8</v>
      </c>
      <c r="AZ120" s="5">
        <f>'Economic Data'!N86</f>
        <v>7677.9</v>
      </c>
      <c r="BA120" s="5">
        <f>'Economic Data'!O86</f>
        <v>120.2</v>
      </c>
      <c r="BB120" s="5">
        <f>'Economic Data'!P86</f>
        <v>138.5</v>
      </c>
      <c r="BC120" s="5">
        <f>'Economic Data'!Q86</f>
        <v>799632</v>
      </c>
      <c r="BD120" s="5">
        <f>'Economic Data'!R86</f>
        <v>7527</v>
      </c>
      <c r="BE120" s="5">
        <f>'Economic Data'!S86</f>
        <v>3885</v>
      </c>
      <c r="BF120" s="5">
        <f>'Economic Data'!T86</f>
        <v>15040</v>
      </c>
      <c r="BG120" s="5">
        <f>'EV Data'!V25</f>
        <v>24336.000000000004</v>
      </c>
      <c r="BH120" s="5">
        <f>'EV Data'!AB25</f>
        <v>117.33333333333331</v>
      </c>
      <c r="BI120" s="5">
        <f>'EV Data'!W25</f>
        <v>402.33333333333343</v>
      </c>
      <c r="BJ120" s="5">
        <f t="shared" si="52"/>
        <v>71</v>
      </c>
      <c r="BK120" s="70">
        <f t="shared" si="53"/>
        <v>1.8512583487190752</v>
      </c>
      <c r="BL120" s="5">
        <f t="shared" si="54"/>
        <v>5041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1</v>
      </c>
      <c r="BX120">
        <v>0</v>
      </c>
      <c r="BY120">
        <f t="shared" si="94"/>
        <v>0</v>
      </c>
      <c r="BZ120">
        <f t="shared" si="94"/>
        <v>1</v>
      </c>
      <c r="CA120">
        <f t="shared" si="55"/>
        <v>1</v>
      </c>
      <c r="CB120">
        <v>30</v>
      </c>
      <c r="CC120">
        <v>22</v>
      </c>
      <c r="CD120">
        <v>0</v>
      </c>
      <c r="CE120">
        <v>0</v>
      </c>
      <c r="CF120">
        <f t="shared" si="93"/>
        <v>0</v>
      </c>
      <c r="CG120">
        <v>0</v>
      </c>
      <c r="CH120" s="64">
        <f t="shared" si="95"/>
        <v>0</v>
      </c>
      <c r="CI120" s="64">
        <f t="shared" si="96"/>
        <v>0</v>
      </c>
      <c r="CJ120" s="64">
        <f t="shared" si="97"/>
        <v>0</v>
      </c>
      <c r="CK120" s="64">
        <f t="shared" si="98"/>
        <v>0</v>
      </c>
      <c r="CL120" s="64">
        <f t="shared" si="99"/>
        <v>0</v>
      </c>
      <c r="CM120" s="64">
        <f t="shared" si="100"/>
        <v>0</v>
      </c>
      <c r="CN120" s="64">
        <f t="shared" si="101"/>
        <v>0</v>
      </c>
      <c r="CO120" s="64">
        <f t="shared" si="102"/>
        <v>0</v>
      </c>
      <c r="CP120" s="64">
        <f t="shared" si="103"/>
        <v>0</v>
      </c>
      <c r="CQ120" s="64">
        <f t="shared" si="104"/>
        <v>0</v>
      </c>
      <c r="CR120" s="64">
        <f t="shared" si="105"/>
        <v>0</v>
      </c>
      <c r="CS120" s="64">
        <f t="shared" si="106"/>
        <v>0</v>
      </c>
      <c r="CT120" s="64">
        <f t="shared" si="107"/>
        <v>0</v>
      </c>
      <c r="CU120" s="64">
        <f t="shared" si="108"/>
        <v>0</v>
      </c>
      <c r="CV120" s="69">
        <f t="shared" si="109"/>
        <v>22.814816045108504</v>
      </c>
      <c r="CW120" s="69">
        <f t="shared" si="110"/>
        <v>767.63193685301371</v>
      </c>
      <c r="CX120" s="69">
        <f t="shared" si="127"/>
        <v>2736.2159830472137</v>
      </c>
      <c r="CY120" s="69">
        <f t="shared" si="111"/>
        <v>31234.886363636364</v>
      </c>
      <c r="CZ120" s="64">
        <f t="shared" si="128"/>
        <v>2006.558387567957</v>
      </c>
      <c r="DA120" s="64">
        <f t="shared" si="112"/>
        <v>22905.583333333332</v>
      </c>
      <c r="DB120">
        <f t="shared" si="113"/>
        <v>0</v>
      </c>
      <c r="DC120">
        <f t="shared" si="114"/>
        <v>0</v>
      </c>
      <c r="DD120">
        <f t="shared" si="115"/>
        <v>0</v>
      </c>
      <c r="DE120">
        <f t="shared" si="116"/>
        <v>0</v>
      </c>
      <c r="DF120">
        <f t="shared" si="117"/>
        <v>0</v>
      </c>
      <c r="DG120">
        <f t="shared" si="118"/>
        <v>0</v>
      </c>
      <c r="DH120">
        <f t="shared" si="119"/>
        <v>0</v>
      </c>
      <c r="DI120">
        <f t="shared" si="120"/>
        <v>0</v>
      </c>
      <c r="DJ120">
        <f t="shared" si="121"/>
        <v>0</v>
      </c>
      <c r="DK120">
        <f t="shared" si="122"/>
        <v>0</v>
      </c>
      <c r="DL120">
        <f t="shared" si="123"/>
        <v>0</v>
      </c>
      <c r="DM120">
        <f t="shared" si="124"/>
        <v>0</v>
      </c>
      <c r="DN120">
        <f t="shared" si="125"/>
        <v>0</v>
      </c>
      <c r="DO120">
        <f t="shared" si="126"/>
        <v>0</v>
      </c>
      <c r="DP120" s="2">
        <f t="shared" si="89"/>
        <v>35</v>
      </c>
      <c r="DQ120" s="2">
        <f t="shared" si="89"/>
        <v>23</v>
      </c>
      <c r="DR120" s="2">
        <f t="shared" si="89"/>
        <v>11</v>
      </c>
      <c r="DS120" s="2">
        <v>0</v>
      </c>
      <c r="DT120" s="2">
        <v>0</v>
      </c>
    </row>
    <row r="121" spans="1:124" s="2" customFormat="1">
      <c r="A121" s="3">
        <v>43435</v>
      </c>
      <c r="B121">
        <f t="shared" si="48"/>
        <v>2018</v>
      </c>
      <c r="C121" s="2">
        <v>20242400</v>
      </c>
      <c r="D121" s="2">
        <f>VLOOKUP(B121,'Historic CDM'!$B$135:$H$146,2,FALSE)/12</f>
        <v>1140167.2458511787</v>
      </c>
      <c r="E121" s="2">
        <f t="shared" si="91"/>
        <v>21382567.245851178</v>
      </c>
      <c r="F121" s="5">
        <v>27756</v>
      </c>
      <c r="G121" s="219">
        <v>5078227</v>
      </c>
      <c r="H121" s="2">
        <f>VLOOKUP(B121,'Historic CDM'!$B$135:$H$147,3,FALSE)/12</f>
        <v>1108937.0655590973</v>
      </c>
      <c r="I121" s="2">
        <f t="shared" si="92"/>
        <v>6187164.0655590976</v>
      </c>
      <c r="J121" s="220">
        <v>1994</v>
      </c>
      <c r="K121" s="219">
        <v>13472330</v>
      </c>
      <c r="L121" s="2">
        <f>VLOOKUP(B121,'Historic CDM'!$B$135:$H$146,4,FALSE)/12</f>
        <v>1184612.1746571031</v>
      </c>
      <c r="M121" s="2">
        <f t="shared" si="90"/>
        <v>14656942.174657103</v>
      </c>
      <c r="N121" s="222">
        <v>45524</v>
      </c>
      <c r="O121" s="5">
        <v>262</v>
      </c>
      <c r="P121" s="219">
        <v>310734</v>
      </c>
      <c r="Q121" s="2">
        <v>730</v>
      </c>
      <c r="R121" s="5">
        <v>2765</v>
      </c>
      <c r="S121" s="220">
        <v>24389</v>
      </c>
      <c r="T121" s="2">
        <v>67</v>
      </c>
      <c r="U121" s="5">
        <v>240</v>
      </c>
      <c r="V121" s="221">
        <v>128623</v>
      </c>
      <c r="W121" s="1">
        <v>130</v>
      </c>
      <c r="X121" s="2">
        <v>2349326</v>
      </c>
      <c r="Y121" s="2">
        <v>8600</v>
      </c>
      <c r="Z121" s="5">
        <v>4</v>
      </c>
      <c r="AA121" s="100">
        <f>'Weather Data'!D217</f>
        <v>595.80000000000007</v>
      </c>
      <c r="AB121" s="100">
        <f>'Weather Data'!E217</f>
        <v>0</v>
      </c>
      <c r="AC121" s="100">
        <f>'Weather Data'!F217</f>
        <v>533.80000000000007</v>
      </c>
      <c r="AD121" s="100">
        <f>'Weather Data'!G217</f>
        <v>0</v>
      </c>
      <c r="AE121" s="100">
        <f>'Weather Data'!H217</f>
        <v>471.79999999999995</v>
      </c>
      <c r="AF121" s="100">
        <f>'Weather Data'!I217</f>
        <v>0</v>
      </c>
      <c r="AG121" s="100">
        <f>'Weather Data'!J217</f>
        <v>409.79999999999995</v>
      </c>
      <c r="AH121" s="100">
        <f>'Weather Data'!K217</f>
        <v>0</v>
      </c>
      <c r="AI121" s="100">
        <f>'Weather Data'!L217</f>
        <v>347.7999999999999</v>
      </c>
      <c r="AJ121" s="100">
        <f>'Weather Data'!M217</f>
        <v>0</v>
      </c>
      <c r="AK121" s="100">
        <f>'Weather Data'!N217</f>
        <v>285.8</v>
      </c>
      <c r="AL121" s="100">
        <f>'Weather Data'!O217</f>
        <v>0</v>
      </c>
      <c r="AM121" s="100">
        <f>'Weather Data'!P217</f>
        <v>225.20000000000002</v>
      </c>
      <c r="AN121" s="100">
        <f>'Weather Data'!Q217</f>
        <v>1.4000000000000004</v>
      </c>
      <c r="AO121" s="100">
        <f>'Weather Data'!R217</f>
        <v>0.78064516129032258</v>
      </c>
      <c r="AP121" s="5">
        <f>'Economic Data'!D87</f>
        <v>7300.1</v>
      </c>
      <c r="AQ121" s="5">
        <f>'Economic Data'!E87</f>
        <v>7310.7</v>
      </c>
      <c r="AR121" s="5">
        <f>'Economic Data'!F87</f>
        <v>170.2</v>
      </c>
      <c r="AS121" s="5">
        <f>'Economic Data'!G87</f>
        <v>171.3</v>
      </c>
      <c r="AT121" s="5">
        <f>'Economic Data'!H87</f>
        <v>789531.6</v>
      </c>
      <c r="AU121" s="5">
        <f>'Economic Data'!I87</f>
        <v>7545.5</v>
      </c>
      <c r="AV121" s="5">
        <f>'Economic Data'!J87</f>
        <v>6450.3</v>
      </c>
      <c r="AW121" s="5">
        <f>'Economic Data'!K87</f>
        <v>4822.2</v>
      </c>
      <c r="AX121" s="5">
        <f>'Economic Data'!L87</f>
        <v>975.3</v>
      </c>
      <c r="AY121" s="5">
        <f>'Economic Data'!M87</f>
        <v>828.8</v>
      </c>
      <c r="AZ121" s="5">
        <f>'Economic Data'!N87</f>
        <v>7677.9</v>
      </c>
      <c r="BA121" s="5">
        <f>'Economic Data'!O87</f>
        <v>120.2</v>
      </c>
      <c r="BB121" s="5">
        <f>'Economic Data'!P87</f>
        <v>138.5</v>
      </c>
      <c r="BC121" s="5">
        <f>'Economic Data'!Q87</f>
        <v>799632</v>
      </c>
      <c r="BD121" s="5">
        <f>'Economic Data'!R87</f>
        <v>7527</v>
      </c>
      <c r="BE121" s="5">
        <f>'Economic Data'!S87</f>
        <v>3885</v>
      </c>
      <c r="BF121" s="5">
        <f>'Economic Data'!T87</f>
        <v>15040</v>
      </c>
      <c r="BG121" s="5">
        <f>'EV Data'!V26</f>
        <v>24938.000000000004</v>
      </c>
      <c r="BH121" s="5">
        <f>'EV Data'!AB26</f>
        <v>120.99999999999999</v>
      </c>
      <c r="BI121" s="5">
        <f>'EV Data'!W26</f>
        <v>413.00000000000011</v>
      </c>
      <c r="BJ121" s="5">
        <f t="shared" si="52"/>
        <v>72</v>
      </c>
      <c r="BK121" s="70">
        <f t="shared" si="53"/>
        <v>1.8573324964312685</v>
      </c>
      <c r="BL121" s="5">
        <f t="shared" si="54"/>
        <v>5184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1</v>
      </c>
      <c r="BY121">
        <f t="shared" si="94"/>
        <v>0</v>
      </c>
      <c r="BZ121">
        <f t="shared" si="94"/>
        <v>0</v>
      </c>
      <c r="CA121">
        <f t="shared" si="55"/>
        <v>0</v>
      </c>
      <c r="CB121">
        <v>31</v>
      </c>
      <c r="CC121">
        <v>19</v>
      </c>
      <c r="CD121">
        <v>0</v>
      </c>
      <c r="CE121">
        <v>0</v>
      </c>
      <c r="CF121">
        <f t="shared" si="93"/>
        <v>0</v>
      </c>
      <c r="CG121">
        <v>0</v>
      </c>
      <c r="CH121" s="64">
        <f t="shared" si="95"/>
        <v>0</v>
      </c>
      <c r="CI121" s="64">
        <f t="shared" si="96"/>
        <v>0</v>
      </c>
      <c r="CJ121" s="64">
        <f t="shared" si="97"/>
        <v>0</v>
      </c>
      <c r="CK121" s="64">
        <f t="shared" si="98"/>
        <v>0</v>
      </c>
      <c r="CL121" s="64">
        <f t="shared" si="99"/>
        <v>0</v>
      </c>
      <c r="CM121" s="64">
        <f t="shared" si="100"/>
        <v>0</v>
      </c>
      <c r="CN121" s="64">
        <f t="shared" si="101"/>
        <v>0</v>
      </c>
      <c r="CO121" s="64">
        <f t="shared" si="102"/>
        <v>0</v>
      </c>
      <c r="CP121" s="64">
        <f t="shared" si="103"/>
        <v>0</v>
      </c>
      <c r="CQ121" s="64">
        <f t="shared" si="104"/>
        <v>0</v>
      </c>
      <c r="CR121" s="64">
        <f t="shared" si="105"/>
        <v>0</v>
      </c>
      <c r="CS121" s="64">
        <f t="shared" si="106"/>
        <v>0</v>
      </c>
      <c r="CT121" s="64">
        <f t="shared" si="107"/>
        <v>0</v>
      </c>
      <c r="CU121" s="64">
        <f t="shared" si="108"/>
        <v>0</v>
      </c>
      <c r="CV121" s="69">
        <f t="shared" si="109"/>
        <v>24.850851482098815</v>
      </c>
      <c r="CW121" s="69">
        <f t="shared" si="110"/>
        <v>761.7783877812235</v>
      </c>
      <c r="CX121" s="69">
        <f t="shared" si="127"/>
        <v>2944.3435465361795</v>
      </c>
      <c r="CY121" s="69">
        <f t="shared" si="111"/>
        <v>30912.184210526317</v>
      </c>
      <c r="CZ121" s="64">
        <f t="shared" si="128"/>
        <v>1804.5976575544328</v>
      </c>
      <c r="DA121" s="64">
        <f t="shared" si="112"/>
        <v>18946.177419354837</v>
      </c>
      <c r="DB121">
        <f t="shared" si="113"/>
        <v>0</v>
      </c>
      <c r="DC121">
        <f t="shared" si="114"/>
        <v>0</v>
      </c>
      <c r="DD121">
        <f t="shared" si="115"/>
        <v>0</v>
      </c>
      <c r="DE121">
        <f t="shared" si="116"/>
        <v>0</v>
      </c>
      <c r="DF121">
        <f t="shared" si="117"/>
        <v>0</v>
      </c>
      <c r="DG121">
        <f t="shared" si="118"/>
        <v>0</v>
      </c>
      <c r="DH121">
        <f t="shared" si="119"/>
        <v>0</v>
      </c>
      <c r="DI121">
        <f t="shared" si="120"/>
        <v>0</v>
      </c>
      <c r="DJ121">
        <f t="shared" si="121"/>
        <v>0</v>
      </c>
      <c r="DK121">
        <f t="shared" si="122"/>
        <v>0</v>
      </c>
      <c r="DL121">
        <f t="shared" si="123"/>
        <v>0</v>
      </c>
      <c r="DM121">
        <f t="shared" si="124"/>
        <v>0</v>
      </c>
      <c r="DN121">
        <f t="shared" si="125"/>
        <v>0</v>
      </c>
      <c r="DO121">
        <f t="shared" si="126"/>
        <v>0</v>
      </c>
      <c r="DP121" s="2">
        <f t="shared" si="89"/>
        <v>36</v>
      </c>
      <c r="DQ121" s="2">
        <f t="shared" si="89"/>
        <v>24</v>
      </c>
      <c r="DR121" s="2">
        <f t="shared" si="89"/>
        <v>12</v>
      </c>
      <c r="DS121" s="2">
        <v>0</v>
      </c>
      <c r="DT121" s="2">
        <v>0</v>
      </c>
    </row>
    <row r="122" spans="1:124">
      <c r="A122" s="3">
        <v>43466</v>
      </c>
      <c r="B122">
        <f t="shared" ref="B122:B133" si="129">YEAR(A122)</f>
        <v>2019</v>
      </c>
      <c r="C122" s="2">
        <v>20513076</v>
      </c>
      <c r="D122" s="2">
        <f>VLOOKUP(B122,'Historic CDM'!$B$135:$H$146,2,FALSE)/12</f>
        <v>1203025.8182968786</v>
      </c>
      <c r="E122" s="2">
        <f t="shared" si="91"/>
        <v>21716101.81829688</v>
      </c>
      <c r="F122" s="5">
        <v>27781</v>
      </c>
      <c r="G122" s="219">
        <v>5567139</v>
      </c>
      <c r="H122" s="2">
        <f>VLOOKUP(B122,'Historic CDM'!$B$135:$H$147,3,FALSE)/12</f>
        <v>1137811.0149666101</v>
      </c>
      <c r="I122" s="2">
        <f t="shared" si="92"/>
        <v>6704950.0149666099</v>
      </c>
      <c r="J122" s="220">
        <v>1995</v>
      </c>
      <c r="K122" s="219">
        <v>14873192</v>
      </c>
      <c r="L122" s="2">
        <f>VLOOKUP(B122,'Historic CDM'!$B$135:$H$146,4,FALSE)/12</f>
        <v>1206809.3744726346</v>
      </c>
      <c r="M122" s="2">
        <f t="shared" si="90"/>
        <v>16080001.374472635</v>
      </c>
      <c r="N122" s="222">
        <v>45525</v>
      </c>
      <c r="O122" s="5">
        <v>262</v>
      </c>
      <c r="P122" s="219">
        <v>305626</v>
      </c>
      <c r="Q122" s="2">
        <v>730</v>
      </c>
      <c r="R122" s="5">
        <v>2765</v>
      </c>
      <c r="S122" s="220">
        <v>24458</v>
      </c>
      <c r="T122" s="2">
        <v>67</v>
      </c>
      <c r="U122" s="5">
        <v>240</v>
      </c>
      <c r="V122" s="221">
        <v>128623</v>
      </c>
      <c r="W122" s="1">
        <v>130</v>
      </c>
      <c r="X122" s="2">
        <v>2994820</v>
      </c>
      <c r="Y122" s="2">
        <v>7485</v>
      </c>
      <c r="Z122" s="5">
        <v>4</v>
      </c>
      <c r="AA122" s="100">
        <f>'Weather Data'!D218</f>
        <v>773.8</v>
      </c>
      <c r="AB122" s="100">
        <f>'Weather Data'!E218</f>
        <v>0</v>
      </c>
      <c r="AC122" s="100">
        <f>'Weather Data'!F218</f>
        <v>711.8</v>
      </c>
      <c r="AD122" s="100">
        <f>'Weather Data'!G218</f>
        <v>0</v>
      </c>
      <c r="AE122" s="100">
        <f>'Weather Data'!H218</f>
        <v>649.79999999999995</v>
      </c>
      <c r="AF122" s="100">
        <f>'Weather Data'!I218</f>
        <v>0</v>
      </c>
      <c r="AG122" s="100">
        <f>'Weather Data'!J218</f>
        <v>587.79999999999995</v>
      </c>
      <c r="AH122" s="100">
        <f>'Weather Data'!K218</f>
        <v>0</v>
      </c>
      <c r="AI122" s="100">
        <f>'Weather Data'!L218</f>
        <v>525.79999999999995</v>
      </c>
      <c r="AJ122" s="100">
        <f>'Weather Data'!M218</f>
        <v>0</v>
      </c>
      <c r="AK122" s="100">
        <f>'Weather Data'!N218</f>
        <v>463.8</v>
      </c>
      <c r="AL122" s="100">
        <f>'Weather Data'!O218</f>
        <v>0</v>
      </c>
      <c r="AM122" s="100">
        <f>'Weather Data'!P218</f>
        <v>401.8</v>
      </c>
      <c r="AN122" s="100">
        <f>'Weather Data'!Q218</f>
        <v>0</v>
      </c>
      <c r="AO122" s="100">
        <f>'Weather Data'!R218</f>
        <v>-4.9612903225806457</v>
      </c>
      <c r="AP122" s="5">
        <f>'Economic Data'!D88</f>
        <v>7318</v>
      </c>
      <c r="AQ122" s="5">
        <f>'Economic Data'!E88</f>
        <v>7289.4</v>
      </c>
      <c r="AR122" s="5">
        <f>'Economic Data'!F88</f>
        <v>172.7</v>
      </c>
      <c r="AS122" s="5">
        <f>'Economic Data'!G88</f>
        <v>172.2</v>
      </c>
      <c r="AT122" s="5">
        <f>'Economic Data'!H88</f>
        <v>807274.5</v>
      </c>
      <c r="AU122" s="5">
        <f>'Economic Data'!I88</f>
        <v>7827.1</v>
      </c>
      <c r="AV122" s="5">
        <f>'Economic Data'!J88</f>
        <v>6758.1</v>
      </c>
      <c r="AW122" s="5">
        <f>'Economic Data'!K88</f>
        <v>5005</v>
      </c>
      <c r="AX122" s="5">
        <f>'Economic Data'!L88</f>
        <v>1092.3</v>
      </c>
      <c r="AY122" s="5">
        <f>'Economic Data'!M88</f>
        <v>1343.6</v>
      </c>
      <c r="AZ122" s="5">
        <f>'Economic Data'!N88</f>
        <v>7405</v>
      </c>
      <c r="BA122" s="5">
        <f>'Economic Data'!O88</f>
        <v>118.8</v>
      </c>
      <c r="BB122" s="5">
        <f>'Economic Data'!P88</f>
        <v>129.6</v>
      </c>
      <c r="BC122" s="5">
        <f>'Economic Data'!Q88</f>
        <v>800724</v>
      </c>
      <c r="BD122" s="5">
        <f>'Economic Data'!R88</f>
        <v>7595</v>
      </c>
      <c r="BE122" s="5">
        <f>'Economic Data'!S88</f>
        <v>3864</v>
      </c>
      <c r="BF122" s="5">
        <f>'Economic Data'!T88</f>
        <v>14057</v>
      </c>
      <c r="BG122" s="5">
        <f>'EV Data'!V27</f>
        <v>25385.333333333336</v>
      </c>
      <c r="BH122" s="5">
        <f>'EV Data'!AB27</f>
        <v>122.33333333333331</v>
      </c>
      <c r="BI122" s="5">
        <f>'EV Data'!W27</f>
        <v>418.6666666666668</v>
      </c>
      <c r="BJ122" s="5">
        <f t="shared" si="52"/>
        <v>73</v>
      </c>
      <c r="BK122" s="70">
        <f t="shared" si="53"/>
        <v>1.8633228601204559</v>
      </c>
      <c r="BL122" s="5">
        <f t="shared" si="54"/>
        <v>5329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f t="shared" si="94"/>
        <v>0</v>
      </c>
      <c r="BZ122">
        <f t="shared" si="94"/>
        <v>0</v>
      </c>
      <c r="CA122">
        <f t="shared" si="55"/>
        <v>0</v>
      </c>
      <c r="CB122">
        <f>CB74</f>
        <v>31</v>
      </c>
      <c r="CC122">
        <v>22</v>
      </c>
      <c r="CD122">
        <v>0</v>
      </c>
      <c r="CE122">
        <v>0</v>
      </c>
      <c r="CF122">
        <f t="shared" si="93"/>
        <v>0</v>
      </c>
      <c r="CG122">
        <v>0</v>
      </c>
      <c r="CH122" s="64">
        <f t="shared" si="95"/>
        <v>0</v>
      </c>
      <c r="CI122" s="64">
        <f t="shared" si="96"/>
        <v>0</v>
      </c>
      <c r="CJ122" s="64">
        <f t="shared" si="97"/>
        <v>0</v>
      </c>
      <c r="CK122" s="64">
        <f t="shared" si="98"/>
        <v>0</v>
      </c>
      <c r="CL122" s="64">
        <f t="shared" si="99"/>
        <v>0</v>
      </c>
      <c r="CM122" s="64">
        <f t="shared" si="100"/>
        <v>0</v>
      </c>
      <c r="CN122" s="64">
        <f t="shared" si="101"/>
        <v>0</v>
      </c>
      <c r="CO122" s="64">
        <f t="shared" si="102"/>
        <v>0</v>
      </c>
      <c r="CP122" s="64">
        <f t="shared" si="103"/>
        <v>0</v>
      </c>
      <c r="CQ122" s="64">
        <f t="shared" si="104"/>
        <v>0</v>
      </c>
      <c r="CR122" s="64">
        <f t="shared" si="105"/>
        <v>0</v>
      </c>
      <c r="CS122" s="64">
        <f t="shared" si="106"/>
        <v>0</v>
      </c>
      <c r="CT122" s="64">
        <f t="shared" si="107"/>
        <v>0</v>
      </c>
      <c r="CU122" s="64">
        <f t="shared" si="108"/>
        <v>0</v>
      </c>
      <c r="CV122" s="69">
        <f t="shared" si="109"/>
        <v>25.215773855996822</v>
      </c>
      <c r="CW122" s="69">
        <f t="shared" si="110"/>
        <v>825.52942809241688</v>
      </c>
      <c r="CX122" s="69">
        <f t="shared" si="127"/>
        <v>2789.7295930729761</v>
      </c>
      <c r="CY122" s="69">
        <f t="shared" si="111"/>
        <v>34032.045454545456</v>
      </c>
      <c r="CZ122" s="64">
        <f t="shared" si="128"/>
        <v>1979.8080983098539</v>
      </c>
      <c r="DA122" s="64">
        <f t="shared" si="112"/>
        <v>24151.774193548386</v>
      </c>
      <c r="DB122">
        <f t="shared" si="113"/>
        <v>0</v>
      </c>
      <c r="DC122">
        <f t="shared" si="114"/>
        <v>0</v>
      </c>
      <c r="DD122">
        <f t="shared" si="115"/>
        <v>0</v>
      </c>
      <c r="DE122">
        <f t="shared" si="116"/>
        <v>0</v>
      </c>
      <c r="DF122">
        <f t="shared" si="117"/>
        <v>0</v>
      </c>
      <c r="DG122">
        <f t="shared" si="118"/>
        <v>0</v>
      </c>
      <c r="DH122">
        <f t="shared" si="119"/>
        <v>0</v>
      </c>
      <c r="DI122">
        <f t="shared" si="120"/>
        <v>0</v>
      </c>
      <c r="DJ122">
        <f t="shared" si="121"/>
        <v>0</v>
      </c>
      <c r="DK122">
        <f t="shared" si="122"/>
        <v>0</v>
      </c>
      <c r="DL122">
        <f t="shared" si="123"/>
        <v>0</v>
      </c>
      <c r="DM122">
        <f t="shared" si="124"/>
        <v>0</v>
      </c>
      <c r="DN122">
        <f t="shared" si="125"/>
        <v>0</v>
      </c>
      <c r="DO122">
        <f t="shared" si="126"/>
        <v>0</v>
      </c>
      <c r="DP122" s="2">
        <f t="shared" si="89"/>
        <v>37</v>
      </c>
      <c r="DQ122" s="2">
        <f t="shared" si="89"/>
        <v>25</v>
      </c>
      <c r="DR122" s="2">
        <f t="shared" si="89"/>
        <v>13</v>
      </c>
      <c r="DS122" s="2">
        <v>1</v>
      </c>
      <c r="DT122" s="2">
        <v>0</v>
      </c>
    </row>
    <row r="123" spans="1:124">
      <c r="A123" s="3">
        <v>43497</v>
      </c>
      <c r="B123">
        <f t="shared" si="129"/>
        <v>2019</v>
      </c>
      <c r="C123" s="2">
        <v>18010778</v>
      </c>
      <c r="D123" s="2">
        <f>VLOOKUP(B123,'Historic CDM'!$B$135:$H$146,2,FALSE)/12</f>
        <v>1203025.8182968786</v>
      </c>
      <c r="E123" s="2">
        <f t="shared" si="91"/>
        <v>19213803.81829688</v>
      </c>
      <c r="F123" s="5">
        <v>27832</v>
      </c>
      <c r="G123" s="219">
        <v>5017730</v>
      </c>
      <c r="H123" s="2">
        <f>VLOOKUP(B123,'Historic CDM'!$B$135:$H$147,3,FALSE)/12</f>
        <v>1137811.0149666101</v>
      </c>
      <c r="I123" s="2">
        <f t="shared" si="92"/>
        <v>6155541.0149666099</v>
      </c>
      <c r="J123" s="220">
        <v>1995</v>
      </c>
      <c r="K123" s="219">
        <v>13631191</v>
      </c>
      <c r="L123" s="2">
        <f>VLOOKUP(B123,'Historic CDM'!$B$135:$H$146,4,FALSE)/12</f>
        <v>1206809.3744726346</v>
      </c>
      <c r="M123" s="2">
        <f t="shared" si="90"/>
        <v>14838000.374472635</v>
      </c>
      <c r="N123" s="222">
        <v>44118</v>
      </c>
      <c r="O123" s="5">
        <v>262</v>
      </c>
      <c r="P123" s="219">
        <v>276049</v>
      </c>
      <c r="Q123" s="2">
        <v>730</v>
      </c>
      <c r="R123" s="5">
        <v>2770</v>
      </c>
      <c r="S123" s="220">
        <v>23338</v>
      </c>
      <c r="T123" s="2">
        <v>64</v>
      </c>
      <c r="U123" s="5">
        <v>240</v>
      </c>
      <c r="V123" s="221">
        <v>128623</v>
      </c>
      <c r="W123" s="1">
        <v>130</v>
      </c>
      <c r="X123" s="2">
        <v>2804290</v>
      </c>
      <c r="Y123" s="2">
        <v>7592</v>
      </c>
      <c r="Z123" s="5">
        <v>4</v>
      </c>
      <c r="AA123" s="100">
        <f>'Weather Data'!D219</f>
        <v>636.9000000000002</v>
      </c>
      <c r="AB123" s="100">
        <f>'Weather Data'!E219</f>
        <v>0</v>
      </c>
      <c r="AC123" s="100">
        <f>'Weather Data'!F219</f>
        <v>580.90000000000009</v>
      </c>
      <c r="AD123" s="100">
        <f>'Weather Data'!G219</f>
        <v>0</v>
      </c>
      <c r="AE123" s="100">
        <f>'Weather Data'!H219</f>
        <v>524.90000000000009</v>
      </c>
      <c r="AF123" s="100">
        <f>'Weather Data'!I219</f>
        <v>0</v>
      </c>
      <c r="AG123" s="100">
        <f>'Weather Data'!J219</f>
        <v>468.9</v>
      </c>
      <c r="AH123" s="100">
        <f>'Weather Data'!K219</f>
        <v>0</v>
      </c>
      <c r="AI123" s="100">
        <f>'Weather Data'!L219</f>
        <v>412.90000000000003</v>
      </c>
      <c r="AJ123" s="100">
        <f>'Weather Data'!M219</f>
        <v>0</v>
      </c>
      <c r="AK123" s="100">
        <f>'Weather Data'!N219</f>
        <v>356.90000000000003</v>
      </c>
      <c r="AL123" s="100">
        <f>'Weather Data'!O219</f>
        <v>0</v>
      </c>
      <c r="AM123" s="100">
        <f>'Weather Data'!P219</f>
        <v>300.90000000000003</v>
      </c>
      <c r="AN123" s="100">
        <f>'Weather Data'!Q219</f>
        <v>0</v>
      </c>
      <c r="AO123" s="100">
        <f>'Weather Data'!R219</f>
        <v>-2.7464285714285714</v>
      </c>
      <c r="AP123" s="5">
        <f>'Economic Data'!D89</f>
        <v>7345.4</v>
      </c>
      <c r="AQ123" s="5">
        <f>'Economic Data'!E89</f>
        <v>7278.4</v>
      </c>
      <c r="AR123" s="5">
        <f>'Economic Data'!F89</f>
        <v>173.5</v>
      </c>
      <c r="AS123" s="5">
        <f>'Economic Data'!G89</f>
        <v>171.9</v>
      </c>
      <c r="AT123" s="5">
        <f>'Economic Data'!H89</f>
        <v>807274.5</v>
      </c>
      <c r="AU123" s="5">
        <f>'Economic Data'!I89</f>
        <v>7827.1</v>
      </c>
      <c r="AV123" s="5">
        <f>'Economic Data'!J89</f>
        <v>6758.1</v>
      </c>
      <c r="AW123" s="5">
        <f>'Economic Data'!K89</f>
        <v>5005</v>
      </c>
      <c r="AX123" s="5">
        <f>'Economic Data'!L89</f>
        <v>1092.3</v>
      </c>
      <c r="AY123" s="5">
        <f>'Economic Data'!M89</f>
        <v>1343.6</v>
      </c>
      <c r="AZ123" s="5">
        <f>'Economic Data'!N89</f>
        <v>7405</v>
      </c>
      <c r="BA123" s="5">
        <f>'Economic Data'!O89</f>
        <v>118.8</v>
      </c>
      <c r="BB123" s="5">
        <f>'Economic Data'!P89</f>
        <v>129.6</v>
      </c>
      <c r="BC123" s="5">
        <f>'Economic Data'!Q89</f>
        <v>800724</v>
      </c>
      <c r="BD123" s="5">
        <f>'Economic Data'!R89</f>
        <v>7595</v>
      </c>
      <c r="BE123" s="5">
        <f>'Economic Data'!S89</f>
        <v>3864</v>
      </c>
      <c r="BF123" s="5">
        <f>'Economic Data'!T89</f>
        <v>14057</v>
      </c>
      <c r="BG123" s="5">
        <f>'EV Data'!V28</f>
        <v>25832.666666666668</v>
      </c>
      <c r="BH123" s="5">
        <f>'EV Data'!AB28</f>
        <v>123.66666666666664</v>
      </c>
      <c r="BI123" s="5">
        <f>'EV Data'!W28</f>
        <v>424.33333333333348</v>
      </c>
      <c r="BJ123" s="5">
        <f t="shared" si="52"/>
        <v>74</v>
      </c>
      <c r="BK123" s="70">
        <f t="shared" si="53"/>
        <v>1.8692317197309762</v>
      </c>
      <c r="BL123" s="5">
        <f t="shared" si="54"/>
        <v>5476</v>
      </c>
      <c r="BM123">
        <v>0</v>
      </c>
      <c r="BN123">
        <v>1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f t="shared" si="94"/>
        <v>0</v>
      </c>
      <c r="BZ123">
        <f t="shared" si="94"/>
        <v>0</v>
      </c>
      <c r="CA123">
        <f t="shared" si="55"/>
        <v>0</v>
      </c>
      <c r="CB123">
        <f t="shared" ref="CB123:CB181" si="130">CB75</f>
        <v>28</v>
      </c>
      <c r="CC123">
        <v>19</v>
      </c>
      <c r="CD123">
        <v>0</v>
      </c>
      <c r="CE123">
        <v>0</v>
      </c>
      <c r="CF123">
        <f t="shared" si="93"/>
        <v>0</v>
      </c>
      <c r="CG123">
        <v>0</v>
      </c>
      <c r="CH123" s="64">
        <f t="shared" si="95"/>
        <v>0</v>
      </c>
      <c r="CI123" s="64">
        <f t="shared" si="96"/>
        <v>0</v>
      </c>
      <c r="CJ123" s="64">
        <f t="shared" si="97"/>
        <v>0</v>
      </c>
      <c r="CK123" s="64">
        <f t="shared" si="98"/>
        <v>0</v>
      </c>
      <c r="CL123" s="64">
        <f t="shared" si="99"/>
        <v>0</v>
      </c>
      <c r="CM123" s="64">
        <f t="shared" si="100"/>
        <v>0</v>
      </c>
      <c r="CN123" s="64">
        <f t="shared" si="101"/>
        <v>0</v>
      </c>
      <c r="CO123" s="64">
        <f t="shared" si="102"/>
        <v>0</v>
      </c>
      <c r="CP123" s="64">
        <f t="shared" si="103"/>
        <v>0</v>
      </c>
      <c r="CQ123" s="64">
        <f t="shared" si="104"/>
        <v>0</v>
      </c>
      <c r="CR123" s="64">
        <f t="shared" si="105"/>
        <v>0</v>
      </c>
      <c r="CS123" s="64">
        <f t="shared" si="106"/>
        <v>0</v>
      </c>
      <c r="CT123" s="64">
        <f t="shared" si="107"/>
        <v>0</v>
      </c>
      <c r="CU123" s="64">
        <f t="shared" si="108"/>
        <v>0</v>
      </c>
      <c r="CV123" s="69">
        <f t="shared" si="109"/>
        <v>24.655334838491253</v>
      </c>
      <c r="CW123" s="69">
        <f t="shared" si="110"/>
        <v>839.08683410122819</v>
      </c>
      <c r="CX123" s="69">
        <f t="shared" si="127"/>
        <v>2980.7152218707583</v>
      </c>
      <c r="CY123" s="69">
        <f t="shared" si="111"/>
        <v>36898.552631578947</v>
      </c>
      <c r="CZ123" s="64">
        <f t="shared" si="128"/>
        <v>2022.6281862694434</v>
      </c>
      <c r="DA123" s="64">
        <f t="shared" si="112"/>
        <v>25038.303571428572</v>
      </c>
      <c r="DB123">
        <f t="shared" si="113"/>
        <v>0</v>
      </c>
      <c r="DC123">
        <f t="shared" si="114"/>
        <v>0</v>
      </c>
      <c r="DD123">
        <f t="shared" si="115"/>
        <v>0</v>
      </c>
      <c r="DE123">
        <f t="shared" si="116"/>
        <v>0</v>
      </c>
      <c r="DF123">
        <f t="shared" si="117"/>
        <v>0</v>
      </c>
      <c r="DG123">
        <f t="shared" si="118"/>
        <v>0</v>
      </c>
      <c r="DH123">
        <f t="shared" si="119"/>
        <v>0</v>
      </c>
      <c r="DI123">
        <f t="shared" si="120"/>
        <v>0</v>
      </c>
      <c r="DJ123">
        <f t="shared" si="121"/>
        <v>0</v>
      </c>
      <c r="DK123">
        <f t="shared" si="122"/>
        <v>0</v>
      </c>
      <c r="DL123">
        <f t="shared" si="123"/>
        <v>0</v>
      </c>
      <c r="DM123">
        <f t="shared" si="124"/>
        <v>0</v>
      </c>
      <c r="DN123">
        <f t="shared" si="125"/>
        <v>0</v>
      </c>
      <c r="DO123">
        <f t="shared" si="126"/>
        <v>0</v>
      </c>
      <c r="DP123" s="2">
        <f t="shared" si="89"/>
        <v>38</v>
      </c>
      <c r="DQ123" s="2">
        <f t="shared" si="89"/>
        <v>26</v>
      </c>
      <c r="DR123" s="2">
        <f t="shared" si="89"/>
        <v>14</v>
      </c>
      <c r="DS123" s="2">
        <f>DS122+1</f>
        <v>2</v>
      </c>
      <c r="DT123" s="2">
        <v>0</v>
      </c>
    </row>
    <row r="124" spans="1:124">
      <c r="A124" s="3">
        <v>43525</v>
      </c>
      <c r="B124">
        <f t="shared" si="129"/>
        <v>2019</v>
      </c>
      <c r="C124" s="2">
        <v>18420789</v>
      </c>
      <c r="D124" s="2">
        <f>VLOOKUP(B124,'Historic CDM'!$B$135:$H$146,2,FALSE)/12</f>
        <v>1203025.8182968786</v>
      </c>
      <c r="E124" s="2">
        <f t="shared" si="91"/>
        <v>19623814.81829688</v>
      </c>
      <c r="F124" s="5">
        <v>27848</v>
      </c>
      <c r="G124" s="219">
        <v>5260175</v>
      </c>
      <c r="H124" s="2">
        <f>VLOOKUP(B124,'Historic CDM'!$B$135:$H$147,3,FALSE)/12</f>
        <v>1137811.0149666101</v>
      </c>
      <c r="I124" s="2">
        <f t="shared" si="92"/>
        <v>6397986.0149666099</v>
      </c>
      <c r="J124" s="220">
        <v>1995</v>
      </c>
      <c r="K124" s="219">
        <v>14487402</v>
      </c>
      <c r="L124" s="2">
        <f>VLOOKUP(B124,'Historic CDM'!$B$135:$H$146,4,FALSE)/12</f>
        <v>1206809.3744726346</v>
      </c>
      <c r="M124" s="2">
        <f t="shared" si="90"/>
        <v>15694211.374472635</v>
      </c>
      <c r="N124" s="222">
        <v>43609</v>
      </c>
      <c r="O124" s="5">
        <v>262</v>
      </c>
      <c r="P124" s="219">
        <v>256669</v>
      </c>
      <c r="Q124" s="2">
        <v>733</v>
      </c>
      <c r="R124" s="5">
        <v>2772</v>
      </c>
      <c r="S124" s="220">
        <v>23873</v>
      </c>
      <c r="T124" s="2">
        <v>65</v>
      </c>
      <c r="U124" s="5">
        <v>238</v>
      </c>
      <c r="V124" s="221">
        <v>128623</v>
      </c>
      <c r="W124" s="1">
        <v>130</v>
      </c>
      <c r="X124" s="2">
        <v>2876384</v>
      </c>
      <c r="Y124" s="2">
        <v>7485</v>
      </c>
      <c r="Z124" s="5">
        <v>4</v>
      </c>
      <c r="AA124" s="100">
        <f>'Weather Data'!D220</f>
        <v>611.39999999999986</v>
      </c>
      <c r="AB124" s="100">
        <f>'Weather Data'!E220</f>
        <v>0</v>
      </c>
      <c r="AC124" s="100">
        <f>'Weather Data'!F220</f>
        <v>549.4</v>
      </c>
      <c r="AD124" s="100">
        <f>'Weather Data'!G220</f>
        <v>0</v>
      </c>
      <c r="AE124" s="100">
        <f>'Weather Data'!H220</f>
        <v>487.4</v>
      </c>
      <c r="AF124" s="100">
        <f>'Weather Data'!I220</f>
        <v>0</v>
      </c>
      <c r="AG124" s="100">
        <f>'Weather Data'!J220</f>
        <v>425.39999999999992</v>
      </c>
      <c r="AH124" s="100">
        <f>'Weather Data'!K220</f>
        <v>0</v>
      </c>
      <c r="AI124" s="100">
        <f>'Weather Data'!L220</f>
        <v>363.4</v>
      </c>
      <c r="AJ124" s="100">
        <f>'Weather Data'!M220</f>
        <v>0</v>
      </c>
      <c r="AK124" s="100">
        <f>'Weather Data'!N220</f>
        <v>302.7</v>
      </c>
      <c r="AL124" s="100">
        <f>'Weather Data'!O220</f>
        <v>1.3000000000000007</v>
      </c>
      <c r="AM124" s="100">
        <f>'Weather Data'!P220</f>
        <v>244.70000000000002</v>
      </c>
      <c r="AN124" s="100">
        <f>'Weather Data'!Q220</f>
        <v>5.3000000000000007</v>
      </c>
      <c r="AO124" s="100">
        <f>'Weather Data'!R220</f>
        <v>0.27741935483871</v>
      </c>
      <c r="AP124" s="5">
        <f>'Economic Data'!D90</f>
        <v>7361.3</v>
      </c>
      <c r="AQ124" s="5">
        <f>'Economic Data'!E90</f>
        <v>7256.9</v>
      </c>
      <c r="AR124" s="5">
        <f>'Economic Data'!F90</f>
        <v>175.2</v>
      </c>
      <c r="AS124" s="5">
        <f>'Economic Data'!G90</f>
        <v>173.1</v>
      </c>
      <c r="AT124" s="5">
        <f>'Economic Data'!H90</f>
        <v>807274.5</v>
      </c>
      <c r="AU124" s="5">
        <f>'Economic Data'!I90</f>
        <v>7827.1</v>
      </c>
      <c r="AV124" s="5">
        <f>'Economic Data'!J90</f>
        <v>6758.1</v>
      </c>
      <c r="AW124" s="5">
        <f>'Economic Data'!K90</f>
        <v>5005</v>
      </c>
      <c r="AX124" s="5">
        <f>'Economic Data'!L90</f>
        <v>1092.3</v>
      </c>
      <c r="AY124" s="5">
        <f>'Economic Data'!M90</f>
        <v>1343.6</v>
      </c>
      <c r="AZ124" s="5">
        <f>'Economic Data'!N90</f>
        <v>7405</v>
      </c>
      <c r="BA124" s="5">
        <f>'Economic Data'!O90</f>
        <v>118.8</v>
      </c>
      <c r="BB124" s="5">
        <f>'Economic Data'!P90</f>
        <v>129.6</v>
      </c>
      <c r="BC124" s="5">
        <f>'Economic Data'!Q90</f>
        <v>800724</v>
      </c>
      <c r="BD124" s="5">
        <f>'Economic Data'!R90</f>
        <v>7595</v>
      </c>
      <c r="BE124" s="5">
        <f>'Economic Data'!S90</f>
        <v>3864</v>
      </c>
      <c r="BF124" s="5">
        <f>'Economic Data'!T90</f>
        <v>14057</v>
      </c>
      <c r="BG124" s="5">
        <f>'EV Data'!V29</f>
        <v>26280</v>
      </c>
      <c r="BH124" s="5">
        <f>'EV Data'!AB29</f>
        <v>124.99999999999997</v>
      </c>
      <c r="BI124" s="5">
        <f>'EV Data'!W29</f>
        <v>430.00000000000017</v>
      </c>
      <c r="BJ124" s="5">
        <f t="shared" si="52"/>
        <v>75</v>
      </c>
      <c r="BK124" s="70">
        <f t="shared" si="53"/>
        <v>1.8750612633917001</v>
      </c>
      <c r="BL124" s="5">
        <f t="shared" si="54"/>
        <v>5625</v>
      </c>
      <c r="BM124">
        <v>0</v>
      </c>
      <c r="BN124">
        <v>0</v>
      </c>
      <c r="BO124">
        <v>1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f t="shared" si="94"/>
        <v>1</v>
      </c>
      <c r="BZ124">
        <f t="shared" si="94"/>
        <v>0</v>
      </c>
      <c r="CA124">
        <f t="shared" si="55"/>
        <v>1</v>
      </c>
      <c r="CB124">
        <f t="shared" si="130"/>
        <v>31</v>
      </c>
      <c r="CC124">
        <v>22</v>
      </c>
      <c r="CD124">
        <v>0</v>
      </c>
      <c r="CE124">
        <v>0</v>
      </c>
      <c r="CF124">
        <f t="shared" si="93"/>
        <v>0</v>
      </c>
      <c r="CG124">
        <v>0</v>
      </c>
      <c r="CH124" s="64">
        <f t="shared" si="95"/>
        <v>0</v>
      </c>
      <c r="CI124" s="64">
        <f t="shared" si="96"/>
        <v>0</v>
      </c>
      <c r="CJ124" s="64">
        <f t="shared" si="97"/>
        <v>0</v>
      </c>
      <c r="CK124" s="64">
        <f t="shared" si="98"/>
        <v>0</v>
      </c>
      <c r="CL124" s="64">
        <f t="shared" si="99"/>
        <v>0</v>
      </c>
      <c r="CM124" s="64">
        <f t="shared" si="100"/>
        <v>0</v>
      </c>
      <c r="CN124" s="64">
        <f t="shared" si="101"/>
        <v>0</v>
      </c>
      <c r="CO124" s="64">
        <f t="shared" si="102"/>
        <v>0</v>
      </c>
      <c r="CP124" s="64">
        <f t="shared" si="103"/>
        <v>0</v>
      </c>
      <c r="CQ124" s="64">
        <f t="shared" si="104"/>
        <v>0</v>
      </c>
      <c r="CR124" s="64">
        <f t="shared" si="105"/>
        <v>0</v>
      </c>
      <c r="CS124" s="64">
        <f t="shared" si="106"/>
        <v>0</v>
      </c>
      <c r="CT124" s="64">
        <f t="shared" si="107"/>
        <v>0</v>
      </c>
      <c r="CU124" s="64">
        <f t="shared" si="108"/>
        <v>0</v>
      </c>
      <c r="CV124" s="69">
        <f t="shared" si="109"/>
        <v>22.731481056492015</v>
      </c>
      <c r="CW124" s="69">
        <f t="shared" si="110"/>
        <v>787.73528871787857</v>
      </c>
      <c r="CX124" s="69">
        <f t="shared" si="127"/>
        <v>2722.7986423443158</v>
      </c>
      <c r="CY124" s="69">
        <f t="shared" si="111"/>
        <v>32686.18181818182</v>
      </c>
      <c r="CZ124" s="64">
        <f t="shared" si="128"/>
        <v>1932.3087139217723</v>
      </c>
      <c r="DA124" s="64">
        <f t="shared" si="112"/>
        <v>23196.645161290322</v>
      </c>
      <c r="DB124">
        <f t="shared" si="113"/>
        <v>0</v>
      </c>
      <c r="DC124">
        <f t="shared" si="114"/>
        <v>0</v>
      </c>
      <c r="DD124">
        <f t="shared" si="115"/>
        <v>0</v>
      </c>
      <c r="DE124">
        <f t="shared" si="116"/>
        <v>0</v>
      </c>
      <c r="DF124">
        <f t="shared" si="117"/>
        <v>0</v>
      </c>
      <c r="DG124">
        <f t="shared" si="118"/>
        <v>0</v>
      </c>
      <c r="DH124">
        <f t="shared" si="119"/>
        <v>0</v>
      </c>
      <c r="DI124">
        <f t="shared" si="120"/>
        <v>0</v>
      </c>
      <c r="DJ124">
        <f t="shared" si="121"/>
        <v>0</v>
      </c>
      <c r="DK124">
        <f t="shared" si="122"/>
        <v>0</v>
      </c>
      <c r="DL124">
        <f t="shared" si="123"/>
        <v>0</v>
      </c>
      <c r="DM124">
        <f t="shared" si="124"/>
        <v>0</v>
      </c>
      <c r="DN124">
        <f t="shared" si="125"/>
        <v>0</v>
      </c>
      <c r="DO124">
        <f t="shared" si="126"/>
        <v>0</v>
      </c>
      <c r="DP124" s="2">
        <f t="shared" si="89"/>
        <v>39</v>
      </c>
      <c r="DQ124" s="2">
        <f t="shared" si="89"/>
        <v>27</v>
      </c>
      <c r="DR124" s="2">
        <f t="shared" si="89"/>
        <v>15</v>
      </c>
      <c r="DS124" s="2">
        <f t="shared" si="89"/>
        <v>3</v>
      </c>
      <c r="DT124" s="2">
        <v>0</v>
      </c>
    </row>
    <row r="125" spans="1:124">
      <c r="A125" s="3">
        <v>43556</v>
      </c>
      <c r="B125">
        <f t="shared" si="129"/>
        <v>2019</v>
      </c>
      <c r="C125" s="2">
        <v>15725326</v>
      </c>
      <c r="D125" s="2">
        <f>VLOOKUP(B125,'Historic CDM'!$B$135:$H$146,2,FALSE)/12</f>
        <v>1203025.8182968786</v>
      </c>
      <c r="E125" s="2">
        <f t="shared" si="91"/>
        <v>16928351.81829688</v>
      </c>
      <c r="F125" s="5">
        <v>27862</v>
      </c>
      <c r="G125" s="219">
        <v>4722271</v>
      </c>
      <c r="H125" s="2">
        <f>VLOOKUP(B125,'Historic CDM'!$B$135:$H$147,3,FALSE)/12</f>
        <v>1137811.0149666101</v>
      </c>
      <c r="I125" s="2">
        <f t="shared" si="92"/>
        <v>5860082.0149666099</v>
      </c>
      <c r="J125" s="220">
        <v>1996</v>
      </c>
      <c r="K125" s="219">
        <v>13216553</v>
      </c>
      <c r="L125" s="2">
        <f>VLOOKUP(B125,'Historic CDM'!$B$135:$H$146,4,FALSE)/12</f>
        <v>1206809.3744726346</v>
      </c>
      <c r="M125" s="2">
        <f t="shared" si="90"/>
        <v>14423362.374472635</v>
      </c>
      <c r="N125" s="222">
        <v>45411</v>
      </c>
      <c r="O125" s="5">
        <v>262</v>
      </c>
      <c r="P125" s="219">
        <v>183524</v>
      </c>
      <c r="Q125" s="2">
        <v>709</v>
      </c>
      <c r="R125" s="5">
        <v>2772</v>
      </c>
      <c r="S125" s="220">
        <v>24089</v>
      </c>
      <c r="T125" s="2">
        <v>66</v>
      </c>
      <c r="U125" s="5">
        <v>238</v>
      </c>
      <c r="V125" s="221">
        <v>128623</v>
      </c>
      <c r="W125" s="1">
        <v>130</v>
      </c>
      <c r="X125" s="2">
        <v>2696906</v>
      </c>
      <c r="Y125" s="2">
        <v>7154</v>
      </c>
      <c r="Z125" s="5">
        <v>4</v>
      </c>
      <c r="AA125" s="100">
        <f>'Weather Data'!D221</f>
        <v>338.39999999999992</v>
      </c>
      <c r="AB125" s="100">
        <f>'Weather Data'!E221</f>
        <v>0</v>
      </c>
      <c r="AC125" s="100">
        <f>'Weather Data'!F221</f>
        <v>278.40000000000003</v>
      </c>
      <c r="AD125" s="100">
        <f>'Weather Data'!G221</f>
        <v>0</v>
      </c>
      <c r="AE125" s="100">
        <f>'Weather Data'!H221</f>
        <v>218.8</v>
      </c>
      <c r="AF125" s="100">
        <f>'Weather Data'!I221</f>
        <v>0.39999999999999858</v>
      </c>
      <c r="AG125" s="100">
        <f>'Weather Data'!J221</f>
        <v>162.30000000000001</v>
      </c>
      <c r="AH125" s="100">
        <f>'Weather Data'!K221</f>
        <v>3.8999999999999986</v>
      </c>
      <c r="AI125" s="100">
        <f>'Weather Data'!L221</f>
        <v>109.80000000000001</v>
      </c>
      <c r="AJ125" s="100">
        <f>'Weather Data'!M221</f>
        <v>11.399999999999999</v>
      </c>
      <c r="AK125" s="100">
        <f>'Weather Data'!N221</f>
        <v>69.2</v>
      </c>
      <c r="AL125" s="100">
        <f>'Weather Data'!O221</f>
        <v>30.799999999999997</v>
      </c>
      <c r="AM125" s="100">
        <f>'Weather Data'!P221</f>
        <v>38.5</v>
      </c>
      <c r="AN125" s="100">
        <f>'Weather Data'!Q221</f>
        <v>60.100000000000009</v>
      </c>
      <c r="AO125" s="100">
        <f>'Weather Data'!R221</f>
        <v>8.7199999999999989</v>
      </c>
      <c r="AP125" s="5">
        <f>'Economic Data'!D91</f>
        <v>7382.3</v>
      </c>
      <c r="AQ125" s="5">
        <f>'Economic Data'!E91</f>
        <v>7294</v>
      </c>
      <c r="AR125" s="5">
        <f>'Economic Data'!F91</f>
        <v>175.5</v>
      </c>
      <c r="AS125" s="5">
        <f>'Economic Data'!G91</f>
        <v>175.3</v>
      </c>
      <c r="AT125" s="5">
        <f>'Economic Data'!H91</f>
        <v>807274.5</v>
      </c>
      <c r="AU125" s="5">
        <f>'Economic Data'!I91</f>
        <v>7827.1</v>
      </c>
      <c r="AV125" s="5">
        <f>'Economic Data'!J91</f>
        <v>6758.1</v>
      </c>
      <c r="AW125" s="5">
        <f>'Economic Data'!K91</f>
        <v>5005</v>
      </c>
      <c r="AX125" s="5">
        <f>'Economic Data'!L91</f>
        <v>1092.3</v>
      </c>
      <c r="AY125" s="5">
        <f>'Economic Data'!M91</f>
        <v>1343.6</v>
      </c>
      <c r="AZ125" s="5">
        <f>'Economic Data'!N91</f>
        <v>7405</v>
      </c>
      <c r="BA125" s="5">
        <f>'Economic Data'!O91</f>
        <v>118.8</v>
      </c>
      <c r="BB125" s="5">
        <f>'Economic Data'!P91</f>
        <v>129.6</v>
      </c>
      <c r="BC125" s="5">
        <f>'Economic Data'!Q91</f>
        <v>806630</v>
      </c>
      <c r="BD125" s="5">
        <f>'Economic Data'!R91</f>
        <v>7794</v>
      </c>
      <c r="BE125" s="5">
        <f>'Economic Data'!S91</f>
        <v>4028</v>
      </c>
      <c r="BF125" s="5">
        <f>'Economic Data'!T91</f>
        <v>13951</v>
      </c>
      <c r="BG125" s="5">
        <f>'EV Data'!V30</f>
        <v>27239.333333333332</v>
      </c>
      <c r="BH125" s="5">
        <f>'EV Data'!AB30</f>
        <v>128.99999999999997</v>
      </c>
      <c r="BI125" s="5">
        <f>'EV Data'!W30</f>
        <v>442.00000000000017</v>
      </c>
      <c r="BJ125" s="5">
        <f t="shared" si="52"/>
        <v>76</v>
      </c>
      <c r="BK125" s="70">
        <f t="shared" si="53"/>
        <v>1.8808135922807914</v>
      </c>
      <c r="BL125" s="5">
        <f t="shared" si="54"/>
        <v>5776</v>
      </c>
      <c r="BM125">
        <v>0</v>
      </c>
      <c r="BN125">
        <v>0</v>
      </c>
      <c r="BO125">
        <v>0</v>
      </c>
      <c r="BP125">
        <v>1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f t="shared" si="94"/>
        <v>1</v>
      </c>
      <c r="BZ125">
        <f t="shared" si="94"/>
        <v>0</v>
      </c>
      <c r="CA125">
        <f t="shared" si="55"/>
        <v>1</v>
      </c>
      <c r="CB125">
        <f t="shared" si="130"/>
        <v>30</v>
      </c>
      <c r="CC125">
        <v>21</v>
      </c>
      <c r="CD125">
        <v>0</v>
      </c>
      <c r="CE125">
        <v>0</v>
      </c>
      <c r="CF125">
        <f t="shared" si="93"/>
        <v>0</v>
      </c>
      <c r="CG125">
        <v>0</v>
      </c>
      <c r="CH125" s="64">
        <f t="shared" si="95"/>
        <v>0</v>
      </c>
      <c r="CI125" s="64">
        <f t="shared" si="96"/>
        <v>0</v>
      </c>
      <c r="CJ125" s="64">
        <f t="shared" si="97"/>
        <v>0</v>
      </c>
      <c r="CK125" s="64">
        <f t="shared" si="98"/>
        <v>0</v>
      </c>
      <c r="CL125" s="64">
        <f t="shared" si="99"/>
        <v>0</v>
      </c>
      <c r="CM125" s="64">
        <f t="shared" si="100"/>
        <v>0</v>
      </c>
      <c r="CN125" s="64">
        <f t="shared" si="101"/>
        <v>0</v>
      </c>
      <c r="CO125" s="64">
        <f t="shared" si="102"/>
        <v>0</v>
      </c>
      <c r="CP125" s="64">
        <f t="shared" si="103"/>
        <v>0</v>
      </c>
      <c r="CQ125" s="64">
        <f t="shared" si="104"/>
        <v>0</v>
      </c>
      <c r="CR125" s="64">
        <f t="shared" si="105"/>
        <v>0</v>
      </c>
      <c r="CS125" s="64">
        <f t="shared" si="106"/>
        <v>0</v>
      </c>
      <c r="CT125" s="64">
        <f t="shared" si="107"/>
        <v>0</v>
      </c>
      <c r="CU125" s="64">
        <f t="shared" si="108"/>
        <v>0</v>
      </c>
      <c r="CV125" s="69">
        <f t="shared" si="109"/>
        <v>20.252616249487808</v>
      </c>
      <c r="CW125" s="69">
        <f t="shared" si="110"/>
        <v>745.55750826547194</v>
      </c>
      <c r="CX125" s="69">
        <f t="shared" si="127"/>
        <v>2621.4762585373742</v>
      </c>
      <c r="CY125" s="69">
        <f t="shared" si="111"/>
        <v>32106.023809523809</v>
      </c>
      <c r="CZ125" s="64">
        <f t="shared" si="128"/>
        <v>1835.0333809761623</v>
      </c>
      <c r="DA125" s="64">
        <f t="shared" si="112"/>
        <v>22474.216666666667</v>
      </c>
      <c r="DB125">
        <f t="shared" si="113"/>
        <v>0</v>
      </c>
      <c r="DC125">
        <f t="shared" si="114"/>
        <v>0</v>
      </c>
      <c r="DD125">
        <f t="shared" si="115"/>
        <v>0</v>
      </c>
      <c r="DE125">
        <f t="shared" si="116"/>
        <v>0</v>
      </c>
      <c r="DF125">
        <f t="shared" si="117"/>
        <v>0</v>
      </c>
      <c r="DG125">
        <f t="shared" si="118"/>
        <v>0</v>
      </c>
      <c r="DH125">
        <f t="shared" si="119"/>
        <v>0</v>
      </c>
      <c r="DI125">
        <f t="shared" si="120"/>
        <v>0</v>
      </c>
      <c r="DJ125">
        <f t="shared" si="121"/>
        <v>0</v>
      </c>
      <c r="DK125">
        <f t="shared" si="122"/>
        <v>0</v>
      </c>
      <c r="DL125">
        <f t="shared" si="123"/>
        <v>0</v>
      </c>
      <c r="DM125">
        <f t="shared" si="124"/>
        <v>0</v>
      </c>
      <c r="DN125">
        <f t="shared" si="125"/>
        <v>0</v>
      </c>
      <c r="DO125">
        <f t="shared" si="126"/>
        <v>0</v>
      </c>
      <c r="DP125" s="2">
        <f t="shared" si="89"/>
        <v>40</v>
      </c>
      <c r="DQ125" s="2">
        <f t="shared" si="89"/>
        <v>28</v>
      </c>
      <c r="DR125" s="2">
        <f t="shared" si="89"/>
        <v>16</v>
      </c>
      <c r="DS125" s="2">
        <f t="shared" si="89"/>
        <v>4</v>
      </c>
      <c r="DT125" s="2">
        <v>0</v>
      </c>
    </row>
    <row r="126" spans="1:124">
      <c r="A126" s="3">
        <v>43586</v>
      </c>
      <c r="B126">
        <f t="shared" si="129"/>
        <v>2019</v>
      </c>
      <c r="C126" s="2">
        <v>16632537</v>
      </c>
      <c r="D126" s="2">
        <f>VLOOKUP(B126,'Historic CDM'!$B$135:$H$146,2,FALSE)/12</f>
        <v>1203025.8182968786</v>
      </c>
      <c r="E126" s="2">
        <f t="shared" si="91"/>
        <v>17835562.81829688</v>
      </c>
      <c r="F126" s="5">
        <v>27874</v>
      </c>
      <c r="G126" s="219">
        <v>4907527</v>
      </c>
      <c r="H126" s="2">
        <f>VLOOKUP(B126,'Historic CDM'!$B$135:$H$147,3,FALSE)/12</f>
        <v>1137811.0149666101</v>
      </c>
      <c r="I126" s="2">
        <f t="shared" si="92"/>
        <v>6045338.0149666099</v>
      </c>
      <c r="J126" s="220">
        <v>1996</v>
      </c>
      <c r="K126" s="219">
        <v>13601625</v>
      </c>
      <c r="L126" s="2">
        <f>VLOOKUP(B126,'Historic CDM'!$B$135:$H$146,4,FALSE)/12</f>
        <v>1206809.3744726346</v>
      </c>
      <c r="M126" s="2">
        <f t="shared" si="90"/>
        <v>14808434.374472635</v>
      </c>
      <c r="N126" s="222">
        <v>46068</v>
      </c>
      <c r="O126" s="5">
        <v>262</v>
      </c>
      <c r="P126" s="219">
        <v>165265</v>
      </c>
      <c r="Q126" s="2">
        <v>624</v>
      </c>
      <c r="R126" s="5">
        <v>2772</v>
      </c>
      <c r="S126" s="220">
        <v>23389</v>
      </c>
      <c r="T126" s="2">
        <v>64</v>
      </c>
      <c r="U126" s="5">
        <v>238</v>
      </c>
      <c r="V126" s="221">
        <v>128409</v>
      </c>
      <c r="W126" s="1">
        <v>130</v>
      </c>
      <c r="X126" s="2">
        <v>2767778</v>
      </c>
      <c r="Y126" s="2">
        <v>7032</v>
      </c>
      <c r="Z126" s="5">
        <v>4</v>
      </c>
      <c r="AA126" s="100">
        <f>'Weather Data'!D222</f>
        <v>194.20000000000002</v>
      </c>
      <c r="AB126" s="100">
        <f>'Weather Data'!E222</f>
        <v>3.1000000000000014</v>
      </c>
      <c r="AC126" s="100">
        <f>'Weather Data'!F222</f>
        <v>139.50000000000006</v>
      </c>
      <c r="AD126" s="100">
        <f>'Weather Data'!G222</f>
        <v>10.400000000000002</v>
      </c>
      <c r="AE126" s="100">
        <f>'Weather Data'!H222</f>
        <v>89.4</v>
      </c>
      <c r="AF126" s="100">
        <f>'Weather Data'!I222</f>
        <v>22.3</v>
      </c>
      <c r="AG126" s="100">
        <f>'Weather Data'!J222</f>
        <v>52.599999999999994</v>
      </c>
      <c r="AH126" s="100">
        <f>'Weather Data'!K222</f>
        <v>47.5</v>
      </c>
      <c r="AI126" s="100">
        <f>'Weather Data'!L222</f>
        <v>26.499999999999996</v>
      </c>
      <c r="AJ126" s="100">
        <f>'Weather Data'!M222</f>
        <v>83.399999999999991</v>
      </c>
      <c r="AK126" s="100">
        <f>'Weather Data'!N222</f>
        <v>9.5</v>
      </c>
      <c r="AL126" s="100">
        <f>'Weather Data'!O222</f>
        <v>128.39999999999998</v>
      </c>
      <c r="AM126" s="100">
        <f>'Weather Data'!P222</f>
        <v>1.6000000000000005</v>
      </c>
      <c r="AN126" s="100">
        <f>'Weather Data'!Q222</f>
        <v>182.50000000000003</v>
      </c>
      <c r="AO126" s="100">
        <f>'Weather Data'!R222</f>
        <v>13.835483870967741</v>
      </c>
      <c r="AP126" s="5">
        <f>'Economic Data'!D92</f>
        <v>7398.9</v>
      </c>
      <c r="AQ126" s="5">
        <f>'Economic Data'!E92</f>
        <v>7366.8</v>
      </c>
      <c r="AR126" s="5">
        <f>'Economic Data'!F92</f>
        <v>176.6</v>
      </c>
      <c r="AS126" s="5">
        <f>'Economic Data'!G92</f>
        <v>177.2</v>
      </c>
      <c r="AT126" s="5">
        <f>'Economic Data'!H92</f>
        <v>807274.5</v>
      </c>
      <c r="AU126" s="5">
        <f>'Economic Data'!I92</f>
        <v>7827.1</v>
      </c>
      <c r="AV126" s="5">
        <f>'Economic Data'!J92</f>
        <v>6758.1</v>
      </c>
      <c r="AW126" s="5">
        <f>'Economic Data'!K92</f>
        <v>5005</v>
      </c>
      <c r="AX126" s="5">
        <f>'Economic Data'!L92</f>
        <v>1092.3</v>
      </c>
      <c r="AY126" s="5">
        <f>'Economic Data'!M92</f>
        <v>1343.6</v>
      </c>
      <c r="AZ126" s="5">
        <f>'Economic Data'!N92</f>
        <v>7405</v>
      </c>
      <c r="BA126" s="5">
        <f>'Economic Data'!O92</f>
        <v>118.8</v>
      </c>
      <c r="BB126" s="5">
        <f>'Economic Data'!P92</f>
        <v>129.6</v>
      </c>
      <c r="BC126" s="5">
        <f>'Economic Data'!Q92</f>
        <v>806630</v>
      </c>
      <c r="BD126" s="5">
        <f>'Economic Data'!R92</f>
        <v>7794</v>
      </c>
      <c r="BE126" s="5">
        <f>'Economic Data'!S92</f>
        <v>4028</v>
      </c>
      <c r="BF126" s="5">
        <f>'Economic Data'!T92</f>
        <v>13951</v>
      </c>
      <c r="BG126" s="5">
        <f>'EV Data'!V31</f>
        <v>28198.666666666664</v>
      </c>
      <c r="BH126" s="5">
        <f>'EV Data'!AB31</f>
        <v>132.99999999999997</v>
      </c>
      <c r="BI126" s="5">
        <f>'EV Data'!W31</f>
        <v>454.00000000000017</v>
      </c>
      <c r="BJ126" s="5">
        <f t="shared" si="52"/>
        <v>77</v>
      </c>
      <c r="BK126" s="70">
        <f t="shared" si="53"/>
        <v>1.8864907251724818</v>
      </c>
      <c r="BL126" s="5">
        <f t="shared" si="54"/>
        <v>5929</v>
      </c>
      <c r="BM126">
        <v>0</v>
      </c>
      <c r="BN126">
        <v>0</v>
      </c>
      <c r="BO126">
        <v>0</v>
      </c>
      <c r="BP126">
        <v>0</v>
      </c>
      <c r="BQ126">
        <v>1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f t="shared" ref="BY126:BZ133" si="131">BY114</f>
        <v>1</v>
      </c>
      <c r="BZ126">
        <f t="shared" si="131"/>
        <v>0</v>
      </c>
      <c r="CA126">
        <f t="shared" si="55"/>
        <v>1</v>
      </c>
      <c r="CB126">
        <f t="shared" si="130"/>
        <v>31</v>
      </c>
      <c r="CC126">
        <v>20</v>
      </c>
      <c r="CD126">
        <v>0</v>
      </c>
      <c r="CE126">
        <v>0</v>
      </c>
      <c r="CF126">
        <f t="shared" si="93"/>
        <v>0</v>
      </c>
      <c r="CG126">
        <v>0</v>
      </c>
      <c r="CH126" s="64">
        <f t="shared" si="95"/>
        <v>0</v>
      </c>
      <c r="CI126" s="64">
        <f t="shared" si="96"/>
        <v>0</v>
      </c>
      <c r="CJ126" s="64">
        <f t="shared" si="97"/>
        <v>0</v>
      </c>
      <c r="CK126" s="64">
        <f t="shared" si="98"/>
        <v>0</v>
      </c>
      <c r="CL126" s="64">
        <f t="shared" si="99"/>
        <v>0</v>
      </c>
      <c r="CM126" s="64">
        <f t="shared" si="100"/>
        <v>0</v>
      </c>
      <c r="CN126" s="64">
        <f t="shared" si="101"/>
        <v>0</v>
      </c>
      <c r="CO126" s="64">
        <f t="shared" si="102"/>
        <v>0</v>
      </c>
      <c r="CP126" s="64">
        <f t="shared" si="103"/>
        <v>0</v>
      </c>
      <c r="CQ126" s="64">
        <f t="shared" si="104"/>
        <v>0</v>
      </c>
      <c r="CR126" s="64">
        <f t="shared" si="105"/>
        <v>0</v>
      </c>
      <c r="CS126" s="64">
        <f t="shared" si="106"/>
        <v>0</v>
      </c>
      <c r="CT126" s="64">
        <f t="shared" si="107"/>
        <v>0</v>
      </c>
      <c r="CU126" s="64">
        <f t="shared" si="108"/>
        <v>0</v>
      </c>
      <c r="CV126" s="69">
        <f t="shared" si="109"/>
        <v>20.640766882187446</v>
      </c>
      <c r="CW126" s="69">
        <f t="shared" si="110"/>
        <v>744.31642636870356</v>
      </c>
      <c r="CX126" s="69">
        <f t="shared" si="127"/>
        <v>2826.0370943650064</v>
      </c>
      <c r="CY126" s="69">
        <f t="shared" si="111"/>
        <v>34597.224999999999</v>
      </c>
      <c r="CZ126" s="64">
        <f t="shared" si="128"/>
        <v>1823.2497383000043</v>
      </c>
      <c r="DA126" s="64">
        <f t="shared" si="112"/>
        <v>22320.790322580644</v>
      </c>
      <c r="DB126">
        <f t="shared" si="113"/>
        <v>0</v>
      </c>
      <c r="DC126">
        <f t="shared" si="114"/>
        <v>0</v>
      </c>
      <c r="DD126">
        <f t="shared" si="115"/>
        <v>0</v>
      </c>
      <c r="DE126">
        <f t="shared" si="116"/>
        <v>0</v>
      </c>
      <c r="DF126">
        <f t="shared" si="117"/>
        <v>0</v>
      </c>
      <c r="DG126">
        <f t="shared" si="118"/>
        <v>0</v>
      </c>
      <c r="DH126">
        <f t="shared" si="119"/>
        <v>0</v>
      </c>
      <c r="DI126">
        <f t="shared" si="120"/>
        <v>0</v>
      </c>
      <c r="DJ126">
        <f t="shared" si="121"/>
        <v>0</v>
      </c>
      <c r="DK126">
        <f t="shared" si="122"/>
        <v>0</v>
      </c>
      <c r="DL126">
        <f t="shared" si="123"/>
        <v>0</v>
      </c>
      <c r="DM126">
        <f t="shared" si="124"/>
        <v>0</v>
      </c>
      <c r="DN126">
        <f t="shared" si="125"/>
        <v>0</v>
      </c>
      <c r="DO126">
        <f t="shared" si="126"/>
        <v>0</v>
      </c>
      <c r="DP126" s="2">
        <f t="shared" si="89"/>
        <v>41</v>
      </c>
      <c r="DQ126" s="2">
        <f t="shared" si="89"/>
        <v>29</v>
      </c>
      <c r="DR126" s="2">
        <f t="shared" si="89"/>
        <v>17</v>
      </c>
      <c r="DS126" s="2">
        <f t="shared" si="89"/>
        <v>5</v>
      </c>
      <c r="DT126" s="2">
        <v>0</v>
      </c>
    </row>
    <row r="127" spans="1:124">
      <c r="A127" s="3">
        <v>43617</v>
      </c>
      <c r="B127">
        <f t="shared" si="129"/>
        <v>2019</v>
      </c>
      <c r="C127" s="2">
        <v>22311093</v>
      </c>
      <c r="D127" s="2">
        <f>VLOOKUP(B127,'Historic CDM'!$B$135:$H$146,2,FALSE)/12</f>
        <v>1203025.8182968786</v>
      </c>
      <c r="E127" s="2">
        <f t="shared" si="91"/>
        <v>23514118.81829688</v>
      </c>
      <c r="F127" s="5">
        <v>27903</v>
      </c>
      <c r="G127" s="219">
        <v>5470647</v>
      </c>
      <c r="H127" s="2">
        <f>VLOOKUP(B127,'Historic CDM'!$B$135:$H$147,3,FALSE)/12</f>
        <v>1137811.0149666101</v>
      </c>
      <c r="I127" s="2">
        <f t="shared" si="92"/>
        <v>6608458.0149666099</v>
      </c>
      <c r="J127" s="220">
        <v>1996</v>
      </c>
      <c r="K127" s="219">
        <v>14208924</v>
      </c>
      <c r="L127" s="2">
        <f>VLOOKUP(B127,'Historic CDM'!$B$135:$H$146,4,FALSE)/12</f>
        <v>1206809.3744726346</v>
      </c>
      <c r="M127" s="2">
        <f t="shared" si="90"/>
        <v>15415733.374472635</v>
      </c>
      <c r="N127" s="222">
        <v>51019</v>
      </c>
      <c r="O127" s="5">
        <v>262</v>
      </c>
      <c r="P127" s="219">
        <v>143701</v>
      </c>
      <c r="Q127" s="2">
        <v>623</v>
      </c>
      <c r="R127" s="5">
        <v>2774</v>
      </c>
      <c r="S127" s="220">
        <v>23000</v>
      </c>
      <c r="T127" s="2">
        <v>63</v>
      </c>
      <c r="U127" s="5">
        <v>238</v>
      </c>
      <c r="V127" s="221">
        <v>128409</v>
      </c>
      <c r="W127" s="1">
        <v>130</v>
      </c>
      <c r="X127" s="2">
        <v>2804829</v>
      </c>
      <c r="Y127" s="2">
        <v>7975</v>
      </c>
      <c r="Z127" s="5">
        <v>4</v>
      </c>
      <c r="AA127" s="100">
        <f>'Weather Data'!D223</f>
        <v>56.1</v>
      </c>
      <c r="AB127" s="100">
        <f>'Weather Data'!E223</f>
        <v>32.099999999999994</v>
      </c>
      <c r="AC127" s="100">
        <f>'Weather Data'!F223</f>
        <v>23.9</v>
      </c>
      <c r="AD127" s="100">
        <f>'Weather Data'!G223</f>
        <v>59.899999999999991</v>
      </c>
      <c r="AE127" s="100">
        <f>'Weather Data'!H223</f>
        <v>7.1</v>
      </c>
      <c r="AF127" s="100">
        <f>'Weather Data'!I223</f>
        <v>103.1</v>
      </c>
      <c r="AG127" s="100">
        <f>'Weather Data'!J223</f>
        <v>1.4000000000000004</v>
      </c>
      <c r="AH127" s="100">
        <f>'Weather Data'!K223</f>
        <v>157.4</v>
      </c>
      <c r="AI127" s="100">
        <f>'Weather Data'!L223</f>
        <v>0</v>
      </c>
      <c r="AJ127" s="100">
        <f>'Weather Data'!M223</f>
        <v>216.00000000000003</v>
      </c>
      <c r="AK127" s="100">
        <f>'Weather Data'!N223</f>
        <v>0</v>
      </c>
      <c r="AL127" s="100">
        <f>'Weather Data'!O223</f>
        <v>275.99999999999994</v>
      </c>
      <c r="AM127" s="100">
        <f>'Weather Data'!P223</f>
        <v>0</v>
      </c>
      <c r="AN127" s="100">
        <f>'Weather Data'!Q223</f>
        <v>335.99999999999989</v>
      </c>
      <c r="AO127" s="100">
        <f>'Weather Data'!R223</f>
        <v>19.200000000000003</v>
      </c>
      <c r="AP127" s="5">
        <f>'Economic Data'!D93</f>
        <v>7420.3</v>
      </c>
      <c r="AQ127" s="5">
        <f>'Economic Data'!E93</f>
        <v>7460.9</v>
      </c>
      <c r="AR127" s="5">
        <f>'Economic Data'!F93</f>
        <v>174.6</v>
      </c>
      <c r="AS127" s="5">
        <f>'Economic Data'!G93</f>
        <v>176.1</v>
      </c>
      <c r="AT127" s="5">
        <f>'Economic Data'!H93</f>
        <v>807274.5</v>
      </c>
      <c r="AU127" s="5">
        <f>'Economic Data'!I93</f>
        <v>7827.1</v>
      </c>
      <c r="AV127" s="5">
        <f>'Economic Data'!J93</f>
        <v>6758.1</v>
      </c>
      <c r="AW127" s="5">
        <f>'Economic Data'!K93</f>
        <v>5005</v>
      </c>
      <c r="AX127" s="5">
        <f>'Economic Data'!L93</f>
        <v>1092.3</v>
      </c>
      <c r="AY127" s="5">
        <f>'Economic Data'!M93</f>
        <v>1343.6</v>
      </c>
      <c r="AZ127" s="5">
        <f>'Economic Data'!N93</f>
        <v>7405</v>
      </c>
      <c r="BA127" s="5">
        <f>'Economic Data'!O93</f>
        <v>118.8</v>
      </c>
      <c r="BB127" s="5">
        <f>'Economic Data'!P93</f>
        <v>129.6</v>
      </c>
      <c r="BC127" s="5">
        <f>'Economic Data'!Q93</f>
        <v>806630</v>
      </c>
      <c r="BD127" s="5">
        <f>'Economic Data'!R93</f>
        <v>7794</v>
      </c>
      <c r="BE127" s="5">
        <f>'Economic Data'!S93</f>
        <v>4028</v>
      </c>
      <c r="BF127" s="5">
        <f>'Economic Data'!T93</f>
        <v>13951</v>
      </c>
      <c r="BG127" s="5">
        <f>'EV Data'!V32</f>
        <v>29157.999999999996</v>
      </c>
      <c r="BH127" s="5">
        <f>'EV Data'!AB32</f>
        <v>136.99999999999997</v>
      </c>
      <c r="BI127" s="5">
        <f>'EV Data'!W32</f>
        <v>466.00000000000017</v>
      </c>
      <c r="BJ127" s="5">
        <f t="shared" si="52"/>
        <v>78</v>
      </c>
      <c r="BK127" s="70">
        <f t="shared" si="53"/>
        <v>1.8920946026904804</v>
      </c>
      <c r="BL127" s="5">
        <f t="shared" si="54"/>
        <v>6084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f t="shared" si="131"/>
        <v>0</v>
      </c>
      <c r="BZ127">
        <f t="shared" si="131"/>
        <v>0</v>
      </c>
      <c r="CA127">
        <f t="shared" si="55"/>
        <v>0</v>
      </c>
      <c r="CB127">
        <f t="shared" si="130"/>
        <v>30</v>
      </c>
      <c r="CC127">
        <v>22</v>
      </c>
      <c r="CD127">
        <v>0</v>
      </c>
      <c r="CE127">
        <v>0</v>
      </c>
      <c r="CF127">
        <f t="shared" si="93"/>
        <v>0</v>
      </c>
      <c r="CG127">
        <v>0</v>
      </c>
      <c r="CH127" s="64">
        <f t="shared" si="95"/>
        <v>0</v>
      </c>
      <c r="CI127" s="64">
        <f t="shared" si="96"/>
        <v>0</v>
      </c>
      <c r="CJ127" s="64">
        <f t="shared" si="97"/>
        <v>0</v>
      </c>
      <c r="CK127" s="64">
        <f t="shared" si="98"/>
        <v>0</v>
      </c>
      <c r="CL127" s="64">
        <f t="shared" si="99"/>
        <v>0</v>
      </c>
      <c r="CM127" s="64">
        <f t="shared" si="100"/>
        <v>0</v>
      </c>
      <c r="CN127" s="64">
        <f t="shared" si="101"/>
        <v>0</v>
      </c>
      <c r="CO127" s="64">
        <f t="shared" si="102"/>
        <v>0</v>
      </c>
      <c r="CP127" s="64">
        <f t="shared" si="103"/>
        <v>0</v>
      </c>
      <c r="CQ127" s="64">
        <f t="shared" si="104"/>
        <v>0</v>
      </c>
      <c r="CR127" s="64">
        <f t="shared" si="105"/>
        <v>0</v>
      </c>
      <c r="CS127" s="64">
        <f t="shared" si="106"/>
        <v>0</v>
      </c>
      <c r="CT127" s="64">
        <f t="shared" si="107"/>
        <v>0</v>
      </c>
      <c r="CU127" s="64">
        <f t="shared" si="108"/>
        <v>0</v>
      </c>
      <c r="CV127" s="69">
        <f t="shared" si="109"/>
        <v>28.090311457904026</v>
      </c>
      <c r="CW127" s="69">
        <f t="shared" si="110"/>
        <v>840.77073981763488</v>
      </c>
      <c r="CX127" s="69">
        <f t="shared" si="127"/>
        <v>2674.4853182638158</v>
      </c>
      <c r="CY127" s="69">
        <f t="shared" si="111"/>
        <v>31873.05681818182</v>
      </c>
      <c r="CZ127" s="64">
        <f t="shared" si="128"/>
        <v>1961.2892333934651</v>
      </c>
      <c r="DA127" s="64">
        <f t="shared" si="112"/>
        <v>23373.575000000001</v>
      </c>
      <c r="DB127">
        <f t="shared" si="113"/>
        <v>0</v>
      </c>
      <c r="DC127">
        <f t="shared" si="114"/>
        <v>0</v>
      </c>
      <c r="DD127">
        <f t="shared" si="115"/>
        <v>0</v>
      </c>
      <c r="DE127">
        <f t="shared" si="116"/>
        <v>0</v>
      </c>
      <c r="DF127">
        <f t="shared" si="117"/>
        <v>0</v>
      </c>
      <c r="DG127">
        <f t="shared" si="118"/>
        <v>0</v>
      </c>
      <c r="DH127">
        <f t="shared" si="119"/>
        <v>0</v>
      </c>
      <c r="DI127">
        <f t="shared" si="120"/>
        <v>0</v>
      </c>
      <c r="DJ127">
        <f t="shared" si="121"/>
        <v>0</v>
      </c>
      <c r="DK127">
        <f t="shared" si="122"/>
        <v>0</v>
      </c>
      <c r="DL127">
        <f t="shared" si="123"/>
        <v>0</v>
      </c>
      <c r="DM127">
        <f t="shared" si="124"/>
        <v>0</v>
      </c>
      <c r="DN127">
        <f t="shared" si="125"/>
        <v>0</v>
      </c>
      <c r="DO127">
        <f t="shared" si="126"/>
        <v>0</v>
      </c>
      <c r="DP127" s="2">
        <f t="shared" si="89"/>
        <v>42</v>
      </c>
      <c r="DQ127" s="2">
        <f t="shared" si="89"/>
        <v>30</v>
      </c>
      <c r="DR127" s="2">
        <f t="shared" si="89"/>
        <v>18</v>
      </c>
      <c r="DS127" s="2">
        <f t="shared" si="89"/>
        <v>6</v>
      </c>
      <c r="DT127" s="2">
        <v>0</v>
      </c>
    </row>
    <row r="128" spans="1:124">
      <c r="A128" s="3">
        <v>43647</v>
      </c>
      <c r="B128">
        <f t="shared" si="129"/>
        <v>2019</v>
      </c>
      <c r="C128" s="2">
        <v>33676819</v>
      </c>
      <c r="D128" s="2">
        <f>VLOOKUP(B128,'Historic CDM'!$B$135:$H$146,2,FALSE)/12</f>
        <v>1203025.8182968786</v>
      </c>
      <c r="E128" s="2">
        <f t="shared" si="91"/>
        <v>34879844.81829688</v>
      </c>
      <c r="F128" s="5">
        <v>27914</v>
      </c>
      <c r="G128" s="219">
        <v>6752502</v>
      </c>
      <c r="H128" s="2">
        <f>VLOOKUP(B128,'Historic CDM'!$B$135:$H$147,3,FALSE)/12</f>
        <v>1137811.0149666101</v>
      </c>
      <c r="I128" s="2">
        <f t="shared" si="92"/>
        <v>7890313.0149666099</v>
      </c>
      <c r="J128" s="220">
        <v>1997</v>
      </c>
      <c r="K128" s="219">
        <v>17374852</v>
      </c>
      <c r="L128" s="2">
        <f>VLOOKUP(B128,'Historic CDM'!$B$135:$H$146,4,FALSE)/12</f>
        <v>1206809.3744726346</v>
      </c>
      <c r="M128" s="2">
        <f t="shared" si="90"/>
        <v>18581661.374472633</v>
      </c>
      <c r="N128" s="222">
        <v>54570</v>
      </c>
      <c r="O128" s="5">
        <v>261</v>
      </c>
      <c r="P128" s="219">
        <v>152440</v>
      </c>
      <c r="Q128" s="2">
        <v>622</v>
      </c>
      <c r="R128" s="5">
        <v>2772</v>
      </c>
      <c r="S128" s="220">
        <v>23164</v>
      </c>
      <c r="T128" s="2">
        <v>63</v>
      </c>
      <c r="U128" s="5">
        <v>238</v>
      </c>
      <c r="V128" s="221">
        <v>128623</v>
      </c>
      <c r="W128" s="1">
        <v>130</v>
      </c>
      <c r="X128" s="2">
        <v>3303632</v>
      </c>
      <c r="Y128" s="2">
        <v>8232</v>
      </c>
      <c r="Z128" s="5">
        <v>4</v>
      </c>
      <c r="AA128" s="100">
        <f>'Weather Data'!D224</f>
        <v>0</v>
      </c>
      <c r="AB128" s="100">
        <f>'Weather Data'!E224</f>
        <v>128.46447700859017</v>
      </c>
      <c r="AC128" s="100">
        <f>'Weather Data'!F224</f>
        <v>0</v>
      </c>
      <c r="AD128" s="100">
        <f>'Weather Data'!G224</f>
        <v>190.46447700859019</v>
      </c>
      <c r="AE128" s="100">
        <f>'Weather Data'!H224</f>
        <v>0</v>
      </c>
      <c r="AF128" s="100">
        <f>'Weather Data'!I224</f>
        <v>252.46447700859022</v>
      </c>
      <c r="AG128" s="100">
        <f>'Weather Data'!J224</f>
        <v>0</v>
      </c>
      <c r="AH128" s="100">
        <f>'Weather Data'!K224</f>
        <v>314.46447700859017</v>
      </c>
      <c r="AI128" s="100">
        <f>'Weather Data'!L224</f>
        <v>0</v>
      </c>
      <c r="AJ128" s="100">
        <f>'Weather Data'!M224</f>
        <v>376.46447700859022</v>
      </c>
      <c r="AK128" s="100">
        <f>'Weather Data'!N224</f>
        <v>0</v>
      </c>
      <c r="AL128" s="100">
        <f>'Weather Data'!O224</f>
        <v>438.46447700859022</v>
      </c>
      <c r="AM128" s="100">
        <f>'Weather Data'!P224</f>
        <v>0</v>
      </c>
      <c r="AN128" s="100">
        <f>'Weather Data'!Q224</f>
        <v>500.46447700859022</v>
      </c>
      <c r="AO128" s="100">
        <f>'Weather Data'!R224</f>
        <v>24.144015387373877</v>
      </c>
      <c r="AP128" s="5">
        <f>'Economic Data'!D94</f>
        <v>7423.6</v>
      </c>
      <c r="AQ128" s="5">
        <f>'Economic Data'!E94</f>
        <v>7509.9</v>
      </c>
      <c r="AR128" s="5">
        <f>'Economic Data'!F94</f>
        <v>171.5</v>
      </c>
      <c r="AS128" s="5">
        <f>'Economic Data'!G94</f>
        <v>171.7</v>
      </c>
      <c r="AT128" s="5">
        <f>'Economic Data'!H94</f>
        <v>807274.5</v>
      </c>
      <c r="AU128" s="5">
        <f>'Economic Data'!I94</f>
        <v>7827.1</v>
      </c>
      <c r="AV128" s="5">
        <f>'Economic Data'!J94</f>
        <v>6758.1</v>
      </c>
      <c r="AW128" s="5">
        <f>'Economic Data'!K94</f>
        <v>5005</v>
      </c>
      <c r="AX128" s="5">
        <f>'Economic Data'!L94</f>
        <v>1092.3</v>
      </c>
      <c r="AY128" s="5">
        <f>'Economic Data'!M94</f>
        <v>1343.6</v>
      </c>
      <c r="AZ128" s="5">
        <f>'Economic Data'!N94</f>
        <v>7405</v>
      </c>
      <c r="BA128" s="5">
        <f>'Economic Data'!O94</f>
        <v>118.8</v>
      </c>
      <c r="BB128" s="5">
        <f>'Economic Data'!P94</f>
        <v>129.6</v>
      </c>
      <c r="BC128" s="5">
        <f>'Economic Data'!Q94</f>
        <v>810347</v>
      </c>
      <c r="BD128" s="5">
        <f>'Economic Data'!R94</f>
        <v>7923</v>
      </c>
      <c r="BE128" s="5">
        <f>'Economic Data'!S94</f>
        <v>3983</v>
      </c>
      <c r="BF128" s="5">
        <f>'Economic Data'!T94</f>
        <v>13947</v>
      </c>
      <c r="BG128" s="5">
        <f>'EV Data'!V33</f>
        <v>30207.333333333328</v>
      </c>
      <c r="BH128" s="5">
        <f>'EV Data'!AB33</f>
        <v>140.33333333333331</v>
      </c>
      <c r="BI128" s="5">
        <f>'EV Data'!W33</f>
        <v>478.33333333333348</v>
      </c>
      <c r="BJ128" s="5">
        <f t="shared" si="52"/>
        <v>79</v>
      </c>
      <c r="BK128" s="70">
        <f t="shared" si="53"/>
        <v>1.8976270912904414</v>
      </c>
      <c r="BL128" s="5">
        <f t="shared" si="54"/>
        <v>6241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1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f t="shared" si="131"/>
        <v>0</v>
      </c>
      <c r="BZ128">
        <f t="shared" si="131"/>
        <v>0</v>
      </c>
      <c r="CA128">
        <f t="shared" si="55"/>
        <v>0</v>
      </c>
      <c r="CB128">
        <f t="shared" si="130"/>
        <v>31</v>
      </c>
      <c r="CC128">
        <v>22</v>
      </c>
      <c r="CD128">
        <v>0</v>
      </c>
      <c r="CE128">
        <v>0</v>
      </c>
      <c r="CF128">
        <f t="shared" si="93"/>
        <v>0</v>
      </c>
      <c r="CG128">
        <v>0</v>
      </c>
      <c r="CH128" s="64">
        <f t="shared" si="95"/>
        <v>0</v>
      </c>
      <c r="CI128" s="64">
        <f t="shared" si="96"/>
        <v>0</v>
      </c>
      <c r="CJ128" s="64">
        <f t="shared" si="97"/>
        <v>0</v>
      </c>
      <c r="CK128" s="64">
        <f t="shared" si="98"/>
        <v>0</v>
      </c>
      <c r="CL128" s="64">
        <f t="shared" si="99"/>
        <v>0</v>
      </c>
      <c r="CM128" s="64">
        <f t="shared" si="100"/>
        <v>0</v>
      </c>
      <c r="CN128" s="64">
        <f t="shared" si="101"/>
        <v>0</v>
      </c>
      <c r="CO128" s="64">
        <f t="shared" si="102"/>
        <v>0</v>
      </c>
      <c r="CP128" s="64">
        <f t="shared" si="103"/>
        <v>0</v>
      </c>
      <c r="CQ128" s="64">
        <f t="shared" si="104"/>
        <v>0</v>
      </c>
      <c r="CR128" s="64">
        <f t="shared" si="105"/>
        <v>0</v>
      </c>
      <c r="CS128" s="64">
        <f t="shared" si="106"/>
        <v>0</v>
      </c>
      <c r="CT128" s="64">
        <f t="shared" si="107"/>
        <v>0</v>
      </c>
      <c r="CU128" s="64">
        <f t="shared" si="108"/>
        <v>0</v>
      </c>
      <c r="CV128" s="69">
        <f t="shared" si="109"/>
        <v>40.307956024259859</v>
      </c>
      <c r="CW128" s="69">
        <f t="shared" si="110"/>
        <v>975.19626930745392</v>
      </c>
      <c r="CX128" s="69">
        <f t="shared" si="127"/>
        <v>3236.0956765016776</v>
      </c>
      <c r="CY128" s="69">
        <f t="shared" si="111"/>
        <v>37541.272727272728</v>
      </c>
      <c r="CZ128" s="64">
        <f t="shared" si="128"/>
        <v>2296.5840284850615</v>
      </c>
      <c r="DA128" s="64">
        <f t="shared" si="112"/>
        <v>26642.193548387098</v>
      </c>
      <c r="DB128">
        <f t="shared" si="113"/>
        <v>0</v>
      </c>
      <c r="DC128">
        <f t="shared" si="114"/>
        <v>0</v>
      </c>
      <c r="DD128">
        <f t="shared" si="115"/>
        <v>0</v>
      </c>
      <c r="DE128">
        <f t="shared" si="116"/>
        <v>0</v>
      </c>
      <c r="DF128">
        <f t="shared" si="117"/>
        <v>0</v>
      </c>
      <c r="DG128">
        <f t="shared" si="118"/>
        <v>0</v>
      </c>
      <c r="DH128">
        <f t="shared" si="119"/>
        <v>0</v>
      </c>
      <c r="DI128">
        <f t="shared" si="120"/>
        <v>0</v>
      </c>
      <c r="DJ128">
        <f t="shared" si="121"/>
        <v>0</v>
      </c>
      <c r="DK128">
        <f t="shared" si="122"/>
        <v>0</v>
      </c>
      <c r="DL128">
        <f t="shared" si="123"/>
        <v>0</v>
      </c>
      <c r="DM128">
        <f t="shared" si="124"/>
        <v>0</v>
      </c>
      <c r="DN128">
        <f t="shared" si="125"/>
        <v>0</v>
      </c>
      <c r="DO128">
        <f t="shared" si="126"/>
        <v>0</v>
      </c>
      <c r="DP128" s="2">
        <f t="shared" si="89"/>
        <v>43</v>
      </c>
      <c r="DQ128" s="2">
        <f t="shared" si="89"/>
        <v>31</v>
      </c>
      <c r="DR128" s="2">
        <f t="shared" si="89"/>
        <v>19</v>
      </c>
      <c r="DS128" s="2">
        <f t="shared" si="89"/>
        <v>7</v>
      </c>
      <c r="DT128" s="2">
        <v>0</v>
      </c>
    </row>
    <row r="129" spans="1:124">
      <c r="A129" s="3">
        <v>43678</v>
      </c>
      <c r="B129">
        <f t="shared" si="129"/>
        <v>2019</v>
      </c>
      <c r="C129" s="2">
        <v>29552759</v>
      </c>
      <c r="D129" s="2">
        <f>VLOOKUP(B129,'Historic CDM'!$B$135:$H$146,2,FALSE)/12</f>
        <v>1203025.8182968786</v>
      </c>
      <c r="E129" s="2">
        <f t="shared" si="91"/>
        <v>30755784.81829688</v>
      </c>
      <c r="F129" s="5">
        <v>27957</v>
      </c>
      <c r="G129" s="219">
        <v>6379423</v>
      </c>
      <c r="H129" s="2">
        <f>VLOOKUP(B129,'Historic CDM'!$B$135:$H$147,3,FALSE)/12</f>
        <v>1137811.0149666101</v>
      </c>
      <c r="I129" s="2">
        <f t="shared" si="92"/>
        <v>7517234.0149666099</v>
      </c>
      <c r="J129" s="220">
        <v>1997</v>
      </c>
      <c r="K129" s="219">
        <v>17464776</v>
      </c>
      <c r="L129" s="2">
        <f>VLOOKUP(B129,'Historic CDM'!$B$135:$H$146,4,FALSE)/12</f>
        <v>1206809.3744726346</v>
      </c>
      <c r="M129" s="2">
        <f t="shared" si="90"/>
        <v>18671585.374472633</v>
      </c>
      <c r="N129" s="222">
        <v>56058</v>
      </c>
      <c r="O129" s="5">
        <v>261</v>
      </c>
      <c r="P129" s="219">
        <v>171054</v>
      </c>
      <c r="Q129" s="2">
        <v>615</v>
      </c>
      <c r="R129" s="5">
        <v>2772</v>
      </c>
      <c r="S129" s="220">
        <v>23821</v>
      </c>
      <c r="T129" s="2">
        <v>65</v>
      </c>
      <c r="U129" s="5">
        <v>233</v>
      </c>
      <c r="V129" s="221">
        <v>128409</v>
      </c>
      <c r="W129" s="1">
        <v>129</v>
      </c>
      <c r="X129" s="2">
        <v>3098231</v>
      </c>
      <c r="Y129" s="2">
        <v>8418</v>
      </c>
      <c r="Z129" s="5">
        <v>4</v>
      </c>
      <c r="AA129" s="100">
        <f>'Weather Data'!D225</f>
        <v>8.0999999999999979</v>
      </c>
      <c r="AB129" s="100">
        <f>'Weather Data'!E225</f>
        <v>70.064477008590202</v>
      </c>
      <c r="AC129" s="100">
        <f>'Weather Data'!F225</f>
        <v>0.39999999999999858</v>
      </c>
      <c r="AD129" s="100">
        <f>'Weather Data'!G225</f>
        <v>124.36447700859021</v>
      </c>
      <c r="AE129" s="100">
        <f>'Weather Data'!H225</f>
        <v>0</v>
      </c>
      <c r="AF129" s="100">
        <f>'Weather Data'!I225</f>
        <v>185.96447700859014</v>
      </c>
      <c r="AG129" s="100">
        <f>'Weather Data'!J225</f>
        <v>0</v>
      </c>
      <c r="AH129" s="100">
        <f>'Weather Data'!K225</f>
        <v>247.96447700859014</v>
      </c>
      <c r="AI129" s="100">
        <f>'Weather Data'!L225</f>
        <v>0</v>
      </c>
      <c r="AJ129" s="100">
        <f>'Weather Data'!M225</f>
        <v>309.96447700859011</v>
      </c>
      <c r="AK129" s="100">
        <f>'Weather Data'!N225</f>
        <v>0</v>
      </c>
      <c r="AL129" s="100">
        <f>'Weather Data'!O225</f>
        <v>371.96447700859017</v>
      </c>
      <c r="AM129" s="100">
        <f>'Weather Data'!P225</f>
        <v>0</v>
      </c>
      <c r="AN129" s="100">
        <f>'Weather Data'!Q225</f>
        <v>433.96447700859011</v>
      </c>
      <c r="AO129" s="100">
        <f>'Weather Data'!R225</f>
        <v>21.998854097051296</v>
      </c>
      <c r="AP129" s="5">
        <f>'Economic Data'!D95</f>
        <v>7433.8</v>
      </c>
      <c r="AQ129" s="5">
        <f>'Economic Data'!E95</f>
        <v>7523.3</v>
      </c>
      <c r="AR129" s="5">
        <f>'Economic Data'!F95</f>
        <v>169.3</v>
      </c>
      <c r="AS129" s="5">
        <f>'Economic Data'!G95</f>
        <v>169.6</v>
      </c>
      <c r="AT129" s="5">
        <f>'Economic Data'!H95</f>
        <v>807274.5</v>
      </c>
      <c r="AU129" s="5">
        <f>'Economic Data'!I95</f>
        <v>7827.1</v>
      </c>
      <c r="AV129" s="5">
        <f>'Economic Data'!J95</f>
        <v>6758.1</v>
      </c>
      <c r="AW129" s="5">
        <f>'Economic Data'!K95</f>
        <v>5005</v>
      </c>
      <c r="AX129" s="5">
        <f>'Economic Data'!L95</f>
        <v>1092.3</v>
      </c>
      <c r="AY129" s="5">
        <f>'Economic Data'!M95</f>
        <v>1343.6</v>
      </c>
      <c r="AZ129" s="5">
        <f>'Economic Data'!N95</f>
        <v>7405</v>
      </c>
      <c r="BA129" s="5">
        <f>'Economic Data'!O95</f>
        <v>118.8</v>
      </c>
      <c r="BB129" s="5">
        <f>'Economic Data'!P95</f>
        <v>129.6</v>
      </c>
      <c r="BC129" s="5">
        <f>'Economic Data'!Q95</f>
        <v>810347</v>
      </c>
      <c r="BD129" s="5">
        <f>'Economic Data'!R95</f>
        <v>7923</v>
      </c>
      <c r="BE129" s="5">
        <f>'Economic Data'!S95</f>
        <v>3983</v>
      </c>
      <c r="BF129" s="5">
        <f>'Economic Data'!T95</f>
        <v>13947</v>
      </c>
      <c r="BG129" s="5">
        <f>'EV Data'!V34</f>
        <v>31256.666666666661</v>
      </c>
      <c r="BH129" s="5">
        <f>'EV Data'!AB34</f>
        <v>143.66666666666666</v>
      </c>
      <c r="BI129" s="5">
        <f>'EV Data'!W34</f>
        <v>490.6666666666668</v>
      </c>
      <c r="BJ129" s="5">
        <f t="shared" si="52"/>
        <v>80</v>
      </c>
      <c r="BK129" s="70">
        <f t="shared" si="53"/>
        <v>1.9030899869919435</v>
      </c>
      <c r="BL129" s="5">
        <f t="shared" si="54"/>
        <v>6400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1</v>
      </c>
      <c r="BU129">
        <v>0</v>
      </c>
      <c r="BV129">
        <v>0</v>
      </c>
      <c r="BW129">
        <v>0</v>
      </c>
      <c r="BX129">
        <v>0</v>
      </c>
      <c r="BY129">
        <f t="shared" si="131"/>
        <v>0</v>
      </c>
      <c r="BZ129">
        <f t="shared" si="131"/>
        <v>0</v>
      </c>
      <c r="CA129">
        <f t="shared" si="55"/>
        <v>0</v>
      </c>
      <c r="CB129">
        <f t="shared" si="130"/>
        <v>31</v>
      </c>
      <c r="CC129">
        <v>20</v>
      </c>
      <c r="CD129">
        <v>0</v>
      </c>
      <c r="CE129">
        <v>0</v>
      </c>
      <c r="CF129">
        <f t="shared" si="93"/>
        <v>0</v>
      </c>
      <c r="CG129">
        <v>0</v>
      </c>
      <c r="CH129" s="64">
        <f t="shared" si="95"/>
        <v>0</v>
      </c>
      <c r="CI129" s="64">
        <f t="shared" si="96"/>
        <v>0</v>
      </c>
      <c r="CJ129" s="64">
        <f t="shared" si="97"/>
        <v>0</v>
      </c>
      <c r="CK129" s="64">
        <f t="shared" si="98"/>
        <v>0</v>
      </c>
      <c r="CL129" s="64">
        <f t="shared" si="99"/>
        <v>0</v>
      </c>
      <c r="CM129" s="64">
        <f t="shared" si="100"/>
        <v>0</v>
      </c>
      <c r="CN129" s="64">
        <f t="shared" si="101"/>
        <v>0</v>
      </c>
      <c r="CO129" s="64">
        <f t="shared" si="102"/>
        <v>0</v>
      </c>
      <c r="CP129" s="64">
        <f t="shared" si="103"/>
        <v>0</v>
      </c>
      <c r="CQ129" s="64">
        <f t="shared" si="104"/>
        <v>0</v>
      </c>
      <c r="CR129" s="64">
        <f t="shared" si="105"/>
        <v>0</v>
      </c>
      <c r="CS129" s="64">
        <f t="shared" si="106"/>
        <v>0</v>
      </c>
      <c r="CT129" s="64">
        <f t="shared" si="107"/>
        <v>0</v>
      </c>
      <c r="CU129" s="64">
        <f t="shared" si="108"/>
        <v>0</v>
      </c>
      <c r="CV129" s="69">
        <f t="shared" si="109"/>
        <v>35.487430372100107</v>
      </c>
      <c r="CW129" s="69">
        <f t="shared" si="110"/>
        <v>929.08589976104429</v>
      </c>
      <c r="CX129" s="69">
        <f t="shared" si="127"/>
        <v>3576.9320640752171</v>
      </c>
      <c r="CY129" s="69">
        <f t="shared" si="111"/>
        <v>38727.887499999997</v>
      </c>
      <c r="CZ129" s="64">
        <f t="shared" si="128"/>
        <v>2307.6981058549786</v>
      </c>
      <c r="DA129" s="64">
        <f t="shared" si="112"/>
        <v>24985.733870967742</v>
      </c>
      <c r="DB129">
        <f t="shared" si="113"/>
        <v>0</v>
      </c>
      <c r="DC129">
        <f t="shared" si="114"/>
        <v>0</v>
      </c>
      <c r="DD129">
        <f t="shared" si="115"/>
        <v>0</v>
      </c>
      <c r="DE129">
        <f t="shared" si="116"/>
        <v>0</v>
      </c>
      <c r="DF129">
        <f t="shared" si="117"/>
        <v>0</v>
      </c>
      <c r="DG129">
        <f t="shared" si="118"/>
        <v>0</v>
      </c>
      <c r="DH129">
        <f t="shared" si="119"/>
        <v>0</v>
      </c>
      <c r="DI129">
        <f t="shared" si="120"/>
        <v>0</v>
      </c>
      <c r="DJ129">
        <f t="shared" si="121"/>
        <v>0</v>
      </c>
      <c r="DK129">
        <f t="shared" si="122"/>
        <v>0</v>
      </c>
      <c r="DL129">
        <f t="shared" si="123"/>
        <v>0</v>
      </c>
      <c r="DM129">
        <f t="shared" si="124"/>
        <v>0</v>
      </c>
      <c r="DN129">
        <f t="shared" si="125"/>
        <v>0</v>
      </c>
      <c r="DO129">
        <f t="shared" si="126"/>
        <v>0</v>
      </c>
      <c r="DP129" s="2">
        <f t="shared" si="89"/>
        <v>44</v>
      </c>
      <c r="DQ129" s="2">
        <f t="shared" si="89"/>
        <v>32</v>
      </c>
      <c r="DR129" s="2">
        <f t="shared" si="89"/>
        <v>20</v>
      </c>
      <c r="DS129" s="2">
        <f t="shared" si="89"/>
        <v>8</v>
      </c>
      <c r="DT129" s="2">
        <v>0</v>
      </c>
    </row>
    <row r="130" spans="1:124">
      <c r="A130" s="3">
        <v>43709</v>
      </c>
      <c r="B130">
        <f t="shared" si="129"/>
        <v>2019</v>
      </c>
      <c r="C130" s="2">
        <v>22627602</v>
      </c>
      <c r="D130" s="2">
        <f>VLOOKUP(B130,'Historic CDM'!$B$135:$H$146,2,FALSE)/12</f>
        <v>1203025.8182968786</v>
      </c>
      <c r="E130" s="2">
        <f t="shared" si="91"/>
        <v>23830627.81829688</v>
      </c>
      <c r="F130" s="5">
        <v>27967</v>
      </c>
      <c r="G130" s="219">
        <v>5521105</v>
      </c>
      <c r="H130" s="2">
        <f>VLOOKUP(B130,'Historic CDM'!$B$135:$H$147,3,FALSE)/12</f>
        <v>1137811.0149666101</v>
      </c>
      <c r="I130" s="2">
        <f t="shared" si="92"/>
        <v>6658916.0149666099</v>
      </c>
      <c r="J130" s="220">
        <v>1997</v>
      </c>
      <c r="K130" s="219">
        <v>17396822</v>
      </c>
      <c r="L130" s="2">
        <f>VLOOKUP(B130,'Historic CDM'!$B$135:$H$146,4,FALSE)/12</f>
        <v>1206809.3744726346</v>
      </c>
      <c r="M130" s="2">
        <f t="shared" ref="M130:M161" si="132">K130+L130</f>
        <v>18603631.374472633</v>
      </c>
      <c r="N130" s="222">
        <v>57058</v>
      </c>
      <c r="O130" s="5">
        <v>261</v>
      </c>
      <c r="P130" s="219">
        <v>192896</v>
      </c>
      <c r="Q130" s="2">
        <v>615</v>
      </c>
      <c r="R130" s="5">
        <v>2770</v>
      </c>
      <c r="S130" s="220">
        <v>23802</v>
      </c>
      <c r="T130" s="2">
        <v>65</v>
      </c>
      <c r="U130" s="5">
        <v>232</v>
      </c>
      <c r="V130" s="221">
        <v>128409</v>
      </c>
      <c r="W130" s="1">
        <v>129</v>
      </c>
      <c r="X130" s="2">
        <v>2896036</v>
      </c>
      <c r="Y130" s="2">
        <v>8496</v>
      </c>
      <c r="Z130" s="5">
        <v>4</v>
      </c>
      <c r="AA130" s="100">
        <f>'Weather Data'!D226</f>
        <v>46.099999999999994</v>
      </c>
      <c r="AB130" s="100">
        <f>'Weather Data'!E226</f>
        <v>22.3</v>
      </c>
      <c r="AC130" s="100">
        <f>'Weather Data'!F226</f>
        <v>14.699999999999998</v>
      </c>
      <c r="AD130" s="100">
        <f>'Weather Data'!G226</f>
        <v>50.9</v>
      </c>
      <c r="AE130" s="100">
        <f>'Weather Data'!H226</f>
        <v>2.0999999999999996</v>
      </c>
      <c r="AF130" s="100">
        <f>'Weather Data'!I226</f>
        <v>98.300000000000011</v>
      </c>
      <c r="AG130" s="100">
        <f>'Weather Data'!J226</f>
        <v>0</v>
      </c>
      <c r="AH130" s="100">
        <f>'Weather Data'!K226</f>
        <v>156.19999999999999</v>
      </c>
      <c r="AI130" s="100">
        <f>'Weather Data'!L226</f>
        <v>0</v>
      </c>
      <c r="AJ130" s="100">
        <f>'Weather Data'!M226</f>
        <v>216.19999999999996</v>
      </c>
      <c r="AK130" s="100">
        <f>'Weather Data'!N226</f>
        <v>0</v>
      </c>
      <c r="AL130" s="100">
        <f>'Weather Data'!O226</f>
        <v>276.2</v>
      </c>
      <c r="AM130" s="100">
        <f>'Weather Data'!P226</f>
        <v>0</v>
      </c>
      <c r="AN130" s="100">
        <f>'Weather Data'!Q226</f>
        <v>336.20000000000005</v>
      </c>
      <c r="AO130" s="100">
        <f>'Weather Data'!R226</f>
        <v>19.206666666666667</v>
      </c>
      <c r="AP130" s="5">
        <f>'Economic Data'!D96</f>
        <v>7448.5</v>
      </c>
      <c r="AQ130" s="5">
        <f>'Economic Data'!E96</f>
        <v>7505.1</v>
      </c>
      <c r="AR130" s="5">
        <f>'Economic Data'!F96</f>
        <v>169.1</v>
      </c>
      <c r="AS130" s="5">
        <f>'Economic Data'!G96</f>
        <v>169.3</v>
      </c>
      <c r="AT130" s="5">
        <f>'Economic Data'!H96</f>
        <v>807274.5</v>
      </c>
      <c r="AU130" s="5">
        <f>'Economic Data'!I96</f>
        <v>7827.1</v>
      </c>
      <c r="AV130" s="5">
        <f>'Economic Data'!J96</f>
        <v>6758.1</v>
      </c>
      <c r="AW130" s="5">
        <f>'Economic Data'!K96</f>
        <v>5005</v>
      </c>
      <c r="AX130" s="5">
        <f>'Economic Data'!L96</f>
        <v>1092.3</v>
      </c>
      <c r="AY130" s="5">
        <f>'Economic Data'!M96</f>
        <v>1343.6</v>
      </c>
      <c r="AZ130" s="5">
        <f>'Economic Data'!N96</f>
        <v>7405</v>
      </c>
      <c r="BA130" s="5">
        <f>'Economic Data'!O96</f>
        <v>118.8</v>
      </c>
      <c r="BB130" s="5">
        <f>'Economic Data'!P96</f>
        <v>129.6</v>
      </c>
      <c r="BC130" s="5">
        <f>'Economic Data'!Q96</f>
        <v>810347</v>
      </c>
      <c r="BD130" s="5">
        <f>'Economic Data'!R96</f>
        <v>7923</v>
      </c>
      <c r="BE130" s="5">
        <f>'Economic Data'!S96</f>
        <v>3983</v>
      </c>
      <c r="BF130" s="5">
        <f>'Economic Data'!T96</f>
        <v>13947</v>
      </c>
      <c r="BG130" s="5">
        <f>'EV Data'!V35</f>
        <v>32305.999999999993</v>
      </c>
      <c r="BH130" s="5">
        <f>'EV Data'!AB35</f>
        <v>147</v>
      </c>
      <c r="BI130" s="5">
        <f>'EV Data'!W35</f>
        <v>503.00000000000011</v>
      </c>
      <c r="BJ130" s="5">
        <f t="shared" si="52"/>
        <v>81</v>
      </c>
      <c r="BK130" s="70">
        <f t="shared" si="53"/>
        <v>1.9084850188786497</v>
      </c>
      <c r="BL130" s="5">
        <f t="shared" si="54"/>
        <v>6561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1</v>
      </c>
      <c r="BV130">
        <v>0</v>
      </c>
      <c r="BW130">
        <v>0</v>
      </c>
      <c r="BX130">
        <v>0</v>
      </c>
      <c r="BY130">
        <f t="shared" si="131"/>
        <v>0</v>
      </c>
      <c r="BZ130">
        <f t="shared" si="131"/>
        <v>0</v>
      </c>
      <c r="CA130">
        <f t="shared" si="55"/>
        <v>0</v>
      </c>
      <c r="CB130">
        <f t="shared" si="130"/>
        <v>30</v>
      </c>
      <c r="CC130">
        <v>21</v>
      </c>
      <c r="CD130">
        <v>0</v>
      </c>
      <c r="CE130">
        <v>0</v>
      </c>
      <c r="CF130">
        <f t="shared" si="93"/>
        <v>0</v>
      </c>
      <c r="CG130">
        <v>0</v>
      </c>
      <c r="CH130" s="64">
        <f t="shared" si="95"/>
        <v>0</v>
      </c>
      <c r="CI130" s="64">
        <f t="shared" si="96"/>
        <v>0</v>
      </c>
      <c r="CJ130" s="64">
        <f t="shared" si="97"/>
        <v>0</v>
      </c>
      <c r="CK130" s="64">
        <f t="shared" si="98"/>
        <v>0</v>
      </c>
      <c r="CL130" s="64">
        <f t="shared" si="99"/>
        <v>0</v>
      </c>
      <c r="CM130" s="64">
        <f t="shared" si="100"/>
        <v>0</v>
      </c>
      <c r="CN130" s="64">
        <f t="shared" si="101"/>
        <v>0</v>
      </c>
      <c r="CO130" s="64">
        <f t="shared" si="102"/>
        <v>0</v>
      </c>
      <c r="CP130" s="64">
        <f t="shared" si="103"/>
        <v>0</v>
      </c>
      <c r="CQ130" s="64">
        <f t="shared" si="104"/>
        <v>0</v>
      </c>
      <c r="CR130" s="64">
        <f t="shared" si="105"/>
        <v>0</v>
      </c>
      <c r="CS130" s="64">
        <f t="shared" si="106"/>
        <v>0</v>
      </c>
      <c r="CT130" s="64">
        <f t="shared" si="107"/>
        <v>0</v>
      </c>
      <c r="CU130" s="64">
        <f t="shared" si="108"/>
        <v>0</v>
      </c>
      <c r="CV130" s="69">
        <f t="shared" si="109"/>
        <v>28.403270304641044</v>
      </c>
      <c r="CW130" s="69">
        <f t="shared" si="110"/>
        <v>850.43627266495662</v>
      </c>
      <c r="CX130" s="69">
        <f t="shared" si="127"/>
        <v>3394.2038632498875</v>
      </c>
      <c r="CY130" s="69">
        <f t="shared" si="111"/>
        <v>34476.619047619046</v>
      </c>
      <c r="CZ130" s="64">
        <f t="shared" si="128"/>
        <v>2375.9427042749212</v>
      </c>
      <c r="DA130" s="64">
        <f t="shared" si="112"/>
        <v>24133.633333333335</v>
      </c>
      <c r="DB130">
        <f t="shared" si="113"/>
        <v>0</v>
      </c>
      <c r="DC130">
        <f t="shared" si="114"/>
        <v>0</v>
      </c>
      <c r="DD130">
        <f t="shared" si="115"/>
        <v>0</v>
      </c>
      <c r="DE130">
        <f t="shared" si="116"/>
        <v>0</v>
      </c>
      <c r="DF130">
        <f t="shared" si="117"/>
        <v>0</v>
      </c>
      <c r="DG130">
        <f t="shared" si="118"/>
        <v>0</v>
      </c>
      <c r="DH130">
        <f t="shared" si="119"/>
        <v>0</v>
      </c>
      <c r="DI130">
        <f t="shared" si="120"/>
        <v>0</v>
      </c>
      <c r="DJ130">
        <f t="shared" si="121"/>
        <v>0</v>
      </c>
      <c r="DK130">
        <f t="shared" si="122"/>
        <v>0</v>
      </c>
      <c r="DL130">
        <f t="shared" si="123"/>
        <v>0</v>
      </c>
      <c r="DM130">
        <f t="shared" si="124"/>
        <v>0</v>
      </c>
      <c r="DN130">
        <f t="shared" si="125"/>
        <v>0</v>
      </c>
      <c r="DO130">
        <f t="shared" si="126"/>
        <v>0</v>
      </c>
      <c r="DP130" s="2">
        <f t="shared" si="89"/>
        <v>45</v>
      </c>
      <c r="DQ130" s="2">
        <f t="shared" si="89"/>
        <v>33</v>
      </c>
      <c r="DR130" s="2">
        <f t="shared" si="89"/>
        <v>21</v>
      </c>
      <c r="DS130" s="2">
        <f t="shared" si="89"/>
        <v>9</v>
      </c>
      <c r="DT130" s="2">
        <v>0</v>
      </c>
    </row>
    <row r="131" spans="1:124">
      <c r="A131" s="3">
        <v>43739</v>
      </c>
      <c r="B131">
        <f t="shared" si="129"/>
        <v>2019</v>
      </c>
      <c r="C131" s="2">
        <v>16874813</v>
      </c>
      <c r="D131" s="2">
        <f>VLOOKUP(B131,'Historic CDM'!$B$135:$H$146,2,FALSE)/12</f>
        <v>1203025.8182968786</v>
      </c>
      <c r="E131" s="2">
        <f t="shared" si="91"/>
        <v>18077838.81829688</v>
      </c>
      <c r="F131" s="5">
        <v>28025</v>
      </c>
      <c r="G131" s="219">
        <v>4914703</v>
      </c>
      <c r="H131" s="2">
        <f>VLOOKUP(B131,'Historic CDM'!$B$135:$H$147,3,FALSE)/12</f>
        <v>1137811.0149666101</v>
      </c>
      <c r="I131" s="2">
        <f t="shared" si="92"/>
        <v>6052514.0149666099</v>
      </c>
      <c r="J131" s="220">
        <v>1997</v>
      </c>
      <c r="K131" s="219">
        <v>15762472</v>
      </c>
      <c r="L131" s="2">
        <f>VLOOKUP(B131,'Historic CDM'!$B$135:$H$146,4,FALSE)/12</f>
        <v>1206809.3744726346</v>
      </c>
      <c r="M131" s="2">
        <f t="shared" si="132"/>
        <v>16969281.374472633</v>
      </c>
      <c r="N131" s="222">
        <v>53900</v>
      </c>
      <c r="O131" s="5">
        <v>261</v>
      </c>
      <c r="P131" s="219">
        <v>227969</v>
      </c>
      <c r="Q131" s="2">
        <v>615</v>
      </c>
      <c r="R131" s="5">
        <v>2767</v>
      </c>
      <c r="S131" s="220">
        <v>26105</v>
      </c>
      <c r="T131" s="2">
        <v>71</v>
      </c>
      <c r="U131" s="5">
        <v>230</v>
      </c>
      <c r="V131" s="221">
        <v>128409</v>
      </c>
      <c r="W131" s="1">
        <v>129</v>
      </c>
      <c r="X131" s="2">
        <v>2797177</v>
      </c>
      <c r="Y131" s="2">
        <v>7370</v>
      </c>
      <c r="Z131" s="5">
        <v>4</v>
      </c>
      <c r="AA131" s="100">
        <f>'Weather Data'!D227</f>
        <v>263.40000000000003</v>
      </c>
      <c r="AB131" s="100">
        <f>'Weather Data'!E227</f>
        <v>5</v>
      </c>
      <c r="AC131" s="100">
        <f>'Weather Data'!F227</f>
        <v>204.10000000000002</v>
      </c>
      <c r="AD131" s="100">
        <f>'Weather Data'!G227</f>
        <v>7.6999999999999993</v>
      </c>
      <c r="AE131" s="100">
        <f>'Weather Data'!H227</f>
        <v>147.70000000000002</v>
      </c>
      <c r="AF131" s="100">
        <f>'Weather Data'!I227</f>
        <v>13.3</v>
      </c>
      <c r="AG131" s="100">
        <f>'Weather Data'!J227</f>
        <v>96.199999999999989</v>
      </c>
      <c r="AH131" s="100">
        <f>'Weather Data'!K227</f>
        <v>23.799999999999997</v>
      </c>
      <c r="AI131" s="100">
        <f>'Weather Data'!L227</f>
        <v>55.199999999999989</v>
      </c>
      <c r="AJ131" s="100">
        <f>'Weather Data'!M227</f>
        <v>44.8</v>
      </c>
      <c r="AK131" s="100">
        <f>'Weather Data'!N227</f>
        <v>26.900000000000006</v>
      </c>
      <c r="AL131" s="100">
        <f>'Weather Data'!O227</f>
        <v>78.499999999999986</v>
      </c>
      <c r="AM131" s="100">
        <f>'Weather Data'!P227</f>
        <v>10.199999999999999</v>
      </c>
      <c r="AN131" s="100">
        <f>'Weather Data'!Q227</f>
        <v>123.79999999999998</v>
      </c>
      <c r="AO131" s="100">
        <f>'Weather Data'!R227</f>
        <v>11.664516129032259</v>
      </c>
      <c r="AP131" s="5">
        <f>'Economic Data'!D97</f>
        <v>7462.2</v>
      </c>
      <c r="AQ131" s="5">
        <f>'Economic Data'!E97</f>
        <v>7501.2</v>
      </c>
      <c r="AR131" s="5">
        <f>'Economic Data'!F97</f>
        <v>170.3</v>
      </c>
      <c r="AS131" s="5">
        <f>'Economic Data'!G97</f>
        <v>171.6</v>
      </c>
      <c r="AT131" s="5">
        <f>'Economic Data'!H97</f>
        <v>807274.5</v>
      </c>
      <c r="AU131" s="5">
        <f>'Economic Data'!I97</f>
        <v>7827.1</v>
      </c>
      <c r="AV131" s="5">
        <f>'Economic Data'!J97</f>
        <v>6758.1</v>
      </c>
      <c r="AW131" s="5">
        <f>'Economic Data'!K97</f>
        <v>5005</v>
      </c>
      <c r="AX131" s="5">
        <f>'Economic Data'!L97</f>
        <v>1092.3</v>
      </c>
      <c r="AY131" s="5">
        <f>'Economic Data'!M97</f>
        <v>1343.6</v>
      </c>
      <c r="AZ131" s="5">
        <f>'Economic Data'!N97</f>
        <v>7405</v>
      </c>
      <c r="BA131" s="5">
        <f>'Economic Data'!O97</f>
        <v>118.8</v>
      </c>
      <c r="BB131" s="5">
        <f>'Economic Data'!P97</f>
        <v>129.6</v>
      </c>
      <c r="BC131" s="5">
        <f>'Economic Data'!Q97</f>
        <v>811397</v>
      </c>
      <c r="BD131" s="5">
        <f>'Economic Data'!R97</f>
        <v>7996</v>
      </c>
      <c r="BE131" s="5">
        <f>'Economic Data'!S97</f>
        <v>3799</v>
      </c>
      <c r="BF131" s="5">
        <f>'Economic Data'!T97</f>
        <v>13298</v>
      </c>
      <c r="BG131" s="5">
        <f>'EV Data'!V36</f>
        <v>33103.999999999993</v>
      </c>
      <c r="BH131" s="5">
        <f>'EV Data'!AB36</f>
        <v>150.33333333333334</v>
      </c>
      <c r="BI131" s="5">
        <f>'EV Data'!W36</f>
        <v>512.00000000000011</v>
      </c>
      <c r="BJ131" s="5">
        <f t="shared" si="52"/>
        <v>82</v>
      </c>
      <c r="BK131" s="70">
        <f t="shared" si="53"/>
        <v>1.9138138523837167</v>
      </c>
      <c r="BL131" s="5">
        <f t="shared" si="54"/>
        <v>6724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1</v>
      </c>
      <c r="BW131">
        <v>0</v>
      </c>
      <c r="BX131">
        <v>0</v>
      </c>
      <c r="BY131">
        <f t="shared" si="131"/>
        <v>0</v>
      </c>
      <c r="BZ131">
        <f t="shared" si="131"/>
        <v>1</v>
      </c>
      <c r="CA131">
        <f t="shared" si="55"/>
        <v>1</v>
      </c>
      <c r="CB131">
        <f t="shared" si="130"/>
        <v>31</v>
      </c>
      <c r="CC131">
        <v>21</v>
      </c>
      <c r="CD131">
        <v>0</v>
      </c>
      <c r="CE131">
        <v>0</v>
      </c>
      <c r="CF131">
        <f t="shared" si="93"/>
        <v>0</v>
      </c>
      <c r="CG131">
        <v>0</v>
      </c>
      <c r="CH131" s="64">
        <f t="shared" si="95"/>
        <v>0</v>
      </c>
      <c r="CI131" s="64">
        <f t="shared" si="96"/>
        <v>0</v>
      </c>
      <c r="CJ131" s="64">
        <f t="shared" si="97"/>
        <v>0</v>
      </c>
      <c r="CK131" s="64">
        <f t="shared" si="98"/>
        <v>0</v>
      </c>
      <c r="CL131" s="64">
        <f t="shared" si="99"/>
        <v>0</v>
      </c>
      <c r="CM131" s="64">
        <f t="shared" si="100"/>
        <v>0</v>
      </c>
      <c r="CN131" s="64">
        <f t="shared" si="101"/>
        <v>0</v>
      </c>
      <c r="CO131" s="64">
        <f t="shared" si="102"/>
        <v>0</v>
      </c>
      <c r="CP131" s="64">
        <f t="shared" si="103"/>
        <v>0</v>
      </c>
      <c r="CQ131" s="64">
        <f t="shared" si="104"/>
        <v>0</v>
      </c>
      <c r="CR131" s="64">
        <f t="shared" si="105"/>
        <v>0</v>
      </c>
      <c r="CS131" s="64">
        <f t="shared" si="106"/>
        <v>0</v>
      </c>
      <c r="CT131" s="64">
        <f t="shared" si="107"/>
        <v>0</v>
      </c>
      <c r="CU131" s="64">
        <f t="shared" si="108"/>
        <v>0</v>
      </c>
      <c r="CV131" s="69">
        <f t="shared" si="109"/>
        <v>20.808424296620966</v>
      </c>
      <c r="CW131" s="69">
        <f t="shared" si="110"/>
        <v>748.05512482593122</v>
      </c>
      <c r="CX131" s="69">
        <f t="shared" si="127"/>
        <v>3096.0192254100775</v>
      </c>
      <c r="CY131" s="69">
        <f t="shared" si="111"/>
        <v>33299.726190476191</v>
      </c>
      <c r="CZ131" s="64">
        <f t="shared" si="128"/>
        <v>2097.3033462455364</v>
      </c>
      <c r="DA131" s="64">
        <f t="shared" si="112"/>
        <v>22557.879032258064</v>
      </c>
      <c r="DB131">
        <f t="shared" si="113"/>
        <v>0</v>
      </c>
      <c r="DC131">
        <f t="shared" si="114"/>
        <v>0</v>
      </c>
      <c r="DD131">
        <f t="shared" si="115"/>
        <v>0</v>
      </c>
      <c r="DE131">
        <f t="shared" si="116"/>
        <v>0</v>
      </c>
      <c r="DF131">
        <f t="shared" si="117"/>
        <v>0</v>
      </c>
      <c r="DG131">
        <f t="shared" si="118"/>
        <v>0</v>
      </c>
      <c r="DH131">
        <f t="shared" si="119"/>
        <v>0</v>
      </c>
      <c r="DI131">
        <f t="shared" si="120"/>
        <v>0</v>
      </c>
      <c r="DJ131">
        <f t="shared" si="121"/>
        <v>0</v>
      </c>
      <c r="DK131">
        <f t="shared" si="122"/>
        <v>0</v>
      </c>
      <c r="DL131">
        <f t="shared" si="123"/>
        <v>0</v>
      </c>
      <c r="DM131">
        <f t="shared" si="124"/>
        <v>0</v>
      </c>
      <c r="DN131">
        <f t="shared" si="125"/>
        <v>0</v>
      </c>
      <c r="DO131">
        <f t="shared" si="126"/>
        <v>0</v>
      </c>
      <c r="DP131" s="2">
        <f t="shared" si="89"/>
        <v>46</v>
      </c>
      <c r="DQ131" s="2">
        <f t="shared" si="89"/>
        <v>34</v>
      </c>
      <c r="DR131" s="2">
        <f t="shared" si="89"/>
        <v>22</v>
      </c>
      <c r="DS131" s="2">
        <f t="shared" si="89"/>
        <v>10</v>
      </c>
      <c r="DT131" s="2">
        <v>0</v>
      </c>
    </row>
    <row r="132" spans="1:124">
      <c r="A132" s="3">
        <v>43770</v>
      </c>
      <c r="B132">
        <f t="shared" si="129"/>
        <v>2019</v>
      </c>
      <c r="C132" s="2">
        <v>18080609</v>
      </c>
      <c r="D132" s="2">
        <f>VLOOKUP(B132,'Historic CDM'!$B$135:$H$146,2,FALSE)/12</f>
        <v>1203025.8182968786</v>
      </c>
      <c r="E132" s="2">
        <f t="shared" si="91"/>
        <v>19283634.81829688</v>
      </c>
      <c r="F132" s="5">
        <v>28085</v>
      </c>
      <c r="G132" s="219">
        <v>5170055</v>
      </c>
      <c r="H132" s="2">
        <f>VLOOKUP(B132,'Historic CDM'!$B$135:$H$147,3,FALSE)/12</f>
        <v>1137811.0149666101</v>
      </c>
      <c r="I132" s="2">
        <f t="shared" si="92"/>
        <v>6307866.0149666099</v>
      </c>
      <c r="J132" s="220">
        <v>1997</v>
      </c>
      <c r="K132" s="219">
        <v>15009141</v>
      </c>
      <c r="L132" s="2">
        <f>VLOOKUP(B132,'Historic CDM'!$B$135:$H$146,4,FALSE)/12</f>
        <v>1206809.3744726346</v>
      </c>
      <c r="M132" s="2">
        <f t="shared" si="132"/>
        <v>16215950.374472635</v>
      </c>
      <c r="N132" s="222">
        <v>48649</v>
      </c>
      <c r="O132" s="5">
        <v>261</v>
      </c>
      <c r="P132" s="219">
        <v>239352</v>
      </c>
      <c r="Q132" s="2">
        <v>615</v>
      </c>
      <c r="R132" s="5">
        <v>2767</v>
      </c>
      <c r="S132" s="220">
        <v>23357</v>
      </c>
      <c r="T132" s="2">
        <v>64</v>
      </c>
      <c r="U132" s="5">
        <v>230</v>
      </c>
      <c r="V132" s="221">
        <v>128409</v>
      </c>
      <c r="W132" s="1">
        <v>129</v>
      </c>
      <c r="X132" s="2">
        <v>2901691</v>
      </c>
      <c r="Y132" s="2">
        <v>9603</v>
      </c>
      <c r="Z132" s="5">
        <v>4</v>
      </c>
      <c r="AA132" s="100">
        <f>'Weather Data'!D228</f>
        <v>555.19999999999982</v>
      </c>
      <c r="AB132" s="100">
        <f>'Weather Data'!E228</f>
        <v>0</v>
      </c>
      <c r="AC132" s="100">
        <f>'Weather Data'!F228</f>
        <v>495.19999999999993</v>
      </c>
      <c r="AD132" s="100">
        <f>'Weather Data'!G228</f>
        <v>0</v>
      </c>
      <c r="AE132" s="100">
        <f>'Weather Data'!H228</f>
        <v>435.2</v>
      </c>
      <c r="AF132" s="100">
        <f>'Weather Data'!I228</f>
        <v>0</v>
      </c>
      <c r="AG132" s="100">
        <f>'Weather Data'!J228</f>
        <v>375.2</v>
      </c>
      <c r="AH132" s="100">
        <f>'Weather Data'!K228</f>
        <v>0</v>
      </c>
      <c r="AI132" s="100">
        <f>'Weather Data'!L228</f>
        <v>315.20000000000005</v>
      </c>
      <c r="AJ132" s="100">
        <f>'Weather Data'!M228</f>
        <v>0</v>
      </c>
      <c r="AK132" s="100">
        <f>'Weather Data'!N228</f>
        <v>255.20000000000007</v>
      </c>
      <c r="AL132" s="100">
        <f>'Weather Data'!O228</f>
        <v>0</v>
      </c>
      <c r="AM132" s="100">
        <f>'Weather Data'!P228</f>
        <v>195.80000000000007</v>
      </c>
      <c r="AN132" s="100">
        <f>'Weather Data'!Q228</f>
        <v>0.59999999999999964</v>
      </c>
      <c r="AO132" s="100">
        <f>'Weather Data'!R228</f>
        <v>1.4933333333333334</v>
      </c>
      <c r="AP132" s="5">
        <f>'Economic Data'!D98</f>
        <v>7470.1</v>
      </c>
      <c r="AQ132" s="5">
        <f>'Economic Data'!E98</f>
        <v>7488.3</v>
      </c>
      <c r="AR132" s="5">
        <f>'Economic Data'!F98</f>
        <v>168.5</v>
      </c>
      <c r="AS132" s="5">
        <f>'Economic Data'!G98</f>
        <v>169</v>
      </c>
      <c r="AT132" s="5">
        <f>'Economic Data'!H98</f>
        <v>807274.5</v>
      </c>
      <c r="AU132" s="5">
        <f>'Economic Data'!I98</f>
        <v>7827.1</v>
      </c>
      <c r="AV132" s="5">
        <f>'Economic Data'!J98</f>
        <v>6758.1</v>
      </c>
      <c r="AW132" s="5">
        <f>'Economic Data'!K98</f>
        <v>5005</v>
      </c>
      <c r="AX132" s="5">
        <f>'Economic Data'!L98</f>
        <v>1092.3</v>
      </c>
      <c r="AY132" s="5">
        <f>'Economic Data'!M98</f>
        <v>1343.6</v>
      </c>
      <c r="AZ132" s="5">
        <f>'Economic Data'!N98</f>
        <v>7405</v>
      </c>
      <c r="BA132" s="5">
        <f>'Economic Data'!O98</f>
        <v>118.8</v>
      </c>
      <c r="BB132" s="5">
        <f>'Economic Data'!P98</f>
        <v>129.6</v>
      </c>
      <c r="BC132" s="5">
        <f>'Economic Data'!Q98</f>
        <v>811397</v>
      </c>
      <c r="BD132" s="5">
        <f>'Economic Data'!R98</f>
        <v>7996</v>
      </c>
      <c r="BE132" s="5">
        <f>'Economic Data'!S98</f>
        <v>3799</v>
      </c>
      <c r="BF132" s="5">
        <f>'Economic Data'!T98</f>
        <v>13298</v>
      </c>
      <c r="BG132" s="5">
        <f>'EV Data'!V37</f>
        <v>33901.999999999993</v>
      </c>
      <c r="BH132" s="5">
        <f>'EV Data'!AB37</f>
        <v>153.66666666666669</v>
      </c>
      <c r="BI132" s="5">
        <f>'EV Data'!W37</f>
        <v>521.00000000000011</v>
      </c>
      <c r="BJ132" s="5">
        <f t="shared" si="52"/>
        <v>83</v>
      </c>
      <c r="BK132" s="70">
        <f t="shared" si="53"/>
        <v>1.919078092376074</v>
      </c>
      <c r="BL132" s="5">
        <f t="shared" si="54"/>
        <v>6889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1</v>
      </c>
      <c r="BX132">
        <v>0</v>
      </c>
      <c r="BY132">
        <f t="shared" si="131"/>
        <v>0</v>
      </c>
      <c r="BZ132">
        <f t="shared" si="131"/>
        <v>1</v>
      </c>
      <c r="CA132">
        <f t="shared" si="55"/>
        <v>1</v>
      </c>
      <c r="CB132">
        <f t="shared" si="130"/>
        <v>30</v>
      </c>
      <c r="CC132">
        <v>21</v>
      </c>
      <c r="CD132">
        <v>0</v>
      </c>
      <c r="CE132">
        <v>0</v>
      </c>
      <c r="CF132">
        <f t="shared" si="93"/>
        <v>0</v>
      </c>
      <c r="CG132">
        <v>0</v>
      </c>
      <c r="CH132" s="64">
        <f t="shared" si="95"/>
        <v>0</v>
      </c>
      <c r="CI132" s="64">
        <f t="shared" si="96"/>
        <v>0</v>
      </c>
      <c r="CJ132" s="64">
        <f t="shared" si="97"/>
        <v>0</v>
      </c>
      <c r="CK132" s="64">
        <f t="shared" si="98"/>
        <v>0</v>
      </c>
      <c r="CL132" s="64">
        <f t="shared" si="99"/>
        <v>0</v>
      </c>
      <c r="CM132" s="64">
        <f t="shared" si="100"/>
        <v>0</v>
      </c>
      <c r="CN132" s="64">
        <f t="shared" si="101"/>
        <v>0</v>
      </c>
      <c r="CO132" s="64">
        <f t="shared" si="102"/>
        <v>0</v>
      </c>
      <c r="CP132" s="64">
        <f t="shared" si="103"/>
        <v>0</v>
      </c>
      <c r="CQ132" s="64">
        <f t="shared" si="104"/>
        <v>0</v>
      </c>
      <c r="CR132" s="64">
        <f t="shared" si="105"/>
        <v>0</v>
      </c>
      <c r="CS132" s="64">
        <f t="shared" si="106"/>
        <v>0</v>
      </c>
      <c r="CT132" s="64">
        <f t="shared" si="107"/>
        <v>0</v>
      </c>
      <c r="CU132" s="64">
        <f t="shared" si="108"/>
        <v>0</v>
      </c>
      <c r="CV132" s="69">
        <f t="shared" si="109"/>
        <v>22.887229028896659</v>
      </c>
      <c r="CW132" s="69">
        <f t="shared" si="110"/>
        <v>805.60230076201913</v>
      </c>
      <c r="CX132" s="69">
        <f t="shared" si="127"/>
        <v>2958.5751458625496</v>
      </c>
      <c r="CY132" s="69">
        <f t="shared" si="111"/>
        <v>34543.940476190473</v>
      </c>
      <c r="CZ132" s="64">
        <f t="shared" si="128"/>
        <v>2071.0026021037847</v>
      </c>
      <c r="DA132" s="64">
        <f t="shared" si="112"/>
        <v>24180.758333333335</v>
      </c>
      <c r="DB132">
        <f t="shared" si="113"/>
        <v>0</v>
      </c>
      <c r="DC132">
        <f t="shared" si="114"/>
        <v>0</v>
      </c>
      <c r="DD132">
        <f t="shared" si="115"/>
        <v>0</v>
      </c>
      <c r="DE132">
        <f t="shared" si="116"/>
        <v>0</v>
      </c>
      <c r="DF132">
        <f t="shared" si="117"/>
        <v>0</v>
      </c>
      <c r="DG132">
        <f t="shared" si="118"/>
        <v>0</v>
      </c>
      <c r="DH132">
        <f t="shared" si="119"/>
        <v>0</v>
      </c>
      <c r="DI132">
        <f t="shared" si="120"/>
        <v>0</v>
      </c>
      <c r="DJ132">
        <f t="shared" si="121"/>
        <v>0</v>
      </c>
      <c r="DK132">
        <f t="shared" si="122"/>
        <v>0</v>
      </c>
      <c r="DL132">
        <f t="shared" si="123"/>
        <v>0</v>
      </c>
      <c r="DM132">
        <f t="shared" si="124"/>
        <v>0</v>
      </c>
      <c r="DN132">
        <f t="shared" si="125"/>
        <v>0</v>
      </c>
      <c r="DO132">
        <f t="shared" si="126"/>
        <v>0</v>
      </c>
      <c r="DP132" s="2">
        <f t="shared" si="89"/>
        <v>47</v>
      </c>
      <c r="DQ132" s="2">
        <f t="shared" si="89"/>
        <v>35</v>
      </c>
      <c r="DR132" s="2">
        <f t="shared" si="89"/>
        <v>23</v>
      </c>
      <c r="DS132" s="2">
        <f t="shared" si="89"/>
        <v>11</v>
      </c>
      <c r="DT132" s="2">
        <v>0</v>
      </c>
    </row>
    <row r="133" spans="1:124">
      <c r="A133" s="3">
        <v>43800</v>
      </c>
      <c r="B133">
        <f t="shared" si="129"/>
        <v>2019</v>
      </c>
      <c r="C133" s="2">
        <v>20382893</v>
      </c>
      <c r="D133" s="2">
        <f>VLOOKUP(B133,'Historic CDM'!$B$135:$H$146,2,FALSE)/12</f>
        <v>1203025.8182968786</v>
      </c>
      <c r="E133" s="2">
        <f t="shared" si="91"/>
        <v>21585918.81829688</v>
      </c>
      <c r="F133" s="5">
        <v>28134</v>
      </c>
      <c r="G133" s="219">
        <v>5375710</v>
      </c>
      <c r="H133" s="2">
        <f>VLOOKUP(B133,'Historic CDM'!$B$135:$H$147,3,FALSE)/12</f>
        <v>1137811.0149666101</v>
      </c>
      <c r="I133" s="2">
        <f t="shared" si="92"/>
        <v>6513521.0149666099</v>
      </c>
      <c r="J133" s="220">
        <v>1997</v>
      </c>
      <c r="K133" s="219">
        <v>13891709</v>
      </c>
      <c r="L133" s="2">
        <f>VLOOKUP(B133,'Historic CDM'!$B$135:$H$146,4,FALSE)/12</f>
        <v>1206809.3744726346</v>
      </c>
      <c r="M133" s="2">
        <f t="shared" si="132"/>
        <v>15098518.374472635</v>
      </c>
      <c r="N133" s="222">
        <v>46812</v>
      </c>
      <c r="O133" s="5">
        <v>261</v>
      </c>
      <c r="P133" s="219">
        <v>261810</v>
      </c>
      <c r="Q133" s="2">
        <v>615</v>
      </c>
      <c r="R133" s="5">
        <v>2767</v>
      </c>
      <c r="S133" s="220">
        <v>23589</v>
      </c>
      <c r="T133" s="2">
        <v>64</v>
      </c>
      <c r="U133" s="5">
        <v>230</v>
      </c>
      <c r="V133" s="221">
        <v>128409</v>
      </c>
      <c r="W133" s="1">
        <v>129</v>
      </c>
      <c r="X133" s="2">
        <v>2584611</v>
      </c>
      <c r="Y133" s="2">
        <v>7300</v>
      </c>
      <c r="Z133" s="5">
        <v>4</v>
      </c>
      <c r="AA133" s="100">
        <f>'Weather Data'!D229</f>
        <v>589.90000000000009</v>
      </c>
      <c r="AB133" s="100">
        <f>'Weather Data'!E229</f>
        <v>0</v>
      </c>
      <c r="AC133" s="100">
        <f>'Weather Data'!F229</f>
        <v>527.90000000000009</v>
      </c>
      <c r="AD133" s="100">
        <f>'Weather Data'!G229</f>
        <v>0</v>
      </c>
      <c r="AE133" s="100">
        <f>'Weather Data'!H229</f>
        <v>465.90000000000009</v>
      </c>
      <c r="AF133" s="100">
        <f>'Weather Data'!I229</f>
        <v>0</v>
      </c>
      <c r="AG133" s="100">
        <f>'Weather Data'!J229</f>
        <v>403.90000000000009</v>
      </c>
      <c r="AH133" s="100">
        <f>'Weather Data'!K229</f>
        <v>0</v>
      </c>
      <c r="AI133" s="100">
        <f>'Weather Data'!L229</f>
        <v>341.90000000000009</v>
      </c>
      <c r="AJ133" s="100">
        <f>'Weather Data'!M229</f>
        <v>0</v>
      </c>
      <c r="AK133" s="100">
        <f>'Weather Data'!N229</f>
        <v>279.90000000000009</v>
      </c>
      <c r="AL133" s="100">
        <f>'Weather Data'!O229</f>
        <v>0</v>
      </c>
      <c r="AM133" s="100">
        <f>'Weather Data'!P229</f>
        <v>218.60000000000002</v>
      </c>
      <c r="AN133" s="100">
        <f>'Weather Data'!Q229</f>
        <v>0.69999999999999929</v>
      </c>
      <c r="AO133" s="100">
        <f>'Weather Data'!R229</f>
        <v>0.97096774193548374</v>
      </c>
      <c r="AP133" s="5">
        <f>'Economic Data'!D99</f>
        <v>7482.6</v>
      </c>
      <c r="AQ133" s="5">
        <f>'Economic Data'!E99</f>
        <v>7493.8</v>
      </c>
      <c r="AR133" s="5">
        <f>'Economic Data'!F99</f>
        <v>167.7</v>
      </c>
      <c r="AS133" s="5">
        <f>'Economic Data'!G99</f>
        <v>167.9</v>
      </c>
      <c r="AT133" s="5">
        <f>'Economic Data'!H99</f>
        <v>807274.5</v>
      </c>
      <c r="AU133" s="5">
        <f>'Economic Data'!I99</f>
        <v>7827.1</v>
      </c>
      <c r="AV133" s="5">
        <f>'Economic Data'!J99</f>
        <v>6758.1</v>
      </c>
      <c r="AW133" s="5">
        <f>'Economic Data'!K99</f>
        <v>5005</v>
      </c>
      <c r="AX133" s="5">
        <f>'Economic Data'!L99</f>
        <v>1092.3</v>
      </c>
      <c r="AY133" s="5">
        <f>'Economic Data'!M99</f>
        <v>1343.6</v>
      </c>
      <c r="AZ133" s="5">
        <f>'Economic Data'!N99</f>
        <v>7405</v>
      </c>
      <c r="BA133" s="5">
        <f>'Economic Data'!O99</f>
        <v>118.8</v>
      </c>
      <c r="BB133" s="5">
        <f>'Economic Data'!P99</f>
        <v>129.6</v>
      </c>
      <c r="BC133" s="5">
        <f>'Economic Data'!Q99</f>
        <v>811397</v>
      </c>
      <c r="BD133" s="5">
        <f>'Economic Data'!R99</f>
        <v>7996</v>
      </c>
      <c r="BE133" s="5">
        <f>'Economic Data'!S99</f>
        <v>3799</v>
      </c>
      <c r="BF133" s="5">
        <f>'Economic Data'!T99</f>
        <v>13298</v>
      </c>
      <c r="BG133" s="5">
        <f>'EV Data'!V38</f>
        <v>34699.999999999993</v>
      </c>
      <c r="BH133" s="5">
        <f>'EV Data'!AB38</f>
        <v>157.00000000000003</v>
      </c>
      <c r="BI133" s="5">
        <f>'EV Data'!W38</f>
        <v>530.00000000000011</v>
      </c>
      <c r="BJ133" s="5">
        <f t="shared" si="52"/>
        <v>84</v>
      </c>
      <c r="BK133" s="70">
        <f t="shared" si="53"/>
        <v>1.9242792860618816</v>
      </c>
      <c r="BL133" s="5">
        <f t="shared" si="54"/>
        <v>7056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1</v>
      </c>
      <c r="BY133">
        <f t="shared" si="131"/>
        <v>0</v>
      </c>
      <c r="BZ133">
        <f t="shared" si="131"/>
        <v>0</v>
      </c>
      <c r="CA133">
        <f t="shared" si="55"/>
        <v>0</v>
      </c>
      <c r="CB133">
        <f t="shared" si="130"/>
        <v>31</v>
      </c>
      <c r="CC133">
        <v>21</v>
      </c>
      <c r="CD133">
        <v>0</v>
      </c>
      <c r="CE133">
        <v>0</v>
      </c>
      <c r="CF133">
        <f t="shared" si="93"/>
        <v>0</v>
      </c>
      <c r="CG133">
        <v>0</v>
      </c>
      <c r="CH133" s="64">
        <f t="shared" si="95"/>
        <v>0</v>
      </c>
      <c r="CI133" s="64">
        <f t="shared" si="96"/>
        <v>0</v>
      </c>
      <c r="CJ133" s="64">
        <f t="shared" si="97"/>
        <v>0</v>
      </c>
      <c r="CK133" s="64">
        <f t="shared" si="98"/>
        <v>0</v>
      </c>
      <c r="CL133" s="64">
        <f t="shared" si="99"/>
        <v>0</v>
      </c>
      <c r="CM133" s="64">
        <f t="shared" si="100"/>
        <v>0</v>
      </c>
      <c r="CN133" s="64">
        <f t="shared" si="101"/>
        <v>0</v>
      </c>
      <c r="CO133" s="64">
        <f t="shared" si="102"/>
        <v>0</v>
      </c>
      <c r="CP133" s="64">
        <f t="shared" si="103"/>
        <v>0</v>
      </c>
      <c r="CQ133" s="64">
        <f t="shared" si="104"/>
        <v>0</v>
      </c>
      <c r="CR133" s="64">
        <f t="shared" si="105"/>
        <v>0</v>
      </c>
      <c r="CS133" s="64">
        <f t="shared" si="106"/>
        <v>0</v>
      </c>
      <c r="CT133" s="64">
        <f t="shared" si="107"/>
        <v>0</v>
      </c>
      <c r="CU133" s="64">
        <f t="shared" si="108"/>
        <v>0</v>
      </c>
      <c r="CV133" s="69">
        <f t="shared" si="109"/>
        <v>24.750123049710123</v>
      </c>
      <c r="CW133" s="69">
        <f t="shared" si="110"/>
        <v>805.03287788488569</v>
      </c>
      <c r="CX133" s="69">
        <f t="shared" si="127"/>
        <v>2754.7014001957009</v>
      </c>
      <c r="CY133" s="69">
        <f t="shared" si="111"/>
        <v>30769.178571428572</v>
      </c>
      <c r="CZ133" s="64">
        <f t="shared" si="128"/>
        <v>1866.0880452938618</v>
      </c>
      <c r="DA133" s="64">
        <f t="shared" si="112"/>
        <v>20843.637096774193</v>
      </c>
      <c r="DB133">
        <f t="shared" si="113"/>
        <v>0</v>
      </c>
      <c r="DC133">
        <f t="shared" si="114"/>
        <v>0</v>
      </c>
      <c r="DD133">
        <f t="shared" si="115"/>
        <v>0</v>
      </c>
      <c r="DE133">
        <f t="shared" si="116"/>
        <v>0</v>
      </c>
      <c r="DF133">
        <f t="shared" si="117"/>
        <v>0</v>
      </c>
      <c r="DG133">
        <f t="shared" si="118"/>
        <v>0</v>
      </c>
      <c r="DH133">
        <f t="shared" si="119"/>
        <v>0</v>
      </c>
      <c r="DI133">
        <f t="shared" si="120"/>
        <v>0</v>
      </c>
      <c r="DJ133">
        <f t="shared" si="121"/>
        <v>0</v>
      </c>
      <c r="DK133">
        <f t="shared" si="122"/>
        <v>0</v>
      </c>
      <c r="DL133">
        <f t="shared" si="123"/>
        <v>0</v>
      </c>
      <c r="DM133">
        <f t="shared" si="124"/>
        <v>0</v>
      </c>
      <c r="DN133">
        <f t="shared" si="125"/>
        <v>0</v>
      </c>
      <c r="DO133">
        <f t="shared" si="126"/>
        <v>0</v>
      </c>
      <c r="DP133" s="2">
        <f t="shared" si="89"/>
        <v>48</v>
      </c>
      <c r="DQ133" s="2">
        <f t="shared" si="89"/>
        <v>36</v>
      </c>
      <c r="DR133" s="2">
        <f t="shared" si="89"/>
        <v>24</v>
      </c>
      <c r="DS133" s="2">
        <f t="shared" si="89"/>
        <v>12</v>
      </c>
      <c r="DT133" s="2">
        <v>0</v>
      </c>
    </row>
    <row r="134" spans="1:124">
      <c r="A134" s="3">
        <v>43831</v>
      </c>
      <c r="B134">
        <f t="shared" ref="B134:B142" si="133">YEAR(A134)</f>
        <v>2020</v>
      </c>
      <c r="C134" s="2">
        <v>19631002</v>
      </c>
      <c r="D134" s="2">
        <f>VLOOKUP(B134,'Historic CDM'!$B$135:$H$146,2,FALSE)/12</f>
        <v>1183895.730626733</v>
      </c>
      <c r="E134" s="2">
        <f t="shared" si="91"/>
        <v>20814897.730626732</v>
      </c>
      <c r="F134" s="5">
        <v>28150</v>
      </c>
      <c r="G134" s="219">
        <v>5539029</v>
      </c>
      <c r="H134" s="2">
        <f>VLOOKUP(B134,'Historic CDM'!$B$135:$H$147,3,FALSE)/12</f>
        <v>1133474.2109814028</v>
      </c>
      <c r="I134" s="2">
        <f t="shared" si="92"/>
        <v>6672503.2109814025</v>
      </c>
      <c r="J134" s="220">
        <v>1997</v>
      </c>
      <c r="K134" s="219">
        <v>14069590</v>
      </c>
      <c r="L134" s="2">
        <f>VLOOKUP(B134,'Historic CDM'!$B$135:$H$146,4,FALSE)/12</f>
        <v>1202218.3759527351</v>
      </c>
      <c r="M134" s="2">
        <f t="shared" si="132"/>
        <v>15271808.375952736</v>
      </c>
      <c r="N134" s="222">
        <v>46248</v>
      </c>
      <c r="O134" s="5">
        <v>261</v>
      </c>
      <c r="P134" s="219">
        <v>257503</v>
      </c>
      <c r="Q134" s="2">
        <v>615</v>
      </c>
      <c r="R134" s="5">
        <v>2772</v>
      </c>
      <c r="S134" s="220">
        <v>23915</v>
      </c>
      <c r="T134" s="2">
        <v>65</v>
      </c>
      <c r="U134" s="5">
        <v>229</v>
      </c>
      <c r="V134" s="221">
        <v>128409</v>
      </c>
      <c r="W134" s="1">
        <v>129</v>
      </c>
      <c r="X134" s="2">
        <v>2683483</v>
      </c>
      <c r="Y134" s="2">
        <v>6799</v>
      </c>
      <c r="Z134" s="5">
        <v>4</v>
      </c>
      <c r="AA134" s="100">
        <f>'Weather Data'!D230</f>
        <v>623.20000000000016</v>
      </c>
      <c r="AB134" s="100">
        <f>'Weather Data'!E230</f>
        <v>0</v>
      </c>
      <c r="AC134" s="100">
        <f>'Weather Data'!F230</f>
        <v>561.20000000000016</v>
      </c>
      <c r="AD134" s="100">
        <f>'Weather Data'!G230</f>
        <v>0</v>
      </c>
      <c r="AE134" s="100">
        <f>'Weather Data'!H230</f>
        <v>499.2000000000001</v>
      </c>
      <c r="AF134" s="100">
        <f>'Weather Data'!I230</f>
        <v>0</v>
      </c>
      <c r="AG134" s="100">
        <f>'Weather Data'!J230</f>
        <v>437.2000000000001</v>
      </c>
      <c r="AH134" s="100">
        <f>'Weather Data'!K230</f>
        <v>0</v>
      </c>
      <c r="AI134" s="100">
        <f>'Weather Data'!L230</f>
        <v>375.2000000000001</v>
      </c>
      <c r="AJ134" s="100">
        <f>'Weather Data'!M230</f>
        <v>0</v>
      </c>
      <c r="AK134" s="100">
        <f>'Weather Data'!N230</f>
        <v>313.2000000000001</v>
      </c>
      <c r="AL134" s="100">
        <f>'Weather Data'!O230</f>
        <v>0</v>
      </c>
      <c r="AM134" s="100">
        <f>'Weather Data'!P230</f>
        <v>251.2</v>
      </c>
      <c r="AN134" s="100">
        <f>'Weather Data'!Q230</f>
        <v>0</v>
      </c>
      <c r="AO134" s="100">
        <f>'Weather Data'!R230</f>
        <v>-0.1032258064516129</v>
      </c>
      <c r="AP134" s="5">
        <f>'Economic Data'!D100</f>
        <v>7504.9</v>
      </c>
      <c r="AQ134" s="5">
        <f>'Economic Data'!E100</f>
        <v>7471.6</v>
      </c>
      <c r="AR134" s="5">
        <f>'Economic Data'!F100</f>
        <v>166.2</v>
      </c>
      <c r="AS134" s="5">
        <f>'Economic Data'!G100</f>
        <v>164.5</v>
      </c>
      <c r="AT134" s="5">
        <f>'Economic Data'!H100</f>
        <v>769942</v>
      </c>
      <c r="AU134" s="5">
        <f>'Economic Data'!I100</f>
        <v>8258.2999999999993</v>
      </c>
      <c r="AV134" s="5">
        <f>'Economic Data'!J100</f>
        <v>7244.3</v>
      </c>
      <c r="AW134" s="5">
        <f>'Economic Data'!K100</f>
        <v>5453.2</v>
      </c>
      <c r="AX134" s="5">
        <f>'Economic Data'!L100</f>
        <v>1118.5</v>
      </c>
      <c r="AY134" s="5">
        <f>'Economic Data'!M100</f>
        <v>1755.9</v>
      </c>
      <c r="AZ134" s="5">
        <f>'Economic Data'!N100</f>
        <v>6539.9</v>
      </c>
      <c r="BA134" s="5">
        <f>'Economic Data'!O100</f>
        <v>107.8</v>
      </c>
      <c r="BB134" s="5">
        <f>'Economic Data'!P100</f>
        <v>72</v>
      </c>
      <c r="BC134" s="5">
        <f>'Economic Data'!Q100</f>
        <v>800126</v>
      </c>
      <c r="BD134" s="5">
        <f>'Economic Data'!R100</f>
        <v>7823</v>
      </c>
      <c r="BE134" s="5">
        <f>'Economic Data'!S100</f>
        <v>3864</v>
      </c>
      <c r="BF134" s="5">
        <f>'Economic Data'!T100</f>
        <v>13972</v>
      </c>
      <c r="BG134" s="5">
        <f>'EV Data'!V39</f>
        <v>35400.666666666657</v>
      </c>
      <c r="BH134" s="5">
        <f>'EV Data'!AB39</f>
        <v>162.33333333333337</v>
      </c>
      <c r="BI134" s="5">
        <f>'EV Data'!W39</f>
        <v>539.00000000000011</v>
      </c>
      <c r="BJ134" s="5">
        <f t="shared" si="52"/>
        <v>85</v>
      </c>
      <c r="BK134" s="70">
        <f t="shared" ref="BK134:BK142" si="134">LOG(BJ134)</f>
        <v>1.9294189257142926</v>
      </c>
      <c r="BL134" s="5">
        <f t="shared" ref="BL134:BL142" si="135">BJ134^2</f>
        <v>7225</v>
      </c>
      <c r="BM134">
        <f>BM122</f>
        <v>1</v>
      </c>
      <c r="BN134">
        <f t="shared" ref="BN134:CA134" si="136">BN122</f>
        <v>0</v>
      </c>
      <c r="BO134">
        <f t="shared" si="136"/>
        <v>0</v>
      </c>
      <c r="BP134">
        <f t="shared" si="136"/>
        <v>0</v>
      </c>
      <c r="BQ134">
        <f t="shared" si="136"/>
        <v>0</v>
      </c>
      <c r="BR134">
        <f t="shared" si="136"/>
        <v>0</v>
      </c>
      <c r="BS134">
        <f t="shared" si="136"/>
        <v>0</v>
      </c>
      <c r="BT134">
        <f t="shared" si="136"/>
        <v>0</v>
      </c>
      <c r="BU134">
        <f t="shared" si="136"/>
        <v>0</v>
      </c>
      <c r="BV134">
        <f t="shared" si="136"/>
        <v>0</v>
      </c>
      <c r="BW134">
        <f t="shared" si="136"/>
        <v>0</v>
      </c>
      <c r="BX134">
        <f t="shared" si="136"/>
        <v>0</v>
      </c>
      <c r="BY134">
        <f t="shared" si="136"/>
        <v>0</v>
      </c>
      <c r="BZ134">
        <f t="shared" si="136"/>
        <v>0</v>
      </c>
      <c r="CA134">
        <f t="shared" si="136"/>
        <v>0</v>
      </c>
      <c r="CB134">
        <f>CB86</f>
        <v>31</v>
      </c>
      <c r="CC134">
        <v>22</v>
      </c>
      <c r="CD134">
        <v>0</v>
      </c>
      <c r="CE134">
        <v>0</v>
      </c>
      <c r="CF134">
        <f t="shared" si="93"/>
        <v>0</v>
      </c>
      <c r="CG134">
        <v>0</v>
      </c>
      <c r="CH134" s="64">
        <f t="shared" si="95"/>
        <v>0</v>
      </c>
      <c r="CI134" s="64">
        <f t="shared" si="96"/>
        <v>0</v>
      </c>
      <c r="CJ134" s="64">
        <f t="shared" si="97"/>
        <v>0</v>
      </c>
      <c r="CK134" s="64">
        <f t="shared" si="98"/>
        <v>0</v>
      </c>
      <c r="CL134" s="64">
        <f t="shared" si="99"/>
        <v>0</v>
      </c>
      <c r="CM134" s="64">
        <f t="shared" si="100"/>
        <v>0</v>
      </c>
      <c r="CN134" s="64">
        <f t="shared" si="101"/>
        <v>0</v>
      </c>
      <c r="CO134" s="64">
        <f t="shared" si="102"/>
        <v>0</v>
      </c>
      <c r="CP134" s="64">
        <f t="shared" si="103"/>
        <v>0</v>
      </c>
      <c r="CQ134" s="64">
        <f t="shared" si="104"/>
        <v>0</v>
      </c>
      <c r="CR134" s="64">
        <f t="shared" si="105"/>
        <v>0</v>
      </c>
      <c r="CS134" s="64">
        <f t="shared" si="106"/>
        <v>0</v>
      </c>
      <c r="CT134" s="64">
        <f t="shared" si="107"/>
        <v>0</v>
      </c>
      <c r="CU134" s="64">
        <f t="shared" si="108"/>
        <v>0</v>
      </c>
      <c r="CV134" s="69">
        <f t="shared" si="109"/>
        <v>23.852515591161097</v>
      </c>
      <c r="CW134" s="69">
        <f t="shared" si="110"/>
        <v>824.68214200734189</v>
      </c>
      <c r="CX134" s="69">
        <f t="shared" si="127"/>
        <v>2659.6670804515384</v>
      </c>
      <c r="CY134" s="69">
        <f t="shared" si="111"/>
        <v>30494.125</v>
      </c>
      <c r="CZ134" s="64">
        <f t="shared" si="128"/>
        <v>1887.5056699978663</v>
      </c>
      <c r="DA134" s="64">
        <f t="shared" si="112"/>
        <v>21640.991935483871</v>
      </c>
      <c r="DB134">
        <f t="shared" si="113"/>
        <v>0</v>
      </c>
      <c r="DC134">
        <f t="shared" si="114"/>
        <v>0</v>
      </c>
      <c r="DD134">
        <f t="shared" si="115"/>
        <v>0</v>
      </c>
      <c r="DE134">
        <f t="shared" si="116"/>
        <v>0</v>
      </c>
      <c r="DF134">
        <f t="shared" si="117"/>
        <v>0</v>
      </c>
      <c r="DG134">
        <f t="shared" si="118"/>
        <v>0</v>
      </c>
      <c r="DH134">
        <f t="shared" si="119"/>
        <v>0</v>
      </c>
      <c r="DI134">
        <f t="shared" si="120"/>
        <v>0</v>
      </c>
      <c r="DJ134">
        <f t="shared" si="121"/>
        <v>0</v>
      </c>
      <c r="DK134">
        <f t="shared" si="122"/>
        <v>0</v>
      </c>
      <c r="DL134">
        <f t="shared" si="123"/>
        <v>0</v>
      </c>
      <c r="DM134">
        <f t="shared" si="124"/>
        <v>0</v>
      </c>
      <c r="DN134">
        <f t="shared" si="125"/>
        <v>0</v>
      </c>
      <c r="DO134">
        <f t="shared" si="126"/>
        <v>0</v>
      </c>
      <c r="DP134" s="2">
        <f t="shared" si="89"/>
        <v>49</v>
      </c>
      <c r="DQ134" s="2">
        <f t="shared" si="89"/>
        <v>37</v>
      </c>
      <c r="DR134" s="2">
        <f t="shared" si="89"/>
        <v>25</v>
      </c>
      <c r="DS134" s="2">
        <f t="shared" si="89"/>
        <v>13</v>
      </c>
      <c r="DT134" s="2">
        <v>1</v>
      </c>
    </row>
    <row r="135" spans="1:124">
      <c r="A135" s="3">
        <v>43862</v>
      </c>
      <c r="B135">
        <f t="shared" si="133"/>
        <v>2020</v>
      </c>
      <c r="C135" s="2">
        <v>18130502</v>
      </c>
      <c r="D135" s="2">
        <f>VLOOKUP(B135,'Historic CDM'!$B$135:$H$146,2,FALSE)/12</f>
        <v>1183895.730626733</v>
      </c>
      <c r="E135" s="2">
        <f t="shared" si="91"/>
        <v>19314397.730626732</v>
      </c>
      <c r="F135" s="5">
        <v>28174</v>
      </c>
      <c r="G135" s="219">
        <v>5228710</v>
      </c>
      <c r="H135" s="2">
        <f>VLOOKUP(B135,'Historic CDM'!$B$135:$H$147,3,FALSE)/12</f>
        <v>1133474.2109814028</v>
      </c>
      <c r="I135" s="2">
        <f t="shared" si="92"/>
        <v>6362184.2109814025</v>
      </c>
      <c r="J135" s="220">
        <v>1998</v>
      </c>
      <c r="K135" s="219">
        <v>13608816</v>
      </c>
      <c r="L135" s="2">
        <f>VLOOKUP(B135,'Historic CDM'!$B$135:$H$146,4,FALSE)/12</f>
        <v>1202218.3759527351</v>
      </c>
      <c r="M135" s="2">
        <f t="shared" si="132"/>
        <v>14811034.375952736</v>
      </c>
      <c r="N135" s="222">
        <v>42879</v>
      </c>
      <c r="O135" s="5">
        <v>261</v>
      </c>
      <c r="P135" s="219">
        <v>241739</v>
      </c>
      <c r="Q135" s="2">
        <v>618</v>
      </c>
      <c r="R135" s="5">
        <v>2776</v>
      </c>
      <c r="S135" s="220">
        <v>23031</v>
      </c>
      <c r="T135" s="2">
        <v>63</v>
      </c>
      <c r="U135" s="5">
        <v>228</v>
      </c>
      <c r="V135" s="221">
        <v>128409</v>
      </c>
      <c r="W135" s="1">
        <v>129</v>
      </c>
      <c r="X135" s="2">
        <v>2439682</v>
      </c>
      <c r="Y135" s="2">
        <v>6961</v>
      </c>
      <c r="Z135" s="5">
        <v>4</v>
      </c>
      <c r="AA135" s="100">
        <f>'Weather Data'!D231</f>
        <v>627.29999999999973</v>
      </c>
      <c r="AB135" s="100">
        <f>'Weather Data'!E231</f>
        <v>0</v>
      </c>
      <c r="AC135" s="100">
        <f>'Weather Data'!F231</f>
        <v>569.29999999999984</v>
      </c>
      <c r="AD135" s="100">
        <f>'Weather Data'!G231</f>
        <v>0</v>
      </c>
      <c r="AE135" s="100">
        <f>'Weather Data'!H231</f>
        <v>511.29999999999995</v>
      </c>
      <c r="AF135" s="100">
        <f>'Weather Data'!I231</f>
        <v>0</v>
      </c>
      <c r="AG135" s="100">
        <f>'Weather Data'!J231</f>
        <v>453.29999999999995</v>
      </c>
      <c r="AH135" s="100">
        <f>'Weather Data'!K231</f>
        <v>0</v>
      </c>
      <c r="AI135" s="100">
        <f>'Weather Data'!L231</f>
        <v>395.3</v>
      </c>
      <c r="AJ135" s="100">
        <f>'Weather Data'!M231</f>
        <v>0</v>
      </c>
      <c r="AK135" s="100">
        <f>'Weather Data'!N231</f>
        <v>337.30000000000007</v>
      </c>
      <c r="AL135" s="100">
        <f>'Weather Data'!O231</f>
        <v>0</v>
      </c>
      <c r="AM135" s="100">
        <f>'Weather Data'!P231</f>
        <v>279.3</v>
      </c>
      <c r="AN135" s="100">
        <f>'Weather Data'!Q231</f>
        <v>0</v>
      </c>
      <c r="AO135" s="100">
        <f>'Weather Data'!R231</f>
        <v>-1.6310344827586205</v>
      </c>
      <c r="AP135" s="5">
        <f>'Economic Data'!D101</f>
        <v>7512.3</v>
      </c>
      <c r="AQ135" s="5">
        <f>'Economic Data'!E101</f>
        <v>7442.1</v>
      </c>
      <c r="AR135" s="5">
        <f>'Economic Data'!F101</f>
        <v>167.8</v>
      </c>
      <c r="AS135" s="5">
        <f>'Economic Data'!G101</f>
        <v>166.3</v>
      </c>
      <c r="AT135" s="5">
        <f>'Economic Data'!H101</f>
        <v>769942</v>
      </c>
      <c r="AU135" s="5">
        <f>'Economic Data'!I101</f>
        <v>8258.2999999999993</v>
      </c>
      <c r="AV135" s="5">
        <f>'Economic Data'!J101</f>
        <v>7244.3</v>
      </c>
      <c r="AW135" s="5">
        <f>'Economic Data'!K101</f>
        <v>5453.2</v>
      </c>
      <c r="AX135" s="5">
        <f>'Economic Data'!L101</f>
        <v>1118.5</v>
      </c>
      <c r="AY135" s="5">
        <f>'Economic Data'!M101</f>
        <v>1755.9</v>
      </c>
      <c r="AZ135" s="5">
        <f>'Economic Data'!N101</f>
        <v>6539.9</v>
      </c>
      <c r="BA135" s="5">
        <f>'Economic Data'!O101</f>
        <v>107.8</v>
      </c>
      <c r="BB135" s="5">
        <f>'Economic Data'!P101</f>
        <v>72</v>
      </c>
      <c r="BC135" s="5">
        <f>'Economic Data'!Q101</f>
        <v>800126</v>
      </c>
      <c r="BD135" s="5">
        <f>'Economic Data'!R101</f>
        <v>7823</v>
      </c>
      <c r="BE135" s="5">
        <f>'Economic Data'!S101</f>
        <v>3864</v>
      </c>
      <c r="BF135" s="5">
        <f>'Economic Data'!T101</f>
        <v>13972</v>
      </c>
      <c r="BG135" s="5">
        <f>'EV Data'!V40</f>
        <v>36101.333333333321</v>
      </c>
      <c r="BH135" s="5">
        <f>'EV Data'!AB40</f>
        <v>167.66666666666671</v>
      </c>
      <c r="BI135" s="5">
        <f>'EV Data'!W40</f>
        <v>548.00000000000011</v>
      </c>
      <c r="BJ135" s="5">
        <f t="shared" si="52"/>
        <v>86</v>
      </c>
      <c r="BK135" s="70">
        <f t="shared" si="134"/>
        <v>1.9344984512435677</v>
      </c>
      <c r="BL135" s="5">
        <f t="shared" si="135"/>
        <v>7396</v>
      </c>
      <c r="BM135">
        <f t="shared" ref="BM135:CA135" si="137">BM123</f>
        <v>0</v>
      </c>
      <c r="BN135">
        <f t="shared" si="137"/>
        <v>1</v>
      </c>
      <c r="BO135">
        <f t="shared" si="137"/>
        <v>0</v>
      </c>
      <c r="BP135">
        <f t="shared" si="137"/>
        <v>0</v>
      </c>
      <c r="BQ135">
        <f t="shared" si="137"/>
        <v>0</v>
      </c>
      <c r="BR135">
        <f t="shared" si="137"/>
        <v>0</v>
      </c>
      <c r="BS135">
        <f t="shared" si="137"/>
        <v>0</v>
      </c>
      <c r="BT135">
        <f t="shared" si="137"/>
        <v>0</v>
      </c>
      <c r="BU135">
        <f t="shared" si="137"/>
        <v>0</v>
      </c>
      <c r="BV135">
        <f t="shared" si="137"/>
        <v>0</v>
      </c>
      <c r="BW135">
        <f t="shared" si="137"/>
        <v>0</v>
      </c>
      <c r="BX135">
        <f t="shared" si="137"/>
        <v>0</v>
      </c>
      <c r="BY135">
        <f t="shared" si="137"/>
        <v>0</v>
      </c>
      <c r="BZ135">
        <f t="shared" si="137"/>
        <v>0</v>
      </c>
      <c r="CA135">
        <f t="shared" si="137"/>
        <v>0</v>
      </c>
      <c r="CB135">
        <f t="shared" si="130"/>
        <v>29</v>
      </c>
      <c r="CC135">
        <v>19</v>
      </c>
      <c r="CD135">
        <v>0</v>
      </c>
      <c r="CE135">
        <v>0</v>
      </c>
      <c r="CF135">
        <f t="shared" si="93"/>
        <v>0</v>
      </c>
      <c r="CG135">
        <v>0</v>
      </c>
      <c r="CH135" s="64">
        <f t="shared" si="95"/>
        <v>0</v>
      </c>
      <c r="CI135" s="64">
        <f t="shared" si="96"/>
        <v>0</v>
      </c>
      <c r="CJ135" s="64">
        <f t="shared" si="97"/>
        <v>0</v>
      </c>
      <c r="CK135" s="64">
        <f t="shared" si="98"/>
        <v>0</v>
      </c>
      <c r="CL135" s="64">
        <f t="shared" si="99"/>
        <v>0</v>
      </c>
      <c r="CM135" s="64">
        <f t="shared" si="100"/>
        <v>0</v>
      </c>
      <c r="CN135" s="64">
        <f t="shared" si="101"/>
        <v>0</v>
      </c>
      <c r="CO135" s="64">
        <f t="shared" si="102"/>
        <v>0</v>
      </c>
      <c r="CP135" s="64">
        <f t="shared" si="103"/>
        <v>0</v>
      </c>
      <c r="CQ135" s="64">
        <f t="shared" si="104"/>
        <v>0</v>
      </c>
      <c r="CR135" s="64">
        <f t="shared" si="105"/>
        <v>0</v>
      </c>
      <c r="CS135" s="64">
        <f t="shared" si="106"/>
        <v>0</v>
      </c>
      <c r="CT135" s="64">
        <f t="shared" si="107"/>
        <v>0</v>
      </c>
      <c r="CU135" s="64">
        <f t="shared" si="108"/>
        <v>0</v>
      </c>
      <c r="CV135" s="69">
        <f t="shared" si="109"/>
        <v>23.639302720564977</v>
      </c>
      <c r="CW135" s="69">
        <f t="shared" si="110"/>
        <v>840.55809366909796</v>
      </c>
      <c r="CX135" s="69">
        <f t="shared" si="127"/>
        <v>2986.697797126988</v>
      </c>
      <c r="CY135" s="69">
        <f t="shared" si="111"/>
        <v>32101.07894736842</v>
      </c>
      <c r="CZ135" s="64">
        <f t="shared" si="128"/>
        <v>1956.8020050142338</v>
      </c>
      <c r="DA135" s="64">
        <f t="shared" si="112"/>
        <v>21031.741379310344</v>
      </c>
      <c r="DB135">
        <f t="shared" si="113"/>
        <v>0</v>
      </c>
      <c r="DC135">
        <f t="shared" si="114"/>
        <v>0</v>
      </c>
      <c r="DD135">
        <f t="shared" si="115"/>
        <v>0</v>
      </c>
      <c r="DE135">
        <f t="shared" si="116"/>
        <v>0</v>
      </c>
      <c r="DF135">
        <f t="shared" si="117"/>
        <v>0</v>
      </c>
      <c r="DG135">
        <f t="shared" si="118"/>
        <v>0</v>
      </c>
      <c r="DH135">
        <f t="shared" si="119"/>
        <v>0</v>
      </c>
      <c r="DI135">
        <f t="shared" si="120"/>
        <v>0</v>
      </c>
      <c r="DJ135">
        <f t="shared" si="121"/>
        <v>0</v>
      </c>
      <c r="DK135">
        <f t="shared" si="122"/>
        <v>0</v>
      </c>
      <c r="DL135">
        <f t="shared" si="123"/>
        <v>0</v>
      </c>
      <c r="DM135">
        <f t="shared" si="124"/>
        <v>0</v>
      </c>
      <c r="DN135">
        <f t="shared" si="125"/>
        <v>0</v>
      </c>
      <c r="DO135">
        <f t="shared" si="126"/>
        <v>0</v>
      </c>
      <c r="DP135" s="2">
        <f t="shared" si="89"/>
        <v>50</v>
      </c>
      <c r="DQ135" s="2">
        <f t="shared" si="89"/>
        <v>38</v>
      </c>
      <c r="DR135" s="2">
        <f t="shared" si="89"/>
        <v>26</v>
      </c>
      <c r="DS135" s="2">
        <f t="shared" si="89"/>
        <v>14</v>
      </c>
      <c r="DT135" s="2">
        <f>DT134+1</f>
        <v>2</v>
      </c>
    </row>
    <row r="136" spans="1:124">
      <c r="A136" s="3">
        <v>43891</v>
      </c>
      <c r="B136">
        <f t="shared" si="133"/>
        <v>2020</v>
      </c>
      <c r="C136" s="2">
        <v>18403408</v>
      </c>
      <c r="D136" s="2">
        <f>VLOOKUP(B136,'Historic CDM'!$B$135:$H$146,2,FALSE)/12</f>
        <v>1183895.730626733</v>
      </c>
      <c r="E136" s="2">
        <f t="shared" si="91"/>
        <v>19587303.730626732</v>
      </c>
      <c r="F136" s="5">
        <v>28199</v>
      </c>
      <c r="G136" s="219">
        <v>4963681</v>
      </c>
      <c r="H136" s="2">
        <f>VLOOKUP(B136,'Historic CDM'!$B$135:$H$147,3,FALSE)/12</f>
        <v>1133474.2109814028</v>
      </c>
      <c r="I136" s="2">
        <f t="shared" si="92"/>
        <v>6097155.2109814025</v>
      </c>
      <c r="J136" s="220">
        <v>2009</v>
      </c>
      <c r="K136" s="219">
        <v>12867197</v>
      </c>
      <c r="L136" s="2">
        <f>VLOOKUP(B136,'Historic CDM'!$B$135:$H$146,4,FALSE)/12</f>
        <v>1202218.3759527351</v>
      </c>
      <c r="M136" s="2">
        <f t="shared" si="132"/>
        <v>14069415.375952736</v>
      </c>
      <c r="N136" s="222">
        <v>42316</v>
      </c>
      <c r="O136" s="5">
        <v>254</v>
      </c>
      <c r="P136" s="219">
        <v>216114</v>
      </c>
      <c r="Q136" s="2">
        <v>618</v>
      </c>
      <c r="R136" s="5">
        <v>2776</v>
      </c>
      <c r="S136" s="220">
        <v>22807</v>
      </c>
      <c r="T136" s="2">
        <v>62</v>
      </c>
      <c r="U136" s="5">
        <v>228</v>
      </c>
      <c r="V136" s="221">
        <v>128409</v>
      </c>
      <c r="W136" s="1">
        <v>129</v>
      </c>
      <c r="X136" s="2">
        <v>2394362</v>
      </c>
      <c r="Y136" s="2">
        <v>6404</v>
      </c>
      <c r="Z136" s="5">
        <v>4</v>
      </c>
      <c r="AA136" s="100">
        <f>'Weather Data'!D232</f>
        <v>484.19999999999993</v>
      </c>
      <c r="AB136" s="100">
        <f>'Weather Data'!E232</f>
        <v>0</v>
      </c>
      <c r="AC136" s="100">
        <f>'Weather Data'!F232</f>
        <v>422.2</v>
      </c>
      <c r="AD136" s="100">
        <f>'Weather Data'!G232</f>
        <v>0</v>
      </c>
      <c r="AE136" s="100">
        <f>'Weather Data'!H232</f>
        <v>360.20000000000005</v>
      </c>
      <c r="AF136" s="100">
        <f>'Weather Data'!I232</f>
        <v>0</v>
      </c>
      <c r="AG136" s="100">
        <f>'Weather Data'!J232</f>
        <v>298.20000000000005</v>
      </c>
      <c r="AH136" s="100">
        <f>'Weather Data'!K232</f>
        <v>0</v>
      </c>
      <c r="AI136" s="100">
        <f>'Weather Data'!L232</f>
        <v>236.9</v>
      </c>
      <c r="AJ136" s="100">
        <f>'Weather Data'!M232</f>
        <v>0.69999999999999929</v>
      </c>
      <c r="AK136" s="100">
        <f>'Weather Data'!N232</f>
        <v>178.3</v>
      </c>
      <c r="AL136" s="100">
        <f>'Weather Data'!O232</f>
        <v>4.0999999999999996</v>
      </c>
      <c r="AM136" s="100">
        <f>'Weather Data'!P232</f>
        <v>122.70000000000002</v>
      </c>
      <c r="AN136" s="100">
        <f>'Weather Data'!Q232</f>
        <v>10.5</v>
      </c>
      <c r="AO136" s="100">
        <f>'Weather Data'!R232</f>
        <v>4.3806451612903219</v>
      </c>
      <c r="AP136" s="5">
        <f>'Economic Data'!D102</f>
        <v>7358</v>
      </c>
      <c r="AQ136" s="5">
        <f>'Economic Data'!E102</f>
        <v>7256.2</v>
      </c>
      <c r="AR136" s="5">
        <f>'Economic Data'!F102</f>
        <v>162</v>
      </c>
      <c r="AS136" s="5">
        <f>'Economic Data'!G102</f>
        <v>159.5</v>
      </c>
      <c r="AT136" s="5">
        <f>'Economic Data'!H102</f>
        <v>769942</v>
      </c>
      <c r="AU136" s="5">
        <f>'Economic Data'!I102</f>
        <v>8258.2999999999993</v>
      </c>
      <c r="AV136" s="5">
        <f>'Economic Data'!J102</f>
        <v>7244.3</v>
      </c>
      <c r="AW136" s="5">
        <f>'Economic Data'!K102</f>
        <v>5453.2</v>
      </c>
      <c r="AX136" s="5">
        <f>'Economic Data'!L102</f>
        <v>1118.5</v>
      </c>
      <c r="AY136" s="5">
        <f>'Economic Data'!M102</f>
        <v>1755.9</v>
      </c>
      <c r="AZ136" s="5">
        <f>'Economic Data'!N102</f>
        <v>6539.9</v>
      </c>
      <c r="BA136" s="5">
        <f>'Economic Data'!O102</f>
        <v>107.8</v>
      </c>
      <c r="BB136" s="5">
        <f>'Economic Data'!P102</f>
        <v>72</v>
      </c>
      <c r="BC136" s="5">
        <f>'Economic Data'!Q102</f>
        <v>800126</v>
      </c>
      <c r="BD136" s="5">
        <f>'Economic Data'!R102</f>
        <v>7823</v>
      </c>
      <c r="BE136" s="5">
        <f>'Economic Data'!S102</f>
        <v>3864</v>
      </c>
      <c r="BF136" s="5">
        <f>'Economic Data'!T102</f>
        <v>13972</v>
      </c>
      <c r="BG136" s="5">
        <f>'EV Data'!V41</f>
        <v>36801.999999999985</v>
      </c>
      <c r="BH136" s="5">
        <f>'EV Data'!AB41</f>
        <v>173.00000000000006</v>
      </c>
      <c r="BI136" s="5">
        <f>'EV Data'!W41</f>
        <v>557.00000000000011</v>
      </c>
      <c r="BJ136" s="5">
        <f t="shared" si="52"/>
        <v>87</v>
      </c>
      <c r="BK136" s="70">
        <f t="shared" si="134"/>
        <v>1.9395192526186185</v>
      </c>
      <c r="BL136" s="5">
        <f t="shared" si="135"/>
        <v>7569</v>
      </c>
      <c r="BM136">
        <f t="shared" ref="BM136:CA136" si="138">BM124</f>
        <v>0</v>
      </c>
      <c r="BN136">
        <f t="shared" si="138"/>
        <v>0</v>
      </c>
      <c r="BO136">
        <f t="shared" si="138"/>
        <v>1</v>
      </c>
      <c r="BP136">
        <f t="shared" si="138"/>
        <v>0</v>
      </c>
      <c r="BQ136">
        <f t="shared" si="138"/>
        <v>0</v>
      </c>
      <c r="BR136">
        <f t="shared" si="138"/>
        <v>0</v>
      </c>
      <c r="BS136">
        <f t="shared" si="138"/>
        <v>0</v>
      </c>
      <c r="BT136">
        <f t="shared" si="138"/>
        <v>0</v>
      </c>
      <c r="BU136">
        <f t="shared" si="138"/>
        <v>0</v>
      </c>
      <c r="BV136">
        <f t="shared" si="138"/>
        <v>0</v>
      </c>
      <c r="BW136">
        <f t="shared" si="138"/>
        <v>0</v>
      </c>
      <c r="BX136">
        <f t="shared" si="138"/>
        <v>0</v>
      </c>
      <c r="BY136">
        <f t="shared" si="138"/>
        <v>1</v>
      </c>
      <c r="BZ136">
        <f t="shared" si="138"/>
        <v>0</v>
      </c>
      <c r="CA136">
        <f t="shared" si="138"/>
        <v>1</v>
      </c>
      <c r="CB136">
        <f t="shared" si="130"/>
        <v>31</v>
      </c>
      <c r="CC136">
        <v>22</v>
      </c>
      <c r="CD136">
        <v>1</v>
      </c>
      <c r="CE136">
        <v>0.5</v>
      </c>
      <c r="CF136">
        <v>0.5</v>
      </c>
      <c r="CG136">
        <v>0.5</v>
      </c>
      <c r="CH136" s="64">
        <f t="shared" si="95"/>
        <v>484.19999999999993</v>
      </c>
      <c r="CI136" s="64">
        <f t="shared" si="96"/>
        <v>0</v>
      </c>
      <c r="CJ136" s="64">
        <f t="shared" si="97"/>
        <v>422.2</v>
      </c>
      <c r="CK136" s="64">
        <f t="shared" si="98"/>
        <v>0</v>
      </c>
      <c r="CL136" s="64">
        <f t="shared" si="99"/>
        <v>360.20000000000005</v>
      </c>
      <c r="CM136" s="64">
        <f t="shared" si="100"/>
        <v>0</v>
      </c>
      <c r="CN136" s="64">
        <f t="shared" si="101"/>
        <v>298.20000000000005</v>
      </c>
      <c r="CO136" s="64">
        <f t="shared" si="102"/>
        <v>0</v>
      </c>
      <c r="CP136" s="64">
        <f t="shared" si="103"/>
        <v>236.9</v>
      </c>
      <c r="CQ136" s="64">
        <f t="shared" si="104"/>
        <v>0.69999999999999929</v>
      </c>
      <c r="CR136" s="64">
        <f t="shared" si="105"/>
        <v>178.3</v>
      </c>
      <c r="CS136" s="64">
        <f t="shared" si="106"/>
        <v>4.0999999999999996</v>
      </c>
      <c r="CT136" s="64">
        <f t="shared" si="107"/>
        <v>122.70000000000002</v>
      </c>
      <c r="CU136" s="64">
        <f t="shared" si="108"/>
        <v>10.5</v>
      </c>
      <c r="CV136" s="69">
        <f t="shared" si="109"/>
        <v>22.406770007431895</v>
      </c>
      <c r="CW136" s="69">
        <f t="shared" si="110"/>
        <v>774.34026047515908</v>
      </c>
      <c r="CX136" s="69">
        <f t="shared" si="127"/>
        <v>2517.7908689965525</v>
      </c>
      <c r="CY136" s="69">
        <f t="shared" si="111"/>
        <v>27208.659090909092</v>
      </c>
      <c r="CZ136" s="64">
        <f t="shared" si="128"/>
        <v>1786.8193263846504</v>
      </c>
      <c r="DA136" s="64">
        <f t="shared" si="112"/>
        <v>19309.370967741936</v>
      </c>
      <c r="DB136">
        <f t="shared" si="113"/>
        <v>242.09999999999997</v>
      </c>
      <c r="DC136">
        <f t="shared" si="114"/>
        <v>0</v>
      </c>
      <c r="DD136">
        <f t="shared" si="115"/>
        <v>211.1</v>
      </c>
      <c r="DE136">
        <f t="shared" si="116"/>
        <v>0</v>
      </c>
      <c r="DF136">
        <f t="shared" si="117"/>
        <v>180.10000000000002</v>
      </c>
      <c r="DG136">
        <f t="shared" si="118"/>
        <v>0</v>
      </c>
      <c r="DH136">
        <f t="shared" si="119"/>
        <v>149.10000000000002</v>
      </c>
      <c r="DI136">
        <f t="shared" si="120"/>
        <v>0</v>
      </c>
      <c r="DJ136">
        <f t="shared" si="121"/>
        <v>118.45</v>
      </c>
      <c r="DK136">
        <f t="shared" si="122"/>
        <v>0.34999999999999964</v>
      </c>
      <c r="DL136">
        <f t="shared" si="123"/>
        <v>89.15</v>
      </c>
      <c r="DM136">
        <f t="shared" si="124"/>
        <v>2.0499999999999998</v>
      </c>
      <c r="DN136">
        <f t="shared" si="125"/>
        <v>61.350000000000009</v>
      </c>
      <c r="DO136">
        <f t="shared" si="126"/>
        <v>5.25</v>
      </c>
      <c r="DP136" s="2">
        <f t="shared" si="89"/>
        <v>51</v>
      </c>
      <c r="DQ136" s="2">
        <f t="shared" si="89"/>
        <v>39</v>
      </c>
      <c r="DR136" s="2">
        <f t="shared" si="89"/>
        <v>27</v>
      </c>
      <c r="DS136" s="2">
        <f t="shared" si="89"/>
        <v>15</v>
      </c>
      <c r="DT136" s="2">
        <f t="shared" si="89"/>
        <v>3</v>
      </c>
    </row>
    <row r="137" spans="1:124">
      <c r="A137" s="3">
        <v>43922</v>
      </c>
      <c r="B137">
        <f t="shared" si="133"/>
        <v>2020</v>
      </c>
      <c r="C137" s="2">
        <v>17675327</v>
      </c>
      <c r="D137" s="2">
        <f>VLOOKUP(B137,'Historic CDM'!$B$135:$H$146,2,FALSE)/12</f>
        <v>1183895.730626733</v>
      </c>
      <c r="E137" s="2">
        <f t="shared" si="91"/>
        <v>18859222.730626732</v>
      </c>
      <c r="F137" s="5">
        <v>28219</v>
      </c>
      <c r="G137" s="219">
        <v>4038218</v>
      </c>
      <c r="H137" s="2">
        <f>VLOOKUP(B137,'Historic CDM'!$B$135:$H$147,3,FALSE)/12</f>
        <v>1133474.2109814028</v>
      </c>
      <c r="I137" s="2">
        <f t="shared" si="92"/>
        <v>5171692.2109814025</v>
      </c>
      <c r="J137" s="220">
        <v>2014</v>
      </c>
      <c r="K137" s="219">
        <v>10818846</v>
      </c>
      <c r="L137" s="2">
        <f>VLOOKUP(B137,'Historic CDM'!$B$135:$H$146,4,FALSE)/12</f>
        <v>1202218.3759527351</v>
      </c>
      <c r="M137" s="2">
        <f t="shared" si="132"/>
        <v>12021064.375952736</v>
      </c>
      <c r="N137" s="222">
        <v>37010</v>
      </c>
      <c r="O137" s="5">
        <v>255</v>
      </c>
      <c r="P137" s="219">
        <v>181535</v>
      </c>
      <c r="Q137" s="2">
        <v>618</v>
      </c>
      <c r="R137" s="5">
        <v>2776</v>
      </c>
      <c r="S137" s="220">
        <v>23331</v>
      </c>
      <c r="T137" s="2">
        <v>64</v>
      </c>
      <c r="U137" s="5">
        <v>228</v>
      </c>
      <c r="V137" s="221">
        <v>118336</v>
      </c>
      <c r="W137" s="1">
        <v>123</v>
      </c>
      <c r="X137" s="2">
        <v>1877577</v>
      </c>
      <c r="Y137" s="2">
        <v>5532</v>
      </c>
      <c r="Z137" s="5">
        <v>4</v>
      </c>
      <c r="AA137" s="100">
        <f>'Weather Data'!D233</f>
        <v>396.50000000000006</v>
      </c>
      <c r="AB137" s="100">
        <f>'Weather Data'!E233</f>
        <v>0</v>
      </c>
      <c r="AC137" s="100">
        <f>'Weather Data'!F233</f>
        <v>336.5</v>
      </c>
      <c r="AD137" s="100">
        <f>'Weather Data'!G233</f>
        <v>0</v>
      </c>
      <c r="AE137" s="100">
        <f>'Weather Data'!H233</f>
        <v>276.5</v>
      </c>
      <c r="AF137" s="100">
        <f>'Weather Data'!I233</f>
        <v>0</v>
      </c>
      <c r="AG137" s="100">
        <f>'Weather Data'!J233</f>
        <v>219.2</v>
      </c>
      <c r="AH137" s="100">
        <f>'Weather Data'!K233</f>
        <v>2.7000000000000011</v>
      </c>
      <c r="AI137" s="100">
        <f>'Weather Data'!L233</f>
        <v>165.9</v>
      </c>
      <c r="AJ137" s="100">
        <f>'Weather Data'!M233</f>
        <v>9.4000000000000021</v>
      </c>
      <c r="AK137" s="100">
        <f>'Weather Data'!N233</f>
        <v>115.30000000000001</v>
      </c>
      <c r="AL137" s="100">
        <f>'Weather Data'!O233</f>
        <v>18.800000000000004</v>
      </c>
      <c r="AM137" s="100">
        <f>'Weather Data'!P233</f>
        <v>68.500000000000014</v>
      </c>
      <c r="AN137" s="100">
        <f>'Weather Data'!Q233</f>
        <v>31.999999999999996</v>
      </c>
      <c r="AO137" s="100">
        <f>'Weather Data'!R233</f>
        <v>6.7833333333333332</v>
      </c>
      <c r="AP137" s="5">
        <f>'Economic Data'!D103</f>
        <v>6963.7</v>
      </c>
      <c r="AQ137" s="5">
        <f>'Economic Data'!E103</f>
        <v>6885.2</v>
      </c>
      <c r="AR137" s="5">
        <f>'Economic Data'!F103</f>
        <v>149.1</v>
      </c>
      <c r="AS137" s="5">
        <f>'Economic Data'!G103</f>
        <v>148.19999999999999</v>
      </c>
      <c r="AT137" s="5">
        <f>'Economic Data'!H103</f>
        <v>769942</v>
      </c>
      <c r="AU137" s="5">
        <f>'Economic Data'!I103</f>
        <v>8258.2999999999993</v>
      </c>
      <c r="AV137" s="5">
        <f>'Economic Data'!J103</f>
        <v>7244.3</v>
      </c>
      <c r="AW137" s="5">
        <f>'Economic Data'!K103</f>
        <v>5453.2</v>
      </c>
      <c r="AX137" s="5">
        <f>'Economic Data'!L103</f>
        <v>1118.5</v>
      </c>
      <c r="AY137" s="5">
        <f>'Economic Data'!M103</f>
        <v>1755.9</v>
      </c>
      <c r="AZ137" s="5">
        <f>'Economic Data'!N103</f>
        <v>6539.9</v>
      </c>
      <c r="BA137" s="5">
        <f>'Economic Data'!O103</f>
        <v>107.8</v>
      </c>
      <c r="BB137" s="5">
        <f>'Economic Data'!P103</f>
        <v>72</v>
      </c>
      <c r="BC137" s="5">
        <f>'Economic Data'!Q103</f>
        <v>706539</v>
      </c>
      <c r="BD137" s="5">
        <f>'Economic Data'!R103</f>
        <v>8133</v>
      </c>
      <c r="BE137" s="5">
        <f>'Economic Data'!S103</f>
        <v>3719</v>
      </c>
      <c r="BF137" s="5">
        <f>'Economic Data'!T103</f>
        <v>13618</v>
      </c>
      <c r="BG137" s="5">
        <f>'EV Data'!V42</f>
        <v>37348.66666666665</v>
      </c>
      <c r="BH137" s="5">
        <f>'EV Data'!AB42</f>
        <v>175.00000000000006</v>
      </c>
      <c r="BI137" s="5">
        <f>'EV Data'!W42</f>
        <v>563.66666666666674</v>
      </c>
      <c r="BJ137" s="5">
        <f t="shared" si="52"/>
        <v>88</v>
      </c>
      <c r="BK137" s="70">
        <f t="shared" si="134"/>
        <v>1.9444826721501687</v>
      </c>
      <c r="BL137" s="5">
        <f t="shared" si="135"/>
        <v>7744</v>
      </c>
      <c r="BM137">
        <f t="shared" ref="BM137:CA137" si="139">BM125</f>
        <v>0</v>
      </c>
      <c r="BN137">
        <f t="shared" si="139"/>
        <v>0</v>
      </c>
      <c r="BO137">
        <f t="shared" si="139"/>
        <v>0</v>
      </c>
      <c r="BP137">
        <f t="shared" si="139"/>
        <v>1</v>
      </c>
      <c r="BQ137">
        <f t="shared" si="139"/>
        <v>0</v>
      </c>
      <c r="BR137">
        <f t="shared" si="139"/>
        <v>0</v>
      </c>
      <c r="BS137">
        <f t="shared" si="139"/>
        <v>0</v>
      </c>
      <c r="BT137">
        <f t="shared" si="139"/>
        <v>0</v>
      </c>
      <c r="BU137">
        <f t="shared" si="139"/>
        <v>0</v>
      </c>
      <c r="BV137">
        <f t="shared" si="139"/>
        <v>0</v>
      </c>
      <c r="BW137">
        <f t="shared" si="139"/>
        <v>0</v>
      </c>
      <c r="BX137">
        <f t="shared" si="139"/>
        <v>0</v>
      </c>
      <c r="BY137">
        <f t="shared" si="139"/>
        <v>1</v>
      </c>
      <c r="BZ137">
        <f t="shared" si="139"/>
        <v>0</v>
      </c>
      <c r="CA137">
        <f t="shared" si="139"/>
        <v>1</v>
      </c>
      <c r="CB137">
        <f t="shared" si="130"/>
        <v>30</v>
      </c>
      <c r="CC137">
        <v>21</v>
      </c>
      <c r="CD137">
        <v>1</v>
      </c>
      <c r="CE137">
        <v>1</v>
      </c>
      <c r="CF137">
        <v>1</v>
      </c>
      <c r="CG137">
        <v>1</v>
      </c>
      <c r="CH137" s="64">
        <f t="shared" si="95"/>
        <v>396.50000000000006</v>
      </c>
      <c r="CI137" s="64">
        <f t="shared" si="96"/>
        <v>0</v>
      </c>
      <c r="CJ137" s="64">
        <f t="shared" si="97"/>
        <v>336.5</v>
      </c>
      <c r="CK137" s="64">
        <f t="shared" si="98"/>
        <v>0</v>
      </c>
      <c r="CL137" s="64">
        <f t="shared" si="99"/>
        <v>276.5</v>
      </c>
      <c r="CM137" s="64">
        <f t="shared" si="100"/>
        <v>0</v>
      </c>
      <c r="CN137" s="64">
        <f t="shared" si="101"/>
        <v>219.2</v>
      </c>
      <c r="CO137" s="64">
        <f t="shared" si="102"/>
        <v>2.7000000000000011</v>
      </c>
      <c r="CP137" s="64">
        <f t="shared" si="103"/>
        <v>165.9</v>
      </c>
      <c r="CQ137" s="64">
        <f t="shared" si="104"/>
        <v>9.4000000000000021</v>
      </c>
      <c r="CR137" s="64">
        <f t="shared" si="105"/>
        <v>115.30000000000001</v>
      </c>
      <c r="CS137" s="64">
        <f t="shared" si="106"/>
        <v>18.800000000000004</v>
      </c>
      <c r="CT137" s="64">
        <f t="shared" si="107"/>
        <v>68.500000000000014</v>
      </c>
      <c r="CU137" s="64">
        <f t="shared" si="108"/>
        <v>31.999999999999996</v>
      </c>
      <c r="CV137" s="69">
        <f t="shared" si="109"/>
        <v>22.277215978155063</v>
      </c>
      <c r="CW137" s="69">
        <f t="shared" si="110"/>
        <v>676.03819751390881</v>
      </c>
      <c r="CX137" s="69">
        <f t="shared" si="127"/>
        <v>2244.82994882404</v>
      </c>
      <c r="CY137" s="69">
        <f t="shared" si="111"/>
        <v>22352.107142857141</v>
      </c>
      <c r="CZ137" s="64">
        <f t="shared" si="128"/>
        <v>1571.3809641768282</v>
      </c>
      <c r="DA137" s="64">
        <f t="shared" si="112"/>
        <v>15646.475</v>
      </c>
      <c r="DB137">
        <f t="shared" si="113"/>
        <v>396.50000000000006</v>
      </c>
      <c r="DC137">
        <f t="shared" si="114"/>
        <v>0</v>
      </c>
      <c r="DD137">
        <f t="shared" si="115"/>
        <v>336.5</v>
      </c>
      <c r="DE137">
        <f t="shared" si="116"/>
        <v>0</v>
      </c>
      <c r="DF137">
        <f t="shared" si="117"/>
        <v>276.5</v>
      </c>
      <c r="DG137">
        <f t="shared" si="118"/>
        <v>0</v>
      </c>
      <c r="DH137">
        <f t="shared" si="119"/>
        <v>219.2</v>
      </c>
      <c r="DI137">
        <f t="shared" si="120"/>
        <v>2.7000000000000011</v>
      </c>
      <c r="DJ137">
        <f t="shared" si="121"/>
        <v>165.9</v>
      </c>
      <c r="DK137">
        <f t="shared" si="122"/>
        <v>9.4000000000000021</v>
      </c>
      <c r="DL137">
        <f t="shared" si="123"/>
        <v>115.30000000000001</v>
      </c>
      <c r="DM137">
        <f t="shared" si="124"/>
        <v>18.800000000000004</v>
      </c>
      <c r="DN137">
        <f t="shared" si="125"/>
        <v>68.500000000000014</v>
      </c>
      <c r="DO137">
        <f t="shared" si="126"/>
        <v>31.999999999999996</v>
      </c>
      <c r="DP137" s="2">
        <f t="shared" si="89"/>
        <v>52</v>
      </c>
      <c r="DQ137" s="2">
        <f t="shared" si="89"/>
        <v>40</v>
      </c>
      <c r="DR137" s="2">
        <f t="shared" si="89"/>
        <v>28</v>
      </c>
      <c r="DS137" s="2">
        <f t="shared" si="89"/>
        <v>16</v>
      </c>
      <c r="DT137" s="2">
        <f t="shared" si="89"/>
        <v>4</v>
      </c>
    </row>
    <row r="138" spans="1:124">
      <c r="A138" s="3">
        <v>43952</v>
      </c>
      <c r="B138">
        <f t="shared" si="133"/>
        <v>2020</v>
      </c>
      <c r="C138" s="2">
        <v>20125132</v>
      </c>
      <c r="D138" s="2">
        <f>VLOOKUP(B138,'Historic CDM'!$B$135:$H$146,2,FALSE)/12</f>
        <v>1183895.730626733</v>
      </c>
      <c r="E138" s="2">
        <f t="shared" si="91"/>
        <v>21309027.730626732</v>
      </c>
      <c r="F138" s="5">
        <v>28241</v>
      </c>
      <c r="G138" s="219">
        <v>4185746</v>
      </c>
      <c r="H138" s="2">
        <f>VLOOKUP(B138,'Historic CDM'!$B$135:$H$147,3,FALSE)/12</f>
        <v>1133474.2109814028</v>
      </c>
      <c r="I138" s="2">
        <f t="shared" si="92"/>
        <v>5319220.2109814025</v>
      </c>
      <c r="J138" s="220">
        <v>2016</v>
      </c>
      <c r="K138" s="219">
        <v>11579098</v>
      </c>
      <c r="L138" s="2">
        <f>VLOOKUP(B138,'Historic CDM'!$B$135:$H$146,4,FALSE)/12</f>
        <v>1202218.3759527351</v>
      </c>
      <c r="M138" s="2">
        <f t="shared" si="132"/>
        <v>12781316.375952736</v>
      </c>
      <c r="N138" s="222">
        <v>47014</v>
      </c>
      <c r="O138" s="5">
        <v>256</v>
      </c>
      <c r="P138" s="219">
        <v>163475</v>
      </c>
      <c r="Q138" s="2">
        <v>618</v>
      </c>
      <c r="R138" s="5">
        <v>2776</v>
      </c>
      <c r="S138" s="220">
        <v>23579</v>
      </c>
      <c r="T138" s="2">
        <v>64</v>
      </c>
      <c r="U138" s="5">
        <v>228</v>
      </c>
      <c r="V138" s="221">
        <v>117392</v>
      </c>
      <c r="W138" s="1">
        <v>125</v>
      </c>
      <c r="X138" s="2">
        <v>2179756</v>
      </c>
      <c r="Y138" s="2">
        <v>11751</v>
      </c>
      <c r="Z138" s="5">
        <v>4</v>
      </c>
      <c r="AA138" s="100">
        <f>'Weather Data'!D234</f>
        <v>211</v>
      </c>
      <c r="AB138" s="100">
        <f>'Weather Data'!E234</f>
        <v>15</v>
      </c>
      <c r="AC138" s="100">
        <f>'Weather Data'!F234</f>
        <v>160.50000000000003</v>
      </c>
      <c r="AD138" s="100">
        <f>'Weather Data'!G234</f>
        <v>26.5</v>
      </c>
      <c r="AE138" s="100">
        <f>'Weather Data'!H234</f>
        <v>115.20000000000002</v>
      </c>
      <c r="AF138" s="100">
        <f>'Weather Data'!I234</f>
        <v>43.2</v>
      </c>
      <c r="AG138" s="100">
        <f>'Weather Data'!J234</f>
        <v>79.800000000000011</v>
      </c>
      <c r="AH138" s="100">
        <f>'Weather Data'!K234</f>
        <v>69.8</v>
      </c>
      <c r="AI138" s="100">
        <f>'Weather Data'!L234</f>
        <v>52.2</v>
      </c>
      <c r="AJ138" s="100">
        <f>'Weather Data'!M234</f>
        <v>104.19999999999999</v>
      </c>
      <c r="AK138" s="100">
        <f>'Weather Data'!N234</f>
        <v>31.799999999999997</v>
      </c>
      <c r="AL138" s="100">
        <f>'Weather Data'!O234</f>
        <v>145.79999999999998</v>
      </c>
      <c r="AM138" s="100">
        <f>'Weather Data'!P234</f>
        <v>14.8</v>
      </c>
      <c r="AN138" s="100">
        <f>'Weather Data'!Q234</f>
        <v>190.79999999999998</v>
      </c>
      <c r="AO138" s="100">
        <f>'Weather Data'!R234</f>
        <v>13.677419354838712</v>
      </c>
      <c r="AP138" s="5">
        <f>'Economic Data'!D104</f>
        <v>6568.2</v>
      </c>
      <c r="AQ138" s="5">
        <f>'Economic Data'!E104</f>
        <v>6536.7</v>
      </c>
      <c r="AR138" s="5">
        <f>'Economic Data'!F104</f>
        <v>137.69999999999999</v>
      </c>
      <c r="AS138" s="5">
        <f>'Economic Data'!G104</f>
        <v>137.30000000000001</v>
      </c>
      <c r="AT138" s="5">
        <f>'Economic Data'!H104</f>
        <v>769942</v>
      </c>
      <c r="AU138" s="5">
        <f>'Economic Data'!I104</f>
        <v>8258.2999999999993</v>
      </c>
      <c r="AV138" s="5">
        <f>'Economic Data'!J104</f>
        <v>7244.3</v>
      </c>
      <c r="AW138" s="5">
        <f>'Economic Data'!K104</f>
        <v>5453.2</v>
      </c>
      <c r="AX138" s="5">
        <f>'Economic Data'!L104</f>
        <v>1118.5</v>
      </c>
      <c r="AY138" s="5">
        <f>'Economic Data'!M104</f>
        <v>1755.9</v>
      </c>
      <c r="AZ138" s="5">
        <f>'Economic Data'!N104</f>
        <v>6539.9</v>
      </c>
      <c r="BA138" s="5">
        <f>'Economic Data'!O104</f>
        <v>107.8</v>
      </c>
      <c r="BB138" s="5">
        <f>'Economic Data'!P104</f>
        <v>72</v>
      </c>
      <c r="BC138" s="5">
        <f>'Economic Data'!Q104</f>
        <v>706539</v>
      </c>
      <c r="BD138" s="5">
        <f>'Economic Data'!R104</f>
        <v>8133</v>
      </c>
      <c r="BE138" s="5">
        <f>'Economic Data'!S104</f>
        <v>3719</v>
      </c>
      <c r="BF138" s="5">
        <f>'Economic Data'!T104</f>
        <v>13618</v>
      </c>
      <c r="BG138" s="5">
        <f>'EV Data'!V43</f>
        <v>37895.333333333314</v>
      </c>
      <c r="BH138" s="5">
        <f>'EV Data'!AB43</f>
        <v>177.00000000000006</v>
      </c>
      <c r="BI138" s="5">
        <f>'EV Data'!W43</f>
        <v>570.33333333333337</v>
      </c>
      <c r="BJ138" s="5">
        <f t="shared" si="52"/>
        <v>89</v>
      </c>
      <c r="BK138" s="70">
        <f t="shared" si="134"/>
        <v>1.9493900066449128</v>
      </c>
      <c r="BL138" s="5">
        <f t="shared" si="135"/>
        <v>7921</v>
      </c>
      <c r="BM138">
        <f t="shared" ref="BM138:CA138" si="140">BM126</f>
        <v>0</v>
      </c>
      <c r="BN138">
        <f t="shared" si="140"/>
        <v>0</v>
      </c>
      <c r="BO138">
        <f t="shared" si="140"/>
        <v>0</v>
      </c>
      <c r="BP138">
        <f t="shared" si="140"/>
        <v>0</v>
      </c>
      <c r="BQ138">
        <f t="shared" si="140"/>
        <v>1</v>
      </c>
      <c r="BR138">
        <f t="shared" si="140"/>
        <v>0</v>
      </c>
      <c r="BS138">
        <f t="shared" si="140"/>
        <v>0</v>
      </c>
      <c r="BT138">
        <f t="shared" si="140"/>
        <v>0</v>
      </c>
      <c r="BU138">
        <f t="shared" si="140"/>
        <v>0</v>
      </c>
      <c r="BV138">
        <f t="shared" si="140"/>
        <v>0</v>
      </c>
      <c r="BW138">
        <f t="shared" si="140"/>
        <v>0</v>
      </c>
      <c r="BX138">
        <f t="shared" si="140"/>
        <v>0</v>
      </c>
      <c r="BY138">
        <f t="shared" si="140"/>
        <v>1</v>
      </c>
      <c r="BZ138">
        <f t="shared" si="140"/>
        <v>0</v>
      </c>
      <c r="CA138">
        <f t="shared" si="140"/>
        <v>1</v>
      </c>
      <c r="CB138">
        <f t="shared" si="130"/>
        <v>31</v>
      </c>
      <c r="CC138">
        <v>20</v>
      </c>
      <c r="CD138">
        <v>1</v>
      </c>
      <c r="CE138">
        <v>1</v>
      </c>
      <c r="CF138">
        <f t="shared" si="93"/>
        <v>1</v>
      </c>
      <c r="CG138">
        <v>1</v>
      </c>
      <c r="CH138" s="64">
        <f t="shared" si="95"/>
        <v>211</v>
      </c>
      <c r="CI138" s="64">
        <f t="shared" si="96"/>
        <v>15</v>
      </c>
      <c r="CJ138" s="64">
        <f t="shared" si="97"/>
        <v>160.50000000000003</v>
      </c>
      <c r="CK138" s="64">
        <f t="shared" si="98"/>
        <v>26.5</v>
      </c>
      <c r="CL138" s="64">
        <f t="shared" si="99"/>
        <v>115.20000000000002</v>
      </c>
      <c r="CM138" s="64">
        <f t="shared" si="100"/>
        <v>43.2</v>
      </c>
      <c r="CN138" s="64">
        <f t="shared" si="101"/>
        <v>79.800000000000011</v>
      </c>
      <c r="CO138" s="64">
        <f t="shared" si="102"/>
        <v>69.8</v>
      </c>
      <c r="CP138" s="64">
        <f t="shared" si="103"/>
        <v>52.2</v>
      </c>
      <c r="CQ138" s="64">
        <f t="shared" si="104"/>
        <v>104.19999999999999</v>
      </c>
      <c r="CR138" s="64">
        <f t="shared" si="105"/>
        <v>31.799999999999997</v>
      </c>
      <c r="CS138" s="64">
        <f t="shared" si="106"/>
        <v>145.79999999999998</v>
      </c>
      <c r="CT138" s="64">
        <f t="shared" si="107"/>
        <v>14.8</v>
      </c>
      <c r="CU138" s="64">
        <f t="shared" si="108"/>
        <v>190.79999999999998</v>
      </c>
      <c r="CV138" s="69">
        <f t="shared" si="109"/>
        <v>24.340072635903113</v>
      </c>
      <c r="CW138" s="69">
        <f t="shared" si="110"/>
        <v>670.26464352084201</v>
      </c>
      <c r="CX138" s="69">
        <f t="shared" si="127"/>
        <v>2496.3508546782687</v>
      </c>
      <c r="CY138" s="69">
        <f t="shared" si="111"/>
        <v>27246.95</v>
      </c>
      <c r="CZ138" s="64">
        <f t="shared" si="128"/>
        <v>1610.5489385021087</v>
      </c>
      <c r="DA138" s="64">
        <f t="shared" si="112"/>
        <v>17578.677419354837</v>
      </c>
      <c r="DB138">
        <f t="shared" si="113"/>
        <v>211</v>
      </c>
      <c r="DC138">
        <f t="shared" si="114"/>
        <v>15</v>
      </c>
      <c r="DD138">
        <f t="shared" si="115"/>
        <v>160.50000000000003</v>
      </c>
      <c r="DE138">
        <f t="shared" si="116"/>
        <v>26.5</v>
      </c>
      <c r="DF138">
        <f t="shared" si="117"/>
        <v>115.20000000000002</v>
      </c>
      <c r="DG138">
        <f t="shared" si="118"/>
        <v>43.2</v>
      </c>
      <c r="DH138">
        <f t="shared" si="119"/>
        <v>79.800000000000011</v>
      </c>
      <c r="DI138">
        <f t="shared" si="120"/>
        <v>69.8</v>
      </c>
      <c r="DJ138">
        <f t="shared" si="121"/>
        <v>52.2</v>
      </c>
      <c r="DK138">
        <f t="shared" si="122"/>
        <v>104.19999999999999</v>
      </c>
      <c r="DL138">
        <f t="shared" si="123"/>
        <v>31.799999999999997</v>
      </c>
      <c r="DM138">
        <f t="shared" si="124"/>
        <v>145.79999999999998</v>
      </c>
      <c r="DN138">
        <f t="shared" si="125"/>
        <v>14.8</v>
      </c>
      <c r="DO138">
        <f t="shared" si="126"/>
        <v>190.79999999999998</v>
      </c>
      <c r="DP138" s="2">
        <f t="shared" si="89"/>
        <v>53</v>
      </c>
      <c r="DQ138" s="2">
        <f t="shared" si="89"/>
        <v>41</v>
      </c>
      <c r="DR138" s="2">
        <f t="shared" si="89"/>
        <v>29</v>
      </c>
      <c r="DS138" s="2">
        <f t="shared" si="89"/>
        <v>17</v>
      </c>
      <c r="DT138" s="2">
        <f t="shared" si="89"/>
        <v>5</v>
      </c>
    </row>
    <row r="139" spans="1:124">
      <c r="A139" s="3">
        <v>43983</v>
      </c>
      <c r="B139">
        <f t="shared" si="133"/>
        <v>2020</v>
      </c>
      <c r="C139" s="2">
        <v>28554301</v>
      </c>
      <c r="D139" s="2">
        <f>VLOOKUP(B139,'Historic CDM'!$B$135:$H$146,2,FALSE)/12</f>
        <v>1183895.730626733</v>
      </c>
      <c r="E139" s="2">
        <f t="shared" si="91"/>
        <v>29738196.730626732</v>
      </c>
      <c r="F139" s="5">
        <v>28260</v>
      </c>
      <c r="G139" s="219">
        <v>5105604</v>
      </c>
      <c r="H139" s="2">
        <f>VLOOKUP(B139,'Historic CDM'!$B$135:$H$147,3,FALSE)/12</f>
        <v>1133474.2109814028</v>
      </c>
      <c r="I139" s="2">
        <f t="shared" si="92"/>
        <v>6239078.2109814025</v>
      </c>
      <c r="J139" s="220">
        <v>2021</v>
      </c>
      <c r="K139" s="219">
        <v>14324103</v>
      </c>
      <c r="L139" s="2">
        <f>VLOOKUP(B139,'Historic CDM'!$B$135:$H$146,4,FALSE)/12</f>
        <v>1202218.3759527351</v>
      </c>
      <c r="M139" s="2">
        <f t="shared" si="132"/>
        <v>15526321.375952736</v>
      </c>
      <c r="N139" s="222">
        <v>49966</v>
      </c>
      <c r="O139" s="5">
        <v>255</v>
      </c>
      <c r="P139" s="219">
        <v>144025</v>
      </c>
      <c r="Q139" s="2">
        <v>618</v>
      </c>
      <c r="R139" s="5">
        <v>2776</v>
      </c>
      <c r="S139" s="220">
        <v>23296</v>
      </c>
      <c r="T139" s="2">
        <v>64</v>
      </c>
      <c r="U139" s="5">
        <v>228</v>
      </c>
      <c r="V139" s="221">
        <v>117392</v>
      </c>
      <c r="W139" s="1">
        <v>125</v>
      </c>
      <c r="X139" s="2">
        <v>2539378</v>
      </c>
      <c r="Y139" s="2">
        <v>7104</v>
      </c>
      <c r="Z139" s="5">
        <v>4</v>
      </c>
      <c r="AA139" s="100">
        <f>'Weather Data'!D235</f>
        <v>24.199999999999996</v>
      </c>
      <c r="AB139" s="100">
        <f>'Weather Data'!E235</f>
        <v>64.7</v>
      </c>
      <c r="AC139" s="100">
        <f>'Weather Data'!F235</f>
        <v>10.799999999999999</v>
      </c>
      <c r="AD139" s="100">
        <f>'Weather Data'!G235</f>
        <v>111.3</v>
      </c>
      <c r="AE139" s="100">
        <f>'Weather Data'!H235</f>
        <v>4.4000000000000004</v>
      </c>
      <c r="AF139" s="100">
        <f>'Weather Data'!I235</f>
        <v>164.9</v>
      </c>
      <c r="AG139" s="100">
        <f>'Weather Data'!J235</f>
        <v>0</v>
      </c>
      <c r="AH139" s="100">
        <f>'Weather Data'!K235</f>
        <v>220.5</v>
      </c>
      <c r="AI139" s="100">
        <f>'Weather Data'!L235</f>
        <v>0</v>
      </c>
      <c r="AJ139" s="100">
        <f>'Weather Data'!M235</f>
        <v>280.5</v>
      </c>
      <c r="AK139" s="100">
        <f>'Weather Data'!N235</f>
        <v>0</v>
      </c>
      <c r="AL139" s="100">
        <f>'Weather Data'!O235</f>
        <v>340.5</v>
      </c>
      <c r="AM139" s="100">
        <f>'Weather Data'!P235</f>
        <v>0</v>
      </c>
      <c r="AN139" s="100">
        <f>'Weather Data'!Q235</f>
        <v>400.5</v>
      </c>
      <c r="AO139" s="100">
        <f>'Weather Data'!R235</f>
        <v>21.35</v>
      </c>
      <c r="AP139" s="5">
        <f>'Economic Data'!D105</f>
        <v>6459.7</v>
      </c>
      <c r="AQ139" s="5">
        <f>'Economic Data'!E105</f>
        <v>6498.5</v>
      </c>
      <c r="AR139" s="5">
        <f>'Economic Data'!F105</f>
        <v>140</v>
      </c>
      <c r="AS139" s="5">
        <f>'Economic Data'!G105</f>
        <v>140.69999999999999</v>
      </c>
      <c r="AT139" s="5">
        <f>'Economic Data'!H105</f>
        <v>769942</v>
      </c>
      <c r="AU139" s="5">
        <f>'Economic Data'!I105</f>
        <v>8258.2999999999993</v>
      </c>
      <c r="AV139" s="5">
        <f>'Economic Data'!J105</f>
        <v>7244.3</v>
      </c>
      <c r="AW139" s="5">
        <f>'Economic Data'!K105</f>
        <v>5453.2</v>
      </c>
      <c r="AX139" s="5">
        <f>'Economic Data'!L105</f>
        <v>1118.5</v>
      </c>
      <c r="AY139" s="5">
        <f>'Economic Data'!M105</f>
        <v>1755.9</v>
      </c>
      <c r="AZ139" s="5">
        <f>'Economic Data'!N105</f>
        <v>6539.9</v>
      </c>
      <c r="BA139" s="5">
        <f>'Economic Data'!O105</f>
        <v>107.8</v>
      </c>
      <c r="BB139" s="5">
        <f>'Economic Data'!P105</f>
        <v>72</v>
      </c>
      <c r="BC139" s="5">
        <f>'Economic Data'!Q105</f>
        <v>706539</v>
      </c>
      <c r="BD139" s="5">
        <f>'Economic Data'!R105</f>
        <v>8133</v>
      </c>
      <c r="BE139" s="5">
        <f>'Economic Data'!S105</f>
        <v>3719</v>
      </c>
      <c r="BF139" s="5">
        <f>'Economic Data'!T105</f>
        <v>13618</v>
      </c>
      <c r="BG139" s="5">
        <f>'EV Data'!V44</f>
        <v>38441.999999999978</v>
      </c>
      <c r="BH139" s="5">
        <f>'EV Data'!AB44</f>
        <v>179.00000000000006</v>
      </c>
      <c r="BI139" s="5">
        <f>'EV Data'!W44</f>
        <v>577</v>
      </c>
      <c r="BJ139" s="5">
        <f t="shared" si="52"/>
        <v>90</v>
      </c>
      <c r="BK139" s="70">
        <f t="shared" si="134"/>
        <v>1.954242509439325</v>
      </c>
      <c r="BL139" s="5">
        <f t="shared" si="135"/>
        <v>8100</v>
      </c>
      <c r="BM139">
        <f t="shared" ref="BM139:CA139" si="141">BM127</f>
        <v>0</v>
      </c>
      <c r="BN139">
        <f t="shared" si="141"/>
        <v>0</v>
      </c>
      <c r="BO139">
        <f t="shared" si="141"/>
        <v>0</v>
      </c>
      <c r="BP139">
        <f t="shared" si="141"/>
        <v>0</v>
      </c>
      <c r="BQ139">
        <f t="shared" si="141"/>
        <v>0</v>
      </c>
      <c r="BR139">
        <f t="shared" si="141"/>
        <v>1</v>
      </c>
      <c r="BS139">
        <f t="shared" si="141"/>
        <v>0</v>
      </c>
      <c r="BT139">
        <f t="shared" si="141"/>
        <v>0</v>
      </c>
      <c r="BU139">
        <f t="shared" si="141"/>
        <v>0</v>
      </c>
      <c r="BV139">
        <f t="shared" si="141"/>
        <v>0</v>
      </c>
      <c r="BW139">
        <f t="shared" si="141"/>
        <v>0</v>
      </c>
      <c r="BX139">
        <f t="shared" si="141"/>
        <v>0</v>
      </c>
      <c r="BY139">
        <f t="shared" si="141"/>
        <v>0</v>
      </c>
      <c r="BZ139">
        <f t="shared" si="141"/>
        <v>0</v>
      </c>
      <c r="CA139">
        <f t="shared" si="141"/>
        <v>0</v>
      </c>
      <c r="CB139">
        <f t="shared" si="130"/>
        <v>30</v>
      </c>
      <c r="CC139">
        <v>22</v>
      </c>
      <c r="CD139">
        <v>1</v>
      </c>
      <c r="CE139">
        <v>0.5</v>
      </c>
      <c r="CF139">
        <f t="shared" si="93"/>
        <v>1</v>
      </c>
      <c r="CG139">
        <v>0.5</v>
      </c>
      <c r="CH139" s="64">
        <f t="shared" si="95"/>
        <v>24.199999999999996</v>
      </c>
      <c r="CI139" s="64">
        <f t="shared" si="96"/>
        <v>64.7</v>
      </c>
      <c r="CJ139" s="64">
        <f t="shared" si="97"/>
        <v>10.799999999999999</v>
      </c>
      <c r="CK139" s="64">
        <f t="shared" si="98"/>
        <v>111.3</v>
      </c>
      <c r="CL139" s="64">
        <f t="shared" si="99"/>
        <v>4.4000000000000004</v>
      </c>
      <c r="CM139" s="64">
        <f t="shared" si="100"/>
        <v>164.9</v>
      </c>
      <c r="CN139" s="64">
        <f t="shared" si="101"/>
        <v>0</v>
      </c>
      <c r="CO139" s="64">
        <f t="shared" si="102"/>
        <v>220.5</v>
      </c>
      <c r="CP139" s="64">
        <f t="shared" si="103"/>
        <v>0</v>
      </c>
      <c r="CQ139" s="64">
        <f t="shared" si="104"/>
        <v>280.5</v>
      </c>
      <c r="CR139" s="64">
        <f t="shared" si="105"/>
        <v>0</v>
      </c>
      <c r="CS139" s="64">
        <f t="shared" si="106"/>
        <v>340.5</v>
      </c>
      <c r="CT139" s="64">
        <f t="shared" si="107"/>
        <v>0</v>
      </c>
      <c r="CU139" s="64">
        <f t="shared" si="108"/>
        <v>400.5</v>
      </c>
      <c r="CV139" s="69">
        <f t="shared" si="109"/>
        <v>35.076901074105606</v>
      </c>
      <c r="CW139" s="69">
        <f t="shared" si="110"/>
        <v>815.56577921325527</v>
      </c>
      <c r="CX139" s="69">
        <f t="shared" si="127"/>
        <v>2767.6152185298997</v>
      </c>
      <c r="CY139" s="69">
        <f t="shared" si="111"/>
        <v>28856.56818181818</v>
      </c>
      <c r="CZ139" s="64">
        <f t="shared" si="128"/>
        <v>2029.584493588593</v>
      </c>
      <c r="DA139" s="64">
        <f t="shared" si="112"/>
        <v>21161.483333333334</v>
      </c>
      <c r="DB139">
        <f t="shared" si="113"/>
        <v>24.199999999999996</v>
      </c>
      <c r="DC139">
        <f t="shared" si="114"/>
        <v>64.7</v>
      </c>
      <c r="DD139">
        <f t="shared" si="115"/>
        <v>10.799999999999999</v>
      </c>
      <c r="DE139">
        <f t="shared" si="116"/>
        <v>111.3</v>
      </c>
      <c r="DF139">
        <f t="shared" si="117"/>
        <v>4.4000000000000004</v>
      </c>
      <c r="DG139">
        <f t="shared" si="118"/>
        <v>164.9</v>
      </c>
      <c r="DH139">
        <f t="shared" si="119"/>
        <v>0</v>
      </c>
      <c r="DI139">
        <f t="shared" si="120"/>
        <v>220.5</v>
      </c>
      <c r="DJ139">
        <f t="shared" si="121"/>
        <v>0</v>
      </c>
      <c r="DK139">
        <f t="shared" si="122"/>
        <v>280.5</v>
      </c>
      <c r="DL139">
        <f t="shared" si="123"/>
        <v>0</v>
      </c>
      <c r="DM139">
        <f t="shared" si="124"/>
        <v>340.5</v>
      </c>
      <c r="DN139">
        <f t="shared" si="125"/>
        <v>0</v>
      </c>
      <c r="DO139">
        <f t="shared" si="126"/>
        <v>400.5</v>
      </c>
      <c r="DP139" s="2">
        <f t="shared" si="89"/>
        <v>54</v>
      </c>
      <c r="DQ139" s="2">
        <f t="shared" si="89"/>
        <v>42</v>
      </c>
      <c r="DR139" s="2">
        <f t="shared" si="89"/>
        <v>30</v>
      </c>
      <c r="DS139" s="2">
        <f t="shared" si="89"/>
        <v>18</v>
      </c>
      <c r="DT139" s="2">
        <f t="shared" si="89"/>
        <v>6</v>
      </c>
    </row>
    <row r="140" spans="1:124">
      <c r="A140" s="3">
        <v>44013</v>
      </c>
      <c r="B140">
        <f t="shared" si="133"/>
        <v>2020</v>
      </c>
      <c r="C140" s="2">
        <v>37988636</v>
      </c>
      <c r="D140" s="2">
        <f>VLOOKUP(B140,'Historic CDM'!$B$135:$H$146,2,FALSE)/12</f>
        <v>1183895.730626733</v>
      </c>
      <c r="E140" s="2">
        <f t="shared" si="91"/>
        <v>39172531.730626732</v>
      </c>
      <c r="F140" s="5">
        <v>28280</v>
      </c>
      <c r="G140" s="219">
        <v>6443139</v>
      </c>
      <c r="H140" s="2">
        <f>VLOOKUP(B140,'Historic CDM'!$B$135:$H$147,3,FALSE)/12</f>
        <v>1133474.2109814028</v>
      </c>
      <c r="I140" s="2">
        <f t="shared" si="92"/>
        <v>7576613.2109814025</v>
      </c>
      <c r="J140" s="220">
        <v>2025</v>
      </c>
      <c r="K140" s="219">
        <v>17268259</v>
      </c>
      <c r="L140" s="2">
        <f>VLOOKUP(B140,'Historic CDM'!$B$135:$H$146,4,FALSE)/12</f>
        <v>1202218.3759527351</v>
      </c>
      <c r="M140" s="2">
        <f t="shared" si="132"/>
        <v>18470477.375952736</v>
      </c>
      <c r="N140" s="222">
        <v>56136</v>
      </c>
      <c r="O140" s="5">
        <v>255</v>
      </c>
      <c r="P140" s="219">
        <v>152978</v>
      </c>
      <c r="Q140" s="2">
        <v>618</v>
      </c>
      <c r="R140" s="5">
        <v>2776</v>
      </c>
      <c r="S140" s="220">
        <v>23541</v>
      </c>
      <c r="T140" s="2">
        <v>64</v>
      </c>
      <c r="U140" s="5">
        <v>228</v>
      </c>
      <c r="V140" s="221">
        <v>117392</v>
      </c>
      <c r="W140" s="1">
        <v>125</v>
      </c>
      <c r="X140" s="2">
        <v>2920232</v>
      </c>
      <c r="Y140" s="2">
        <v>7339</v>
      </c>
      <c r="Z140" s="5">
        <v>4</v>
      </c>
      <c r="AA140" s="100">
        <f>'Weather Data'!D236</f>
        <v>0</v>
      </c>
      <c r="AB140" s="100">
        <f>'Weather Data'!E236</f>
        <v>143.69999999999999</v>
      </c>
      <c r="AC140" s="100">
        <f>'Weather Data'!F236</f>
        <v>0</v>
      </c>
      <c r="AD140" s="100">
        <f>'Weather Data'!G236</f>
        <v>205.7</v>
      </c>
      <c r="AE140" s="100">
        <f>'Weather Data'!H236</f>
        <v>0</v>
      </c>
      <c r="AF140" s="100">
        <f>'Weather Data'!I236</f>
        <v>267.70000000000005</v>
      </c>
      <c r="AG140" s="100">
        <f>'Weather Data'!J236</f>
        <v>0</v>
      </c>
      <c r="AH140" s="100">
        <f>'Weather Data'!K236</f>
        <v>329.7</v>
      </c>
      <c r="AI140" s="100">
        <f>'Weather Data'!L236</f>
        <v>0</v>
      </c>
      <c r="AJ140" s="100">
        <f>'Weather Data'!M236</f>
        <v>391.69999999999993</v>
      </c>
      <c r="AK140" s="100">
        <f>'Weather Data'!N236</f>
        <v>0</v>
      </c>
      <c r="AL140" s="100">
        <f>'Weather Data'!O236</f>
        <v>453.7</v>
      </c>
      <c r="AM140" s="100">
        <f>'Weather Data'!P236</f>
        <v>0</v>
      </c>
      <c r="AN140" s="100">
        <f>'Weather Data'!Q236</f>
        <v>515.69999999999993</v>
      </c>
      <c r="AO140" s="100">
        <f>'Weather Data'!R236</f>
        <v>24.635483870967743</v>
      </c>
      <c r="AP140" s="5">
        <f>'Economic Data'!D106</f>
        <v>6643.5</v>
      </c>
      <c r="AQ140" s="5">
        <f>'Economic Data'!E106</f>
        <v>6711.9</v>
      </c>
      <c r="AR140" s="5">
        <f>'Economic Data'!F106</f>
        <v>150.6</v>
      </c>
      <c r="AS140" s="5">
        <f>'Economic Data'!G106</f>
        <v>150.80000000000001</v>
      </c>
      <c r="AT140" s="5">
        <f>'Economic Data'!H106</f>
        <v>769942</v>
      </c>
      <c r="AU140" s="5">
        <f>'Economic Data'!I106</f>
        <v>8258.2999999999993</v>
      </c>
      <c r="AV140" s="5">
        <f>'Economic Data'!J106</f>
        <v>7244.3</v>
      </c>
      <c r="AW140" s="5">
        <f>'Economic Data'!K106</f>
        <v>5453.2</v>
      </c>
      <c r="AX140" s="5">
        <f>'Economic Data'!L106</f>
        <v>1118.5</v>
      </c>
      <c r="AY140" s="5">
        <f>'Economic Data'!M106</f>
        <v>1755.9</v>
      </c>
      <c r="AZ140" s="5">
        <f>'Economic Data'!N106</f>
        <v>6539.9</v>
      </c>
      <c r="BA140" s="5">
        <f>'Economic Data'!O106</f>
        <v>107.8</v>
      </c>
      <c r="BB140" s="5">
        <f>'Economic Data'!P106</f>
        <v>72</v>
      </c>
      <c r="BC140" s="5">
        <f>'Economic Data'!Q106</f>
        <v>777225</v>
      </c>
      <c r="BD140" s="5">
        <f>'Economic Data'!R106</f>
        <v>8275</v>
      </c>
      <c r="BE140" s="5">
        <f>'Economic Data'!S106</f>
        <v>3859</v>
      </c>
      <c r="BF140" s="5">
        <f>'Economic Data'!T106</f>
        <v>14949</v>
      </c>
      <c r="BG140" s="5">
        <f>'EV Data'!V45</f>
        <v>39540.666666666642</v>
      </c>
      <c r="BH140" s="5">
        <f>'EV Data'!AB45</f>
        <v>184.3333333333334</v>
      </c>
      <c r="BI140" s="5">
        <f>'EV Data'!W45</f>
        <v>591.33333333333337</v>
      </c>
      <c r="BJ140" s="5">
        <f t="shared" si="52"/>
        <v>91</v>
      </c>
      <c r="BK140" s="70">
        <f t="shared" si="134"/>
        <v>1.9590413923210936</v>
      </c>
      <c r="BL140" s="5">
        <f t="shared" si="135"/>
        <v>8281</v>
      </c>
      <c r="BM140">
        <f t="shared" ref="BM140:CA140" si="142">BM128</f>
        <v>0</v>
      </c>
      <c r="BN140">
        <f t="shared" si="142"/>
        <v>0</v>
      </c>
      <c r="BO140">
        <f t="shared" si="142"/>
        <v>0</v>
      </c>
      <c r="BP140">
        <f t="shared" si="142"/>
        <v>0</v>
      </c>
      <c r="BQ140">
        <f t="shared" si="142"/>
        <v>0</v>
      </c>
      <c r="BR140">
        <f t="shared" si="142"/>
        <v>0</v>
      </c>
      <c r="BS140">
        <f t="shared" si="142"/>
        <v>1</v>
      </c>
      <c r="BT140">
        <f t="shared" si="142"/>
        <v>0</v>
      </c>
      <c r="BU140">
        <f t="shared" si="142"/>
        <v>0</v>
      </c>
      <c r="BV140">
        <f t="shared" si="142"/>
        <v>0</v>
      </c>
      <c r="BW140">
        <f t="shared" si="142"/>
        <v>0</v>
      </c>
      <c r="BX140">
        <f t="shared" si="142"/>
        <v>0</v>
      </c>
      <c r="BY140">
        <f t="shared" si="142"/>
        <v>0</v>
      </c>
      <c r="BZ140">
        <f t="shared" si="142"/>
        <v>0</v>
      </c>
      <c r="CA140">
        <f t="shared" si="142"/>
        <v>0</v>
      </c>
      <c r="CB140">
        <f t="shared" si="130"/>
        <v>31</v>
      </c>
      <c r="CC140">
        <v>22</v>
      </c>
      <c r="CD140">
        <v>1</v>
      </c>
      <c r="CE140">
        <v>0.5</v>
      </c>
      <c r="CF140">
        <f t="shared" si="93"/>
        <v>1</v>
      </c>
      <c r="CG140">
        <v>0</v>
      </c>
      <c r="CH140" s="64">
        <f t="shared" si="95"/>
        <v>0</v>
      </c>
      <c r="CI140" s="64">
        <f t="shared" si="96"/>
        <v>143.69999999999999</v>
      </c>
      <c r="CJ140" s="64">
        <f t="shared" si="97"/>
        <v>0</v>
      </c>
      <c r="CK140" s="64">
        <f t="shared" si="98"/>
        <v>205.7</v>
      </c>
      <c r="CL140" s="64">
        <f t="shared" si="99"/>
        <v>0</v>
      </c>
      <c r="CM140" s="64">
        <f t="shared" si="100"/>
        <v>267.70000000000005</v>
      </c>
      <c r="CN140" s="64">
        <f t="shared" si="101"/>
        <v>0</v>
      </c>
      <c r="CO140" s="64">
        <f t="shared" si="102"/>
        <v>329.7</v>
      </c>
      <c r="CP140" s="64">
        <f t="shared" si="103"/>
        <v>0</v>
      </c>
      <c r="CQ140" s="64">
        <f t="shared" si="104"/>
        <v>391.69999999999993</v>
      </c>
      <c r="CR140" s="64">
        <f t="shared" si="105"/>
        <v>0</v>
      </c>
      <c r="CS140" s="64">
        <f t="shared" si="106"/>
        <v>453.7</v>
      </c>
      <c r="CT140" s="64">
        <f t="shared" si="107"/>
        <v>0</v>
      </c>
      <c r="CU140" s="64">
        <f t="shared" si="108"/>
        <v>515.69999999999993</v>
      </c>
      <c r="CV140" s="69">
        <f t="shared" si="109"/>
        <v>44.682816684111344</v>
      </c>
      <c r="CW140" s="69">
        <f t="shared" si="110"/>
        <v>958.45834421017105</v>
      </c>
      <c r="CX140" s="69">
        <f t="shared" si="127"/>
        <v>3292.4202096172435</v>
      </c>
      <c r="CY140" s="69">
        <f t="shared" si="111"/>
        <v>33184.454545454544</v>
      </c>
      <c r="CZ140" s="64">
        <f t="shared" si="128"/>
        <v>2336.5562777928826</v>
      </c>
      <c r="DA140" s="64">
        <f t="shared" si="112"/>
        <v>23550.258064516129</v>
      </c>
      <c r="DB140">
        <f t="shared" si="113"/>
        <v>0</v>
      </c>
      <c r="DC140">
        <f t="shared" si="114"/>
        <v>143.69999999999999</v>
      </c>
      <c r="DD140">
        <f t="shared" si="115"/>
        <v>0</v>
      </c>
      <c r="DE140">
        <f t="shared" si="116"/>
        <v>205.7</v>
      </c>
      <c r="DF140">
        <f t="shared" si="117"/>
        <v>0</v>
      </c>
      <c r="DG140">
        <f t="shared" si="118"/>
        <v>267.70000000000005</v>
      </c>
      <c r="DH140">
        <f t="shared" si="119"/>
        <v>0</v>
      </c>
      <c r="DI140">
        <f t="shared" si="120"/>
        <v>329.7</v>
      </c>
      <c r="DJ140">
        <f t="shared" si="121"/>
        <v>0</v>
      </c>
      <c r="DK140">
        <f t="shared" si="122"/>
        <v>391.69999999999993</v>
      </c>
      <c r="DL140">
        <f t="shared" si="123"/>
        <v>0</v>
      </c>
      <c r="DM140">
        <f t="shared" si="124"/>
        <v>453.7</v>
      </c>
      <c r="DN140">
        <f t="shared" si="125"/>
        <v>0</v>
      </c>
      <c r="DO140">
        <f t="shared" si="126"/>
        <v>515.69999999999993</v>
      </c>
      <c r="DP140" s="2">
        <f t="shared" si="89"/>
        <v>55</v>
      </c>
      <c r="DQ140" s="2">
        <f t="shared" si="89"/>
        <v>43</v>
      </c>
      <c r="DR140" s="2">
        <f t="shared" si="89"/>
        <v>31</v>
      </c>
      <c r="DS140" s="2">
        <f t="shared" si="89"/>
        <v>19</v>
      </c>
      <c r="DT140" s="2">
        <f t="shared" si="89"/>
        <v>7</v>
      </c>
    </row>
    <row r="141" spans="1:124">
      <c r="A141" s="3">
        <v>44044</v>
      </c>
      <c r="B141">
        <f t="shared" si="133"/>
        <v>2020</v>
      </c>
      <c r="C141" s="2">
        <v>32658437</v>
      </c>
      <c r="D141" s="2">
        <f>VLOOKUP(B141,'Historic CDM'!$B$135:$H$146,2,FALSE)/12</f>
        <v>1183895.730626733</v>
      </c>
      <c r="E141" s="2">
        <f t="shared" si="91"/>
        <v>33842332.730626732</v>
      </c>
      <c r="F141" s="5">
        <v>28295</v>
      </c>
      <c r="G141" s="219">
        <v>6066656</v>
      </c>
      <c r="H141" s="2">
        <f>VLOOKUP(B141,'Historic CDM'!$B$135:$H$147,3,FALSE)/12</f>
        <v>1133474.2109814028</v>
      </c>
      <c r="I141" s="2">
        <f t="shared" si="92"/>
        <v>7200130.2109814025</v>
      </c>
      <c r="J141" s="220">
        <v>2025</v>
      </c>
      <c r="K141" s="219">
        <v>17016167</v>
      </c>
      <c r="L141" s="2">
        <f>VLOOKUP(B141,'Historic CDM'!$B$135:$H$146,4,FALSE)/12</f>
        <v>1202218.3759527351</v>
      </c>
      <c r="M141" s="2">
        <f t="shared" si="132"/>
        <v>18218385.375952736</v>
      </c>
      <c r="N141" s="222">
        <v>58165</v>
      </c>
      <c r="O141" s="5">
        <v>255</v>
      </c>
      <c r="P141" s="219">
        <v>171656</v>
      </c>
      <c r="Q141" s="2">
        <v>618</v>
      </c>
      <c r="R141" s="5">
        <v>2776</v>
      </c>
      <c r="S141" s="220">
        <v>23782</v>
      </c>
      <c r="T141" s="2">
        <v>65</v>
      </c>
      <c r="U141" s="5">
        <v>228</v>
      </c>
      <c r="V141" s="221">
        <v>117392</v>
      </c>
      <c r="W141" s="1">
        <v>125</v>
      </c>
      <c r="X141" s="2">
        <v>2655205</v>
      </c>
      <c r="Y141" s="2">
        <v>7141</v>
      </c>
      <c r="Z141" s="5">
        <v>4</v>
      </c>
      <c r="AA141" s="100">
        <f>'Weather Data'!D237</f>
        <v>7.9420919656392321</v>
      </c>
      <c r="AB141" s="100">
        <f>'Weather Data'!E237</f>
        <v>66</v>
      </c>
      <c r="AC141" s="100">
        <f>'Weather Data'!F237</f>
        <v>0</v>
      </c>
      <c r="AD141" s="100">
        <f>'Weather Data'!G237</f>
        <v>120.05790803436078</v>
      </c>
      <c r="AE141" s="100">
        <f>'Weather Data'!H237</f>
        <v>0</v>
      </c>
      <c r="AF141" s="100">
        <f>'Weather Data'!I237</f>
        <v>182.05790803436074</v>
      </c>
      <c r="AG141" s="100">
        <f>'Weather Data'!J237</f>
        <v>0</v>
      </c>
      <c r="AH141" s="100">
        <f>'Weather Data'!K237</f>
        <v>244.05790803436074</v>
      </c>
      <c r="AI141" s="100">
        <f>'Weather Data'!L237</f>
        <v>0</v>
      </c>
      <c r="AJ141" s="100">
        <f>'Weather Data'!M237</f>
        <v>306.05790803436071</v>
      </c>
      <c r="AK141" s="100">
        <f>'Weather Data'!N237</f>
        <v>0</v>
      </c>
      <c r="AL141" s="100">
        <f>'Weather Data'!O237</f>
        <v>368.05790803436071</v>
      </c>
      <c r="AM141" s="100">
        <f>'Weather Data'!P237</f>
        <v>0</v>
      </c>
      <c r="AN141" s="100">
        <f>'Weather Data'!Q237</f>
        <v>430.05790803436076</v>
      </c>
      <c r="AO141" s="100">
        <f>'Weather Data'!R237</f>
        <v>21.8728357430439</v>
      </c>
      <c r="AP141" s="5">
        <f>'Economic Data'!D107</f>
        <v>6879.1</v>
      </c>
      <c r="AQ141" s="5">
        <f>'Economic Data'!E107</f>
        <v>6950.9</v>
      </c>
      <c r="AR141" s="5">
        <f>'Economic Data'!F107</f>
        <v>156.80000000000001</v>
      </c>
      <c r="AS141" s="5">
        <f>'Economic Data'!G107</f>
        <v>156.6</v>
      </c>
      <c r="AT141" s="5">
        <f>'Economic Data'!H107</f>
        <v>769942</v>
      </c>
      <c r="AU141" s="5">
        <f>'Economic Data'!I107</f>
        <v>8258.2999999999993</v>
      </c>
      <c r="AV141" s="5">
        <f>'Economic Data'!J107</f>
        <v>7244.3</v>
      </c>
      <c r="AW141" s="5">
        <f>'Economic Data'!K107</f>
        <v>5453.2</v>
      </c>
      <c r="AX141" s="5">
        <f>'Economic Data'!L107</f>
        <v>1118.5</v>
      </c>
      <c r="AY141" s="5">
        <f>'Economic Data'!M107</f>
        <v>1755.9</v>
      </c>
      <c r="AZ141" s="5">
        <f>'Economic Data'!N107</f>
        <v>6539.9</v>
      </c>
      <c r="BA141" s="5">
        <f>'Economic Data'!O107</f>
        <v>107.8</v>
      </c>
      <c r="BB141" s="5">
        <f>'Economic Data'!P107</f>
        <v>72</v>
      </c>
      <c r="BC141" s="5">
        <f>'Economic Data'!Q107</f>
        <v>777225</v>
      </c>
      <c r="BD141" s="5">
        <f>'Economic Data'!R107</f>
        <v>8275</v>
      </c>
      <c r="BE141" s="5">
        <f>'Economic Data'!S107</f>
        <v>3859</v>
      </c>
      <c r="BF141" s="5">
        <f>'Economic Data'!T107</f>
        <v>14949</v>
      </c>
      <c r="BG141" s="5">
        <f>'EV Data'!V46</f>
        <v>40639.333333333307</v>
      </c>
      <c r="BH141" s="5">
        <f>'EV Data'!AB46</f>
        <v>189.66666666666674</v>
      </c>
      <c r="BI141" s="5">
        <f>'EV Data'!W46</f>
        <v>605.66666666666674</v>
      </c>
      <c r="BJ141" s="5">
        <f t="shared" si="52"/>
        <v>92</v>
      </c>
      <c r="BK141" s="70">
        <f t="shared" si="134"/>
        <v>1.9637878273455553</v>
      </c>
      <c r="BL141" s="5">
        <f t="shared" si="135"/>
        <v>8464</v>
      </c>
      <c r="BM141">
        <f t="shared" ref="BM141:CA141" si="143">BM129</f>
        <v>0</v>
      </c>
      <c r="BN141">
        <f t="shared" si="143"/>
        <v>0</v>
      </c>
      <c r="BO141">
        <f t="shared" si="143"/>
        <v>0</v>
      </c>
      <c r="BP141">
        <f t="shared" si="143"/>
        <v>0</v>
      </c>
      <c r="BQ141">
        <f t="shared" si="143"/>
        <v>0</v>
      </c>
      <c r="BR141">
        <f t="shared" si="143"/>
        <v>0</v>
      </c>
      <c r="BS141">
        <f t="shared" si="143"/>
        <v>0</v>
      </c>
      <c r="BT141">
        <f t="shared" si="143"/>
        <v>1</v>
      </c>
      <c r="BU141">
        <f t="shared" si="143"/>
        <v>0</v>
      </c>
      <c r="BV141">
        <f t="shared" si="143"/>
        <v>0</v>
      </c>
      <c r="BW141">
        <f t="shared" si="143"/>
        <v>0</v>
      </c>
      <c r="BX141">
        <f t="shared" si="143"/>
        <v>0</v>
      </c>
      <c r="BY141">
        <f t="shared" si="143"/>
        <v>0</v>
      </c>
      <c r="BZ141">
        <f t="shared" si="143"/>
        <v>0</v>
      </c>
      <c r="CA141">
        <f t="shared" si="143"/>
        <v>0</v>
      </c>
      <c r="CB141">
        <f t="shared" si="130"/>
        <v>31</v>
      </c>
      <c r="CC141">
        <v>20</v>
      </c>
      <c r="CD141">
        <v>1</v>
      </c>
      <c r="CE141">
        <v>0.5</v>
      </c>
      <c r="CF141">
        <f t="shared" si="93"/>
        <v>1</v>
      </c>
      <c r="CG141">
        <v>0</v>
      </c>
      <c r="CH141" s="64">
        <f t="shared" si="95"/>
        <v>7.9420919656392321</v>
      </c>
      <c r="CI141" s="64">
        <f t="shared" si="96"/>
        <v>66</v>
      </c>
      <c r="CJ141" s="64">
        <f t="shared" si="97"/>
        <v>0</v>
      </c>
      <c r="CK141" s="64">
        <f t="shared" si="98"/>
        <v>120.05790803436078</v>
      </c>
      <c r="CL141" s="64">
        <f t="shared" si="99"/>
        <v>0</v>
      </c>
      <c r="CM141" s="64">
        <f t="shared" si="100"/>
        <v>182.05790803436074</v>
      </c>
      <c r="CN141" s="64">
        <f t="shared" si="101"/>
        <v>0</v>
      </c>
      <c r="CO141" s="64">
        <f t="shared" si="102"/>
        <v>244.05790803436074</v>
      </c>
      <c r="CP141" s="64">
        <f t="shared" si="103"/>
        <v>0</v>
      </c>
      <c r="CQ141" s="64">
        <f t="shared" si="104"/>
        <v>306.05790803436071</v>
      </c>
      <c r="CR141" s="64">
        <f t="shared" si="105"/>
        <v>0</v>
      </c>
      <c r="CS141" s="64">
        <f t="shared" si="106"/>
        <v>368.05790803436071</v>
      </c>
      <c r="CT141" s="64">
        <f t="shared" si="107"/>
        <v>0</v>
      </c>
      <c r="CU141" s="64">
        <f t="shared" si="108"/>
        <v>430.05790803436076</v>
      </c>
      <c r="CV141" s="69">
        <f t="shared" si="109"/>
        <v>38.582369768540815</v>
      </c>
      <c r="CW141" s="69">
        <f t="shared" si="110"/>
        <v>910.83241125634447</v>
      </c>
      <c r="CX141" s="69">
        <f t="shared" si="127"/>
        <v>3572.2324266573987</v>
      </c>
      <c r="CY141" s="69">
        <f t="shared" si="111"/>
        <v>33190.0625</v>
      </c>
      <c r="CZ141" s="64">
        <f t="shared" si="128"/>
        <v>2304.6660817144511</v>
      </c>
      <c r="DA141" s="64">
        <f t="shared" si="112"/>
        <v>21412.943548387098</v>
      </c>
      <c r="DB141">
        <f t="shared" si="113"/>
        <v>7.9420919656392321</v>
      </c>
      <c r="DC141">
        <f t="shared" si="114"/>
        <v>66</v>
      </c>
      <c r="DD141">
        <f t="shared" si="115"/>
        <v>0</v>
      </c>
      <c r="DE141">
        <f t="shared" si="116"/>
        <v>120.05790803436078</v>
      </c>
      <c r="DF141">
        <f t="shared" si="117"/>
        <v>0</v>
      </c>
      <c r="DG141">
        <f t="shared" si="118"/>
        <v>182.05790803436074</v>
      </c>
      <c r="DH141">
        <f t="shared" si="119"/>
        <v>0</v>
      </c>
      <c r="DI141">
        <f t="shared" si="120"/>
        <v>244.05790803436074</v>
      </c>
      <c r="DJ141">
        <f t="shared" si="121"/>
        <v>0</v>
      </c>
      <c r="DK141">
        <f t="shared" si="122"/>
        <v>306.05790803436071</v>
      </c>
      <c r="DL141">
        <f t="shared" si="123"/>
        <v>0</v>
      </c>
      <c r="DM141">
        <f t="shared" si="124"/>
        <v>368.05790803436071</v>
      </c>
      <c r="DN141">
        <f t="shared" si="125"/>
        <v>0</v>
      </c>
      <c r="DO141">
        <f t="shared" si="126"/>
        <v>430.05790803436076</v>
      </c>
      <c r="DP141" s="2">
        <f t="shared" si="89"/>
        <v>56</v>
      </c>
      <c r="DQ141" s="2">
        <f t="shared" si="89"/>
        <v>44</v>
      </c>
      <c r="DR141" s="2">
        <f t="shared" si="89"/>
        <v>32</v>
      </c>
      <c r="DS141" s="2">
        <f t="shared" si="89"/>
        <v>20</v>
      </c>
      <c r="DT141" s="2">
        <f t="shared" si="89"/>
        <v>8</v>
      </c>
    </row>
    <row r="142" spans="1:124">
      <c r="A142" s="3">
        <v>44075</v>
      </c>
      <c r="B142">
        <f t="shared" si="133"/>
        <v>2020</v>
      </c>
      <c r="C142" s="2">
        <v>21292665</v>
      </c>
      <c r="D142" s="2">
        <f>VLOOKUP(B142,'Historic CDM'!$B$135:$H$146,2,FALSE)/12</f>
        <v>1183895.730626733</v>
      </c>
      <c r="E142" s="2">
        <f t="shared" si="91"/>
        <v>22476560.730626732</v>
      </c>
      <c r="F142" s="5">
        <v>28299</v>
      </c>
      <c r="G142" s="219">
        <v>4947584</v>
      </c>
      <c r="H142" s="2">
        <f>VLOOKUP(B142,'Historic CDM'!$B$135:$H$147,3,FALSE)/12</f>
        <v>1133474.2109814028</v>
      </c>
      <c r="I142" s="2">
        <f t="shared" si="92"/>
        <v>6081058.2109814025</v>
      </c>
      <c r="J142" s="220">
        <v>2025</v>
      </c>
      <c r="K142" s="219">
        <v>16551629</v>
      </c>
      <c r="L142" s="2">
        <f>VLOOKUP(B142,'Historic CDM'!$B$135:$H$146,4,FALSE)/12</f>
        <v>1202218.3759527351</v>
      </c>
      <c r="M142" s="2">
        <f t="shared" si="132"/>
        <v>17753847.375952736</v>
      </c>
      <c r="N142" s="222">
        <v>53611</v>
      </c>
      <c r="O142" s="5">
        <v>256</v>
      </c>
      <c r="P142" s="219">
        <v>193869</v>
      </c>
      <c r="Q142" s="2">
        <v>618</v>
      </c>
      <c r="R142" s="5">
        <v>2779</v>
      </c>
      <c r="S142" s="220">
        <v>23347</v>
      </c>
      <c r="T142" s="2">
        <v>64</v>
      </c>
      <c r="U142" s="5">
        <v>228</v>
      </c>
      <c r="V142" s="221">
        <v>117392</v>
      </c>
      <c r="W142" s="1">
        <v>125</v>
      </c>
      <c r="X142" s="2">
        <v>2348776</v>
      </c>
      <c r="Y142" s="2">
        <v>7217</v>
      </c>
      <c r="Z142" s="5">
        <v>4</v>
      </c>
      <c r="AA142" s="100">
        <f>'Weather Data'!D238</f>
        <v>106.33552299140982</v>
      </c>
      <c r="AB142" s="100">
        <f>'Weather Data'!E238</f>
        <v>10.564477008590192</v>
      </c>
      <c r="AC142" s="100">
        <f>'Weather Data'!F238</f>
        <v>62.1355229914098</v>
      </c>
      <c r="AD142" s="100">
        <f>'Weather Data'!G238</f>
        <v>26.364477008590192</v>
      </c>
      <c r="AE142" s="100">
        <f>'Weather Data'!H238</f>
        <v>31.4</v>
      </c>
      <c r="AF142" s="100">
        <f>'Weather Data'!I238</f>
        <v>55.628954017180384</v>
      </c>
      <c r="AG142" s="100">
        <f>'Weather Data'!J238</f>
        <v>12.100000000000001</v>
      </c>
      <c r="AH142" s="100">
        <f>'Weather Data'!K238</f>
        <v>96.328954017180365</v>
      </c>
      <c r="AI142" s="100">
        <f>'Weather Data'!L238</f>
        <v>2.9000000000000004</v>
      </c>
      <c r="AJ142" s="100">
        <f>'Weather Data'!M238</f>
        <v>147.12895401718038</v>
      </c>
      <c r="AK142" s="100">
        <f>'Weather Data'!N238</f>
        <v>0</v>
      </c>
      <c r="AL142" s="100">
        <f>'Weather Data'!O238</f>
        <v>204.2289540171804</v>
      </c>
      <c r="AM142" s="100">
        <f>'Weather Data'!P238</f>
        <v>0</v>
      </c>
      <c r="AN142" s="100">
        <f>'Weather Data'!Q238</f>
        <v>264.22895401718034</v>
      </c>
      <c r="AO142" s="100">
        <f>'Weather Data'!R238</f>
        <v>16.807631800572679</v>
      </c>
      <c r="AP142" s="5">
        <f>'Economic Data'!D108</f>
        <v>7040.8</v>
      </c>
      <c r="AQ142" s="5">
        <f>'Economic Data'!E108</f>
        <v>7075.5</v>
      </c>
      <c r="AR142" s="5">
        <f>'Economic Data'!F108</f>
        <v>157.4</v>
      </c>
      <c r="AS142" s="5">
        <f>'Economic Data'!G108</f>
        <v>157.80000000000001</v>
      </c>
      <c r="AT142" s="5">
        <f>'Economic Data'!H108</f>
        <v>769942</v>
      </c>
      <c r="AU142" s="5">
        <f>'Economic Data'!I108</f>
        <v>8258.2999999999993</v>
      </c>
      <c r="AV142" s="5">
        <f>'Economic Data'!J108</f>
        <v>7244.3</v>
      </c>
      <c r="AW142" s="5">
        <f>'Economic Data'!K108</f>
        <v>5453.2</v>
      </c>
      <c r="AX142" s="5">
        <f>'Economic Data'!L108</f>
        <v>1118.5</v>
      </c>
      <c r="AY142" s="5">
        <f>'Economic Data'!M108</f>
        <v>1755.9</v>
      </c>
      <c r="AZ142" s="5">
        <f>'Economic Data'!N108</f>
        <v>6539.9</v>
      </c>
      <c r="BA142" s="5">
        <f>'Economic Data'!O108</f>
        <v>107.8</v>
      </c>
      <c r="BB142" s="5">
        <f>'Economic Data'!P108</f>
        <v>72</v>
      </c>
      <c r="BC142" s="5">
        <f>'Economic Data'!Q108</f>
        <v>777225</v>
      </c>
      <c r="BD142" s="5">
        <f>'Economic Data'!R108</f>
        <v>8275</v>
      </c>
      <c r="BE142" s="5">
        <f>'Economic Data'!S108</f>
        <v>3859</v>
      </c>
      <c r="BF142" s="5">
        <f>'Economic Data'!T108</f>
        <v>14949</v>
      </c>
      <c r="BG142" s="5">
        <f>'EV Data'!V47</f>
        <v>41737.999999999971</v>
      </c>
      <c r="BH142" s="5">
        <f>'EV Data'!AB47</f>
        <v>195.00000000000009</v>
      </c>
      <c r="BI142" s="5">
        <f>'EV Data'!W47</f>
        <v>620.00000000000011</v>
      </c>
      <c r="BJ142" s="5">
        <f t="shared" si="52"/>
        <v>93</v>
      </c>
      <c r="BK142" s="70">
        <f t="shared" si="134"/>
        <v>1.968482948553935</v>
      </c>
      <c r="BL142" s="5">
        <f t="shared" si="135"/>
        <v>8649</v>
      </c>
      <c r="BM142">
        <f t="shared" ref="BM142:CA142" si="144">BM130</f>
        <v>0</v>
      </c>
      <c r="BN142">
        <f t="shared" si="144"/>
        <v>0</v>
      </c>
      <c r="BO142">
        <f t="shared" si="144"/>
        <v>0</v>
      </c>
      <c r="BP142">
        <f t="shared" si="144"/>
        <v>0</v>
      </c>
      <c r="BQ142">
        <f t="shared" si="144"/>
        <v>0</v>
      </c>
      <c r="BR142">
        <f t="shared" si="144"/>
        <v>0</v>
      </c>
      <c r="BS142">
        <f t="shared" si="144"/>
        <v>0</v>
      </c>
      <c r="BT142">
        <f t="shared" si="144"/>
        <v>0</v>
      </c>
      <c r="BU142">
        <f t="shared" si="144"/>
        <v>1</v>
      </c>
      <c r="BV142">
        <f t="shared" si="144"/>
        <v>0</v>
      </c>
      <c r="BW142">
        <f t="shared" si="144"/>
        <v>0</v>
      </c>
      <c r="BX142">
        <f t="shared" si="144"/>
        <v>0</v>
      </c>
      <c r="BY142">
        <f t="shared" si="144"/>
        <v>0</v>
      </c>
      <c r="BZ142">
        <f t="shared" si="144"/>
        <v>0</v>
      </c>
      <c r="CA142">
        <f t="shared" si="144"/>
        <v>0</v>
      </c>
      <c r="CB142">
        <f t="shared" si="130"/>
        <v>30</v>
      </c>
      <c r="CC142">
        <v>21</v>
      </c>
      <c r="CD142">
        <v>1</v>
      </c>
      <c r="CE142">
        <v>0.5</v>
      </c>
      <c r="CF142">
        <f t="shared" si="93"/>
        <v>1</v>
      </c>
      <c r="CG142">
        <v>0</v>
      </c>
      <c r="CH142" s="64">
        <f t="shared" si="95"/>
        <v>106.33552299140982</v>
      </c>
      <c r="CI142" s="64">
        <f t="shared" si="96"/>
        <v>10.564477008590192</v>
      </c>
      <c r="CJ142" s="64">
        <f t="shared" si="97"/>
        <v>62.1355229914098</v>
      </c>
      <c r="CK142" s="64">
        <f t="shared" si="98"/>
        <v>26.364477008590192</v>
      </c>
      <c r="CL142" s="64">
        <f t="shared" si="99"/>
        <v>31.4</v>
      </c>
      <c r="CM142" s="64">
        <f t="shared" si="100"/>
        <v>55.628954017180384</v>
      </c>
      <c r="CN142" s="64">
        <f t="shared" si="101"/>
        <v>12.100000000000001</v>
      </c>
      <c r="CO142" s="64">
        <f t="shared" si="102"/>
        <v>96.328954017180365</v>
      </c>
      <c r="CP142" s="64">
        <f t="shared" si="103"/>
        <v>2.9000000000000004</v>
      </c>
      <c r="CQ142" s="64">
        <f t="shared" si="104"/>
        <v>147.12895401718038</v>
      </c>
      <c r="CR142" s="64">
        <f t="shared" si="105"/>
        <v>0</v>
      </c>
      <c r="CS142" s="64">
        <f t="shared" si="106"/>
        <v>204.2289540171804</v>
      </c>
      <c r="CT142" s="64">
        <f t="shared" si="107"/>
        <v>0</v>
      </c>
      <c r="CU142" s="64">
        <f t="shared" si="108"/>
        <v>264.22895401718034</v>
      </c>
      <c r="CV142" s="69">
        <f t="shared" si="109"/>
        <v>26.475094209014138</v>
      </c>
      <c r="CW142" s="69">
        <f t="shared" si="110"/>
        <v>791.80445455487018</v>
      </c>
      <c r="CX142" s="69">
        <f t="shared" si="127"/>
        <v>3302.4269672531132</v>
      </c>
      <c r="CY142" s="69">
        <f t="shared" si="111"/>
        <v>27961.619047619046</v>
      </c>
      <c r="CZ142" s="64">
        <f t="shared" si="128"/>
        <v>2311.6988770771791</v>
      </c>
      <c r="DA142" s="64">
        <f t="shared" si="112"/>
        <v>19573.133333333335</v>
      </c>
      <c r="DB142">
        <f t="shared" si="113"/>
        <v>106.33552299140982</v>
      </c>
      <c r="DC142">
        <f t="shared" si="114"/>
        <v>10.564477008590192</v>
      </c>
      <c r="DD142">
        <f t="shared" si="115"/>
        <v>62.1355229914098</v>
      </c>
      <c r="DE142">
        <f t="shared" si="116"/>
        <v>26.364477008590192</v>
      </c>
      <c r="DF142">
        <f t="shared" si="117"/>
        <v>31.4</v>
      </c>
      <c r="DG142">
        <f t="shared" si="118"/>
        <v>55.628954017180384</v>
      </c>
      <c r="DH142">
        <f t="shared" si="119"/>
        <v>12.100000000000001</v>
      </c>
      <c r="DI142">
        <f t="shared" si="120"/>
        <v>96.328954017180365</v>
      </c>
      <c r="DJ142">
        <f t="shared" si="121"/>
        <v>2.9000000000000004</v>
      </c>
      <c r="DK142">
        <f t="shared" si="122"/>
        <v>147.12895401718038</v>
      </c>
      <c r="DL142">
        <f t="shared" si="123"/>
        <v>0</v>
      </c>
      <c r="DM142">
        <f t="shared" si="124"/>
        <v>204.2289540171804</v>
      </c>
      <c r="DN142">
        <f t="shared" si="125"/>
        <v>0</v>
      </c>
      <c r="DO142">
        <f t="shared" si="126"/>
        <v>264.22895401718034</v>
      </c>
      <c r="DP142" s="2">
        <f t="shared" si="89"/>
        <v>57</v>
      </c>
      <c r="DQ142" s="2">
        <f t="shared" si="89"/>
        <v>45</v>
      </c>
      <c r="DR142" s="2">
        <f t="shared" si="89"/>
        <v>33</v>
      </c>
      <c r="DS142" s="2">
        <f t="shared" si="89"/>
        <v>21</v>
      </c>
      <c r="DT142" s="2">
        <f t="shared" si="89"/>
        <v>9</v>
      </c>
    </row>
    <row r="143" spans="1:124">
      <c r="A143" s="3">
        <v>44105</v>
      </c>
      <c r="B143">
        <f t="shared" ref="B143:B157" si="145">YEAR(A143)</f>
        <v>2020</v>
      </c>
      <c r="C143" s="2">
        <v>17526935</v>
      </c>
      <c r="D143" s="2">
        <f>VLOOKUP(B143,'Historic CDM'!$B$135:$H$146,2,FALSE)/12</f>
        <v>1183895.730626733</v>
      </c>
      <c r="E143" s="2">
        <f t="shared" si="91"/>
        <v>18710830.730626732</v>
      </c>
      <c r="F143" s="5">
        <v>28334</v>
      </c>
      <c r="G143" s="219">
        <v>4595499</v>
      </c>
      <c r="H143" s="2">
        <f>VLOOKUP(B143,'Historic CDM'!$B$135:$H$147,3,FALSE)/12</f>
        <v>1133474.2109814028</v>
      </c>
      <c r="I143" s="2">
        <f t="shared" si="92"/>
        <v>5728973.2109814025</v>
      </c>
      <c r="J143" s="220">
        <v>2027</v>
      </c>
      <c r="K143" s="219">
        <v>15141742</v>
      </c>
      <c r="L143" s="2">
        <f>VLOOKUP(B143,'Historic CDM'!$B$135:$H$146,4,FALSE)/12</f>
        <v>1202218.3759527351</v>
      </c>
      <c r="M143" s="2">
        <f t="shared" si="132"/>
        <v>16343960.375952736</v>
      </c>
      <c r="N143" s="222">
        <v>47239</v>
      </c>
      <c r="O143" s="5">
        <v>256</v>
      </c>
      <c r="P143" s="219">
        <v>229117</v>
      </c>
      <c r="Q143" s="2">
        <v>618</v>
      </c>
      <c r="R143" s="5">
        <v>2781</v>
      </c>
      <c r="S143" s="220">
        <v>23497</v>
      </c>
      <c r="T143" s="2">
        <v>64</v>
      </c>
      <c r="U143" s="5">
        <v>228</v>
      </c>
      <c r="V143" s="221">
        <v>117392</v>
      </c>
      <c r="W143" s="1">
        <v>125</v>
      </c>
      <c r="X143" s="2">
        <v>2222132</v>
      </c>
      <c r="Y143" s="2">
        <v>5984</v>
      </c>
      <c r="Z143" s="5">
        <v>4</v>
      </c>
      <c r="AA143" s="100">
        <f>'Weather Data'!D239</f>
        <v>300.89999999999998</v>
      </c>
      <c r="AB143" s="100">
        <f>'Weather Data'!E239</f>
        <v>0</v>
      </c>
      <c r="AC143" s="100">
        <f>'Weather Data'!F239</f>
        <v>239.7</v>
      </c>
      <c r="AD143" s="100">
        <f>'Weather Data'!G239</f>
        <v>0.80000000000000071</v>
      </c>
      <c r="AE143" s="100">
        <f>'Weather Data'!H239</f>
        <v>181.8</v>
      </c>
      <c r="AF143" s="100">
        <f>'Weather Data'!I239</f>
        <v>4.9000000000000021</v>
      </c>
      <c r="AG143" s="100">
        <f>'Weather Data'!J239</f>
        <v>129.4</v>
      </c>
      <c r="AH143" s="100">
        <f>'Weather Data'!K239</f>
        <v>14.500000000000002</v>
      </c>
      <c r="AI143" s="100">
        <f>'Weather Data'!L239</f>
        <v>83.899999999999991</v>
      </c>
      <c r="AJ143" s="100">
        <f>'Weather Data'!M239</f>
        <v>31.000000000000004</v>
      </c>
      <c r="AK143" s="100">
        <f>'Weather Data'!N239</f>
        <v>48.6</v>
      </c>
      <c r="AL143" s="100">
        <f>'Weather Data'!O239</f>
        <v>57.7</v>
      </c>
      <c r="AM143" s="100">
        <f>'Weather Data'!P239</f>
        <v>22.499999999999996</v>
      </c>
      <c r="AN143" s="100">
        <f>'Weather Data'!Q239</f>
        <v>93.59999999999998</v>
      </c>
      <c r="AO143" s="100">
        <f>'Weather Data'!R239</f>
        <v>10.293548387096777</v>
      </c>
      <c r="AP143" s="5">
        <f>'Economic Data'!D109</f>
        <v>7159.1</v>
      </c>
      <c r="AQ143" s="5">
        <f>'Economic Data'!E109</f>
        <v>7184.1</v>
      </c>
      <c r="AR143" s="5">
        <f>'Economic Data'!F109</f>
        <v>154.69999999999999</v>
      </c>
      <c r="AS143" s="5">
        <f>'Economic Data'!G109</f>
        <v>155.80000000000001</v>
      </c>
      <c r="AT143" s="5">
        <f>'Economic Data'!H109</f>
        <v>769942</v>
      </c>
      <c r="AU143" s="5">
        <f>'Economic Data'!I109</f>
        <v>8258.2999999999993</v>
      </c>
      <c r="AV143" s="5">
        <f>'Economic Data'!J109</f>
        <v>7244.3</v>
      </c>
      <c r="AW143" s="5">
        <f>'Economic Data'!K109</f>
        <v>5453.2</v>
      </c>
      <c r="AX143" s="5">
        <f>'Economic Data'!L109</f>
        <v>1118.5</v>
      </c>
      <c r="AY143" s="5">
        <f>'Economic Data'!M109</f>
        <v>1755.9</v>
      </c>
      <c r="AZ143" s="5">
        <f>'Economic Data'!N109</f>
        <v>6539.9</v>
      </c>
      <c r="BA143" s="5">
        <f>'Economic Data'!O109</f>
        <v>107.8</v>
      </c>
      <c r="BB143" s="5">
        <f>'Economic Data'!P109</f>
        <v>72</v>
      </c>
      <c r="BC143" s="5">
        <f>'Economic Data'!Q109</f>
        <v>795879</v>
      </c>
      <c r="BD143" s="5">
        <f>'Economic Data'!R109</f>
        <v>8803</v>
      </c>
      <c r="BE143" s="5">
        <f>'Economic Data'!S109</f>
        <v>3986</v>
      </c>
      <c r="BF143" s="5">
        <f>'Economic Data'!T109</f>
        <v>15853</v>
      </c>
      <c r="BG143" s="5">
        <f>'EV Data'!V48</f>
        <v>42896.999999999971</v>
      </c>
      <c r="BH143" s="5">
        <f>'EV Data'!AB48</f>
        <v>199.66666666666674</v>
      </c>
      <c r="BI143" s="5">
        <f>'EV Data'!W48</f>
        <v>633.00000000000011</v>
      </c>
      <c r="BJ143" s="5">
        <f t="shared" si="52"/>
        <v>94</v>
      </c>
      <c r="BK143" s="70">
        <f t="shared" ref="BK143:BK157" si="146">LOG(BJ143)</f>
        <v>1.9731278535996986</v>
      </c>
      <c r="BL143" s="5">
        <f t="shared" ref="BL143:BL157" si="147">BJ143^2</f>
        <v>8836</v>
      </c>
      <c r="BM143">
        <f t="shared" ref="BM143:CA143" si="148">BM131</f>
        <v>0</v>
      </c>
      <c r="BN143">
        <f t="shared" si="148"/>
        <v>0</v>
      </c>
      <c r="BO143">
        <f t="shared" si="148"/>
        <v>0</v>
      </c>
      <c r="BP143">
        <f t="shared" si="148"/>
        <v>0</v>
      </c>
      <c r="BQ143">
        <f t="shared" si="148"/>
        <v>0</v>
      </c>
      <c r="BR143">
        <f t="shared" si="148"/>
        <v>0</v>
      </c>
      <c r="BS143">
        <f t="shared" si="148"/>
        <v>0</v>
      </c>
      <c r="BT143">
        <f t="shared" si="148"/>
        <v>0</v>
      </c>
      <c r="BU143">
        <f t="shared" si="148"/>
        <v>0</v>
      </c>
      <c r="BV143">
        <f t="shared" si="148"/>
        <v>1</v>
      </c>
      <c r="BW143">
        <f t="shared" si="148"/>
        <v>0</v>
      </c>
      <c r="BX143">
        <f t="shared" si="148"/>
        <v>0</v>
      </c>
      <c r="BY143">
        <f t="shared" si="148"/>
        <v>0</v>
      </c>
      <c r="BZ143">
        <f t="shared" si="148"/>
        <v>1</v>
      </c>
      <c r="CA143">
        <f t="shared" si="148"/>
        <v>1</v>
      </c>
      <c r="CB143">
        <f t="shared" si="130"/>
        <v>31</v>
      </c>
      <c r="CC143">
        <v>21</v>
      </c>
      <c r="CD143">
        <v>1</v>
      </c>
      <c r="CE143">
        <v>0.5</v>
      </c>
      <c r="CF143">
        <f t="shared" si="93"/>
        <v>1</v>
      </c>
      <c r="CG143">
        <v>0</v>
      </c>
      <c r="CH143" s="64">
        <f t="shared" si="95"/>
        <v>300.89999999999998</v>
      </c>
      <c r="CI143" s="64">
        <f t="shared" si="96"/>
        <v>0</v>
      </c>
      <c r="CJ143" s="64">
        <f t="shared" si="97"/>
        <v>239.7</v>
      </c>
      <c r="CK143" s="64">
        <f t="shared" si="98"/>
        <v>0.80000000000000071</v>
      </c>
      <c r="CL143" s="64">
        <f t="shared" si="99"/>
        <v>181.8</v>
      </c>
      <c r="CM143" s="64">
        <f t="shared" si="100"/>
        <v>4.9000000000000021</v>
      </c>
      <c r="CN143" s="64">
        <f t="shared" si="101"/>
        <v>129.4</v>
      </c>
      <c r="CO143" s="64">
        <f t="shared" si="102"/>
        <v>14.500000000000002</v>
      </c>
      <c r="CP143" s="64">
        <f t="shared" si="103"/>
        <v>83.899999999999991</v>
      </c>
      <c r="CQ143" s="64">
        <f t="shared" si="104"/>
        <v>31.000000000000004</v>
      </c>
      <c r="CR143" s="64">
        <f t="shared" si="105"/>
        <v>48.6</v>
      </c>
      <c r="CS143" s="64">
        <f t="shared" si="106"/>
        <v>57.7</v>
      </c>
      <c r="CT143" s="64">
        <f t="shared" si="107"/>
        <v>22.499999999999996</v>
      </c>
      <c r="CU143" s="64">
        <f t="shared" si="108"/>
        <v>93.59999999999998</v>
      </c>
      <c r="CV143" s="69">
        <f t="shared" si="109"/>
        <v>21.302152356141978</v>
      </c>
      <c r="CW143" s="69">
        <f t="shared" si="110"/>
        <v>721.89682598051945</v>
      </c>
      <c r="CX143" s="69">
        <f t="shared" si="127"/>
        <v>3040.1712008840655</v>
      </c>
      <c r="CY143" s="69">
        <f t="shared" si="111"/>
        <v>26453.952380952382</v>
      </c>
      <c r="CZ143" s="64">
        <f t="shared" si="128"/>
        <v>2059.4708135021087</v>
      </c>
      <c r="DA143" s="64">
        <f t="shared" si="112"/>
        <v>17920.419354838708</v>
      </c>
      <c r="DB143">
        <f t="shared" si="113"/>
        <v>300.89999999999998</v>
      </c>
      <c r="DC143">
        <f t="shared" si="114"/>
        <v>0</v>
      </c>
      <c r="DD143">
        <f t="shared" si="115"/>
        <v>239.7</v>
      </c>
      <c r="DE143">
        <f t="shared" si="116"/>
        <v>0.80000000000000071</v>
      </c>
      <c r="DF143">
        <f t="shared" si="117"/>
        <v>181.8</v>
      </c>
      <c r="DG143">
        <f t="shared" si="118"/>
        <v>4.9000000000000021</v>
      </c>
      <c r="DH143">
        <f t="shared" si="119"/>
        <v>129.4</v>
      </c>
      <c r="DI143">
        <f t="shared" si="120"/>
        <v>14.500000000000002</v>
      </c>
      <c r="DJ143">
        <f t="shared" si="121"/>
        <v>83.899999999999991</v>
      </c>
      <c r="DK143">
        <f t="shared" si="122"/>
        <v>31.000000000000004</v>
      </c>
      <c r="DL143">
        <f t="shared" si="123"/>
        <v>48.6</v>
      </c>
      <c r="DM143">
        <f t="shared" si="124"/>
        <v>57.7</v>
      </c>
      <c r="DN143">
        <f t="shared" si="125"/>
        <v>22.499999999999996</v>
      </c>
      <c r="DO143">
        <f t="shared" si="126"/>
        <v>93.59999999999998</v>
      </c>
      <c r="DP143" s="2">
        <f t="shared" si="89"/>
        <v>58</v>
      </c>
      <c r="DQ143" s="2">
        <f t="shared" si="89"/>
        <v>46</v>
      </c>
      <c r="DR143" s="2">
        <f t="shared" si="89"/>
        <v>34</v>
      </c>
      <c r="DS143" s="2">
        <f t="shared" si="89"/>
        <v>22</v>
      </c>
      <c r="DT143" s="2">
        <f t="shared" si="89"/>
        <v>10</v>
      </c>
    </row>
    <row r="144" spans="1:124">
      <c r="A144" s="3">
        <v>44136</v>
      </c>
      <c r="B144">
        <f t="shared" si="145"/>
        <v>2020</v>
      </c>
      <c r="C144" s="2">
        <v>17935327</v>
      </c>
      <c r="D144" s="2">
        <f>VLOOKUP(B144,'Historic CDM'!$B$135:$H$146,2,FALSE)/12</f>
        <v>1183895.730626733</v>
      </c>
      <c r="E144" s="2">
        <f t="shared" si="91"/>
        <v>19119222.730626732</v>
      </c>
      <c r="F144" s="5">
        <v>28357</v>
      </c>
      <c r="G144" s="219">
        <v>4668921</v>
      </c>
      <c r="H144" s="2">
        <f>VLOOKUP(B144,'Historic CDM'!$B$135:$H$147,3,FALSE)/12</f>
        <v>1133474.2109814028</v>
      </c>
      <c r="I144" s="2">
        <f t="shared" si="92"/>
        <v>5802395.2109814025</v>
      </c>
      <c r="J144" s="220">
        <v>2027</v>
      </c>
      <c r="K144" s="219">
        <v>14087979</v>
      </c>
      <c r="L144" s="2">
        <f>VLOOKUP(B144,'Historic CDM'!$B$135:$H$146,4,FALSE)/12</f>
        <v>1202218.3759527351</v>
      </c>
      <c r="M144" s="2">
        <f t="shared" si="132"/>
        <v>15290197.375952736</v>
      </c>
      <c r="N144" s="222">
        <v>46360</v>
      </c>
      <c r="O144" s="5">
        <v>256</v>
      </c>
      <c r="P144" s="219">
        <v>240557</v>
      </c>
      <c r="Q144" s="2">
        <v>618</v>
      </c>
      <c r="R144" s="5">
        <v>2781</v>
      </c>
      <c r="S144" s="220">
        <v>23038</v>
      </c>
      <c r="T144" s="2">
        <v>63</v>
      </c>
      <c r="U144" s="5">
        <v>228</v>
      </c>
      <c r="V144" s="221">
        <v>117392</v>
      </c>
      <c r="W144" s="1">
        <v>125</v>
      </c>
      <c r="X144" s="2">
        <v>2529849</v>
      </c>
      <c r="Y144" s="2">
        <v>9882</v>
      </c>
      <c r="Z144" s="5">
        <v>4</v>
      </c>
      <c r="AA144" s="100">
        <f>'Weather Data'!D240</f>
        <v>389.23552299140982</v>
      </c>
      <c r="AB144" s="100">
        <f>'Weather Data'!E240</f>
        <v>0</v>
      </c>
      <c r="AC144" s="100">
        <f>'Weather Data'!F240</f>
        <v>330.63552299140986</v>
      </c>
      <c r="AD144" s="100">
        <f>'Weather Data'!G240</f>
        <v>1.3999999999999986</v>
      </c>
      <c r="AE144" s="100">
        <f>'Weather Data'!H240</f>
        <v>272.63552299140974</v>
      </c>
      <c r="AF144" s="100">
        <f>'Weather Data'!I240</f>
        <v>3.3999999999999986</v>
      </c>
      <c r="AG144" s="100">
        <f>'Weather Data'!J240</f>
        <v>215.63552299140977</v>
      </c>
      <c r="AH144" s="100">
        <f>'Weather Data'!K240</f>
        <v>6.3999999999999986</v>
      </c>
      <c r="AI144" s="100">
        <f>'Weather Data'!L240</f>
        <v>167.43552299140978</v>
      </c>
      <c r="AJ144" s="100">
        <f>'Weather Data'!M240</f>
        <v>18.199999999999996</v>
      </c>
      <c r="AK144" s="100">
        <f>'Weather Data'!N240</f>
        <v>124.23552299140978</v>
      </c>
      <c r="AL144" s="100">
        <f>'Weather Data'!O240</f>
        <v>34.999999999999993</v>
      </c>
      <c r="AM144" s="100">
        <f>'Weather Data'!P240</f>
        <v>85.035522991409792</v>
      </c>
      <c r="AN144" s="100">
        <f>'Weather Data'!Q240</f>
        <v>55.8</v>
      </c>
      <c r="AO144" s="100">
        <f>'Weather Data'!R240</f>
        <v>7.0254825669530083</v>
      </c>
      <c r="AP144" s="5">
        <f>'Economic Data'!D110</f>
        <v>7242.5</v>
      </c>
      <c r="AQ144" s="5">
        <f>'Economic Data'!E110</f>
        <v>7255.2</v>
      </c>
      <c r="AR144" s="5">
        <f>'Economic Data'!F110</f>
        <v>154.19999999999999</v>
      </c>
      <c r="AS144" s="5">
        <f>'Economic Data'!G110</f>
        <v>155.30000000000001</v>
      </c>
      <c r="AT144" s="5">
        <f>'Economic Data'!H110</f>
        <v>769942</v>
      </c>
      <c r="AU144" s="5">
        <f>'Economic Data'!I110</f>
        <v>8258.2999999999993</v>
      </c>
      <c r="AV144" s="5">
        <f>'Economic Data'!J110</f>
        <v>7244.3</v>
      </c>
      <c r="AW144" s="5">
        <f>'Economic Data'!K110</f>
        <v>5453.2</v>
      </c>
      <c r="AX144" s="5">
        <f>'Economic Data'!L110</f>
        <v>1118.5</v>
      </c>
      <c r="AY144" s="5">
        <f>'Economic Data'!M110</f>
        <v>1755.9</v>
      </c>
      <c r="AZ144" s="5">
        <f>'Economic Data'!N110</f>
        <v>6539.9</v>
      </c>
      <c r="BA144" s="5">
        <f>'Economic Data'!O110</f>
        <v>107.8</v>
      </c>
      <c r="BB144" s="5">
        <f>'Economic Data'!P110</f>
        <v>72</v>
      </c>
      <c r="BC144" s="5">
        <f>'Economic Data'!Q110</f>
        <v>795879</v>
      </c>
      <c r="BD144" s="5">
        <f>'Economic Data'!R110</f>
        <v>8803</v>
      </c>
      <c r="BE144" s="5">
        <f>'Economic Data'!S110</f>
        <v>3986</v>
      </c>
      <c r="BF144" s="5">
        <f>'Economic Data'!T110</f>
        <v>15853</v>
      </c>
      <c r="BG144" s="5">
        <f>'EV Data'!V49</f>
        <v>44055.999999999971</v>
      </c>
      <c r="BH144" s="5">
        <f>'EV Data'!AB49</f>
        <v>204.3333333333334</v>
      </c>
      <c r="BI144" s="5">
        <f>'EV Data'!W49</f>
        <v>646.00000000000011</v>
      </c>
      <c r="BJ144" s="5">
        <f t="shared" ref="BJ144:BJ181" si="149">BJ143+1</f>
        <v>95</v>
      </c>
      <c r="BK144" s="70">
        <f t="shared" si="146"/>
        <v>1.9777236052888478</v>
      </c>
      <c r="BL144" s="5">
        <f t="shared" si="147"/>
        <v>9025</v>
      </c>
      <c r="BM144">
        <f t="shared" ref="BM144:CA144" si="150">BM132</f>
        <v>0</v>
      </c>
      <c r="BN144">
        <f t="shared" si="150"/>
        <v>0</v>
      </c>
      <c r="BO144">
        <f t="shared" si="150"/>
        <v>0</v>
      </c>
      <c r="BP144">
        <f t="shared" si="150"/>
        <v>0</v>
      </c>
      <c r="BQ144">
        <f t="shared" si="150"/>
        <v>0</v>
      </c>
      <c r="BR144">
        <f t="shared" si="150"/>
        <v>0</v>
      </c>
      <c r="BS144">
        <f t="shared" si="150"/>
        <v>0</v>
      </c>
      <c r="BT144">
        <f t="shared" si="150"/>
        <v>0</v>
      </c>
      <c r="BU144">
        <f t="shared" si="150"/>
        <v>0</v>
      </c>
      <c r="BV144">
        <f t="shared" si="150"/>
        <v>0</v>
      </c>
      <c r="BW144">
        <f t="shared" si="150"/>
        <v>1</v>
      </c>
      <c r="BX144">
        <f t="shared" si="150"/>
        <v>0</v>
      </c>
      <c r="BY144">
        <f t="shared" si="150"/>
        <v>0</v>
      </c>
      <c r="BZ144">
        <f t="shared" si="150"/>
        <v>1</v>
      </c>
      <c r="CA144">
        <f t="shared" si="150"/>
        <v>1</v>
      </c>
      <c r="CB144">
        <f t="shared" si="130"/>
        <v>30</v>
      </c>
      <c r="CC144">
        <v>21</v>
      </c>
      <c r="CD144">
        <v>1</v>
      </c>
      <c r="CE144">
        <v>0.5</v>
      </c>
      <c r="CF144">
        <f t="shared" si="93"/>
        <v>1</v>
      </c>
      <c r="CG144">
        <v>0</v>
      </c>
      <c r="CH144" s="64">
        <f t="shared" si="95"/>
        <v>389.23552299140982</v>
      </c>
      <c r="CI144" s="64">
        <f t="shared" si="96"/>
        <v>0</v>
      </c>
      <c r="CJ144" s="64">
        <f t="shared" si="97"/>
        <v>330.63552299140986</v>
      </c>
      <c r="CK144" s="64">
        <f t="shared" si="98"/>
        <v>1.3999999999999986</v>
      </c>
      <c r="CL144" s="64">
        <f t="shared" si="99"/>
        <v>272.63552299140974</v>
      </c>
      <c r="CM144" s="64">
        <f t="shared" si="100"/>
        <v>3.3999999999999986</v>
      </c>
      <c r="CN144" s="64">
        <f t="shared" si="101"/>
        <v>215.63552299140977</v>
      </c>
      <c r="CO144" s="64">
        <f t="shared" si="102"/>
        <v>6.3999999999999986</v>
      </c>
      <c r="CP144" s="64">
        <f t="shared" si="103"/>
        <v>167.43552299140978</v>
      </c>
      <c r="CQ144" s="64">
        <f t="shared" si="104"/>
        <v>18.199999999999996</v>
      </c>
      <c r="CR144" s="64">
        <f t="shared" si="105"/>
        <v>124.23552299140978</v>
      </c>
      <c r="CS144" s="64">
        <f t="shared" si="106"/>
        <v>34.999999999999993</v>
      </c>
      <c r="CT144" s="64">
        <f t="shared" si="107"/>
        <v>85.035522991409792</v>
      </c>
      <c r="CU144" s="64">
        <f t="shared" si="108"/>
        <v>55.8</v>
      </c>
      <c r="CV144" s="69">
        <f t="shared" si="109"/>
        <v>22.474430452947221</v>
      </c>
      <c r="CW144" s="69">
        <f t="shared" si="110"/>
        <v>755.52020976320341</v>
      </c>
      <c r="CX144" s="69">
        <f t="shared" si="127"/>
        <v>2844.1587380864462</v>
      </c>
      <c r="CY144" s="69">
        <f t="shared" si="111"/>
        <v>30117.25</v>
      </c>
      <c r="CZ144" s="64">
        <f t="shared" si="128"/>
        <v>1990.9111166605123</v>
      </c>
      <c r="DA144" s="64">
        <f t="shared" si="112"/>
        <v>21082.075000000001</v>
      </c>
      <c r="DB144">
        <f t="shared" si="113"/>
        <v>389.23552299140982</v>
      </c>
      <c r="DC144">
        <f t="shared" si="114"/>
        <v>0</v>
      </c>
      <c r="DD144">
        <f t="shared" si="115"/>
        <v>330.63552299140986</v>
      </c>
      <c r="DE144">
        <f t="shared" si="116"/>
        <v>1.3999999999999986</v>
      </c>
      <c r="DF144">
        <f t="shared" si="117"/>
        <v>272.63552299140974</v>
      </c>
      <c r="DG144">
        <f t="shared" si="118"/>
        <v>3.3999999999999986</v>
      </c>
      <c r="DH144">
        <f t="shared" si="119"/>
        <v>215.63552299140977</v>
      </c>
      <c r="DI144">
        <f t="shared" si="120"/>
        <v>6.3999999999999986</v>
      </c>
      <c r="DJ144">
        <f t="shared" si="121"/>
        <v>167.43552299140978</v>
      </c>
      <c r="DK144">
        <f t="shared" si="122"/>
        <v>18.199999999999996</v>
      </c>
      <c r="DL144">
        <f t="shared" si="123"/>
        <v>124.23552299140978</v>
      </c>
      <c r="DM144">
        <f t="shared" si="124"/>
        <v>34.999999999999993</v>
      </c>
      <c r="DN144">
        <f t="shared" si="125"/>
        <v>85.035522991409792</v>
      </c>
      <c r="DO144">
        <f t="shared" si="126"/>
        <v>55.8</v>
      </c>
      <c r="DP144" s="2">
        <f t="shared" si="89"/>
        <v>59</v>
      </c>
      <c r="DQ144" s="2">
        <f t="shared" si="89"/>
        <v>47</v>
      </c>
      <c r="DR144" s="2">
        <f t="shared" si="89"/>
        <v>35</v>
      </c>
      <c r="DS144" s="2">
        <f t="shared" si="89"/>
        <v>23</v>
      </c>
      <c r="DT144" s="2">
        <f t="shared" si="89"/>
        <v>11</v>
      </c>
    </row>
    <row r="145" spans="1:124">
      <c r="A145" s="3">
        <v>44166</v>
      </c>
      <c r="B145">
        <f t="shared" si="145"/>
        <v>2020</v>
      </c>
      <c r="C145" s="2">
        <v>21977197</v>
      </c>
      <c r="D145" s="2">
        <f>VLOOKUP(B145,'Historic CDM'!$B$135:$H$146,2,FALSE)/12</f>
        <v>1183895.730626733</v>
      </c>
      <c r="E145" s="2">
        <f t="shared" si="91"/>
        <v>23161092.730626732</v>
      </c>
      <c r="F145" s="5">
        <v>28376</v>
      </c>
      <c r="G145" s="219">
        <v>5019994</v>
      </c>
      <c r="H145" s="2">
        <f>VLOOKUP(B145,'Historic CDM'!$B$135:$H$147,3,FALSE)/12</f>
        <v>1133474.2109814028</v>
      </c>
      <c r="I145" s="2">
        <f t="shared" si="92"/>
        <v>6153468.2109814025</v>
      </c>
      <c r="J145" s="220">
        <v>2029</v>
      </c>
      <c r="K145" s="219">
        <v>14148316</v>
      </c>
      <c r="L145" s="2">
        <f>VLOOKUP(B145,'Historic CDM'!$B$135:$H$146,4,FALSE)/12</f>
        <v>1202218.3759527351</v>
      </c>
      <c r="M145" s="2">
        <f t="shared" si="132"/>
        <v>15350534.375952736</v>
      </c>
      <c r="N145" s="222">
        <v>53530</v>
      </c>
      <c r="O145" s="5">
        <v>256</v>
      </c>
      <c r="P145" s="219">
        <v>263129</v>
      </c>
      <c r="Q145" s="2">
        <v>618</v>
      </c>
      <c r="R145" s="5">
        <v>2783</v>
      </c>
      <c r="S145" s="220">
        <v>23854</v>
      </c>
      <c r="T145" s="2">
        <v>65</v>
      </c>
      <c r="U145" s="5">
        <v>228</v>
      </c>
      <c r="V145" s="221">
        <v>117392</v>
      </c>
      <c r="W145" s="1">
        <v>125</v>
      </c>
      <c r="X145" s="2">
        <v>2398255</v>
      </c>
      <c r="Y145" s="2">
        <v>10393</v>
      </c>
      <c r="Z145" s="5">
        <v>4</v>
      </c>
      <c r="AA145" s="100">
        <f>'Weather Data'!D241</f>
        <v>609.4</v>
      </c>
      <c r="AB145" s="100">
        <f>'Weather Data'!E241</f>
        <v>0</v>
      </c>
      <c r="AC145" s="100">
        <f>'Weather Data'!F241</f>
        <v>547.4</v>
      </c>
      <c r="AD145" s="100">
        <f>'Weather Data'!G241</f>
        <v>0</v>
      </c>
      <c r="AE145" s="100">
        <f>'Weather Data'!H241</f>
        <v>485.40000000000003</v>
      </c>
      <c r="AF145" s="100">
        <f>'Weather Data'!I241</f>
        <v>0</v>
      </c>
      <c r="AG145" s="100">
        <f>'Weather Data'!J241</f>
        <v>423.40000000000003</v>
      </c>
      <c r="AH145" s="100">
        <f>'Weather Data'!K241</f>
        <v>0</v>
      </c>
      <c r="AI145" s="100">
        <f>'Weather Data'!L241</f>
        <v>361.4</v>
      </c>
      <c r="AJ145" s="100">
        <f>'Weather Data'!M241</f>
        <v>0</v>
      </c>
      <c r="AK145" s="100">
        <f>'Weather Data'!N241</f>
        <v>299.40000000000009</v>
      </c>
      <c r="AL145" s="100">
        <f>'Weather Data'!O241</f>
        <v>0</v>
      </c>
      <c r="AM145" s="100">
        <f>'Weather Data'!P241</f>
        <v>237.40000000000006</v>
      </c>
      <c r="AN145" s="100">
        <f>'Weather Data'!Q241</f>
        <v>0</v>
      </c>
      <c r="AO145" s="100">
        <f>'Weather Data'!R241</f>
        <v>0.34193548387096778</v>
      </c>
      <c r="AP145" s="5">
        <f>'Economic Data'!D111</f>
        <v>7258.1</v>
      </c>
      <c r="AQ145" s="5">
        <f>'Economic Data'!E111</f>
        <v>7273.3</v>
      </c>
      <c r="AR145" s="5">
        <f>'Economic Data'!F111</f>
        <v>149.69999999999999</v>
      </c>
      <c r="AS145" s="5">
        <f>'Economic Data'!G111</f>
        <v>150.5</v>
      </c>
      <c r="AT145" s="5">
        <f>'Economic Data'!H111</f>
        <v>769942</v>
      </c>
      <c r="AU145" s="5">
        <f>'Economic Data'!I111</f>
        <v>8258.2999999999993</v>
      </c>
      <c r="AV145" s="5">
        <f>'Economic Data'!J111</f>
        <v>7244.3</v>
      </c>
      <c r="AW145" s="5">
        <f>'Economic Data'!K111</f>
        <v>5453.2</v>
      </c>
      <c r="AX145" s="5">
        <f>'Economic Data'!L111</f>
        <v>1118.5</v>
      </c>
      <c r="AY145" s="5">
        <f>'Economic Data'!M111</f>
        <v>1755.9</v>
      </c>
      <c r="AZ145" s="5">
        <f>'Economic Data'!N111</f>
        <v>6539.9</v>
      </c>
      <c r="BA145" s="5">
        <f>'Economic Data'!O111</f>
        <v>107.8</v>
      </c>
      <c r="BB145" s="5">
        <f>'Economic Data'!P111</f>
        <v>72</v>
      </c>
      <c r="BC145" s="5">
        <f>'Economic Data'!Q111</f>
        <v>795879</v>
      </c>
      <c r="BD145" s="5">
        <f>'Economic Data'!R111</f>
        <v>8803</v>
      </c>
      <c r="BE145" s="5">
        <f>'Economic Data'!S111</f>
        <v>3986</v>
      </c>
      <c r="BF145" s="5">
        <f>'Economic Data'!T111</f>
        <v>15853</v>
      </c>
      <c r="BG145" s="5">
        <f>'EV Data'!V50</f>
        <v>45214.999999999971</v>
      </c>
      <c r="BH145" s="5">
        <f>'EV Data'!AB50</f>
        <v>209.00000000000006</v>
      </c>
      <c r="BI145" s="5">
        <f>'EV Data'!W50</f>
        <v>659.00000000000011</v>
      </c>
      <c r="BJ145" s="5">
        <f t="shared" si="149"/>
        <v>96</v>
      </c>
      <c r="BK145" s="70">
        <f t="shared" si="146"/>
        <v>1.9822712330395684</v>
      </c>
      <c r="BL145" s="5">
        <f t="shared" si="147"/>
        <v>9216</v>
      </c>
      <c r="BM145">
        <f t="shared" ref="BM145:CA145" si="151">BM133</f>
        <v>0</v>
      </c>
      <c r="BN145">
        <f t="shared" si="151"/>
        <v>0</v>
      </c>
      <c r="BO145">
        <f t="shared" si="151"/>
        <v>0</v>
      </c>
      <c r="BP145">
        <f t="shared" si="151"/>
        <v>0</v>
      </c>
      <c r="BQ145">
        <f t="shared" si="151"/>
        <v>0</v>
      </c>
      <c r="BR145">
        <f t="shared" si="151"/>
        <v>0</v>
      </c>
      <c r="BS145">
        <f t="shared" si="151"/>
        <v>0</v>
      </c>
      <c r="BT145">
        <f t="shared" si="151"/>
        <v>0</v>
      </c>
      <c r="BU145">
        <f t="shared" si="151"/>
        <v>0</v>
      </c>
      <c r="BV145">
        <f t="shared" si="151"/>
        <v>0</v>
      </c>
      <c r="BW145">
        <f t="shared" si="151"/>
        <v>0</v>
      </c>
      <c r="BX145">
        <f t="shared" si="151"/>
        <v>1</v>
      </c>
      <c r="BY145">
        <f t="shared" si="151"/>
        <v>0</v>
      </c>
      <c r="BZ145">
        <f t="shared" si="151"/>
        <v>0</v>
      </c>
      <c r="CA145">
        <f t="shared" si="151"/>
        <v>0</v>
      </c>
      <c r="CB145">
        <f t="shared" si="130"/>
        <v>31</v>
      </c>
      <c r="CC145">
        <v>21</v>
      </c>
      <c r="CD145">
        <v>1</v>
      </c>
      <c r="CE145">
        <v>0.5</v>
      </c>
      <c r="CF145">
        <f t="shared" si="93"/>
        <v>1</v>
      </c>
      <c r="CG145">
        <v>0</v>
      </c>
      <c r="CH145" s="64">
        <f t="shared" si="95"/>
        <v>609.4</v>
      </c>
      <c r="CI145" s="64">
        <f t="shared" si="96"/>
        <v>0</v>
      </c>
      <c r="CJ145" s="64">
        <f t="shared" si="97"/>
        <v>547.4</v>
      </c>
      <c r="CK145" s="64">
        <f t="shared" si="98"/>
        <v>0</v>
      </c>
      <c r="CL145" s="64">
        <f t="shared" si="99"/>
        <v>485.40000000000003</v>
      </c>
      <c r="CM145" s="64">
        <f t="shared" si="100"/>
        <v>0</v>
      </c>
      <c r="CN145" s="64">
        <f t="shared" si="101"/>
        <v>423.40000000000003</v>
      </c>
      <c r="CO145" s="64">
        <f t="shared" si="102"/>
        <v>0</v>
      </c>
      <c r="CP145" s="64">
        <f t="shared" si="103"/>
        <v>361.4</v>
      </c>
      <c r="CQ145" s="64">
        <f t="shared" si="104"/>
        <v>0</v>
      </c>
      <c r="CR145" s="64">
        <f t="shared" si="105"/>
        <v>299.40000000000009</v>
      </c>
      <c r="CS145" s="64">
        <f t="shared" si="106"/>
        <v>0</v>
      </c>
      <c r="CT145" s="64">
        <f t="shared" si="107"/>
        <v>237.40000000000006</v>
      </c>
      <c r="CU145" s="64">
        <f t="shared" si="108"/>
        <v>0</v>
      </c>
      <c r="CV145" s="69">
        <f t="shared" si="109"/>
        <v>26.329716082908242</v>
      </c>
      <c r="CW145" s="69">
        <f t="shared" si="110"/>
        <v>775.38661932729372</v>
      </c>
      <c r="CX145" s="69">
        <f t="shared" si="127"/>
        <v>2855.3821383840655</v>
      </c>
      <c r="CY145" s="69">
        <f t="shared" si="111"/>
        <v>28550.654761904763</v>
      </c>
      <c r="CZ145" s="64">
        <f t="shared" si="128"/>
        <v>1934.2911260021087</v>
      </c>
      <c r="DA145" s="64">
        <f t="shared" si="112"/>
        <v>19340.766129032258</v>
      </c>
      <c r="DB145">
        <f t="shared" si="113"/>
        <v>609.4</v>
      </c>
      <c r="DC145">
        <f t="shared" si="114"/>
        <v>0</v>
      </c>
      <c r="DD145">
        <f t="shared" si="115"/>
        <v>547.4</v>
      </c>
      <c r="DE145">
        <f t="shared" si="116"/>
        <v>0</v>
      </c>
      <c r="DF145">
        <f t="shared" si="117"/>
        <v>485.40000000000003</v>
      </c>
      <c r="DG145">
        <f t="shared" si="118"/>
        <v>0</v>
      </c>
      <c r="DH145">
        <f t="shared" si="119"/>
        <v>423.40000000000003</v>
      </c>
      <c r="DI145">
        <f t="shared" si="120"/>
        <v>0</v>
      </c>
      <c r="DJ145">
        <f t="shared" si="121"/>
        <v>361.4</v>
      </c>
      <c r="DK145">
        <f t="shared" si="122"/>
        <v>0</v>
      </c>
      <c r="DL145">
        <f t="shared" si="123"/>
        <v>299.40000000000009</v>
      </c>
      <c r="DM145">
        <f t="shared" si="124"/>
        <v>0</v>
      </c>
      <c r="DN145">
        <f t="shared" si="125"/>
        <v>237.40000000000006</v>
      </c>
      <c r="DO145">
        <f t="shared" si="126"/>
        <v>0</v>
      </c>
      <c r="DP145" s="2">
        <f t="shared" si="89"/>
        <v>60</v>
      </c>
      <c r="DQ145" s="2">
        <f t="shared" si="89"/>
        <v>48</v>
      </c>
      <c r="DR145" s="2">
        <f t="shared" si="89"/>
        <v>36</v>
      </c>
      <c r="DS145" s="2">
        <f t="shared" si="89"/>
        <v>24</v>
      </c>
      <c r="DT145" s="2">
        <f t="shared" si="89"/>
        <v>12</v>
      </c>
    </row>
    <row r="146" spans="1:124">
      <c r="A146" s="3">
        <v>44197</v>
      </c>
      <c r="B146">
        <f t="shared" si="145"/>
        <v>2021</v>
      </c>
      <c r="C146" s="2">
        <v>21620780</v>
      </c>
      <c r="D146" s="2">
        <f>VLOOKUP(B146,'Historic CDM'!$B$135:$H$146,2,FALSE)/12</f>
        <v>1164594.3140281634</v>
      </c>
      <c r="E146" s="2">
        <f t="shared" si="91"/>
        <v>22785374.314028163</v>
      </c>
      <c r="F146" s="5">
        <v>28390</v>
      </c>
      <c r="G146" s="219">
        <v>4979533</v>
      </c>
      <c r="H146" s="2">
        <f>VLOOKUP(B146,'Historic CDM'!$B$135:$H$147,3,FALSE)/12</f>
        <v>1136021.9338399856</v>
      </c>
      <c r="I146" s="2">
        <f t="shared" si="92"/>
        <v>6115554.9338399861</v>
      </c>
      <c r="J146" s="220">
        <v>2029</v>
      </c>
      <c r="K146" s="219">
        <v>13597751</v>
      </c>
      <c r="L146" s="2">
        <f>VLOOKUP(B146,'Historic CDM'!$B$135:$H$146,4,FALSE)/12</f>
        <v>1231788.6573237095</v>
      </c>
      <c r="M146" s="2">
        <f t="shared" si="132"/>
        <v>14829539.657323709</v>
      </c>
      <c r="N146" s="222">
        <v>34008</v>
      </c>
      <c r="O146" s="5">
        <v>256</v>
      </c>
      <c r="P146" s="219">
        <v>258800</v>
      </c>
      <c r="Q146" s="2">
        <v>618</v>
      </c>
      <c r="R146" s="5">
        <v>2783</v>
      </c>
      <c r="S146" s="220">
        <v>20744</v>
      </c>
      <c r="T146" s="2">
        <v>57</v>
      </c>
      <c r="U146" s="5">
        <v>228</v>
      </c>
      <c r="V146" s="221">
        <v>117392</v>
      </c>
      <c r="W146" s="1">
        <v>125</v>
      </c>
      <c r="X146" s="2">
        <v>2476889</v>
      </c>
      <c r="Y146" s="2">
        <v>6312</v>
      </c>
      <c r="Z146" s="5">
        <v>4</v>
      </c>
      <c r="AA146" s="100">
        <f>'Weather Data'!D242</f>
        <v>672.79999999999984</v>
      </c>
      <c r="AB146" s="100">
        <f>'Weather Data'!E242</f>
        <v>0</v>
      </c>
      <c r="AC146" s="100">
        <f>'Weather Data'!F242</f>
        <v>610.79999999999995</v>
      </c>
      <c r="AD146" s="100">
        <f>'Weather Data'!G242</f>
        <v>0</v>
      </c>
      <c r="AE146" s="100">
        <f>'Weather Data'!H242</f>
        <v>548.79999999999995</v>
      </c>
      <c r="AF146" s="100">
        <f>'Weather Data'!I242</f>
        <v>0</v>
      </c>
      <c r="AG146" s="100">
        <f>'Weather Data'!J242</f>
        <v>486.8</v>
      </c>
      <c r="AH146" s="100">
        <f>'Weather Data'!K242</f>
        <v>0</v>
      </c>
      <c r="AI146" s="100">
        <f>'Weather Data'!L242</f>
        <v>424.80000000000007</v>
      </c>
      <c r="AJ146" s="100">
        <f>'Weather Data'!M242</f>
        <v>0</v>
      </c>
      <c r="AK146" s="100">
        <f>'Weather Data'!N242</f>
        <v>362.8</v>
      </c>
      <c r="AL146" s="100">
        <f>'Weather Data'!O242</f>
        <v>0</v>
      </c>
      <c r="AM146" s="100">
        <f>'Weather Data'!P242</f>
        <v>300.8</v>
      </c>
      <c r="AN146" s="100">
        <f>'Weather Data'!Q242</f>
        <v>0</v>
      </c>
      <c r="AO146" s="100">
        <f>'Weather Data'!R242</f>
        <v>-1.7032258064516126</v>
      </c>
      <c r="AP146" s="5">
        <f>'Economic Data'!D112</f>
        <v>7204.5</v>
      </c>
      <c r="AQ146" s="5">
        <f>'Economic Data'!E112</f>
        <v>7180.4</v>
      </c>
      <c r="AR146" s="5">
        <f>'Economic Data'!F112</f>
        <v>150.80000000000001</v>
      </c>
      <c r="AS146" s="5">
        <f>'Economic Data'!G112</f>
        <v>149.6</v>
      </c>
      <c r="AT146" s="5">
        <f>'Economic Data'!H112</f>
        <v>809658.6</v>
      </c>
      <c r="AU146" s="5">
        <f>'Economic Data'!I112</f>
        <v>8675.1</v>
      </c>
      <c r="AV146" s="5">
        <f>'Economic Data'!J112</f>
        <v>7622.2</v>
      </c>
      <c r="AW146" s="5">
        <f>'Economic Data'!K112</f>
        <v>5799.3</v>
      </c>
      <c r="AX146" s="5">
        <f>'Economic Data'!L112</f>
        <v>1155.7</v>
      </c>
      <c r="AY146" s="5">
        <f>'Economic Data'!M112</f>
        <v>1899.3</v>
      </c>
      <c r="AZ146" s="5">
        <f>'Economic Data'!N112</f>
        <v>6484.1</v>
      </c>
      <c r="BA146" s="5">
        <f>'Economic Data'!O112</f>
        <v>102.4</v>
      </c>
      <c r="BB146" s="5">
        <f>'Economic Data'!P112</f>
        <v>101.8</v>
      </c>
      <c r="BC146" s="5">
        <f>'Economic Data'!Q112</f>
        <v>805455</v>
      </c>
      <c r="BD146" s="5">
        <f>'Economic Data'!R112</f>
        <v>8723</v>
      </c>
      <c r="BE146" s="5">
        <f>'Economic Data'!S112</f>
        <v>3886</v>
      </c>
      <c r="BF146" s="5">
        <f>'Economic Data'!T112</f>
        <v>15742</v>
      </c>
      <c r="BG146" s="5">
        <f>'EV Data'!V51</f>
        <v>46324.666666666635</v>
      </c>
      <c r="BH146" s="5">
        <f>'EV Data'!AB51</f>
        <v>214.66666666666671</v>
      </c>
      <c r="BI146" s="5">
        <f>'EV Data'!W51</f>
        <v>677.33333333333348</v>
      </c>
      <c r="BJ146" s="5">
        <f t="shared" si="149"/>
        <v>97</v>
      </c>
      <c r="BK146" s="70">
        <f t="shared" si="146"/>
        <v>1.9867717342662448</v>
      </c>
      <c r="BL146" s="5">
        <f t="shared" si="147"/>
        <v>9409</v>
      </c>
      <c r="BM146">
        <f t="shared" ref="BM146:CA146" si="152">BM134</f>
        <v>1</v>
      </c>
      <c r="BN146">
        <f t="shared" si="152"/>
        <v>0</v>
      </c>
      <c r="BO146">
        <f t="shared" si="152"/>
        <v>0</v>
      </c>
      <c r="BP146">
        <f t="shared" si="152"/>
        <v>0</v>
      </c>
      <c r="BQ146">
        <f t="shared" si="152"/>
        <v>0</v>
      </c>
      <c r="BR146">
        <f t="shared" si="152"/>
        <v>0</v>
      </c>
      <c r="BS146">
        <f t="shared" si="152"/>
        <v>0</v>
      </c>
      <c r="BT146">
        <f t="shared" si="152"/>
        <v>0</v>
      </c>
      <c r="BU146">
        <f t="shared" si="152"/>
        <v>0</v>
      </c>
      <c r="BV146">
        <f t="shared" si="152"/>
        <v>0</v>
      </c>
      <c r="BW146">
        <f t="shared" si="152"/>
        <v>0</v>
      </c>
      <c r="BX146">
        <f t="shared" si="152"/>
        <v>0</v>
      </c>
      <c r="BY146">
        <f t="shared" si="152"/>
        <v>0</v>
      </c>
      <c r="BZ146">
        <f t="shared" si="152"/>
        <v>0</v>
      </c>
      <c r="CA146">
        <f t="shared" si="152"/>
        <v>0</v>
      </c>
      <c r="CB146">
        <f t="shared" si="130"/>
        <v>31</v>
      </c>
      <c r="CC146">
        <v>20</v>
      </c>
      <c r="CD146">
        <v>1</v>
      </c>
      <c r="CE146">
        <v>0.5</v>
      </c>
      <c r="CF146">
        <v>0.75</v>
      </c>
      <c r="CG146">
        <v>0</v>
      </c>
      <c r="CH146" s="64">
        <f t="shared" ref="CH146:CH169" si="153">AA146*$CD146</f>
        <v>672.79999999999984</v>
      </c>
      <c r="CI146" s="64">
        <f t="shared" ref="CI146:CI169" si="154">AB146*$CD146</f>
        <v>0</v>
      </c>
      <c r="CJ146" s="64">
        <f t="shared" ref="CJ146:CJ169" si="155">AC146*$CD146</f>
        <v>610.79999999999995</v>
      </c>
      <c r="CK146" s="64">
        <f t="shared" ref="CK146:CK169" si="156">AD146*$CD146</f>
        <v>0</v>
      </c>
      <c r="CL146" s="64">
        <f t="shared" ref="CL146:CL169" si="157">AE146*$CD146</f>
        <v>548.79999999999995</v>
      </c>
      <c r="CM146" s="64">
        <f t="shared" ref="CM146:CM169" si="158">AF146*$CD146</f>
        <v>0</v>
      </c>
      <c r="CN146" s="64">
        <f t="shared" ref="CN146:CN169" si="159">AG146*$CD146</f>
        <v>486.8</v>
      </c>
      <c r="CO146" s="64">
        <f t="shared" ref="CO146:CO169" si="160">AH146*$CD146</f>
        <v>0</v>
      </c>
      <c r="CP146" s="64">
        <f t="shared" ref="CP146:CP169" si="161">AI146*$CD146</f>
        <v>424.80000000000007</v>
      </c>
      <c r="CQ146" s="64">
        <f t="shared" ref="CQ146:CQ169" si="162">AJ146*$CD146</f>
        <v>0</v>
      </c>
      <c r="CR146" s="64">
        <f t="shared" ref="CR146:CR169" si="163">AK146*$CD146</f>
        <v>362.8</v>
      </c>
      <c r="CS146" s="64">
        <f t="shared" ref="CS146:CS169" si="164">AL146*$CD146</f>
        <v>0</v>
      </c>
      <c r="CT146" s="64">
        <f t="shared" ref="CT146:CT169" si="165">AM146*$CD146</f>
        <v>300.8</v>
      </c>
      <c r="CU146" s="64">
        <f t="shared" ref="CU146:CU169" si="166">AN146*$CD146</f>
        <v>0</v>
      </c>
      <c r="CV146" s="69">
        <f t="shared" ref="CV146:CV169" si="167">E146/$CB146/F146</f>
        <v>25.889822988589987</v>
      </c>
      <c r="CW146" s="69">
        <f t="shared" ref="CW146:CW169" si="168">I146/$CB146/O146</f>
        <v>770.60924065524023</v>
      </c>
      <c r="CX146" s="69">
        <f t="shared" si="127"/>
        <v>2896.394464321037</v>
      </c>
      <c r="CY146" s="69">
        <f t="shared" ref="CY146:CY169" si="169">X146/$CC146/Z146</f>
        <v>30961.112499999999</v>
      </c>
      <c r="CZ146" s="64">
        <f t="shared" si="128"/>
        <v>1868.6415898845398</v>
      </c>
      <c r="DA146" s="64">
        <f t="shared" ref="DA146:DA169" si="170">X146/$CB146/Z146</f>
        <v>19974.91129032258</v>
      </c>
      <c r="DB146">
        <f t="shared" ref="DB146:DB169" si="171">$CF146*AA146</f>
        <v>504.59999999999991</v>
      </c>
      <c r="DC146">
        <f t="shared" ref="DC146:DC169" si="172">$CF146*AB146</f>
        <v>0</v>
      </c>
      <c r="DD146">
        <f t="shared" ref="DD146:DD169" si="173">$CF146*AC146</f>
        <v>458.09999999999997</v>
      </c>
      <c r="DE146">
        <f t="shared" ref="DE146:DE169" si="174">$CF146*AD146</f>
        <v>0</v>
      </c>
      <c r="DF146">
        <f t="shared" ref="DF146:DF169" si="175">$CF146*AE146</f>
        <v>411.59999999999997</v>
      </c>
      <c r="DG146">
        <f t="shared" ref="DG146:DG169" si="176">$CF146*AF146</f>
        <v>0</v>
      </c>
      <c r="DH146">
        <f t="shared" ref="DH146:DH169" si="177">$CF146*AG146</f>
        <v>365.1</v>
      </c>
      <c r="DI146">
        <f t="shared" ref="DI146:DI169" si="178">$CF146*AH146</f>
        <v>0</v>
      </c>
      <c r="DJ146">
        <f t="shared" ref="DJ146:DJ169" si="179">$CF146*AI146</f>
        <v>318.60000000000002</v>
      </c>
      <c r="DK146">
        <f t="shared" ref="DK146:DK169" si="180">$CF146*AJ146</f>
        <v>0</v>
      </c>
      <c r="DL146">
        <f t="shared" ref="DL146:DL169" si="181">$CF146*AK146</f>
        <v>272.10000000000002</v>
      </c>
      <c r="DM146">
        <f t="shared" ref="DM146:DM169" si="182">$CF146*AL146</f>
        <v>0</v>
      </c>
      <c r="DN146">
        <f t="shared" ref="DN146:DN169" si="183">$CF146*AM146</f>
        <v>225.60000000000002</v>
      </c>
      <c r="DO146">
        <f t="shared" ref="DO146:DO169" si="184">$CF146*AN146</f>
        <v>0</v>
      </c>
      <c r="DP146" s="2">
        <f t="shared" si="89"/>
        <v>61</v>
      </c>
      <c r="DQ146" s="2">
        <f t="shared" si="89"/>
        <v>49</v>
      </c>
      <c r="DR146" s="2">
        <f t="shared" si="89"/>
        <v>37</v>
      </c>
      <c r="DS146" s="2">
        <f t="shared" si="89"/>
        <v>25</v>
      </c>
      <c r="DT146" s="2">
        <f t="shared" si="89"/>
        <v>13</v>
      </c>
    </row>
    <row r="147" spans="1:124">
      <c r="A147" s="3">
        <v>44228</v>
      </c>
      <c r="B147">
        <f t="shared" si="145"/>
        <v>2021</v>
      </c>
      <c r="C147" s="2">
        <v>19858810</v>
      </c>
      <c r="D147" s="2">
        <f>VLOOKUP(B147,'Historic CDM'!$B$135:$H$146,2,FALSE)/12</f>
        <v>1164594.3140281634</v>
      </c>
      <c r="E147" s="2">
        <f t="shared" si="91"/>
        <v>21023404.314028163</v>
      </c>
      <c r="F147" s="5">
        <v>28401</v>
      </c>
      <c r="G147" s="219">
        <v>4774630</v>
      </c>
      <c r="H147" s="2">
        <f>VLOOKUP(B147,'Historic CDM'!$B$135:$H$147,3,FALSE)/12</f>
        <v>1136021.9338399856</v>
      </c>
      <c r="I147" s="2">
        <f t="shared" si="92"/>
        <v>5910651.9338399861</v>
      </c>
      <c r="J147" s="220">
        <v>2029</v>
      </c>
      <c r="K147" s="219">
        <v>13231564</v>
      </c>
      <c r="L147" s="2">
        <f>VLOOKUP(B147,'Historic CDM'!$B$135:$H$146,4,FALSE)/12</f>
        <v>1231788.6573237095</v>
      </c>
      <c r="M147" s="2">
        <f t="shared" si="132"/>
        <v>14463352.657323709</v>
      </c>
      <c r="N147" s="222">
        <v>47510</v>
      </c>
      <c r="O147" s="5">
        <v>256</v>
      </c>
      <c r="P147" s="219">
        <v>232901</v>
      </c>
      <c r="Q147" s="2">
        <v>620</v>
      </c>
      <c r="R147" s="5">
        <v>2784</v>
      </c>
      <c r="S147" s="220">
        <v>25137</v>
      </c>
      <c r="T147" s="2">
        <v>69</v>
      </c>
      <c r="U147" s="5">
        <v>228</v>
      </c>
      <c r="V147" s="221">
        <v>117392</v>
      </c>
      <c r="W147" s="1">
        <v>125</v>
      </c>
      <c r="X147" s="2">
        <v>2421447</v>
      </c>
      <c r="Y147" s="2">
        <v>6544</v>
      </c>
      <c r="Z147" s="5">
        <v>4</v>
      </c>
      <c r="AA147" s="100">
        <f>'Weather Data'!D243</f>
        <v>710.80000000000007</v>
      </c>
      <c r="AB147" s="100">
        <f>'Weather Data'!E243</f>
        <v>0</v>
      </c>
      <c r="AC147" s="100">
        <f>'Weather Data'!F243</f>
        <v>654.80000000000018</v>
      </c>
      <c r="AD147" s="100">
        <f>'Weather Data'!G243</f>
        <v>0</v>
      </c>
      <c r="AE147" s="100">
        <f>'Weather Data'!H243</f>
        <v>598.80000000000018</v>
      </c>
      <c r="AF147" s="100">
        <f>'Weather Data'!I243</f>
        <v>0</v>
      </c>
      <c r="AG147" s="100">
        <f>'Weather Data'!J243</f>
        <v>542.80000000000018</v>
      </c>
      <c r="AH147" s="100">
        <f>'Weather Data'!K243</f>
        <v>0</v>
      </c>
      <c r="AI147" s="100">
        <f>'Weather Data'!L243</f>
        <v>486.80000000000013</v>
      </c>
      <c r="AJ147" s="100">
        <f>'Weather Data'!M243</f>
        <v>0</v>
      </c>
      <c r="AK147" s="100">
        <f>'Weather Data'!N243</f>
        <v>430.80000000000007</v>
      </c>
      <c r="AL147" s="100">
        <f>'Weather Data'!O243</f>
        <v>0</v>
      </c>
      <c r="AM147" s="100">
        <f>'Weather Data'!P243</f>
        <v>374.80000000000007</v>
      </c>
      <c r="AN147" s="100">
        <f>'Weather Data'!Q243</f>
        <v>0</v>
      </c>
      <c r="AO147" s="100">
        <f>'Weather Data'!R243</f>
        <v>-5.3857142857142852</v>
      </c>
      <c r="AP147" s="5">
        <f>'Economic Data'!D113</f>
        <v>7182.2</v>
      </c>
      <c r="AQ147" s="5">
        <f>'Economic Data'!E113</f>
        <v>7124.8</v>
      </c>
      <c r="AR147" s="5">
        <f>'Economic Data'!F113</f>
        <v>151.6</v>
      </c>
      <c r="AS147" s="5">
        <f>'Economic Data'!G113</f>
        <v>150</v>
      </c>
      <c r="AT147" s="5">
        <f>'Economic Data'!H113</f>
        <v>809658.6</v>
      </c>
      <c r="AU147" s="5">
        <f>'Economic Data'!I113</f>
        <v>8675.1</v>
      </c>
      <c r="AV147" s="5">
        <f>'Economic Data'!J113</f>
        <v>7622.2</v>
      </c>
      <c r="AW147" s="5">
        <f>'Economic Data'!K113</f>
        <v>5799.3</v>
      </c>
      <c r="AX147" s="5">
        <f>'Economic Data'!L113</f>
        <v>1155.7</v>
      </c>
      <c r="AY147" s="5">
        <f>'Economic Data'!M113</f>
        <v>1899.3</v>
      </c>
      <c r="AZ147" s="5">
        <f>'Economic Data'!N113</f>
        <v>6484.1</v>
      </c>
      <c r="BA147" s="5">
        <f>'Economic Data'!O113</f>
        <v>102.4</v>
      </c>
      <c r="BB147" s="5">
        <f>'Economic Data'!P113</f>
        <v>101.8</v>
      </c>
      <c r="BC147" s="5">
        <f>'Economic Data'!Q113</f>
        <v>805455</v>
      </c>
      <c r="BD147" s="5">
        <f>'Economic Data'!R113</f>
        <v>8723</v>
      </c>
      <c r="BE147" s="5">
        <f>'Economic Data'!S113</f>
        <v>3886</v>
      </c>
      <c r="BF147" s="5">
        <f>'Economic Data'!T113</f>
        <v>15742</v>
      </c>
      <c r="BG147" s="5">
        <f>'EV Data'!V52</f>
        <v>47434.333333333299</v>
      </c>
      <c r="BH147" s="5">
        <f>'EV Data'!AB52</f>
        <v>220.33333333333337</v>
      </c>
      <c r="BI147" s="5">
        <f>'EV Data'!W52</f>
        <v>695.66666666666686</v>
      </c>
      <c r="BJ147" s="5">
        <f t="shared" si="149"/>
        <v>98</v>
      </c>
      <c r="BK147" s="70">
        <f t="shared" si="146"/>
        <v>1.9912260756924949</v>
      </c>
      <c r="BL147" s="5">
        <f t="shared" si="147"/>
        <v>9604</v>
      </c>
      <c r="BM147">
        <f t="shared" ref="BM147:CA147" si="185">BM135</f>
        <v>0</v>
      </c>
      <c r="BN147">
        <f t="shared" si="185"/>
        <v>1</v>
      </c>
      <c r="BO147">
        <f t="shared" si="185"/>
        <v>0</v>
      </c>
      <c r="BP147">
        <f t="shared" si="185"/>
        <v>0</v>
      </c>
      <c r="BQ147">
        <f t="shared" si="185"/>
        <v>0</v>
      </c>
      <c r="BR147">
        <f t="shared" si="185"/>
        <v>0</v>
      </c>
      <c r="BS147">
        <f t="shared" si="185"/>
        <v>0</v>
      </c>
      <c r="BT147">
        <f t="shared" si="185"/>
        <v>0</v>
      </c>
      <c r="BU147">
        <f t="shared" si="185"/>
        <v>0</v>
      </c>
      <c r="BV147">
        <f t="shared" si="185"/>
        <v>0</v>
      </c>
      <c r="BW147">
        <f t="shared" si="185"/>
        <v>0</v>
      </c>
      <c r="BX147">
        <f t="shared" si="185"/>
        <v>0</v>
      </c>
      <c r="BY147">
        <f t="shared" si="185"/>
        <v>0</v>
      </c>
      <c r="BZ147">
        <f t="shared" si="185"/>
        <v>0</v>
      </c>
      <c r="CA147">
        <f t="shared" si="185"/>
        <v>0</v>
      </c>
      <c r="CB147">
        <f t="shared" si="130"/>
        <v>28</v>
      </c>
      <c r="CC147">
        <v>19</v>
      </c>
      <c r="CD147">
        <v>1</v>
      </c>
      <c r="CE147">
        <v>0.5</v>
      </c>
      <c r="CF147">
        <f t="shared" si="93"/>
        <v>0.75</v>
      </c>
      <c r="CG147">
        <v>0</v>
      </c>
      <c r="CH147" s="64">
        <f t="shared" si="153"/>
        <v>710.80000000000007</v>
      </c>
      <c r="CI147" s="64">
        <f t="shared" si="154"/>
        <v>0</v>
      </c>
      <c r="CJ147" s="64">
        <f t="shared" si="155"/>
        <v>654.80000000000018</v>
      </c>
      <c r="CK147" s="64">
        <f t="shared" si="156"/>
        <v>0</v>
      </c>
      <c r="CL147" s="64">
        <f t="shared" si="157"/>
        <v>598.80000000000018</v>
      </c>
      <c r="CM147" s="64">
        <f t="shared" si="158"/>
        <v>0</v>
      </c>
      <c r="CN147" s="64">
        <f t="shared" si="159"/>
        <v>542.80000000000018</v>
      </c>
      <c r="CO147" s="64">
        <f t="shared" si="160"/>
        <v>0</v>
      </c>
      <c r="CP147" s="64">
        <f t="shared" si="161"/>
        <v>486.80000000000013</v>
      </c>
      <c r="CQ147" s="64">
        <f t="shared" si="162"/>
        <v>0</v>
      </c>
      <c r="CR147" s="64">
        <f t="shared" si="163"/>
        <v>430.80000000000007</v>
      </c>
      <c r="CS147" s="64">
        <f t="shared" si="164"/>
        <v>0</v>
      </c>
      <c r="CT147" s="64">
        <f t="shared" si="165"/>
        <v>374.80000000000007</v>
      </c>
      <c r="CU147" s="64">
        <f t="shared" si="166"/>
        <v>0</v>
      </c>
      <c r="CV147" s="69">
        <f t="shared" si="167"/>
        <v>26.436951810082341</v>
      </c>
      <c r="CW147" s="69">
        <f t="shared" si="168"/>
        <v>824.58871844865882</v>
      </c>
      <c r="CX147" s="69">
        <f t="shared" si="127"/>
        <v>2973.5511219826703</v>
      </c>
      <c r="CY147" s="69">
        <f t="shared" si="169"/>
        <v>31861.144736842107</v>
      </c>
      <c r="CZ147" s="64">
        <f t="shared" si="128"/>
        <v>2017.766832773955</v>
      </c>
      <c r="DA147" s="64">
        <f t="shared" si="170"/>
        <v>21620.0625</v>
      </c>
      <c r="DB147">
        <f t="shared" si="171"/>
        <v>533.1</v>
      </c>
      <c r="DC147">
        <f t="shared" si="172"/>
        <v>0</v>
      </c>
      <c r="DD147">
        <f t="shared" si="173"/>
        <v>491.10000000000014</v>
      </c>
      <c r="DE147">
        <f t="shared" si="174"/>
        <v>0</v>
      </c>
      <c r="DF147">
        <f t="shared" si="175"/>
        <v>449.10000000000014</v>
      </c>
      <c r="DG147">
        <f t="shared" si="176"/>
        <v>0</v>
      </c>
      <c r="DH147">
        <f t="shared" si="177"/>
        <v>407.10000000000014</v>
      </c>
      <c r="DI147">
        <f t="shared" si="178"/>
        <v>0</v>
      </c>
      <c r="DJ147">
        <f t="shared" si="179"/>
        <v>365.10000000000008</v>
      </c>
      <c r="DK147">
        <f t="shared" si="180"/>
        <v>0</v>
      </c>
      <c r="DL147">
        <f t="shared" si="181"/>
        <v>323.10000000000002</v>
      </c>
      <c r="DM147">
        <f t="shared" si="182"/>
        <v>0</v>
      </c>
      <c r="DN147">
        <f t="shared" si="183"/>
        <v>281.10000000000002</v>
      </c>
      <c r="DO147">
        <f t="shared" si="184"/>
        <v>0</v>
      </c>
      <c r="DP147" s="2">
        <f t="shared" si="89"/>
        <v>62</v>
      </c>
      <c r="DQ147" s="2">
        <f t="shared" si="89"/>
        <v>50</v>
      </c>
      <c r="DR147" s="2">
        <f t="shared" si="89"/>
        <v>38</v>
      </c>
      <c r="DS147" s="2">
        <f t="shared" si="89"/>
        <v>26</v>
      </c>
      <c r="DT147" s="2">
        <f t="shared" si="89"/>
        <v>14</v>
      </c>
    </row>
    <row r="148" spans="1:124">
      <c r="A148" s="3">
        <v>44256</v>
      </c>
      <c r="B148">
        <f t="shared" si="145"/>
        <v>2021</v>
      </c>
      <c r="C148" s="2">
        <v>18364097</v>
      </c>
      <c r="D148" s="2">
        <f>VLOOKUP(B148,'Historic CDM'!$B$135:$H$146,2,FALSE)/12</f>
        <v>1164594.3140281634</v>
      </c>
      <c r="E148" s="2">
        <f t="shared" si="91"/>
        <v>19528691.314028163</v>
      </c>
      <c r="F148" s="5">
        <v>28446</v>
      </c>
      <c r="G148" s="219">
        <v>4908423</v>
      </c>
      <c r="H148" s="2">
        <f>VLOOKUP(B148,'Historic CDM'!$B$135:$H$147,3,FALSE)/12</f>
        <v>1136021.9338399856</v>
      </c>
      <c r="I148" s="2">
        <f t="shared" si="92"/>
        <v>6044444.9338399861</v>
      </c>
      <c r="J148" s="220">
        <v>2033</v>
      </c>
      <c r="K148" s="219">
        <v>13755826</v>
      </c>
      <c r="L148" s="2">
        <f>VLOOKUP(B148,'Historic CDM'!$B$135:$H$146,4,FALSE)/12</f>
        <v>1231788.6573237095</v>
      </c>
      <c r="M148" s="2">
        <f t="shared" si="132"/>
        <v>14987614.657323709</v>
      </c>
      <c r="N148" s="222">
        <v>41579</v>
      </c>
      <c r="O148" s="5">
        <v>256</v>
      </c>
      <c r="P148" s="219">
        <v>217035</v>
      </c>
      <c r="Q148" s="2">
        <v>616</v>
      </c>
      <c r="R148" s="5">
        <v>2784</v>
      </c>
      <c r="S148" s="220">
        <v>23177</v>
      </c>
      <c r="T148" s="2">
        <v>63</v>
      </c>
      <c r="U148" s="5">
        <v>228</v>
      </c>
      <c r="V148" s="221">
        <v>117392</v>
      </c>
      <c r="W148" s="1">
        <v>125</v>
      </c>
      <c r="X148" s="2">
        <v>1798087</v>
      </c>
      <c r="Y148" s="2">
        <v>6173</v>
      </c>
      <c r="Z148" s="5">
        <v>4</v>
      </c>
      <c r="AA148" s="100">
        <f>'Weather Data'!D244</f>
        <v>460.49999999999994</v>
      </c>
      <c r="AB148" s="100">
        <f>'Weather Data'!E244</f>
        <v>0</v>
      </c>
      <c r="AC148" s="100">
        <f>'Weather Data'!F244</f>
        <v>398.49999999999994</v>
      </c>
      <c r="AD148" s="100">
        <f>'Weather Data'!G244</f>
        <v>0</v>
      </c>
      <c r="AE148" s="100">
        <f>'Weather Data'!H244</f>
        <v>336.49999999999994</v>
      </c>
      <c r="AF148" s="100">
        <f>'Weather Data'!I244</f>
        <v>0</v>
      </c>
      <c r="AG148" s="100">
        <f>'Weather Data'!J244</f>
        <v>275.60000000000008</v>
      </c>
      <c r="AH148" s="100">
        <f>'Weather Data'!K244</f>
        <v>1.0999999999999996</v>
      </c>
      <c r="AI148" s="100">
        <f>'Weather Data'!L244</f>
        <v>217.30000000000004</v>
      </c>
      <c r="AJ148" s="100">
        <f>'Weather Data'!M244</f>
        <v>4.7999999999999989</v>
      </c>
      <c r="AK148" s="100">
        <f>'Weather Data'!N244</f>
        <v>164.20000000000002</v>
      </c>
      <c r="AL148" s="100">
        <f>'Weather Data'!O244</f>
        <v>13.699999999999998</v>
      </c>
      <c r="AM148" s="100">
        <f>'Weather Data'!P244</f>
        <v>117.4</v>
      </c>
      <c r="AN148" s="100">
        <f>'Weather Data'!Q244</f>
        <v>28.9</v>
      </c>
      <c r="AO148" s="100">
        <f>'Weather Data'!R244</f>
        <v>5.1451612903225801</v>
      </c>
      <c r="AP148" s="5">
        <f>'Economic Data'!D114</f>
        <v>7223</v>
      </c>
      <c r="AQ148" s="5">
        <f>'Economic Data'!E114</f>
        <v>7129.5</v>
      </c>
      <c r="AR148" s="5">
        <f>'Economic Data'!F114</f>
        <v>159.5</v>
      </c>
      <c r="AS148" s="5">
        <f>'Economic Data'!G114</f>
        <v>156.30000000000001</v>
      </c>
      <c r="AT148" s="5">
        <f>'Economic Data'!H114</f>
        <v>809658.6</v>
      </c>
      <c r="AU148" s="5">
        <f>'Economic Data'!I114</f>
        <v>8675.1</v>
      </c>
      <c r="AV148" s="5">
        <f>'Economic Data'!J114</f>
        <v>7622.2</v>
      </c>
      <c r="AW148" s="5">
        <f>'Economic Data'!K114</f>
        <v>5799.3</v>
      </c>
      <c r="AX148" s="5">
        <f>'Economic Data'!L114</f>
        <v>1155.7</v>
      </c>
      <c r="AY148" s="5">
        <f>'Economic Data'!M114</f>
        <v>1899.3</v>
      </c>
      <c r="AZ148" s="5">
        <f>'Economic Data'!N114</f>
        <v>6484.1</v>
      </c>
      <c r="BA148" s="5">
        <f>'Economic Data'!O114</f>
        <v>102.4</v>
      </c>
      <c r="BB148" s="5">
        <f>'Economic Data'!P114</f>
        <v>101.8</v>
      </c>
      <c r="BC148" s="5">
        <f>'Economic Data'!Q114</f>
        <v>805455</v>
      </c>
      <c r="BD148" s="5">
        <f>'Economic Data'!R114</f>
        <v>8723</v>
      </c>
      <c r="BE148" s="5">
        <f>'Economic Data'!S114</f>
        <v>3886</v>
      </c>
      <c r="BF148" s="5">
        <f>'Economic Data'!T114</f>
        <v>15742</v>
      </c>
      <c r="BG148" s="5">
        <f>'EV Data'!V53</f>
        <v>48543.999999999964</v>
      </c>
      <c r="BH148" s="5">
        <f>'EV Data'!AB53</f>
        <v>226.00000000000003</v>
      </c>
      <c r="BI148" s="5">
        <f>'EV Data'!W53</f>
        <v>714.00000000000023</v>
      </c>
      <c r="BJ148" s="5">
        <f t="shared" si="149"/>
        <v>99</v>
      </c>
      <c r="BK148" s="70">
        <f t="shared" si="146"/>
        <v>1.9956351945975499</v>
      </c>
      <c r="BL148" s="5">
        <f t="shared" si="147"/>
        <v>9801</v>
      </c>
      <c r="BM148">
        <f t="shared" ref="BM148:CA148" si="186">BM136</f>
        <v>0</v>
      </c>
      <c r="BN148">
        <f t="shared" si="186"/>
        <v>0</v>
      </c>
      <c r="BO148">
        <f t="shared" si="186"/>
        <v>1</v>
      </c>
      <c r="BP148">
        <f t="shared" si="186"/>
        <v>0</v>
      </c>
      <c r="BQ148">
        <f t="shared" si="186"/>
        <v>0</v>
      </c>
      <c r="BR148">
        <f t="shared" si="186"/>
        <v>0</v>
      </c>
      <c r="BS148">
        <f t="shared" si="186"/>
        <v>0</v>
      </c>
      <c r="BT148">
        <f t="shared" si="186"/>
        <v>0</v>
      </c>
      <c r="BU148">
        <f t="shared" si="186"/>
        <v>0</v>
      </c>
      <c r="BV148">
        <f t="shared" si="186"/>
        <v>0</v>
      </c>
      <c r="BW148">
        <f t="shared" si="186"/>
        <v>0</v>
      </c>
      <c r="BX148">
        <f t="shared" si="186"/>
        <v>0</v>
      </c>
      <c r="BY148">
        <f t="shared" si="186"/>
        <v>1</v>
      </c>
      <c r="BZ148">
        <f t="shared" si="186"/>
        <v>0</v>
      </c>
      <c r="CA148">
        <f t="shared" si="186"/>
        <v>1</v>
      </c>
      <c r="CB148">
        <f t="shared" si="130"/>
        <v>31</v>
      </c>
      <c r="CC148">
        <v>23</v>
      </c>
      <c r="CD148">
        <v>1</v>
      </c>
      <c r="CE148">
        <v>0.5</v>
      </c>
      <c r="CF148">
        <f t="shared" si="93"/>
        <v>0.75</v>
      </c>
      <c r="CG148">
        <v>0</v>
      </c>
      <c r="CH148" s="64">
        <f t="shared" si="153"/>
        <v>460.49999999999994</v>
      </c>
      <c r="CI148" s="64">
        <f t="shared" si="154"/>
        <v>0</v>
      </c>
      <c r="CJ148" s="64">
        <f t="shared" si="155"/>
        <v>398.49999999999994</v>
      </c>
      <c r="CK148" s="64">
        <f t="shared" si="156"/>
        <v>0</v>
      </c>
      <c r="CL148" s="64">
        <f t="shared" si="157"/>
        <v>336.49999999999994</v>
      </c>
      <c r="CM148" s="64">
        <f t="shared" si="158"/>
        <v>0</v>
      </c>
      <c r="CN148" s="64">
        <f t="shared" si="159"/>
        <v>275.60000000000008</v>
      </c>
      <c r="CO148" s="64">
        <f t="shared" si="160"/>
        <v>1.0999999999999996</v>
      </c>
      <c r="CP148" s="64">
        <f t="shared" si="161"/>
        <v>217.30000000000004</v>
      </c>
      <c r="CQ148" s="64">
        <f t="shared" si="162"/>
        <v>4.7999999999999989</v>
      </c>
      <c r="CR148" s="64">
        <f t="shared" si="163"/>
        <v>164.20000000000002</v>
      </c>
      <c r="CS148" s="64">
        <f t="shared" si="164"/>
        <v>13.699999999999998</v>
      </c>
      <c r="CT148" s="64">
        <f t="shared" si="165"/>
        <v>117.4</v>
      </c>
      <c r="CU148" s="64">
        <f t="shared" si="166"/>
        <v>28.9</v>
      </c>
      <c r="CV148" s="69">
        <f t="shared" si="167"/>
        <v>22.145742259842827</v>
      </c>
      <c r="CW148" s="69">
        <f t="shared" si="168"/>
        <v>761.64880718749828</v>
      </c>
      <c r="CX148" s="69">
        <f t="shared" si="127"/>
        <v>2545.450858920467</v>
      </c>
      <c r="CY148" s="69">
        <f t="shared" si="169"/>
        <v>19544.42391304348</v>
      </c>
      <c r="CZ148" s="64">
        <f t="shared" si="128"/>
        <v>1888.5603146829269</v>
      </c>
      <c r="DA148" s="64">
        <f t="shared" si="170"/>
        <v>14500.701612903225</v>
      </c>
      <c r="DB148">
        <f t="shared" si="171"/>
        <v>345.37499999999994</v>
      </c>
      <c r="DC148">
        <f t="shared" si="172"/>
        <v>0</v>
      </c>
      <c r="DD148">
        <f t="shared" si="173"/>
        <v>298.87499999999994</v>
      </c>
      <c r="DE148">
        <f t="shared" si="174"/>
        <v>0</v>
      </c>
      <c r="DF148">
        <f t="shared" si="175"/>
        <v>252.37499999999994</v>
      </c>
      <c r="DG148">
        <f t="shared" si="176"/>
        <v>0</v>
      </c>
      <c r="DH148">
        <f t="shared" si="177"/>
        <v>206.70000000000005</v>
      </c>
      <c r="DI148">
        <f t="shared" si="178"/>
        <v>0.82499999999999973</v>
      </c>
      <c r="DJ148">
        <f t="shared" si="179"/>
        <v>162.97500000000002</v>
      </c>
      <c r="DK148">
        <f t="shared" si="180"/>
        <v>3.5999999999999992</v>
      </c>
      <c r="DL148">
        <f t="shared" si="181"/>
        <v>123.15</v>
      </c>
      <c r="DM148">
        <f t="shared" si="182"/>
        <v>10.274999999999999</v>
      </c>
      <c r="DN148">
        <f t="shared" si="183"/>
        <v>88.050000000000011</v>
      </c>
      <c r="DO148">
        <f t="shared" si="184"/>
        <v>21.674999999999997</v>
      </c>
      <c r="DP148" s="2">
        <f t="shared" si="89"/>
        <v>63</v>
      </c>
      <c r="DQ148" s="2">
        <f t="shared" si="89"/>
        <v>51</v>
      </c>
      <c r="DR148" s="2">
        <f t="shared" si="89"/>
        <v>39</v>
      </c>
      <c r="DS148" s="2">
        <f t="shared" si="89"/>
        <v>27</v>
      </c>
      <c r="DT148" s="2">
        <f t="shared" si="89"/>
        <v>15</v>
      </c>
    </row>
    <row r="149" spans="1:124">
      <c r="A149" s="3">
        <v>44287</v>
      </c>
      <c r="B149">
        <f t="shared" si="145"/>
        <v>2021</v>
      </c>
      <c r="C149" s="2">
        <v>17041729</v>
      </c>
      <c r="D149" s="2">
        <f>VLOOKUP(B149,'Historic CDM'!$B$135:$H$146,2,FALSE)/12</f>
        <v>1164594.3140281634</v>
      </c>
      <c r="E149" s="2">
        <f t="shared" si="91"/>
        <v>18206323.314028163</v>
      </c>
      <c r="F149" s="5">
        <v>28468</v>
      </c>
      <c r="G149" s="219">
        <v>4292024</v>
      </c>
      <c r="H149" s="2">
        <f>VLOOKUP(B149,'Historic CDM'!$B$135:$H$147,3,FALSE)/12</f>
        <v>1136021.9338399856</v>
      </c>
      <c r="I149" s="2">
        <f t="shared" si="92"/>
        <v>5428045.9338399861</v>
      </c>
      <c r="J149" s="220">
        <v>2036</v>
      </c>
      <c r="K149" s="219">
        <v>12337663</v>
      </c>
      <c r="L149" s="2">
        <f>VLOOKUP(B149,'Historic CDM'!$B$135:$H$146,4,FALSE)/12</f>
        <v>1231788.6573237095</v>
      </c>
      <c r="M149" s="2">
        <f t="shared" si="132"/>
        <v>13569451.657323709</v>
      </c>
      <c r="N149" s="222">
        <v>41198</v>
      </c>
      <c r="O149" s="5">
        <v>256</v>
      </c>
      <c r="P149" s="219">
        <v>181145</v>
      </c>
      <c r="Q149" s="2">
        <v>616</v>
      </c>
      <c r="R149" s="5">
        <v>2784</v>
      </c>
      <c r="S149" s="220">
        <v>23186</v>
      </c>
      <c r="T149" s="2">
        <v>63</v>
      </c>
      <c r="U149" s="5">
        <v>228</v>
      </c>
      <c r="V149" s="221">
        <v>117392</v>
      </c>
      <c r="W149" s="1">
        <v>125</v>
      </c>
      <c r="X149" s="2">
        <v>1779970</v>
      </c>
      <c r="Y149" s="2">
        <v>5600</v>
      </c>
      <c r="Z149" s="5">
        <v>4</v>
      </c>
      <c r="AA149" s="100">
        <f>'Weather Data'!D245</f>
        <v>314.5</v>
      </c>
      <c r="AB149" s="100">
        <f>'Weather Data'!E245</f>
        <v>0</v>
      </c>
      <c r="AC149" s="100">
        <f>'Weather Data'!F245</f>
        <v>254.90000000000003</v>
      </c>
      <c r="AD149" s="100">
        <f>'Weather Data'!G245</f>
        <v>0.39999999999999858</v>
      </c>
      <c r="AE149" s="100">
        <f>'Weather Data'!H245</f>
        <v>201.20000000000002</v>
      </c>
      <c r="AF149" s="100">
        <f>'Weather Data'!I245</f>
        <v>6.6999999999999957</v>
      </c>
      <c r="AG149" s="100">
        <f>'Weather Data'!J245</f>
        <v>153.5</v>
      </c>
      <c r="AH149" s="100">
        <f>'Weather Data'!K245</f>
        <v>18.999999999999993</v>
      </c>
      <c r="AI149" s="100">
        <f>'Weather Data'!L245</f>
        <v>108.00000000000003</v>
      </c>
      <c r="AJ149" s="100">
        <f>'Weather Data'!M245</f>
        <v>33.499999999999993</v>
      </c>
      <c r="AK149" s="100">
        <f>'Weather Data'!N245</f>
        <v>69.000000000000014</v>
      </c>
      <c r="AL149" s="100">
        <f>'Weather Data'!O245</f>
        <v>54.499999999999986</v>
      </c>
      <c r="AM149" s="100">
        <f>'Weather Data'!P245</f>
        <v>39.200000000000003</v>
      </c>
      <c r="AN149" s="100">
        <f>'Weather Data'!Q245</f>
        <v>84.699999999999989</v>
      </c>
      <c r="AO149" s="100">
        <f>'Weather Data'!R245</f>
        <v>9.5166666666666693</v>
      </c>
      <c r="AP149" s="5">
        <f>'Economic Data'!D115</f>
        <v>7274</v>
      </c>
      <c r="AQ149" s="5">
        <f>'Economic Data'!E115</f>
        <v>7197</v>
      </c>
      <c r="AR149" s="5">
        <f>'Economic Data'!F115</f>
        <v>162.30000000000001</v>
      </c>
      <c r="AS149" s="5">
        <f>'Economic Data'!G115</f>
        <v>160.6</v>
      </c>
      <c r="AT149" s="5">
        <f>'Economic Data'!H115</f>
        <v>809658.6</v>
      </c>
      <c r="AU149" s="5">
        <f>'Economic Data'!I115</f>
        <v>8675.1</v>
      </c>
      <c r="AV149" s="5">
        <f>'Economic Data'!J115</f>
        <v>7622.2</v>
      </c>
      <c r="AW149" s="5">
        <f>'Economic Data'!K115</f>
        <v>5799.3</v>
      </c>
      <c r="AX149" s="5">
        <f>'Economic Data'!L115</f>
        <v>1155.7</v>
      </c>
      <c r="AY149" s="5">
        <f>'Economic Data'!M115</f>
        <v>1899.3</v>
      </c>
      <c r="AZ149" s="5">
        <f>'Economic Data'!N115</f>
        <v>6484.1</v>
      </c>
      <c r="BA149" s="5">
        <f>'Economic Data'!O115</f>
        <v>102.4</v>
      </c>
      <c r="BB149" s="5">
        <f>'Economic Data'!P115</f>
        <v>101.8</v>
      </c>
      <c r="BC149" s="5">
        <f>'Economic Data'!Q115</f>
        <v>795824</v>
      </c>
      <c r="BD149" s="5">
        <f>'Economic Data'!R115</f>
        <v>8775</v>
      </c>
      <c r="BE149" s="5">
        <f>'Economic Data'!S115</f>
        <v>3799</v>
      </c>
      <c r="BF149" s="5">
        <f>'Economic Data'!T115</f>
        <v>15935</v>
      </c>
      <c r="BG149" s="5">
        <f>'EV Data'!V54</f>
        <v>50242.666666666628</v>
      </c>
      <c r="BH149" s="5">
        <f>'EV Data'!AB54</f>
        <v>237.33333333333337</v>
      </c>
      <c r="BI149" s="5">
        <f>'EV Data'!W54</f>
        <v>739.3333333333336</v>
      </c>
      <c r="BJ149" s="5">
        <f t="shared" si="149"/>
        <v>100</v>
      </c>
      <c r="BK149" s="70">
        <f t="shared" si="146"/>
        <v>2</v>
      </c>
      <c r="BL149" s="5">
        <f t="shared" si="147"/>
        <v>10000</v>
      </c>
      <c r="BM149">
        <f t="shared" ref="BM149:CA149" si="187">BM137</f>
        <v>0</v>
      </c>
      <c r="BN149">
        <f t="shared" si="187"/>
        <v>0</v>
      </c>
      <c r="BO149">
        <f t="shared" si="187"/>
        <v>0</v>
      </c>
      <c r="BP149">
        <f t="shared" si="187"/>
        <v>1</v>
      </c>
      <c r="BQ149">
        <f t="shared" si="187"/>
        <v>0</v>
      </c>
      <c r="BR149">
        <f t="shared" si="187"/>
        <v>0</v>
      </c>
      <c r="BS149">
        <f t="shared" si="187"/>
        <v>0</v>
      </c>
      <c r="BT149">
        <f t="shared" si="187"/>
        <v>0</v>
      </c>
      <c r="BU149">
        <f t="shared" si="187"/>
        <v>0</v>
      </c>
      <c r="BV149">
        <f t="shared" si="187"/>
        <v>0</v>
      </c>
      <c r="BW149">
        <f t="shared" si="187"/>
        <v>0</v>
      </c>
      <c r="BX149">
        <f t="shared" si="187"/>
        <v>0</v>
      </c>
      <c r="BY149">
        <f t="shared" si="187"/>
        <v>1</v>
      </c>
      <c r="BZ149">
        <f t="shared" si="187"/>
        <v>0</v>
      </c>
      <c r="CA149">
        <f t="shared" si="187"/>
        <v>1</v>
      </c>
      <c r="CB149">
        <f t="shared" si="130"/>
        <v>30</v>
      </c>
      <c r="CC149">
        <v>21</v>
      </c>
      <c r="CD149">
        <v>1</v>
      </c>
      <c r="CE149">
        <v>0.5</v>
      </c>
      <c r="CF149">
        <f t="shared" si="93"/>
        <v>0.75</v>
      </c>
      <c r="CG149">
        <v>0</v>
      </c>
      <c r="CH149" s="64">
        <f t="shared" si="153"/>
        <v>314.5</v>
      </c>
      <c r="CI149" s="64">
        <f t="shared" si="154"/>
        <v>0</v>
      </c>
      <c r="CJ149" s="64">
        <f t="shared" si="155"/>
        <v>254.90000000000003</v>
      </c>
      <c r="CK149" s="64">
        <f t="shared" si="156"/>
        <v>0.39999999999999858</v>
      </c>
      <c r="CL149" s="64">
        <f t="shared" si="157"/>
        <v>201.20000000000002</v>
      </c>
      <c r="CM149" s="64">
        <f t="shared" si="158"/>
        <v>6.6999999999999957</v>
      </c>
      <c r="CN149" s="64">
        <f t="shared" si="159"/>
        <v>153.5</v>
      </c>
      <c r="CO149" s="64">
        <f t="shared" si="160"/>
        <v>18.999999999999993</v>
      </c>
      <c r="CP149" s="64">
        <f t="shared" si="161"/>
        <v>108.00000000000003</v>
      </c>
      <c r="CQ149" s="64">
        <f t="shared" si="162"/>
        <v>33.499999999999993</v>
      </c>
      <c r="CR149" s="64">
        <f t="shared" si="163"/>
        <v>69.000000000000014</v>
      </c>
      <c r="CS149" s="64">
        <f t="shared" si="164"/>
        <v>54.499999999999986</v>
      </c>
      <c r="CT149" s="64">
        <f t="shared" si="165"/>
        <v>39.200000000000003</v>
      </c>
      <c r="CU149" s="64">
        <f t="shared" si="166"/>
        <v>84.699999999999989</v>
      </c>
      <c r="CV149" s="69">
        <f t="shared" si="167"/>
        <v>21.317881263205663</v>
      </c>
      <c r="CW149" s="69">
        <f t="shared" si="168"/>
        <v>706.77681430208156</v>
      </c>
      <c r="CX149" s="69">
        <f t="shared" si="127"/>
        <v>2524.0795493533683</v>
      </c>
      <c r="CY149" s="69">
        <f t="shared" si="169"/>
        <v>21190.119047619046</v>
      </c>
      <c r="CZ149" s="64">
        <f t="shared" si="128"/>
        <v>1766.8556845473579</v>
      </c>
      <c r="DA149" s="64">
        <f t="shared" si="170"/>
        <v>14833.083333333334</v>
      </c>
      <c r="DB149">
        <f t="shared" si="171"/>
        <v>235.875</v>
      </c>
      <c r="DC149">
        <f t="shared" si="172"/>
        <v>0</v>
      </c>
      <c r="DD149">
        <f t="shared" si="173"/>
        <v>191.17500000000001</v>
      </c>
      <c r="DE149">
        <f t="shared" si="174"/>
        <v>0.29999999999999893</v>
      </c>
      <c r="DF149">
        <f t="shared" si="175"/>
        <v>150.9</v>
      </c>
      <c r="DG149">
        <f t="shared" si="176"/>
        <v>5.0249999999999968</v>
      </c>
      <c r="DH149">
        <f t="shared" si="177"/>
        <v>115.125</v>
      </c>
      <c r="DI149">
        <f t="shared" si="178"/>
        <v>14.249999999999995</v>
      </c>
      <c r="DJ149">
        <f t="shared" si="179"/>
        <v>81.000000000000028</v>
      </c>
      <c r="DK149">
        <f t="shared" si="180"/>
        <v>25.124999999999993</v>
      </c>
      <c r="DL149">
        <f t="shared" si="181"/>
        <v>51.750000000000014</v>
      </c>
      <c r="DM149">
        <f t="shared" si="182"/>
        <v>40.874999999999986</v>
      </c>
      <c r="DN149">
        <f t="shared" si="183"/>
        <v>29.400000000000002</v>
      </c>
      <c r="DO149">
        <f t="shared" si="184"/>
        <v>63.524999999999991</v>
      </c>
      <c r="DP149" s="2">
        <f t="shared" si="89"/>
        <v>64</v>
      </c>
      <c r="DQ149" s="2">
        <f t="shared" si="89"/>
        <v>52</v>
      </c>
      <c r="DR149" s="2">
        <f t="shared" si="89"/>
        <v>40</v>
      </c>
      <c r="DS149" s="2">
        <f t="shared" si="89"/>
        <v>28</v>
      </c>
      <c r="DT149" s="2">
        <f t="shared" si="89"/>
        <v>16</v>
      </c>
    </row>
    <row r="150" spans="1:124">
      <c r="A150" s="3">
        <v>44317</v>
      </c>
      <c r="B150">
        <f t="shared" si="145"/>
        <v>2021</v>
      </c>
      <c r="C150" s="2">
        <v>20703963</v>
      </c>
      <c r="D150" s="2">
        <f>VLOOKUP(B150,'Historic CDM'!$B$135:$H$146,2,FALSE)/12</f>
        <v>1164594.3140281634</v>
      </c>
      <c r="E150" s="2">
        <f t="shared" si="91"/>
        <v>21868557.314028163</v>
      </c>
      <c r="F150" s="5">
        <v>28469</v>
      </c>
      <c r="G150" s="219">
        <v>4544882</v>
      </c>
      <c r="H150" s="2">
        <f>VLOOKUP(B150,'Historic CDM'!$B$135:$H$147,3,FALSE)/12</f>
        <v>1136021.9338399856</v>
      </c>
      <c r="I150" s="2">
        <f t="shared" si="92"/>
        <v>5680903.9338399861</v>
      </c>
      <c r="J150" s="220">
        <v>2036</v>
      </c>
      <c r="K150" s="219">
        <v>13310685</v>
      </c>
      <c r="L150" s="2">
        <f>VLOOKUP(B150,'Historic CDM'!$B$135:$H$146,4,FALSE)/12</f>
        <v>1231788.6573237095</v>
      </c>
      <c r="M150" s="2">
        <f t="shared" si="132"/>
        <v>14542473.657323709</v>
      </c>
      <c r="N150" s="222">
        <v>44814</v>
      </c>
      <c r="O150" s="5">
        <v>259</v>
      </c>
      <c r="P150" s="219">
        <v>163123</v>
      </c>
      <c r="Q150" s="2">
        <v>616</v>
      </c>
      <c r="R150" s="5">
        <v>2784</v>
      </c>
      <c r="S150" s="220">
        <v>23422</v>
      </c>
      <c r="T150" s="2">
        <v>64</v>
      </c>
      <c r="U150" s="5">
        <v>228</v>
      </c>
      <c r="V150" s="221">
        <v>117392</v>
      </c>
      <c r="W150" s="1">
        <v>125</v>
      </c>
      <c r="X150" s="2">
        <v>2156240</v>
      </c>
      <c r="Y150" s="2">
        <v>7044</v>
      </c>
      <c r="Z150" s="5">
        <v>4</v>
      </c>
      <c r="AA150" s="100">
        <f>'Weather Data'!D246</f>
        <v>192.73552299140982</v>
      </c>
      <c r="AB150" s="100">
        <f>'Weather Data'!E246</f>
        <v>23.564477008590192</v>
      </c>
      <c r="AC150" s="100">
        <f>'Weather Data'!F246</f>
        <v>145.83552299140982</v>
      </c>
      <c r="AD150" s="100">
        <f>'Weather Data'!G246</f>
        <v>38.664477008590197</v>
      </c>
      <c r="AE150" s="100">
        <f>'Weather Data'!H246</f>
        <v>103.23552299140981</v>
      </c>
      <c r="AF150" s="100">
        <f>'Weather Data'!I246</f>
        <v>58.064477008590188</v>
      </c>
      <c r="AG150" s="100">
        <f>'Weather Data'!J246</f>
        <v>68.935522991409798</v>
      </c>
      <c r="AH150" s="100">
        <f>'Weather Data'!K246</f>
        <v>85.764477008590191</v>
      </c>
      <c r="AI150" s="100">
        <f>'Weather Data'!L246</f>
        <v>40.700000000000003</v>
      </c>
      <c r="AJ150" s="100">
        <f>'Weather Data'!M246</f>
        <v>119.5289540171804</v>
      </c>
      <c r="AK150" s="100">
        <f>'Weather Data'!N246</f>
        <v>19.899999999999999</v>
      </c>
      <c r="AL150" s="100">
        <f>'Weather Data'!O246</f>
        <v>160.7289540171804</v>
      </c>
      <c r="AM150" s="100">
        <f>'Weather Data'!P246</f>
        <v>3.9000000000000004</v>
      </c>
      <c r="AN150" s="100">
        <f>'Weather Data'!Q246</f>
        <v>206.72895401718043</v>
      </c>
      <c r="AO150" s="100">
        <f>'Weather Data'!R246</f>
        <v>14.542869484425172</v>
      </c>
      <c r="AP150" s="5">
        <f>'Economic Data'!D116</f>
        <v>7269.7</v>
      </c>
      <c r="AQ150" s="5">
        <f>'Economic Data'!E116</f>
        <v>7237.7</v>
      </c>
      <c r="AR150" s="5">
        <f>'Economic Data'!F116</f>
        <v>162.9</v>
      </c>
      <c r="AS150" s="5">
        <f>'Economic Data'!G116</f>
        <v>162.4</v>
      </c>
      <c r="AT150" s="5">
        <f>'Economic Data'!H116</f>
        <v>809658.6</v>
      </c>
      <c r="AU150" s="5">
        <f>'Economic Data'!I116</f>
        <v>8675.1</v>
      </c>
      <c r="AV150" s="5">
        <f>'Economic Data'!J116</f>
        <v>7622.2</v>
      </c>
      <c r="AW150" s="5">
        <f>'Economic Data'!K116</f>
        <v>5799.3</v>
      </c>
      <c r="AX150" s="5">
        <f>'Economic Data'!L116</f>
        <v>1155.7</v>
      </c>
      <c r="AY150" s="5">
        <f>'Economic Data'!M116</f>
        <v>1899.3</v>
      </c>
      <c r="AZ150" s="5">
        <f>'Economic Data'!N116</f>
        <v>6484.1</v>
      </c>
      <c r="BA150" s="5">
        <f>'Economic Data'!O116</f>
        <v>102.4</v>
      </c>
      <c r="BB150" s="5">
        <f>'Economic Data'!P116</f>
        <v>101.8</v>
      </c>
      <c r="BC150" s="5">
        <f>'Economic Data'!Q116</f>
        <v>795824</v>
      </c>
      <c r="BD150" s="5">
        <f>'Economic Data'!R116</f>
        <v>8775</v>
      </c>
      <c r="BE150" s="5">
        <f>'Economic Data'!S116</f>
        <v>3799</v>
      </c>
      <c r="BF150" s="5">
        <f>'Economic Data'!T116</f>
        <v>15935</v>
      </c>
      <c r="BG150" s="5">
        <f>'EV Data'!V55</f>
        <v>51941.333333333292</v>
      </c>
      <c r="BH150" s="5">
        <f>'EV Data'!AB55</f>
        <v>248.66666666666671</v>
      </c>
      <c r="BI150" s="5">
        <f>'EV Data'!W55</f>
        <v>764.66666666666697</v>
      </c>
      <c r="BJ150" s="5">
        <f t="shared" si="149"/>
        <v>101</v>
      </c>
      <c r="BK150" s="70">
        <f t="shared" si="146"/>
        <v>2.0043213737826426</v>
      </c>
      <c r="BL150" s="5">
        <f t="shared" si="147"/>
        <v>10201</v>
      </c>
      <c r="BM150">
        <f t="shared" ref="BM150:CA150" si="188">BM138</f>
        <v>0</v>
      </c>
      <c r="BN150">
        <f t="shared" si="188"/>
        <v>0</v>
      </c>
      <c r="BO150">
        <f t="shared" si="188"/>
        <v>0</v>
      </c>
      <c r="BP150">
        <f t="shared" si="188"/>
        <v>0</v>
      </c>
      <c r="BQ150">
        <f t="shared" si="188"/>
        <v>1</v>
      </c>
      <c r="BR150">
        <f t="shared" si="188"/>
        <v>0</v>
      </c>
      <c r="BS150">
        <f t="shared" si="188"/>
        <v>0</v>
      </c>
      <c r="BT150">
        <f t="shared" si="188"/>
        <v>0</v>
      </c>
      <c r="BU150">
        <f t="shared" si="188"/>
        <v>0</v>
      </c>
      <c r="BV150">
        <f t="shared" si="188"/>
        <v>0</v>
      </c>
      <c r="BW150">
        <f t="shared" si="188"/>
        <v>0</v>
      </c>
      <c r="BX150">
        <f t="shared" si="188"/>
        <v>0</v>
      </c>
      <c r="BY150">
        <f t="shared" si="188"/>
        <v>1</v>
      </c>
      <c r="BZ150">
        <f t="shared" si="188"/>
        <v>0</v>
      </c>
      <c r="CA150">
        <f t="shared" si="188"/>
        <v>1</v>
      </c>
      <c r="CB150">
        <f t="shared" si="130"/>
        <v>31</v>
      </c>
      <c r="CC150">
        <v>20</v>
      </c>
      <c r="CD150">
        <v>1</v>
      </c>
      <c r="CE150">
        <v>0.5</v>
      </c>
      <c r="CF150">
        <f t="shared" si="93"/>
        <v>0.75</v>
      </c>
      <c r="CG150">
        <v>0</v>
      </c>
      <c r="CH150" s="64">
        <f t="shared" si="153"/>
        <v>192.73552299140982</v>
      </c>
      <c r="CI150" s="64">
        <f t="shared" si="154"/>
        <v>23.564477008590192</v>
      </c>
      <c r="CJ150" s="64">
        <f t="shared" si="155"/>
        <v>145.83552299140982</v>
      </c>
      <c r="CK150" s="64">
        <f t="shared" si="156"/>
        <v>38.664477008590197</v>
      </c>
      <c r="CL150" s="64">
        <f t="shared" si="157"/>
        <v>103.23552299140981</v>
      </c>
      <c r="CM150" s="64">
        <f t="shared" si="158"/>
        <v>58.064477008590188</v>
      </c>
      <c r="CN150" s="64">
        <f t="shared" si="159"/>
        <v>68.935522991409798</v>
      </c>
      <c r="CO150" s="64">
        <f t="shared" si="160"/>
        <v>85.764477008590191</v>
      </c>
      <c r="CP150" s="64">
        <f t="shared" si="161"/>
        <v>40.700000000000003</v>
      </c>
      <c r="CQ150" s="64">
        <f t="shared" si="162"/>
        <v>119.5289540171804</v>
      </c>
      <c r="CR150" s="64">
        <f t="shared" si="163"/>
        <v>19.899999999999999</v>
      </c>
      <c r="CS150" s="64">
        <f t="shared" si="164"/>
        <v>160.7289540171804</v>
      </c>
      <c r="CT150" s="64">
        <f t="shared" si="165"/>
        <v>3.9000000000000004</v>
      </c>
      <c r="CU150" s="64">
        <f t="shared" si="166"/>
        <v>206.72895401718043</v>
      </c>
      <c r="CV150" s="69">
        <f t="shared" si="167"/>
        <v>24.779139861273173</v>
      </c>
      <c r="CW150" s="69">
        <f t="shared" si="168"/>
        <v>707.54812975961966</v>
      </c>
      <c r="CX150" s="69">
        <f t="shared" si="127"/>
        <v>2807.4273469736891</v>
      </c>
      <c r="CY150" s="69">
        <f t="shared" si="169"/>
        <v>26953</v>
      </c>
      <c r="CZ150" s="64">
        <f t="shared" si="128"/>
        <v>1811.2434496604444</v>
      </c>
      <c r="DA150" s="64">
        <f t="shared" si="170"/>
        <v>17389.032258064515</v>
      </c>
      <c r="DB150">
        <f t="shared" si="171"/>
        <v>144.55164224355735</v>
      </c>
      <c r="DC150">
        <f t="shared" si="172"/>
        <v>17.673357756442645</v>
      </c>
      <c r="DD150">
        <f t="shared" si="173"/>
        <v>109.37664224355737</v>
      </c>
      <c r="DE150">
        <f t="shared" si="174"/>
        <v>28.998357756442648</v>
      </c>
      <c r="DF150">
        <f t="shared" si="175"/>
        <v>77.426642243557353</v>
      </c>
      <c r="DG150">
        <f t="shared" si="176"/>
        <v>43.548357756442641</v>
      </c>
      <c r="DH150">
        <f t="shared" si="177"/>
        <v>51.701642243557345</v>
      </c>
      <c r="DI150">
        <f t="shared" si="178"/>
        <v>64.323357756442647</v>
      </c>
      <c r="DJ150">
        <f t="shared" si="179"/>
        <v>30.525000000000002</v>
      </c>
      <c r="DK150">
        <f t="shared" si="180"/>
        <v>89.646715512885294</v>
      </c>
      <c r="DL150">
        <f t="shared" si="181"/>
        <v>14.924999999999999</v>
      </c>
      <c r="DM150">
        <f t="shared" si="182"/>
        <v>120.5467155128853</v>
      </c>
      <c r="DN150">
        <f t="shared" si="183"/>
        <v>2.9250000000000003</v>
      </c>
      <c r="DO150">
        <f t="shared" si="184"/>
        <v>155.04671551288533</v>
      </c>
      <c r="DP150" s="2">
        <f t="shared" si="89"/>
        <v>65</v>
      </c>
      <c r="DQ150" s="2">
        <f t="shared" si="89"/>
        <v>53</v>
      </c>
      <c r="DR150" s="2">
        <f t="shared" si="89"/>
        <v>41</v>
      </c>
      <c r="DS150" s="2">
        <f t="shared" si="89"/>
        <v>29</v>
      </c>
      <c r="DT150" s="2">
        <f t="shared" si="89"/>
        <v>17</v>
      </c>
    </row>
    <row r="151" spans="1:124">
      <c r="A151" s="3">
        <v>44348</v>
      </c>
      <c r="B151">
        <f t="shared" si="145"/>
        <v>2021</v>
      </c>
      <c r="C151" s="2">
        <v>29452593</v>
      </c>
      <c r="D151" s="2">
        <f>VLOOKUP(B151,'Historic CDM'!$B$135:$H$146,2,FALSE)/12</f>
        <v>1164594.3140281634</v>
      </c>
      <c r="E151" s="2">
        <f t="shared" si="91"/>
        <v>30617187.314028163</v>
      </c>
      <c r="F151" s="5">
        <v>28515</v>
      </c>
      <c r="G151" s="219">
        <v>5577990</v>
      </c>
      <c r="H151" s="2">
        <f>VLOOKUP(B151,'Historic CDM'!$B$135:$H$147,3,FALSE)/12</f>
        <v>1136021.9338399856</v>
      </c>
      <c r="I151" s="2">
        <f t="shared" si="92"/>
        <v>6714011.9338399861</v>
      </c>
      <c r="J151" s="220">
        <v>2037</v>
      </c>
      <c r="K151" s="219">
        <v>15650711</v>
      </c>
      <c r="L151" s="2">
        <f>VLOOKUP(B151,'Historic CDM'!$B$135:$H$146,4,FALSE)/12</f>
        <v>1231788.6573237095</v>
      </c>
      <c r="M151" s="2">
        <f t="shared" si="132"/>
        <v>16882499.657323711</v>
      </c>
      <c r="N151" s="222">
        <v>58480</v>
      </c>
      <c r="O151" s="5">
        <v>221</v>
      </c>
      <c r="P151" s="219">
        <v>143715</v>
      </c>
      <c r="Q151" s="2">
        <v>616</v>
      </c>
      <c r="R151" s="5">
        <v>2784</v>
      </c>
      <c r="S151" s="220">
        <v>23218</v>
      </c>
      <c r="T151" s="2">
        <v>63</v>
      </c>
      <c r="U151" s="5">
        <v>228</v>
      </c>
      <c r="V151" s="221">
        <v>117392</v>
      </c>
      <c r="W151" s="1">
        <v>125</v>
      </c>
      <c r="X151" s="2">
        <v>2661577</v>
      </c>
      <c r="Y151" s="2">
        <v>12246</v>
      </c>
      <c r="Z151" s="5">
        <v>4</v>
      </c>
      <c r="AA151" s="100">
        <f>'Weather Data'!D247</f>
        <v>17.899999999999999</v>
      </c>
      <c r="AB151" s="100">
        <f>'Weather Data'!E247</f>
        <v>86.000000000000014</v>
      </c>
      <c r="AC151" s="100">
        <f>'Weather Data'!F247</f>
        <v>6.9</v>
      </c>
      <c r="AD151" s="100">
        <f>'Weather Data'!G247</f>
        <v>135</v>
      </c>
      <c r="AE151" s="100">
        <f>'Weather Data'!H247</f>
        <v>1.9000000000000004</v>
      </c>
      <c r="AF151" s="100">
        <f>'Weather Data'!I247</f>
        <v>190</v>
      </c>
      <c r="AG151" s="100">
        <f>'Weather Data'!J247</f>
        <v>0</v>
      </c>
      <c r="AH151" s="100">
        <f>'Weather Data'!K247</f>
        <v>248.09999999999994</v>
      </c>
      <c r="AI151" s="100">
        <f>'Weather Data'!L247</f>
        <v>0</v>
      </c>
      <c r="AJ151" s="100">
        <f>'Weather Data'!M247</f>
        <v>308.09999999999997</v>
      </c>
      <c r="AK151" s="100">
        <f>'Weather Data'!N247</f>
        <v>0</v>
      </c>
      <c r="AL151" s="100">
        <f>'Weather Data'!O247</f>
        <v>368.1</v>
      </c>
      <c r="AM151" s="100">
        <f>'Weather Data'!P247</f>
        <v>0</v>
      </c>
      <c r="AN151" s="100">
        <f>'Weather Data'!Q247</f>
        <v>428.10000000000008</v>
      </c>
      <c r="AO151" s="100">
        <f>'Weather Data'!R247</f>
        <v>22.270000000000003</v>
      </c>
      <c r="AP151" s="5">
        <f>'Economic Data'!D117</f>
        <v>7250.5</v>
      </c>
      <c r="AQ151" s="5">
        <f>'Economic Data'!E117</f>
        <v>7293</v>
      </c>
      <c r="AR151" s="5">
        <f>'Economic Data'!F117</f>
        <v>163.80000000000001</v>
      </c>
      <c r="AS151" s="5">
        <f>'Economic Data'!G117</f>
        <v>164.4</v>
      </c>
      <c r="AT151" s="5">
        <f>'Economic Data'!H117</f>
        <v>809658.6</v>
      </c>
      <c r="AU151" s="5">
        <f>'Economic Data'!I117</f>
        <v>8675.1</v>
      </c>
      <c r="AV151" s="5">
        <f>'Economic Data'!J117</f>
        <v>7622.2</v>
      </c>
      <c r="AW151" s="5">
        <f>'Economic Data'!K117</f>
        <v>5799.3</v>
      </c>
      <c r="AX151" s="5">
        <f>'Economic Data'!L117</f>
        <v>1155.7</v>
      </c>
      <c r="AY151" s="5">
        <f>'Economic Data'!M117</f>
        <v>1899.3</v>
      </c>
      <c r="AZ151" s="5">
        <f>'Economic Data'!N117</f>
        <v>6484.1</v>
      </c>
      <c r="BA151" s="5">
        <f>'Economic Data'!O117</f>
        <v>102.4</v>
      </c>
      <c r="BB151" s="5">
        <f>'Economic Data'!P117</f>
        <v>101.8</v>
      </c>
      <c r="BC151" s="5">
        <f>'Economic Data'!Q117</f>
        <v>795824</v>
      </c>
      <c r="BD151" s="5">
        <f>'Economic Data'!R117</f>
        <v>8775</v>
      </c>
      <c r="BE151" s="5">
        <f>'Economic Data'!S117</f>
        <v>3799</v>
      </c>
      <c r="BF151" s="5">
        <f>'Economic Data'!T117</f>
        <v>15935</v>
      </c>
      <c r="BG151" s="5">
        <f>'EV Data'!V56</f>
        <v>53639.999999999956</v>
      </c>
      <c r="BH151" s="5">
        <f>'EV Data'!AB56</f>
        <v>260.00000000000006</v>
      </c>
      <c r="BI151" s="5">
        <f>'EV Data'!W56</f>
        <v>790.00000000000034</v>
      </c>
      <c r="BJ151" s="5">
        <f t="shared" si="149"/>
        <v>102</v>
      </c>
      <c r="BK151" s="70">
        <f t="shared" si="146"/>
        <v>2.0086001717619175</v>
      </c>
      <c r="BL151" s="5">
        <f t="shared" si="147"/>
        <v>10404</v>
      </c>
      <c r="BM151">
        <f t="shared" ref="BM151:CA151" si="189">BM139</f>
        <v>0</v>
      </c>
      <c r="BN151">
        <f t="shared" si="189"/>
        <v>0</v>
      </c>
      <c r="BO151">
        <f t="shared" si="189"/>
        <v>0</v>
      </c>
      <c r="BP151">
        <f t="shared" si="189"/>
        <v>0</v>
      </c>
      <c r="BQ151">
        <f t="shared" si="189"/>
        <v>0</v>
      </c>
      <c r="BR151">
        <f t="shared" si="189"/>
        <v>1</v>
      </c>
      <c r="BS151">
        <f t="shared" si="189"/>
        <v>0</v>
      </c>
      <c r="BT151">
        <f t="shared" si="189"/>
        <v>0</v>
      </c>
      <c r="BU151">
        <f t="shared" si="189"/>
        <v>0</v>
      </c>
      <c r="BV151">
        <f t="shared" si="189"/>
        <v>0</v>
      </c>
      <c r="BW151">
        <f t="shared" si="189"/>
        <v>0</v>
      </c>
      <c r="BX151">
        <f t="shared" si="189"/>
        <v>0</v>
      </c>
      <c r="BY151">
        <f t="shared" si="189"/>
        <v>0</v>
      </c>
      <c r="BZ151">
        <f t="shared" si="189"/>
        <v>0</v>
      </c>
      <c r="CA151">
        <f t="shared" si="189"/>
        <v>0</v>
      </c>
      <c r="CB151">
        <f t="shared" si="130"/>
        <v>30</v>
      </c>
      <c r="CC151">
        <v>22</v>
      </c>
      <c r="CD151">
        <v>1</v>
      </c>
      <c r="CE151">
        <v>0.5</v>
      </c>
      <c r="CF151">
        <f t="shared" si="93"/>
        <v>0.75</v>
      </c>
      <c r="CG151">
        <v>0</v>
      </c>
      <c r="CH151" s="64">
        <f t="shared" si="153"/>
        <v>17.899999999999999</v>
      </c>
      <c r="CI151" s="64">
        <f t="shared" si="154"/>
        <v>86.000000000000014</v>
      </c>
      <c r="CJ151" s="64">
        <f t="shared" si="155"/>
        <v>6.9</v>
      </c>
      <c r="CK151" s="64">
        <f t="shared" si="156"/>
        <v>135</v>
      </c>
      <c r="CL151" s="64">
        <f t="shared" si="157"/>
        <v>1.9000000000000004</v>
      </c>
      <c r="CM151" s="64">
        <f t="shared" si="158"/>
        <v>190</v>
      </c>
      <c r="CN151" s="64">
        <f t="shared" si="159"/>
        <v>0</v>
      </c>
      <c r="CO151" s="64">
        <f t="shared" si="160"/>
        <v>248.09999999999994</v>
      </c>
      <c r="CP151" s="64">
        <f t="shared" si="161"/>
        <v>0</v>
      </c>
      <c r="CQ151" s="64">
        <f t="shared" si="162"/>
        <v>308.09999999999997</v>
      </c>
      <c r="CR151" s="64">
        <f t="shared" si="163"/>
        <v>0</v>
      </c>
      <c r="CS151" s="64">
        <f t="shared" si="164"/>
        <v>368.1</v>
      </c>
      <c r="CT151" s="64">
        <f t="shared" si="165"/>
        <v>0</v>
      </c>
      <c r="CU151" s="64">
        <f t="shared" si="166"/>
        <v>428.10000000000008</v>
      </c>
      <c r="CV151" s="69">
        <f t="shared" si="167"/>
        <v>35.790738575051918</v>
      </c>
      <c r="CW151" s="69">
        <f t="shared" si="168"/>
        <v>1012.6714832337838</v>
      </c>
      <c r="CX151" s="69">
        <f t="shared" si="127"/>
        <v>3472.3364165618491</v>
      </c>
      <c r="CY151" s="69">
        <f t="shared" si="169"/>
        <v>30245.19318181818</v>
      </c>
      <c r="CZ151" s="64">
        <f t="shared" si="128"/>
        <v>2546.3800388120226</v>
      </c>
      <c r="DA151" s="64">
        <f t="shared" si="170"/>
        <v>22179.808333333334</v>
      </c>
      <c r="DB151">
        <f t="shared" si="171"/>
        <v>13.424999999999999</v>
      </c>
      <c r="DC151">
        <f t="shared" si="172"/>
        <v>64.500000000000014</v>
      </c>
      <c r="DD151">
        <f t="shared" si="173"/>
        <v>5.1750000000000007</v>
      </c>
      <c r="DE151">
        <f t="shared" si="174"/>
        <v>101.25</v>
      </c>
      <c r="DF151">
        <f t="shared" si="175"/>
        <v>1.4250000000000003</v>
      </c>
      <c r="DG151">
        <f t="shared" si="176"/>
        <v>142.5</v>
      </c>
      <c r="DH151">
        <f t="shared" si="177"/>
        <v>0</v>
      </c>
      <c r="DI151">
        <f t="shared" si="178"/>
        <v>186.07499999999996</v>
      </c>
      <c r="DJ151">
        <f t="shared" si="179"/>
        <v>0</v>
      </c>
      <c r="DK151">
        <f t="shared" si="180"/>
        <v>231.07499999999999</v>
      </c>
      <c r="DL151">
        <f t="shared" si="181"/>
        <v>0</v>
      </c>
      <c r="DM151">
        <f t="shared" si="182"/>
        <v>276.07500000000005</v>
      </c>
      <c r="DN151">
        <f t="shared" si="183"/>
        <v>0</v>
      </c>
      <c r="DO151">
        <f t="shared" si="184"/>
        <v>321.07500000000005</v>
      </c>
      <c r="DP151" s="2">
        <f t="shared" si="89"/>
        <v>66</v>
      </c>
      <c r="DQ151" s="2">
        <f t="shared" si="89"/>
        <v>54</v>
      </c>
      <c r="DR151" s="2">
        <f t="shared" si="89"/>
        <v>42</v>
      </c>
      <c r="DS151" s="2">
        <f t="shared" si="89"/>
        <v>30</v>
      </c>
      <c r="DT151" s="2">
        <f t="shared" si="89"/>
        <v>18</v>
      </c>
    </row>
    <row r="152" spans="1:124">
      <c r="A152" s="3">
        <v>44378</v>
      </c>
      <c r="B152">
        <f t="shared" si="145"/>
        <v>2021</v>
      </c>
      <c r="C152" s="2">
        <v>32083365</v>
      </c>
      <c r="D152" s="2">
        <f>VLOOKUP(B152,'Historic CDM'!$B$135:$H$146,2,FALSE)/12</f>
        <v>1164594.3140281634</v>
      </c>
      <c r="E152" s="2">
        <f t="shared" si="91"/>
        <v>33247959.314028163</v>
      </c>
      <c r="F152" s="5">
        <v>28523</v>
      </c>
      <c r="G152" s="219">
        <v>6082964</v>
      </c>
      <c r="H152" s="2">
        <f>VLOOKUP(B152,'Historic CDM'!$B$135:$H$147,3,FALSE)/12</f>
        <v>1136021.9338399856</v>
      </c>
      <c r="I152" s="2">
        <f t="shared" si="92"/>
        <v>7218985.9338399861</v>
      </c>
      <c r="J152" s="220">
        <v>2039</v>
      </c>
      <c r="K152" s="219">
        <v>16592168</v>
      </c>
      <c r="L152" s="2">
        <f>VLOOKUP(B152,'Historic CDM'!$B$135:$H$146,4,FALSE)/12</f>
        <v>1231788.6573237095</v>
      </c>
      <c r="M152" s="2">
        <f t="shared" si="132"/>
        <v>17823956.657323711</v>
      </c>
      <c r="N152" s="222">
        <v>55637</v>
      </c>
      <c r="O152" s="5">
        <v>221</v>
      </c>
      <c r="P152" s="219">
        <v>152649</v>
      </c>
      <c r="Q152" s="2">
        <v>616</v>
      </c>
      <c r="R152" s="5">
        <v>2784</v>
      </c>
      <c r="S152" s="220">
        <v>23429</v>
      </c>
      <c r="T152" s="2">
        <v>64</v>
      </c>
      <c r="U152" s="5">
        <v>228</v>
      </c>
      <c r="V152" s="221">
        <v>117392</v>
      </c>
      <c r="W152" s="1">
        <v>125</v>
      </c>
      <c r="X152" s="2">
        <v>2641727</v>
      </c>
      <c r="Y152" s="2">
        <v>8321</v>
      </c>
      <c r="Z152" s="5">
        <v>4</v>
      </c>
      <c r="AA152" s="100">
        <f>'Weather Data'!D248</f>
        <v>10.5</v>
      </c>
      <c r="AB152" s="100">
        <f>'Weather Data'!E248</f>
        <v>78.900000000000006</v>
      </c>
      <c r="AC152" s="100">
        <f>'Weather Data'!F248</f>
        <v>0</v>
      </c>
      <c r="AD152" s="100">
        <f>'Weather Data'!G248</f>
        <v>130.4</v>
      </c>
      <c r="AE152" s="100">
        <f>'Weather Data'!H248</f>
        <v>0</v>
      </c>
      <c r="AF152" s="100">
        <f>'Weather Data'!I248</f>
        <v>192.39999999999998</v>
      </c>
      <c r="AG152" s="100">
        <f>'Weather Data'!J248</f>
        <v>0</v>
      </c>
      <c r="AH152" s="100">
        <f>'Weather Data'!K248</f>
        <v>254.40000000000003</v>
      </c>
      <c r="AI152" s="100">
        <f>'Weather Data'!L248</f>
        <v>0</v>
      </c>
      <c r="AJ152" s="100">
        <f>'Weather Data'!M248</f>
        <v>316.40000000000003</v>
      </c>
      <c r="AK152" s="100">
        <f>'Weather Data'!N248</f>
        <v>0</v>
      </c>
      <c r="AL152" s="100">
        <f>'Weather Data'!O248</f>
        <v>378.4</v>
      </c>
      <c r="AM152" s="100">
        <f>'Weather Data'!P248</f>
        <v>0</v>
      </c>
      <c r="AN152" s="100">
        <f>'Weather Data'!Q248</f>
        <v>440.39999999999992</v>
      </c>
      <c r="AO152" s="100">
        <f>'Weather Data'!R248</f>
        <v>22.20645161290323</v>
      </c>
      <c r="AP152" s="5">
        <f>'Economic Data'!D118</f>
        <v>7313.3</v>
      </c>
      <c r="AQ152" s="5">
        <f>'Economic Data'!E118</f>
        <v>7391.8</v>
      </c>
      <c r="AR152" s="5">
        <f>'Economic Data'!F118</f>
        <v>164.8</v>
      </c>
      <c r="AS152" s="5">
        <f>'Economic Data'!G118</f>
        <v>165.4</v>
      </c>
      <c r="AT152" s="5">
        <f>'Economic Data'!H118</f>
        <v>809658.6</v>
      </c>
      <c r="AU152" s="5">
        <f>'Economic Data'!I118</f>
        <v>8675.1</v>
      </c>
      <c r="AV152" s="5">
        <f>'Economic Data'!J118</f>
        <v>7622.2</v>
      </c>
      <c r="AW152" s="5">
        <f>'Economic Data'!K118</f>
        <v>5799.3</v>
      </c>
      <c r="AX152" s="5">
        <f>'Economic Data'!L118</f>
        <v>1155.7</v>
      </c>
      <c r="AY152" s="5">
        <f>'Economic Data'!M118</f>
        <v>1899.3</v>
      </c>
      <c r="AZ152" s="5">
        <f>'Economic Data'!N118</f>
        <v>6484.1</v>
      </c>
      <c r="BA152" s="5">
        <f>'Economic Data'!O118</f>
        <v>102.4</v>
      </c>
      <c r="BB152" s="5">
        <f>'Economic Data'!P118</f>
        <v>101.8</v>
      </c>
      <c r="BC152" s="5">
        <f>'Economic Data'!Q118</f>
        <v>810982</v>
      </c>
      <c r="BD152" s="5">
        <f>'Economic Data'!R118</f>
        <v>8142</v>
      </c>
      <c r="BE152" s="5">
        <f>'Economic Data'!S118</f>
        <v>4000</v>
      </c>
      <c r="BF152" s="5">
        <f>'Economic Data'!T118</f>
        <v>16200</v>
      </c>
      <c r="BG152" s="5">
        <f>'EV Data'!V57</f>
        <v>55360.666666666621</v>
      </c>
      <c r="BH152" s="5">
        <f>'EV Data'!AB57</f>
        <v>273.33333333333337</v>
      </c>
      <c r="BI152" s="5">
        <f>'EV Data'!W57</f>
        <v>822.33333333333371</v>
      </c>
      <c r="BJ152" s="5">
        <f t="shared" si="149"/>
        <v>103</v>
      </c>
      <c r="BK152" s="70">
        <f t="shared" si="146"/>
        <v>2.012837224705172</v>
      </c>
      <c r="BL152" s="5">
        <f t="shared" si="147"/>
        <v>10609</v>
      </c>
      <c r="BM152">
        <f t="shared" ref="BM152:CA152" si="190">BM140</f>
        <v>0</v>
      </c>
      <c r="BN152">
        <f t="shared" si="190"/>
        <v>0</v>
      </c>
      <c r="BO152">
        <f t="shared" si="190"/>
        <v>0</v>
      </c>
      <c r="BP152">
        <f t="shared" si="190"/>
        <v>0</v>
      </c>
      <c r="BQ152">
        <f t="shared" si="190"/>
        <v>0</v>
      </c>
      <c r="BR152">
        <f t="shared" si="190"/>
        <v>0</v>
      </c>
      <c r="BS152">
        <f t="shared" si="190"/>
        <v>1</v>
      </c>
      <c r="BT152">
        <f t="shared" si="190"/>
        <v>0</v>
      </c>
      <c r="BU152">
        <f t="shared" si="190"/>
        <v>0</v>
      </c>
      <c r="BV152">
        <f t="shared" si="190"/>
        <v>0</v>
      </c>
      <c r="BW152">
        <f t="shared" si="190"/>
        <v>0</v>
      </c>
      <c r="BX152">
        <f t="shared" si="190"/>
        <v>0</v>
      </c>
      <c r="BY152">
        <f t="shared" si="190"/>
        <v>0</v>
      </c>
      <c r="BZ152">
        <f t="shared" si="190"/>
        <v>0</v>
      </c>
      <c r="CA152">
        <f t="shared" si="190"/>
        <v>0</v>
      </c>
      <c r="CB152">
        <f t="shared" si="130"/>
        <v>31</v>
      </c>
      <c r="CC152">
        <v>21</v>
      </c>
      <c r="CD152">
        <v>1</v>
      </c>
      <c r="CE152">
        <v>0.5</v>
      </c>
      <c r="CF152">
        <f t="shared" si="93"/>
        <v>0.75</v>
      </c>
      <c r="CG152">
        <v>0</v>
      </c>
      <c r="CH152" s="64">
        <f t="shared" si="153"/>
        <v>10.5</v>
      </c>
      <c r="CI152" s="64">
        <f t="shared" si="154"/>
        <v>78.900000000000006</v>
      </c>
      <c r="CJ152" s="64">
        <f t="shared" si="155"/>
        <v>0</v>
      </c>
      <c r="CK152" s="64">
        <f t="shared" si="156"/>
        <v>130.4</v>
      </c>
      <c r="CL152" s="64">
        <f t="shared" si="157"/>
        <v>0</v>
      </c>
      <c r="CM152" s="64">
        <f t="shared" si="158"/>
        <v>192.39999999999998</v>
      </c>
      <c r="CN152" s="64">
        <f t="shared" si="159"/>
        <v>0</v>
      </c>
      <c r="CO152" s="64">
        <f t="shared" si="160"/>
        <v>254.40000000000003</v>
      </c>
      <c r="CP152" s="64">
        <f t="shared" si="161"/>
        <v>0</v>
      </c>
      <c r="CQ152" s="64">
        <f t="shared" si="162"/>
        <v>316.40000000000003</v>
      </c>
      <c r="CR152" s="64">
        <f t="shared" si="163"/>
        <v>0</v>
      </c>
      <c r="CS152" s="64">
        <f t="shared" si="164"/>
        <v>378.4</v>
      </c>
      <c r="CT152" s="64">
        <f t="shared" si="165"/>
        <v>0</v>
      </c>
      <c r="CU152" s="64">
        <f t="shared" si="166"/>
        <v>440.39999999999992</v>
      </c>
      <c r="CV152" s="69">
        <f t="shared" si="167"/>
        <v>37.601753552626079</v>
      </c>
      <c r="CW152" s="69">
        <f t="shared" si="168"/>
        <v>1053.7127330083179</v>
      </c>
      <c r="CX152" s="69">
        <f t="shared" si="127"/>
        <v>3840.5422661761927</v>
      </c>
      <c r="CY152" s="69">
        <f t="shared" si="169"/>
        <v>31449.130952380954</v>
      </c>
      <c r="CZ152" s="64">
        <f t="shared" si="128"/>
        <v>2601.6576641838724</v>
      </c>
      <c r="DA152" s="64">
        <f t="shared" si="170"/>
        <v>21304.25</v>
      </c>
      <c r="DB152">
        <f t="shared" si="171"/>
        <v>7.875</v>
      </c>
      <c r="DC152">
        <f t="shared" si="172"/>
        <v>59.175000000000004</v>
      </c>
      <c r="DD152">
        <f t="shared" si="173"/>
        <v>0</v>
      </c>
      <c r="DE152">
        <f t="shared" si="174"/>
        <v>97.800000000000011</v>
      </c>
      <c r="DF152">
        <f t="shared" si="175"/>
        <v>0</v>
      </c>
      <c r="DG152">
        <f t="shared" si="176"/>
        <v>144.29999999999998</v>
      </c>
      <c r="DH152">
        <f t="shared" si="177"/>
        <v>0</v>
      </c>
      <c r="DI152">
        <f t="shared" si="178"/>
        <v>190.8</v>
      </c>
      <c r="DJ152">
        <f t="shared" si="179"/>
        <v>0</v>
      </c>
      <c r="DK152">
        <f t="shared" si="180"/>
        <v>237.3</v>
      </c>
      <c r="DL152">
        <f t="shared" si="181"/>
        <v>0</v>
      </c>
      <c r="DM152">
        <f t="shared" si="182"/>
        <v>283.79999999999995</v>
      </c>
      <c r="DN152">
        <f t="shared" si="183"/>
        <v>0</v>
      </c>
      <c r="DO152">
        <f t="shared" si="184"/>
        <v>330.29999999999995</v>
      </c>
      <c r="DP152" s="2">
        <f t="shared" ref="DP152:DT169" si="191">DP151+1</f>
        <v>67</v>
      </c>
      <c r="DQ152" s="2">
        <f t="shared" si="191"/>
        <v>55</v>
      </c>
      <c r="DR152" s="2">
        <f t="shared" si="191"/>
        <v>43</v>
      </c>
      <c r="DS152" s="2">
        <f t="shared" si="191"/>
        <v>31</v>
      </c>
      <c r="DT152" s="2">
        <f t="shared" si="191"/>
        <v>19</v>
      </c>
    </row>
    <row r="153" spans="1:124">
      <c r="A153" s="3">
        <v>44409</v>
      </c>
      <c r="B153">
        <f t="shared" si="145"/>
        <v>2021</v>
      </c>
      <c r="C153" s="2">
        <v>35010920</v>
      </c>
      <c r="D153" s="2">
        <f>VLOOKUP(B153,'Historic CDM'!$B$135:$H$146,2,FALSE)/12</f>
        <v>1164594.3140281634</v>
      </c>
      <c r="E153" s="2">
        <f t="shared" si="91"/>
        <v>36175514.314028166</v>
      </c>
      <c r="F153" s="5">
        <v>28532</v>
      </c>
      <c r="G153" s="219">
        <v>6633843</v>
      </c>
      <c r="H153" s="2">
        <f>VLOOKUP(B153,'Historic CDM'!$B$135:$H$147,3,FALSE)/12</f>
        <v>1136021.9338399856</v>
      </c>
      <c r="I153" s="2">
        <f t="shared" si="92"/>
        <v>7769864.9338399861</v>
      </c>
      <c r="J153" s="220">
        <v>2039</v>
      </c>
      <c r="K153" s="219">
        <v>18785074</v>
      </c>
      <c r="L153" s="2">
        <f>VLOOKUP(B153,'Historic CDM'!$B$135:$H$146,4,FALSE)/12</f>
        <v>1231788.6573237095</v>
      </c>
      <c r="M153" s="2">
        <f t="shared" si="132"/>
        <v>20016862.657323711</v>
      </c>
      <c r="N153" s="222">
        <v>62435</v>
      </c>
      <c r="O153" s="5">
        <v>221</v>
      </c>
      <c r="P153" s="219">
        <v>171287</v>
      </c>
      <c r="Q153" s="2">
        <v>616</v>
      </c>
      <c r="R153" s="5">
        <v>2784</v>
      </c>
      <c r="S153" s="220">
        <v>23433</v>
      </c>
      <c r="T153" s="2">
        <v>64</v>
      </c>
      <c r="U153" s="5">
        <v>228</v>
      </c>
      <c r="V153" s="221">
        <v>117392</v>
      </c>
      <c r="W153" s="1">
        <v>125</v>
      </c>
      <c r="X153" s="2">
        <v>2810916</v>
      </c>
      <c r="Y153" s="2">
        <v>11818</v>
      </c>
      <c r="Z153" s="5">
        <v>4</v>
      </c>
      <c r="AA153" s="100">
        <f>'Weather Data'!D249</f>
        <v>4.9000000000000021</v>
      </c>
      <c r="AB153" s="100">
        <f>'Weather Data'!E249</f>
        <v>105.19343102577058</v>
      </c>
      <c r="AC153" s="100">
        <f>'Weather Data'!F249</f>
        <v>0</v>
      </c>
      <c r="AD153" s="100">
        <f>'Weather Data'!G249</f>
        <v>162.29343102577059</v>
      </c>
      <c r="AE153" s="100">
        <f>'Weather Data'!H249</f>
        <v>0</v>
      </c>
      <c r="AF153" s="100">
        <f>'Weather Data'!I249</f>
        <v>224.29343102577059</v>
      </c>
      <c r="AG153" s="100">
        <f>'Weather Data'!J249</f>
        <v>0</v>
      </c>
      <c r="AH153" s="100">
        <f>'Weather Data'!K249</f>
        <v>286.29343102577059</v>
      </c>
      <c r="AI153" s="100">
        <f>'Weather Data'!L249</f>
        <v>0</v>
      </c>
      <c r="AJ153" s="100">
        <f>'Weather Data'!M249</f>
        <v>348.29343102577053</v>
      </c>
      <c r="AK153" s="100">
        <f>'Weather Data'!N249</f>
        <v>0</v>
      </c>
      <c r="AL153" s="100">
        <f>'Weather Data'!O249</f>
        <v>410.29343102577059</v>
      </c>
      <c r="AM153" s="100">
        <f>'Weather Data'!P249</f>
        <v>0</v>
      </c>
      <c r="AN153" s="100">
        <f>'Weather Data'!Q249</f>
        <v>472.29343102577064</v>
      </c>
      <c r="AO153" s="100">
        <f>'Weather Data'!R249</f>
        <v>23.235271968573244</v>
      </c>
      <c r="AP153" s="5">
        <f>'Economic Data'!D119</f>
        <v>7398.8</v>
      </c>
      <c r="AQ153" s="5">
        <f>'Economic Data'!E119</f>
        <v>7475.2</v>
      </c>
      <c r="AR153" s="5">
        <f>'Economic Data'!F119</f>
        <v>167.7</v>
      </c>
      <c r="AS153" s="5">
        <f>'Economic Data'!G119</f>
        <v>168.6</v>
      </c>
      <c r="AT153" s="5">
        <f>'Economic Data'!H119</f>
        <v>809658.6</v>
      </c>
      <c r="AU153" s="5">
        <f>'Economic Data'!I119</f>
        <v>8675.1</v>
      </c>
      <c r="AV153" s="5">
        <f>'Economic Data'!J119</f>
        <v>7622.2</v>
      </c>
      <c r="AW153" s="5">
        <f>'Economic Data'!K119</f>
        <v>5799.3</v>
      </c>
      <c r="AX153" s="5">
        <f>'Economic Data'!L119</f>
        <v>1155.7</v>
      </c>
      <c r="AY153" s="5">
        <f>'Economic Data'!M119</f>
        <v>1899.3</v>
      </c>
      <c r="AZ153" s="5">
        <f>'Economic Data'!N119</f>
        <v>6484.1</v>
      </c>
      <c r="BA153" s="5">
        <f>'Economic Data'!O119</f>
        <v>102.4</v>
      </c>
      <c r="BB153" s="5">
        <f>'Economic Data'!P119</f>
        <v>101.8</v>
      </c>
      <c r="BC153" s="5">
        <f>'Economic Data'!Q119</f>
        <v>810982</v>
      </c>
      <c r="BD153" s="5">
        <f>'Economic Data'!R119</f>
        <v>8142</v>
      </c>
      <c r="BE153" s="5">
        <f>'Economic Data'!S119</f>
        <v>4000</v>
      </c>
      <c r="BF153" s="5">
        <f>'Economic Data'!T119</f>
        <v>16200</v>
      </c>
      <c r="BG153" s="5">
        <f>'EV Data'!V58</f>
        <v>57081.333333333285</v>
      </c>
      <c r="BH153" s="5">
        <f>'EV Data'!AB58</f>
        <v>286.66666666666669</v>
      </c>
      <c r="BI153" s="5">
        <f>'EV Data'!W58</f>
        <v>854.66666666666708</v>
      </c>
      <c r="BJ153" s="5">
        <f t="shared" si="149"/>
        <v>104</v>
      </c>
      <c r="BK153" s="70">
        <f t="shared" si="146"/>
        <v>2.0170333392987803</v>
      </c>
      <c r="BL153" s="5">
        <f t="shared" si="147"/>
        <v>10816</v>
      </c>
      <c r="BM153">
        <f t="shared" ref="BM153:CA153" si="192">BM141</f>
        <v>0</v>
      </c>
      <c r="BN153">
        <f t="shared" si="192"/>
        <v>0</v>
      </c>
      <c r="BO153">
        <f t="shared" si="192"/>
        <v>0</v>
      </c>
      <c r="BP153">
        <f t="shared" si="192"/>
        <v>0</v>
      </c>
      <c r="BQ153">
        <f t="shared" si="192"/>
        <v>0</v>
      </c>
      <c r="BR153">
        <f t="shared" si="192"/>
        <v>0</v>
      </c>
      <c r="BS153">
        <f t="shared" si="192"/>
        <v>0</v>
      </c>
      <c r="BT153">
        <f t="shared" si="192"/>
        <v>1</v>
      </c>
      <c r="BU153">
        <f t="shared" si="192"/>
        <v>0</v>
      </c>
      <c r="BV153">
        <f t="shared" si="192"/>
        <v>0</v>
      </c>
      <c r="BW153">
        <f t="shared" si="192"/>
        <v>0</v>
      </c>
      <c r="BX153">
        <f t="shared" si="192"/>
        <v>0</v>
      </c>
      <c r="BY153">
        <f t="shared" si="192"/>
        <v>0</v>
      </c>
      <c r="BZ153">
        <f t="shared" si="192"/>
        <v>0</v>
      </c>
      <c r="CA153">
        <f t="shared" si="192"/>
        <v>0</v>
      </c>
      <c r="CB153">
        <f t="shared" si="130"/>
        <v>31</v>
      </c>
      <c r="CC153">
        <v>20</v>
      </c>
      <c r="CD153">
        <v>1</v>
      </c>
      <c r="CE153">
        <v>0.5</v>
      </c>
      <c r="CF153">
        <f t="shared" si="93"/>
        <v>0.75</v>
      </c>
      <c r="CG153">
        <v>0</v>
      </c>
      <c r="CH153" s="64">
        <f t="shared" si="153"/>
        <v>4.9000000000000021</v>
      </c>
      <c r="CI153" s="64">
        <f t="shared" si="154"/>
        <v>105.19343102577058</v>
      </c>
      <c r="CJ153" s="64">
        <f t="shared" si="155"/>
        <v>0</v>
      </c>
      <c r="CK153" s="64">
        <f t="shared" si="156"/>
        <v>162.29343102577059</v>
      </c>
      <c r="CL153" s="64">
        <f t="shared" si="157"/>
        <v>0</v>
      </c>
      <c r="CM153" s="64">
        <f t="shared" si="158"/>
        <v>224.29343102577059</v>
      </c>
      <c r="CN153" s="64">
        <f t="shared" si="159"/>
        <v>0</v>
      </c>
      <c r="CO153" s="64">
        <f t="shared" si="160"/>
        <v>286.29343102577059</v>
      </c>
      <c r="CP153" s="64">
        <f t="shared" si="161"/>
        <v>0</v>
      </c>
      <c r="CQ153" s="64">
        <f t="shared" si="162"/>
        <v>348.29343102577053</v>
      </c>
      <c r="CR153" s="64">
        <f t="shared" si="163"/>
        <v>0</v>
      </c>
      <c r="CS153" s="64">
        <f t="shared" si="164"/>
        <v>410.29343102577059</v>
      </c>
      <c r="CT153" s="64">
        <f t="shared" si="165"/>
        <v>0</v>
      </c>
      <c r="CU153" s="64">
        <f t="shared" si="166"/>
        <v>472.29343102577064</v>
      </c>
      <c r="CV153" s="69">
        <f t="shared" si="167"/>
        <v>40.899764287328964</v>
      </c>
      <c r="CW153" s="69">
        <f t="shared" si="168"/>
        <v>1134.121286504158</v>
      </c>
      <c r="CX153" s="69">
        <f t="shared" si="127"/>
        <v>4528.7019586705228</v>
      </c>
      <c r="CY153" s="69">
        <f t="shared" si="169"/>
        <v>35136.449999999997</v>
      </c>
      <c r="CZ153" s="64">
        <f t="shared" si="128"/>
        <v>2921.7431991422727</v>
      </c>
      <c r="DA153" s="64">
        <f t="shared" si="170"/>
        <v>22668.677419354837</v>
      </c>
      <c r="DB153">
        <f t="shared" si="171"/>
        <v>3.6750000000000016</v>
      </c>
      <c r="DC153">
        <f t="shared" si="172"/>
        <v>78.895073269327938</v>
      </c>
      <c r="DD153">
        <f t="shared" si="173"/>
        <v>0</v>
      </c>
      <c r="DE153">
        <f t="shared" si="174"/>
        <v>121.72007326932794</v>
      </c>
      <c r="DF153">
        <f t="shared" si="175"/>
        <v>0</v>
      </c>
      <c r="DG153">
        <f t="shared" si="176"/>
        <v>168.22007326932794</v>
      </c>
      <c r="DH153">
        <f t="shared" si="177"/>
        <v>0</v>
      </c>
      <c r="DI153">
        <f t="shared" si="178"/>
        <v>214.72007326932794</v>
      </c>
      <c r="DJ153">
        <f t="shared" si="179"/>
        <v>0</v>
      </c>
      <c r="DK153">
        <f t="shared" si="180"/>
        <v>261.22007326932788</v>
      </c>
      <c r="DL153">
        <f t="shared" si="181"/>
        <v>0</v>
      </c>
      <c r="DM153">
        <f t="shared" si="182"/>
        <v>307.72007326932794</v>
      </c>
      <c r="DN153">
        <f t="shared" si="183"/>
        <v>0</v>
      </c>
      <c r="DO153">
        <f t="shared" si="184"/>
        <v>354.220073269328</v>
      </c>
      <c r="DP153" s="2">
        <f t="shared" si="191"/>
        <v>68</v>
      </c>
      <c r="DQ153" s="2">
        <f t="shared" si="191"/>
        <v>56</v>
      </c>
      <c r="DR153" s="2">
        <f t="shared" si="191"/>
        <v>44</v>
      </c>
      <c r="DS153" s="2">
        <f t="shared" si="191"/>
        <v>32</v>
      </c>
      <c r="DT153" s="2">
        <f t="shared" si="191"/>
        <v>20</v>
      </c>
    </row>
    <row r="154" spans="1:124">
      <c r="A154" s="3">
        <v>44440</v>
      </c>
      <c r="B154">
        <f t="shared" si="145"/>
        <v>2021</v>
      </c>
      <c r="C154" s="2">
        <v>23881341</v>
      </c>
      <c r="D154" s="2">
        <f>VLOOKUP(B154,'Historic CDM'!$B$135:$H$146,2,FALSE)/12</f>
        <v>1164594.3140281634</v>
      </c>
      <c r="E154" s="2">
        <f t="shared" si="91"/>
        <v>25045935.314028163</v>
      </c>
      <c r="F154" s="5">
        <v>28549</v>
      </c>
      <c r="G154" s="219">
        <v>5389808</v>
      </c>
      <c r="H154" s="2">
        <f>VLOOKUP(B154,'Historic CDM'!$B$135:$H$147,3,FALSE)/12</f>
        <v>1136021.9338399856</v>
      </c>
      <c r="I154" s="2">
        <f t="shared" si="92"/>
        <v>6525829.9338399861</v>
      </c>
      <c r="J154" s="220">
        <v>2040</v>
      </c>
      <c r="K154" s="219">
        <v>17282212</v>
      </c>
      <c r="L154" s="2">
        <f>VLOOKUP(B154,'Historic CDM'!$B$135:$H$146,4,FALSE)/12</f>
        <v>1231788.6573237095</v>
      </c>
      <c r="M154" s="2">
        <f t="shared" si="132"/>
        <v>18514000.657323711</v>
      </c>
      <c r="N154" s="222">
        <v>53497</v>
      </c>
      <c r="O154" s="5">
        <v>221</v>
      </c>
      <c r="P154" s="219">
        <v>193160</v>
      </c>
      <c r="Q154" s="2">
        <v>616</v>
      </c>
      <c r="R154" s="5">
        <v>2784</v>
      </c>
      <c r="S154" s="220">
        <v>22654</v>
      </c>
      <c r="T154" s="2">
        <v>62</v>
      </c>
      <c r="U154" s="5">
        <v>228</v>
      </c>
      <c r="V154" s="221">
        <v>117392</v>
      </c>
      <c r="W154" s="1">
        <v>125</v>
      </c>
      <c r="X154" s="2">
        <v>2370134</v>
      </c>
      <c r="Y154" s="2">
        <v>6613</v>
      </c>
      <c r="Z154" s="5">
        <v>4</v>
      </c>
      <c r="AA154" s="100">
        <f>'Weather Data'!D250</f>
        <v>61.099999999999994</v>
      </c>
      <c r="AB154" s="100">
        <f>'Weather Data'!E250</f>
        <v>18.600000000000001</v>
      </c>
      <c r="AC154" s="100">
        <f>'Weather Data'!F250</f>
        <v>33.400000000000006</v>
      </c>
      <c r="AD154" s="100">
        <f>'Weather Data'!G250</f>
        <v>50.900000000000006</v>
      </c>
      <c r="AE154" s="100">
        <f>'Weather Data'!H250</f>
        <v>13.3</v>
      </c>
      <c r="AF154" s="100">
        <f>'Weather Data'!I250</f>
        <v>90.800000000000011</v>
      </c>
      <c r="AG154" s="100">
        <f>'Weather Data'!J250</f>
        <v>3.9000000000000004</v>
      </c>
      <c r="AH154" s="100">
        <f>'Weather Data'!K250</f>
        <v>141.39999999999998</v>
      </c>
      <c r="AI154" s="100">
        <f>'Weather Data'!L250</f>
        <v>0.59999999999999964</v>
      </c>
      <c r="AJ154" s="100">
        <f>'Weather Data'!M250</f>
        <v>198.1</v>
      </c>
      <c r="AK154" s="100">
        <f>'Weather Data'!N250</f>
        <v>0</v>
      </c>
      <c r="AL154" s="100">
        <f>'Weather Data'!O250</f>
        <v>257.5</v>
      </c>
      <c r="AM154" s="100">
        <f>'Weather Data'!P250</f>
        <v>0</v>
      </c>
      <c r="AN154" s="100">
        <f>'Weather Data'!Q250</f>
        <v>317.49999999999994</v>
      </c>
      <c r="AO154" s="100">
        <f>'Weather Data'!R250</f>
        <v>18.583333333333332</v>
      </c>
      <c r="AP154" s="5">
        <f>'Economic Data'!D120</f>
        <v>7473.3</v>
      </c>
      <c r="AQ154" s="5">
        <f>'Economic Data'!E120</f>
        <v>7503.2</v>
      </c>
      <c r="AR154" s="5">
        <f>'Economic Data'!F120</f>
        <v>165.8</v>
      </c>
      <c r="AS154" s="5">
        <f>'Economic Data'!G120</f>
        <v>167.7</v>
      </c>
      <c r="AT154" s="5">
        <f>'Economic Data'!H120</f>
        <v>809658.6</v>
      </c>
      <c r="AU154" s="5">
        <f>'Economic Data'!I120</f>
        <v>8675.1</v>
      </c>
      <c r="AV154" s="5">
        <f>'Economic Data'!J120</f>
        <v>7622.2</v>
      </c>
      <c r="AW154" s="5">
        <f>'Economic Data'!K120</f>
        <v>5799.3</v>
      </c>
      <c r="AX154" s="5">
        <f>'Economic Data'!L120</f>
        <v>1155.7</v>
      </c>
      <c r="AY154" s="5">
        <f>'Economic Data'!M120</f>
        <v>1899.3</v>
      </c>
      <c r="AZ154" s="5">
        <f>'Economic Data'!N120</f>
        <v>6484.1</v>
      </c>
      <c r="BA154" s="5">
        <f>'Economic Data'!O120</f>
        <v>102.4</v>
      </c>
      <c r="BB154" s="5">
        <f>'Economic Data'!P120</f>
        <v>101.8</v>
      </c>
      <c r="BC154" s="5">
        <f>'Economic Data'!Q120</f>
        <v>810982</v>
      </c>
      <c r="BD154" s="5">
        <f>'Economic Data'!R120</f>
        <v>8142</v>
      </c>
      <c r="BE154" s="5">
        <f>'Economic Data'!S120</f>
        <v>4000</v>
      </c>
      <c r="BF154" s="5">
        <f>'Economic Data'!T120</f>
        <v>16200</v>
      </c>
      <c r="BG154" s="5">
        <f>'EV Data'!V59</f>
        <v>58801.999999999949</v>
      </c>
      <c r="BH154" s="5">
        <f>'EV Data'!AB59</f>
        <v>300</v>
      </c>
      <c r="BI154" s="5">
        <f>'EV Data'!W59</f>
        <v>887.00000000000045</v>
      </c>
      <c r="BJ154" s="5">
        <f t="shared" si="149"/>
        <v>105</v>
      </c>
      <c r="BK154" s="70">
        <f t="shared" si="146"/>
        <v>2.0211892990699383</v>
      </c>
      <c r="BL154" s="5">
        <f t="shared" si="147"/>
        <v>11025</v>
      </c>
      <c r="BM154">
        <f t="shared" ref="BM154:CA154" si="193">BM142</f>
        <v>0</v>
      </c>
      <c r="BN154">
        <f t="shared" si="193"/>
        <v>0</v>
      </c>
      <c r="BO154">
        <f t="shared" si="193"/>
        <v>0</v>
      </c>
      <c r="BP154">
        <f t="shared" si="193"/>
        <v>0</v>
      </c>
      <c r="BQ154">
        <f t="shared" si="193"/>
        <v>0</v>
      </c>
      <c r="BR154">
        <f t="shared" si="193"/>
        <v>0</v>
      </c>
      <c r="BS154">
        <f t="shared" si="193"/>
        <v>0</v>
      </c>
      <c r="BT154">
        <f t="shared" si="193"/>
        <v>0</v>
      </c>
      <c r="BU154">
        <f t="shared" si="193"/>
        <v>1</v>
      </c>
      <c r="BV154">
        <f t="shared" si="193"/>
        <v>0</v>
      </c>
      <c r="BW154">
        <f t="shared" si="193"/>
        <v>0</v>
      </c>
      <c r="BX154">
        <f t="shared" si="193"/>
        <v>0</v>
      </c>
      <c r="BY154">
        <f t="shared" si="193"/>
        <v>0</v>
      </c>
      <c r="BZ154">
        <f t="shared" si="193"/>
        <v>0</v>
      </c>
      <c r="CA154">
        <f t="shared" si="193"/>
        <v>0</v>
      </c>
      <c r="CB154">
        <f t="shared" si="130"/>
        <v>30</v>
      </c>
      <c r="CC154">
        <v>20</v>
      </c>
      <c r="CD154">
        <v>1</v>
      </c>
      <c r="CE154">
        <v>0.5</v>
      </c>
      <c r="CF154">
        <f t="shared" si="93"/>
        <v>0.75</v>
      </c>
      <c r="CG154">
        <v>0</v>
      </c>
      <c r="CH154" s="64">
        <f t="shared" si="153"/>
        <v>61.099999999999994</v>
      </c>
      <c r="CI154" s="64">
        <f t="shared" si="154"/>
        <v>18.600000000000001</v>
      </c>
      <c r="CJ154" s="64">
        <f t="shared" si="155"/>
        <v>33.400000000000006</v>
      </c>
      <c r="CK154" s="64">
        <f t="shared" si="156"/>
        <v>50.900000000000006</v>
      </c>
      <c r="CL154" s="64">
        <f t="shared" si="157"/>
        <v>13.3</v>
      </c>
      <c r="CM154" s="64">
        <f t="shared" si="158"/>
        <v>90.800000000000011</v>
      </c>
      <c r="CN154" s="64">
        <f t="shared" si="159"/>
        <v>3.9000000000000004</v>
      </c>
      <c r="CO154" s="64">
        <f t="shared" si="160"/>
        <v>141.39999999999998</v>
      </c>
      <c r="CP154" s="64">
        <f t="shared" si="161"/>
        <v>0.59999999999999964</v>
      </c>
      <c r="CQ154" s="64">
        <f t="shared" si="162"/>
        <v>198.1</v>
      </c>
      <c r="CR154" s="64">
        <f t="shared" si="163"/>
        <v>0</v>
      </c>
      <c r="CS154" s="64">
        <f t="shared" si="164"/>
        <v>257.5</v>
      </c>
      <c r="CT154" s="64">
        <f t="shared" si="165"/>
        <v>0</v>
      </c>
      <c r="CU154" s="64">
        <f t="shared" si="166"/>
        <v>317.49999999999994</v>
      </c>
      <c r="CV154" s="69">
        <f t="shared" si="167"/>
        <v>29.243213789190705</v>
      </c>
      <c r="CW154" s="69">
        <f t="shared" si="168"/>
        <v>984.28807448566909</v>
      </c>
      <c r="CX154" s="69">
        <f t="shared" si="127"/>
        <v>4188.6879315212018</v>
      </c>
      <c r="CY154" s="69">
        <f t="shared" si="169"/>
        <v>29626.674999999999</v>
      </c>
      <c r="CZ154" s="64">
        <f t="shared" si="128"/>
        <v>2792.4586210141347</v>
      </c>
      <c r="DA154" s="64">
        <f t="shared" si="170"/>
        <v>19751.116666666665</v>
      </c>
      <c r="DB154">
        <f t="shared" si="171"/>
        <v>45.824999999999996</v>
      </c>
      <c r="DC154">
        <f t="shared" si="172"/>
        <v>13.950000000000001</v>
      </c>
      <c r="DD154">
        <f t="shared" si="173"/>
        <v>25.050000000000004</v>
      </c>
      <c r="DE154">
        <f t="shared" si="174"/>
        <v>38.175000000000004</v>
      </c>
      <c r="DF154">
        <f t="shared" si="175"/>
        <v>9.9750000000000014</v>
      </c>
      <c r="DG154">
        <f t="shared" si="176"/>
        <v>68.100000000000009</v>
      </c>
      <c r="DH154">
        <f t="shared" si="177"/>
        <v>2.9250000000000003</v>
      </c>
      <c r="DI154">
        <f t="shared" si="178"/>
        <v>106.04999999999998</v>
      </c>
      <c r="DJ154">
        <f t="shared" si="179"/>
        <v>0.44999999999999973</v>
      </c>
      <c r="DK154">
        <f t="shared" si="180"/>
        <v>148.57499999999999</v>
      </c>
      <c r="DL154">
        <f t="shared" si="181"/>
        <v>0</v>
      </c>
      <c r="DM154">
        <f t="shared" si="182"/>
        <v>193.125</v>
      </c>
      <c r="DN154">
        <f t="shared" si="183"/>
        <v>0</v>
      </c>
      <c r="DO154">
        <f t="shared" si="184"/>
        <v>238.12499999999994</v>
      </c>
      <c r="DP154" s="2">
        <f t="shared" si="191"/>
        <v>69</v>
      </c>
      <c r="DQ154" s="2">
        <f t="shared" si="191"/>
        <v>57</v>
      </c>
      <c r="DR154" s="2">
        <f t="shared" si="191"/>
        <v>45</v>
      </c>
      <c r="DS154" s="2">
        <f t="shared" si="191"/>
        <v>33</v>
      </c>
      <c r="DT154" s="2">
        <f t="shared" si="191"/>
        <v>21</v>
      </c>
    </row>
    <row r="155" spans="1:124">
      <c r="A155" s="3">
        <v>44470</v>
      </c>
      <c r="B155">
        <f t="shared" si="145"/>
        <v>2021</v>
      </c>
      <c r="C155" s="2">
        <v>19647344</v>
      </c>
      <c r="D155" s="2">
        <f>VLOOKUP(B155,'Historic CDM'!$B$135:$H$146,2,FALSE)/12</f>
        <v>1164594.3140281634</v>
      </c>
      <c r="E155" s="2">
        <f t="shared" si="91"/>
        <v>20811938.314028163</v>
      </c>
      <c r="F155" s="5">
        <v>28597</v>
      </c>
      <c r="G155" s="219">
        <v>4747651</v>
      </c>
      <c r="H155" s="2">
        <f>VLOOKUP(B155,'Historic CDM'!$B$135:$H$147,3,FALSE)/12</f>
        <v>1136021.9338399856</v>
      </c>
      <c r="I155" s="2">
        <f t="shared" si="92"/>
        <v>5883672.9338399861</v>
      </c>
      <c r="J155" s="220">
        <v>2041</v>
      </c>
      <c r="K155" s="219">
        <v>15221745</v>
      </c>
      <c r="L155" s="2">
        <f>VLOOKUP(B155,'Historic CDM'!$B$135:$H$146,4,FALSE)/12</f>
        <v>1231788.6573237095</v>
      </c>
      <c r="M155" s="2">
        <f t="shared" si="132"/>
        <v>16453533.657323709</v>
      </c>
      <c r="N155" s="222">
        <v>48722</v>
      </c>
      <c r="O155" s="5">
        <v>221</v>
      </c>
      <c r="P155" s="219">
        <v>228280</v>
      </c>
      <c r="Q155" s="2">
        <v>616</v>
      </c>
      <c r="R155" s="5">
        <v>2786</v>
      </c>
      <c r="S155" s="220">
        <v>23870</v>
      </c>
      <c r="T155" s="2">
        <v>65</v>
      </c>
      <c r="U155" s="5">
        <v>228</v>
      </c>
      <c r="V155" s="221">
        <v>117392</v>
      </c>
      <c r="W155" s="1">
        <v>125</v>
      </c>
      <c r="X155" s="2">
        <v>2288392</v>
      </c>
      <c r="Y155" s="2">
        <v>6433</v>
      </c>
      <c r="Z155" s="5">
        <v>4</v>
      </c>
      <c r="AA155" s="100">
        <f>'Weather Data'!D251</f>
        <v>166.30000000000004</v>
      </c>
      <c r="AB155" s="100">
        <f>'Weather Data'!E251</f>
        <v>7.5000000000000036</v>
      </c>
      <c r="AC155" s="100">
        <f>'Weather Data'!F251</f>
        <v>123.80000000000001</v>
      </c>
      <c r="AD155" s="100">
        <f>'Weather Data'!G251</f>
        <v>27</v>
      </c>
      <c r="AE155" s="100">
        <f>'Weather Data'!H251</f>
        <v>86.1</v>
      </c>
      <c r="AF155" s="100">
        <f>'Weather Data'!I251</f>
        <v>51.300000000000011</v>
      </c>
      <c r="AG155" s="100">
        <f>'Weather Data'!J251</f>
        <v>53.599999999999994</v>
      </c>
      <c r="AH155" s="100">
        <f>'Weather Data'!K251</f>
        <v>80.799999999999983</v>
      </c>
      <c r="AI155" s="100">
        <f>'Weather Data'!L251</f>
        <v>28.000000000000007</v>
      </c>
      <c r="AJ155" s="100">
        <f>'Weather Data'!M251</f>
        <v>117.19999999999999</v>
      </c>
      <c r="AK155" s="100">
        <f>'Weather Data'!N251</f>
        <v>11.4</v>
      </c>
      <c r="AL155" s="100">
        <f>'Weather Data'!O251</f>
        <v>162.6</v>
      </c>
      <c r="AM155" s="100">
        <f>'Weather Data'!P251</f>
        <v>2.0999999999999996</v>
      </c>
      <c r="AN155" s="100">
        <f>'Weather Data'!Q251</f>
        <v>215.29999999999998</v>
      </c>
      <c r="AO155" s="100">
        <f>'Weather Data'!R251</f>
        <v>14.877419354838711</v>
      </c>
      <c r="AP155" s="5">
        <f>'Economic Data'!D121</f>
        <v>7523</v>
      </c>
      <c r="AQ155" s="5">
        <f>'Economic Data'!E121</f>
        <v>7538.5</v>
      </c>
      <c r="AR155" s="5">
        <f>'Economic Data'!F121</f>
        <v>169.4</v>
      </c>
      <c r="AS155" s="5">
        <f>'Economic Data'!G121</f>
        <v>171.7</v>
      </c>
      <c r="AT155" s="5">
        <f>'Economic Data'!H121</f>
        <v>809658.6</v>
      </c>
      <c r="AU155" s="5">
        <f>'Economic Data'!I121</f>
        <v>8675.1</v>
      </c>
      <c r="AV155" s="5">
        <f>'Economic Data'!J121</f>
        <v>7622.2</v>
      </c>
      <c r="AW155" s="5">
        <f>'Economic Data'!K121</f>
        <v>5799.3</v>
      </c>
      <c r="AX155" s="5">
        <f>'Economic Data'!L121</f>
        <v>1155.7</v>
      </c>
      <c r="AY155" s="5">
        <f>'Economic Data'!M121</f>
        <v>1899.3</v>
      </c>
      <c r="AZ155" s="5">
        <f>'Economic Data'!N121</f>
        <v>6484.1</v>
      </c>
      <c r="BA155" s="5">
        <f>'Economic Data'!O121</f>
        <v>102.4</v>
      </c>
      <c r="BB155" s="5">
        <f>'Economic Data'!P121</f>
        <v>101.8</v>
      </c>
      <c r="BC155" s="5">
        <f>'Economic Data'!Q121</f>
        <v>826374</v>
      </c>
      <c r="BD155" s="5">
        <f>'Economic Data'!R121</f>
        <v>9060</v>
      </c>
      <c r="BE155" s="5">
        <f>'Economic Data'!S121</f>
        <v>4056</v>
      </c>
      <c r="BF155" s="5">
        <f>'Economic Data'!T121</f>
        <v>16397</v>
      </c>
      <c r="BG155" s="5">
        <f>'EV Data'!V60</f>
        <v>60848.333333333285</v>
      </c>
      <c r="BH155" s="5">
        <f>'EV Data'!AB60</f>
        <v>306.33333333333331</v>
      </c>
      <c r="BI155" s="5">
        <f>'EV Data'!W60</f>
        <v>907.66666666666708</v>
      </c>
      <c r="BJ155" s="5">
        <f t="shared" si="149"/>
        <v>106</v>
      </c>
      <c r="BK155" s="70">
        <f t="shared" si="146"/>
        <v>2.0253058652647704</v>
      </c>
      <c r="BL155" s="5">
        <f t="shared" si="147"/>
        <v>11236</v>
      </c>
      <c r="BM155">
        <f t="shared" ref="BM155:CA155" si="194">BM143</f>
        <v>0</v>
      </c>
      <c r="BN155">
        <f t="shared" si="194"/>
        <v>0</v>
      </c>
      <c r="BO155">
        <f t="shared" si="194"/>
        <v>0</v>
      </c>
      <c r="BP155">
        <f t="shared" si="194"/>
        <v>0</v>
      </c>
      <c r="BQ155">
        <f t="shared" si="194"/>
        <v>0</v>
      </c>
      <c r="BR155">
        <f t="shared" si="194"/>
        <v>0</v>
      </c>
      <c r="BS155">
        <f t="shared" si="194"/>
        <v>0</v>
      </c>
      <c r="BT155">
        <f t="shared" si="194"/>
        <v>0</v>
      </c>
      <c r="BU155">
        <f t="shared" si="194"/>
        <v>0</v>
      </c>
      <c r="BV155">
        <f t="shared" si="194"/>
        <v>1</v>
      </c>
      <c r="BW155">
        <f t="shared" si="194"/>
        <v>0</v>
      </c>
      <c r="BX155">
        <f t="shared" si="194"/>
        <v>0</v>
      </c>
      <c r="BY155">
        <f t="shared" si="194"/>
        <v>0</v>
      </c>
      <c r="BZ155">
        <f t="shared" si="194"/>
        <v>1</v>
      </c>
      <c r="CA155">
        <f t="shared" si="194"/>
        <v>1</v>
      </c>
      <c r="CB155">
        <f t="shared" si="130"/>
        <v>31</v>
      </c>
      <c r="CC155">
        <v>20</v>
      </c>
      <c r="CD155">
        <v>1</v>
      </c>
      <c r="CE155">
        <v>0.5</v>
      </c>
      <c r="CF155">
        <f t="shared" si="93"/>
        <v>0.75</v>
      </c>
      <c r="CG155">
        <v>0</v>
      </c>
      <c r="CH155" s="64">
        <f t="shared" si="153"/>
        <v>166.30000000000004</v>
      </c>
      <c r="CI155" s="64">
        <f t="shared" si="154"/>
        <v>7.5000000000000036</v>
      </c>
      <c r="CJ155" s="64">
        <f t="shared" si="155"/>
        <v>123.80000000000001</v>
      </c>
      <c r="CK155" s="64">
        <f t="shared" si="156"/>
        <v>27</v>
      </c>
      <c r="CL155" s="64">
        <f t="shared" si="157"/>
        <v>86.1</v>
      </c>
      <c r="CM155" s="64">
        <f t="shared" si="158"/>
        <v>51.300000000000011</v>
      </c>
      <c r="CN155" s="64">
        <f t="shared" si="159"/>
        <v>53.599999999999994</v>
      </c>
      <c r="CO155" s="64">
        <f t="shared" si="160"/>
        <v>80.799999999999983</v>
      </c>
      <c r="CP155" s="64">
        <f t="shared" si="161"/>
        <v>28.000000000000007</v>
      </c>
      <c r="CQ155" s="64">
        <f t="shared" si="162"/>
        <v>117.19999999999999</v>
      </c>
      <c r="CR155" s="64">
        <f t="shared" si="163"/>
        <v>11.4</v>
      </c>
      <c r="CS155" s="64">
        <f t="shared" si="164"/>
        <v>162.6</v>
      </c>
      <c r="CT155" s="64">
        <f t="shared" si="165"/>
        <v>2.0999999999999996</v>
      </c>
      <c r="CU155" s="64">
        <f t="shared" si="166"/>
        <v>215.29999999999998</v>
      </c>
      <c r="CV155" s="69">
        <f t="shared" si="167"/>
        <v>23.476338386530688</v>
      </c>
      <c r="CW155" s="69">
        <f t="shared" si="168"/>
        <v>858.80498231498859</v>
      </c>
      <c r="CX155" s="69">
        <f t="shared" si="127"/>
        <v>3722.5189269963143</v>
      </c>
      <c r="CY155" s="69">
        <f t="shared" si="169"/>
        <v>28604.9</v>
      </c>
      <c r="CZ155" s="64">
        <f t="shared" si="128"/>
        <v>2401.6251141911703</v>
      </c>
      <c r="DA155" s="64">
        <f t="shared" si="170"/>
        <v>18454.774193548386</v>
      </c>
      <c r="DB155">
        <f t="shared" si="171"/>
        <v>124.72500000000002</v>
      </c>
      <c r="DC155">
        <f t="shared" si="172"/>
        <v>5.6250000000000027</v>
      </c>
      <c r="DD155">
        <f t="shared" si="173"/>
        <v>92.850000000000009</v>
      </c>
      <c r="DE155">
        <f t="shared" si="174"/>
        <v>20.25</v>
      </c>
      <c r="DF155">
        <f t="shared" si="175"/>
        <v>64.574999999999989</v>
      </c>
      <c r="DG155">
        <f t="shared" si="176"/>
        <v>38.475000000000009</v>
      </c>
      <c r="DH155">
        <f t="shared" si="177"/>
        <v>40.199999999999996</v>
      </c>
      <c r="DI155">
        <f t="shared" si="178"/>
        <v>60.599999999999987</v>
      </c>
      <c r="DJ155">
        <f t="shared" si="179"/>
        <v>21.000000000000007</v>
      </c>
      <c r="DK155">
        <f t="shared" si="180"/>
        <v>87.899999999999991</v>
      </c>
      <c r="DL155">
        <f t="shared" si="181"/>
        <v>8.5500000000000007</v>
      </c>
      <c r="DM155">
        <f t="shared" si="182"/>
        <v>121.94999999999999</v>
      </c>
      <c r="DN155">
        <f t="shared" si="183"/>
        <v>1.5749999999999997</v>
      </c>
      <c r="DO155">
        <f t="shared" si="184"/>
        <v>161.47499999999999</v>
      </c>
      <c r="DP155" s="2">
        <f t="shared" si="191"/>
        <v>70</v>
      </c>
      <c r="DQ155" s="2">
        <f t="shared" si="191"/>
        <v>58</v>
      </c>
      <c r="DR155" s="2">
        <f t="shared" si="191"/>
        <v>46</v>
      </c>
      <c r="DS155" s="2">
        <f t="shared" si="191"/>
        <v>34</v>
      </c>
      <c r="DT155" s="2">
        <f t="shared" si="191"/>
        <v>22</v>
      </c>
    </row>
    <row r="156" spans="1:124">
      <c r="A156" s="3">
        <v>44501</v>
      </c>
      <c r="B156">
        <f t="shared" si="145"/>
        <v>2021</v>
      </c>
      <c r="C156" s="2">
        <v>18482770</v>
      </c>
      <c r="D156" s="2">
        <f>VLOOKUP(B156,'Historic CDM'!$B$135:$H$146,2,FALSE)/12</f>
        <v>1164594.3140281634</v>
      </c>
      <c r="E156" s="2">
        <f t="shared" si="91"/>
        <v>19647364.314028163</v>
      </c>
      <c r="F156" s="5">
        <v>28616</v>
      </c>
      <c r="G156" s="219">
        <v>4793395</v>
      </c>
      <c r="H156" s="2">
        <f>VLOOKUP(B156,'Historic CDM'!$B$135:$H$147,3,FALSE)/12</f>
        <v>1136021.9338399856</v>
      </c>
      <c r="I156" s="2">
        <f t="shared" si="92"/>
        <v>5929416.9338399861</v>
      </c>
      <c r="J156" s="220">
        <v>2051</v>
      </c>
      <c r="K156" s="219">
        <v>14864867</v>
      </c>
      <c r="L156" s="2">
        <f>VLOOKUP(B156,'Historic CDM'!$B$135:$H$146,4,FALSE)/12</f>
        <v>1231788.6573237095</v>
      </c>
      <c r="M156" s="2">
        <f t="shared" si="132"/>
        <v>16096655.657323709</v>
      </c>
      <c r="N156" s="222">
        <v>41910</v>
      </c>
      <c r="O156" s="5">
        <v>221</v>
      </c>
      <c r="P156" s="219">
        <v>239678</v>
      </c>
      <c r="Q156" s="2">
        <v>616</v>
      </c>
      <c r="R156" s="5">
        <v>2786</v>
      </c>
      <c r="S156" s="220">
        <v>22874</v>
      </c>
      <c r="T156" s="2">
        <v>62</v>
      </c>
      <c r="U156" s="5">
        <v>228</v>
      </c>
      <c r="V156" s="221">
        <v>117392</v>
      </c>
      <c r="W156" s="1">
        <v>125</v>
      </c>
      <c r="X156" s="2">
        <v>2388052</v>
      </c>
      <c r="Y156" s="2">
        <v>6042</v>
      </c>
      <c r="Z156" s="5">
        <v>4</v>
      </c>
      <c r="AA156" s="100">
        <f>'Weather Data'!D252</f>
        <v>482.90000000000009</v>
      </c>
      <c r="AB156" s="100">
        <f>'Weather Data'!E252</f>
        <v>0</v>
      </c>
      <c r="AC156" s="100">
        <f>'Weather Data'!F252</f>
        <v>422.90000000000003</v>
      </c>
      <c r="AD156" s="100">
        <f>'Weather Data'!G252</f>
        <v>0</v>
      </c>
      <c r="AE156" s="100">
        <f>'Weather Data'!H252</f>
        <v>362.90000000000003</v>
      </c>
      <c r="AF156" s="100">
        <f>'Weather Data'!I252</f>
        <v>0</v>
      </c>
      <c r="AG156" s="100">
        <f>'Weather Data'!J252</f>
        <v>302.90000000000003</v>
      </c>
      <c r="AH156" s="100">
        <f>'Weather Data'!K252</f>
        <v>0</v>
      </c>
      <c r="AI156" s="100">
        <f>'Weather Data'!L252</f>
        <v>244.00000000000003</v>
      </c>
      <c r="AJ156" s="100">
        <f>'Weather Data'!M252</f>
        <v>1.0999999999999996</v>
      </c>
      <c r="AK156" s="100">
        <f>'Weather Data'!N252</f>
        <v>188.5</v>
      </c>
      <c r="AL156" s="100">
        <f>'Weather Data'!O252</f>
        <v>5.6</v>
      </c>
      <c r="AM156" s="100">
        <f>'Weather Data'!P252</f>
        <v>137.1</v>
      </c>
      <c r="AN156" s="100">
        <f>'Weather Data'!Q252</f>
        <v>14.2</v>
      </c>
      <c r="AO156" s="100">
        <f>'Weather Data'!R252</f>
        <v>3.9033333333333342</v>
      </c>
      <c r="AP156" s="5">
        <f>'Economic Data'!D122</f>
        <v>7584.2</v>
      </c>
      <c r="AQ156" s="5">
        <f>'Economic Data'!E122</f>
        <v>7590.1</v>
      </c>
      <c r="AR156" s="5">
        <f>'Economic Data'!F122</f>
        <v>176.5</v>
      </c>
      <c r="AS156" s="5">
        <f>'Economic Data'!G122</f>
        <v>178</v>
      </c>
      <c r="AT156" s="5">
        <f>'Economic Data'!H122</f>
        <v>809658.6</v>
      </c>
      <c r="AU156" s="5">
        <f>'Economic Data'!I122</f>
        <v>8675.1</v>
      </c>
      <c r="AV156" s="5">
        <f>'Economic Data'!J122</f>
        <v>7622.2</v>
      </c>
      <c r="AW156" s="5">
        <f>'Economic Data'!K122</f>
        <v>5799.3</v>
      </c>
      <c r="AX156" s="5">
        <f>'Economic Data'!L122</f>
        <v>1155.7</v>
      </c>
      <c r="AY156" s="5">
        <f>'Economic Data'!M122</f>
        <v>1899.3</v>
      </c>
      <c r="AZ156" s="5">
        <f>'Economic Data'!N122</f>
        <v>6484.1</v>
      </c>
      <c r="BA156" s="5">
        <f>'Economic Data'!O122</f>
        <v>102.4</v>
      </c>
      <c r="BB156" s="5">
        <f>'Economic Data'!P122</f>
        <v>101.8</v>
      </c>
      <c r="BC156" s="5">
        <f>'Economic Data'!Q122</f>
        <v>826374</v>
      </c>
      <c r="BD156" s="5">
        <f>'Economic Data'!R122</f>
        <v>9060</v>
      </c>
      <c r="BE156" s="5">
        <f>'Economic Data'!S122</f>
        <v>4056</v>
      </c>
      <c r="BF156" s="5">
        <f>'Economic Data'!T122</f>
        <v>16397</v>
      </c>
      <c r="BG156" s="5">
        <f>'EV Data'!V61</f>
        <v>62894.666666666621</v>
      </c>
      <c r="BH156" s="5">
        <f>'EV Data'!AB61</f>
        <v>312.66666666666663</v>
      </c>
      <c r="BI156" s="5">
        <f>'EV Data'!W61</f>
        <v>928.33333333333371</v>
      </c>
      <c r="BJ156" s="5">
        <f t="shared" si="149"/>
        <v>107</v>
      </c>
      <c r="BK156" s="70">
        <f t="shared" si="146"/>
        <v>2.0293837776852097</v>
      </c>
      <c r="BL156" s="5">
        <f t="shared" si="147"/>
        <v>11449</v>
      </c>
      <c r="BM156">
        <f t="shared" ref="BM156:CA156" si="195">BM144</f>
        <v>0</v>
      </c>
      <c r="BN156">
        <f t="shared" si="195"/>
        <v>0</v>
      </c>
      <c r="BO156">
        <f t="shared" si="195"/>
        <v>0</v>
      </c>
      <c r="BP156">
        <f t="shared" si="195"/>
        <v>0</v>
      </c>
      <c r="BQ156">
        <f t="shared" si="195"/>
        <v>0</v>
      </c>
      <c r="BR156">
        <f t="shared" si="195"/>
        <v>0</v>
      </c>
      <c r="BS156">
        <f t="shared" si="195"/>
        <v>0</v>
      </c>
      <c r="BT156">
        <f t="shared" si="195"/>
        <v>0</v>
      </c>
      <c r="BU156">
        <f t="shared" si="195"/>
        <v>0</v>
      </c>
      <c r="BV156">
        <f t="shared" si="195"/>
        <v>0</v>
      </c>
      <c r="BW156">
        <f t="shared" si="195"/>
        <v>1</v>
      </c>
      <c r="BX156">
        <f t="shared" si="195"/>
        <v>0</v>
      </c>
      <c r="BY156">
        <f t="shared" si="195"/>
        <v>0</v>
      </c>
      <c r="BZ156">
        <f t="shared" si="195"/>
        <v>1</v>
      </c>
      <c r="CA156">
        <f t="shared" si="195"/>
        <v>1</v>
      </c>
      <c r="CB156">
        <f t="shared" si="130"/>
        <v>30</v>
      </c>
      <c r="CC156">
        <v>22</v>
      </c>
      <c r="CD156">
        <v>1</v>
      </c>
      <c r="CE156">
        <v>0.5</v>
      </c>
      <c r="CF156">
        <f t="shared" si="93"/>
        <v>0.75</v>
      </c>
      <c r="CG156">
        <v>0</v>
      </c>
      <c r="CH156" s="64">
        <f t="shared" si="153"/>
        <v>482.90000000000009</v>
      </c>
      <c r="CI156" s="64">
        <f t="shared" si="154"/>
        <v>0</v>
      </c>
      <c r="CJ156" s="64">
        <f t="shared" si="155"/>
        <v>422.90000000000003</v>
      </c>
      <c r="CK156" s="64">
        <f t="shared" si="156"/>
        <v>0</v>
      </c>
      <c r="CL156" s="64">
        <f t="shared" si="157"/>
        <v>362.90000000000003</v>
      </c>
      <c r="CM156" s="64">
        <f t="shared" si="158"/>
        <v>0</v>
      </c>
      <c r="CN156" s="64">
        <f t="shared" si="159"/>
        <v>302.90000000000003</v>
      </c>
      <c r="CO156" s="64">
        <f t="shared" si="160"/>
        <v>0</v>
      </c>
      <c r="CP156" s="64">
        <f t="shared" si="161"/>
        <v>244.00000000000003</v>
      </c>
      <c r="CQ156" s="64">
        <f t="shared" si="162"/>
        <v>1.0999999999999996</v>
      </c>
      <c r="CR156" s="64">
        <f t="shared" si="163"/>
        <v>188.5</v>
      </c>
      <c r="CS156" s="64">
        <f t="shared" si="164"/>
        <v>5.6</v>
      </c>
      <c r="CT156" s="64">
        <f t="shared" si="165"/>
        <v>137.1</v>
      </c>
      <c r="CU156" s="64">
        <f t="shared" si="166"/>
        <v>14.2</v>
      </c>
      <c r="CV156" s="69">
        <f t="shared" si="167"/>
        <v>22.886222525892464</v>
      </c>
      <c r="CW156" s="69">
        <f t="shared" si="168"/>
        <v>894.33136257013371</v>
      </c>
      <c r="CX156" s="69">
        <f t="shared" si="127"/>
        <v>3310.7066345791259</v>
      </c>
      <c r="CY156" s="69">
        <f t="shared" si="169"/>
        <v>27136.954545454544</v>
      </c>
      <c r="CZ156" s="64">
        <f t="shared" si="128"/>
        <v>2427.851532024692</v>
      </c>
      <c r="DA156" s="64">
        <f t="shared" si="170"/>
        <v>19900.433333333334</v>
      </c>
      <c r="DB156">
        <f t="shared" si="171"/>
        <v>362.17500000000007</v>
      </c>
      <c r="DC156">
        <f t="shared" si="172"/>
        <v>0</v>
      </c>
      <c r="DD156">
        <f t="shared" si="173"/>
        <v>317.17500000000001</v>
      </c>
      <c r="DE156">
        <f t="shared" si="174"/>
        <v>0</v>
      </c>
      <c r="DF156">
        <f t="shared" si="175"/>
        <v>272.17500000000001</v>
      </c>
      <c r="DG156">
        <f t="shared" si="176"/>
        <v>0</v>
      </c>
      <c r="DH156">
        <f t="shared" si="177"/>
        <v>227.17500000000001</v>
      </c>
      <c r="DI156">
        <f t="shared" si="178"/>
        <v>0</v>
      </c>
      <c r="DJ156">
        <f t="shared" si="179"/>
        <v>183.00000000000003</v>
      </c>
      <c r="DK156">
        <f t="shared" si="180"/>
        <v>0.82499999999999973</v>
      </c>
      <c r="DL156">
        <f t="shared" si="181"/>
        <v>141.375</v>
      </c>
      <c r="DM156">
        <f t="shared" si="182"/>
        <v>4.1999999999999993</v>
      </c>
      <c r="DN156">
        <f t="shared" si="183"/>
        <v>102.82499999999999</v>
      </c>
      <c r="DO156">
        <f t="shared" si="184"/>
        <v>10.649999999999999</v>
      </c>
      <c r="DP156" s="2">
        <f t="shared" si="191"/>
        <v>71</v>
      </c>
      <c r="DQ156" s="2">
        <f t="shared" si="191"/>
        <v>59</v>
      </c>
      <c r="DR156" s="2">
        <f t="shared" si="191"/>
        <v>47</v>
      </c>
      <c r="DS156" s="2">
        <f t="shared" si="191"/>
        <v>35</v>
      </c>
      <c r="DT156" s="2">
        <f t="shared" si="191"/>
        <v>23</v>
      </c>
    </row>
    <row r="157" spans="1:124">
      <c r="A157" s="3">
        <v>44531</v>
      </c>
      <c r="B157">
        <f t="shared" si="145"/>
        <v>2021</v>
      </c>
      <c r="C157" s="2">
        <v>21230870</v>
      </c>
      <c r="D157" s="2">
        <f>VLOOKUP(B157,'Historic CDM'!$B$135:$H$146,2,FALSE)/12</f>
        <v>1164594.3140281634</v>
      </c>
      <c r="E157" s="2">
        <f t="shared" si="91"/>
        <v>22395464.314028163</v>
      </c>
      <c r="F157" s="5">
        <v>28637</v>
      </c>
      <c r="G157" s="219">
        <v>5318463</v>
      </c>
      <c r="H157" s="2">
        <f>VLOOKUP(B157,'Historic CDM'!$B$135:$H$147,3,FALSE)/12</f>
        <v>1136021.9338399856</v>
      </c>
      <c r="I157" s="2">
        <f t="shared" si="92"/>
        <v>6454484.9338399861</v>
      </c>
      <c r="J157" s="220">
        <v>2065</v>
      </c>
      <c r="K157" s="219">
        <v>13831254</v>
      </c>
      <c r="L157" s="2">
        <f>VLOOKUP(B157,'Historic CDM'!$B$135:$H$146,4,FALSE)/12</f>
        <v>1231788.6573237095</v>
      </c>
      <c r="M157" s="2">
        <f t="shared" si="132"/>
        <v>15063042.657323709</v>
      </c>
      <c r="N157" s="222">
        <v>44893</v>
      </c>
      <c r="O157" s="5">
        <v>202</v>
      </c>
      <c r="P157" s="219">
        <v>262252</v>
      </c>
      <c r="Q157" s="2">
        <v>616</v>
      </c>
      <c r="R157" s="5">
        <v>2789</v>
      </c>
      <c r="S157" s="220">
        <v>23153</v>
      </c>
      <c r="T157" s="2">
        <v>63</v>
      </c>
      <c r="U157" s="5">
        <v>228</v>
      </c>
      <c r="V157" s="221">
        <v>117392</v>
      </c>
      <c r="W157" s="1">
        <v>125</v>
      </c>
      <c r="X157" s="2">
        <v>2282252</v>
      </c>
      <c r="Y157" s="2">
        <v>6096</v>
      </c>
      <c r="Z157" s="5">
        <v>4</v>
      </c>
      <c r="AA157" s="100">
        <f>'Weather Data'!D253</f>
        <v>545.4</v>
      </c>
      <c r="AB157" s="100">
        <f>'Weather Data'!E253</f>
        <v>0</v>
      </c>
      <c r="AC157" s="100">
        <f>'Weather Data'!F253</f>
        <v>483.4</v>
      </c>
      <c r="AD157" s="100">
        <f>'Weather Data'!G253</f>
        <v>0</v>
      </c>
      <c r="AE157" s="100">
        <f>'Weather Data'!H253</f>
        <v>421.4</v>
      </c>
      <c r="AF157" s="100">
        <f>'Weather Data'!I253</f>
        <v>0</v>
      </c>
      <c r="AG157" s="100">
        <f>'Weather Data'!J253</f>
        <v>359.4</v>
      </c>
      <c r="AH157" s="100">
        <f>'Weather Data'!K253</f>
        <v>0</v>
      </c>
      <c r="AI157" s="100">
        <f>'Weather Data'!L253</f>
        <v>297.40000000000003</v>
      </c>
      <c r="AJ157" s="100">
        <f>'Weather Data'!M253</f>
        <v>0</v>
      </c>
      <c r="AK157" s="100">
        <f>'Weather Data'!N253</f>
        <v>235.40000000000006</v>
      </c>
      <c r="AL157" s="100">
        <f>'Weather Data'!O253</f>
        <v>0</v>
      </c>
      <c r="AM157" s="100">
        <f>'Weather Data'!P253</f>
        <v>175.60000000000002</v>
      </c>
      <c r="AN157" s="100">
        <f>'Weather Data'!Q253</f>
        <v>2.1999999999999993</v>
      </c>
      <c r="AO157" s="100">
        <f>'Weather Data'!R253</f>
        <v>2.4064516129032261</v>
      </c>
      <c r="AP157" s="5">
        <f>'Economic Data'!D123</f>
        <v>7632.7</v>
      </c>
      <c r="AQ157" s="5">
        <f>'Economic Data'!E123</f>
        <v>7647.5</v>
      </c>
      <c r="AR157" s="5">
        <f>'Economic Data'!F123</f>
        <v>183.6</v>
      </c>
      <c r="AS157" s="5">
        <f>'Economic Data'!G123</f>
        <v>185.1</v>
      </c>
      <c r="AT157" s="5">
        <f>'Economic Data'!H123</f>
        <v>809658.6</v>
      </c>
      <c r="AU157" s="5">
        <f>'Economic Data'!I123</f>
        <v>8675.1</v>
      </c>
      <c r="AV157" s="5">
        <f>'Economic Data'!J123</f>
        <v>7622.2</v>
      </c>
      <c r="AW157" s="5">
        <f>'Economic Data'!K123</f>
        <v>5799.3</v>
      </c>
      <c r="AX157" s="5">
        <f>'Economic Data'!L123</f>
        <v>1155.7</v>
      </c>
      <c r="AY157" s="5">
        <f>'Economic Data'!M123</f>
        <v>1899.3</v>
      </c>
      <c r="AZ157" s="5">
        <f>'Economic Data'!N123</f>
        <v>6484.1</v>
      </c>
      <c r="BA157" s="5">
        <f>'Economic Data'!O123</f>
        <v>102.4</v>
      </c>
      <c r="BB157" s="5">
        <f>'Economic Data'!P123</f>
        <v>101.8</v>
      </c>
      <c r="BC157" s="5">
        <f>'Economic Data'!Q123</f>
        <v>826374</v>
      </c>
      <c r="BD157" s="5">
        <f>'Economic Data'!R123</f>
        <v>9060</v>
      </c>
      <c r="BE157" s="5">
        <f>'Economic Data'!S123</f>
        <v>4056</v>
      </c>
      <c r="BF157" s="5">
        <f>'Economic Data'!T123</f>
        <v>16397</v>
      </c>
      <c r="BG157" s="5">
        <f>'EV Data'!V62</f>
        <v>64940.999999999956</v>
      </c>
      <c r="BH157" s="5">
        <f>'EV Data'!AB62</f>
        <v>318.99999999999994</v>
      </c>
      <c r="BI157" s="5">
        <f>'EV Data'!W62</f>
        <v>949.00000000000034</v>
      </c>
      <c r="BJ157" s="5">
        <f t="shared" si="149"/>
        <v>108</v>
      </c>
      <c r="BK157" s="70">
        <f t="shared" si="146"/>
        <v>2.0334237554869499</v>
      </c>
      <c r="BL157" s="5">
        <f t="shared" si="147"/>
        <v>11664</v>
      </c>
      <c r="BM157">
        <f t="shared" ref="BM157:CA157" si="196">BM145</f>
        <v>0</v>
      </c>
      <c r="BN157">
        <f t="shared" si="196"/>
        <v>0</v>
      </c>
      <c r="BO157">
        <f t="shared" si="196"/>
        <v>0</v>
      </c>
      <c r="BP157">
        <f t="shared" si="196"/>
        <v>0</v>
      </c>
      <c r="BQ157">
        <f t="shared" si="196"/>
        <v>0</v>
      </c>
      <c r="BR157">
        <f t="shared" si="196"/>
        <v>0</v>
      </c>
      <c r="BS157">
        <f t="shared" si="196"/>
        <v>0</v>
      </c>
      <c r="BT157">
        <f t="shared" si="196"/>
        <v>0</v>
      </c>
      <c r="BU157">
        <f t="shared" si="196"/>
        <v>0</v>
      </c>
      <c r="BV157">
        <f t="shared" si="196"/>
        <v>0</v>
      </c>
      <c r="BW157">
        <f t="shared" si="196"/>
        <v>0</v>
      </c>
      <c r="BX157">
        <f t="shared" si="196"/>
        <v>1</v>
      </c>
      <c r="BY157">
        <f t="shared" si="196"/>
        <v>0</v>
      </c>
      <c r="BZ157">
        <f t="shared" si="196"/>
        <v>0</v>
      </c>
      <c r="CA157">
        <f t="shared" si="196"/>
        <v>0</v>
      </c>
      <c r="CB157">
        <f t="shared" si="130"/>
        <v>31</v>
      </c>
      <c r="CC157">
        <v>21</v>
      </c>
      <c r="CD157">
        <v>1</v>
      </c>
      <c r="CE157">
        <v>0.5</v>
      </c>
      <c r="CF157">
        <f t="shared" si="93"/>
        <v>0.75</v>
      </c>
      <c r="CG157">
        <v>0</v>
      </c>
      <c r="CH157" s="64">
        <f t="shared" si="153"/>
        <v>545.4</v>
      </c>
      <c r="CI157" s="64">
        <f t="shared" si="154"/>
        <v>0</v>
      </c>
      <c r="CJ157" s="64">
        <f t="shared" si="155"/>
        <v>483.4</v>
      </c>
      <c r="CK157" s="64">
        <f t="shared" si="156"/>
        <v>0</v>
      </c>
      <c r="CL157" s="64">
        <f t="shared" si="157"/>
        <v>421.4</v>
      </c>
      <c r="CM157" s="64">
        <f t="shared" si="158"/>
        <v>0</v>
      </c>
      <c r="CN157" s="64">
        <f t="shared" si="159"/>
        <v>359.4</v>
      </c>
      <c r="CO157" s="64">
        <f t="shared" si="160"/>
        <v>0</v>
      </c>
      <c r="CP157" s="64">
        <f t="shared" si="161"/>
        <v>297.40000000000003</v>
      </c>
      <c r="CQ157" s="64">
        <f t="shared" si="162"/>
        <v>0</v>
      </c>
      <c r="CR157" s="64">
        <f t="shared" si="163"/>
        <v>235.40000000000006</v>
      </c>
      <c r="CS157" s="64">
        <f t="shared" si="164"/>
        <v>0</v>
      </c>
      <c r="CT157" s="64">
        <f t="shared" si="165"/>
        <v>175.60000000000002</v>
      </c>
      <c r="CU157" s="64">
        <f t="shared" si="166"/>
        <v>2.1999999999999993</v>
      </c>
      <c r="CV157" s="69">
        <f t="shared" si="167"/>
        <v>25.22730497994154</v>
      </c>
      <c r="CW157" s="69">
        <f t="shared" si="168"/>
        <v>1030.7385713573917</v>
      </c>
      <c r="CX157" s="69">
        <f t="shared" si="127"/>
        <v>3550.929433598234</v>
      </c>
      <c r="CY157" s="69">
        <f t="shared" si="169"/>
        <v>27169.666666666668</v>
      </c>
      <c r="CZ157" s="64">
        <f t="shared" si="128"/>
        <v>2405.4683259859003</v>
      </c>
      <c r="DA157" s="64">
        <f t="shared" si="170"/>
        <v>18405.258064516129</v>
      </c>
      <c r="DB157">
        <f t="shared" si="171"/>
        <v>409.04999999999995</v>
      </c>
      <c r="DC157">
        <f t="shared" si="172"/>
        <v>0</v>
      </c>
      <c r="DD157">
        <f t="shared" si="173"/>
        <v>362.54999999999995</v>
      </c>
      <c r="DE157">
        <f t="shared" si="174"/>
        <v>0</v>
      </c>
      <c r="DF157">
        <f t="shared" si="175"/>
        <v>316.04999999999995</v>
      </c>
      <c r="DG157">
        <f t="shared" si="176"/>
        <v>0</v>
      </c>
      <c r="DH157">
        <f t="shared" si="177"/>
        <v>269.54999999999995</v>
      </c>
      <c r="DI157">
        <f t="shared" si="178"/>
        <v>0</v>
      </c>
      <c r="DJ157">
        <f t="shared" si="179"/>
        <v>223.05</v>
      </c>
      <c r="DK157">
        <f t="shared" si="180"/>
        <v>0</v>
      </c>
      <c r="DL157">
        <f t="shared" si="181"/>
        <v>176.55000000000004</v>
      </c>
      <c r="DM157">
        <f t="shared" si="182"/>
        <v>0</v>
      </c>
      <c r="DN157">
        <f t="shared" si="183"/>
        <v>131.70000000000002</v>
      </c>
      <c r="DO157">
        <f t="shared" si="184"/>
        <v>1.6499999999999995</v>
      </c>
      <c r="DP157" s="2">
        <f t="shared" si="191"/>
        <v>72</v>
      </c>
      <c r="DQ157" s="2">
        <f t="shared" si="191"/>
        <v>60</v>
      </c>
      <c r="DR157" s="2">
        <f t="shared" si="191"/>
        <v>48</v>
      </c>
      <c r="DS157" s="2">
        <f t="shared" si="191"/>
        <v>36</v>
      </c>
      <c r="DT157" s="2">
        <f t="shared" si="191"/>
        <v>24</v>
      </c>
    </row>
    <row r="158" spans="1:124">
      <c r="A158" s="3">
        <v>44562</v>
      </c>
      <c r="B158">
        <f t="shared" ref="B158:B163" si="197">YEAR(A158)</f>
        <v>2022</v>
      </c>
      <c r="C158" s="2">
        <v>22860071</v>
      </c>
      <c r="D158" s="2">
        <f>VLOOKUP(B158,'Historic CDM'!$B$135:$H$146,2,FALSE)/12</f>
        <v>1168945.3950770386</v>
      </c>
      <c r="E158" s="2">
        <f t="shared" si="91"/>
        <v>24029016.395077039</v>
      </c>
      <c r="F158" s="5">
        <v>28653</v>
      </c>
      <c r="G158" s="219">
        <v>5725637</v>
      </c>
      <c r="H158" s="2">
        <f>VLOOKUP(B158,'Historic CDM'!$B$135:$H$147,3,FALSE)/12</f>
        <v>1167742.3523487775</v>
      </c>
      <c r="I158" s="2">
        <f t="shared" si="92"/>
        <v>6893379.3523487775</v>
      </c>
      <c r="J158" s="220">
        <v>2065</v>
      </c>
      <c r="K158" s="219">
        <v>14633150</v>
      </c>
      <c r="L158" s="2">
        <f>VLOOKUP(B158,'Historic CDM'!$B$135:$H$146,4,FALSE)/12</f>
        <v>1290028.8826544937</v>
      </c>
      <c r="M158" s="2">
        <f t="shared" si="132"/>
        <v>15923178.882654494</v>
      </c>
      <c r="N158" s="222">
        <v>44142</v>
      </c>
      <c r="O158" s="5">
        <v>203</v>
      </c>
      <c r="P158" s="219">
        <v>257938</v>
      </c>
      <c r="Q158" s="2">
        <v>616</v>
      </c>
      <c r="R158" s="5">
        <v>2789</v>
      </c>
      <c r="S158" s="220">
        <v>23697</v>
      </c>
      <c r="T158" s="2">
        <v>65</v>
      </c>
      <c r="U158" s="5">
        <v>228</v>
      </c>
      <c r="V158" s="221">
        <v>117392</v>
      </c>
      <c r="W158" s="1">
        <v>125</v>
      </c>
      <c r="X158" s="2">
        <v>2458213</v>
      </c>
      <c r="Y158" s="2">
        <v>6457</v>
      </c>
      <c r="Z158" s="5">
        <v>4</v>
      </c>
      <c r="AA158" s="100">
        <f>'Weather Data'!D254</f>
        <v>828.20000000000016</v>
      </c>
      <c r="AB158" s="100">
        <f>'Weather Data'!E254</f>
        <v>0</v>
      </c>
      <c r="AC158" s="100">
        <f>'Weather Data'!F254</f>
        <v>766.2</v>
      </c>
      <c r="AD158" s="100">
        <f>'Weather Data'!G254</f>
        <v>0</v>
      </c>
      <c r="AE158" s="100">
        <f>'Weather Data'!H254</f>
        <v>704.2</v>
      </c>
      <c r="AF158" s="100">
        <f>'Weather Data'!I254</f>
        <v>0</v>
      </c>
      <c r="AG158" s="100">
        <f>'Weather Data'!J254</f>
        <v>642.20000000000005</v>
      </c>
      <c r="AH158" s="100">
        <f>'Weather Data'!K254</f>
        <v>0</v>
      </c>
      <c r="AI158" s="100">
        <f>'Weather Data'!L254</f>
        <v>580.19999999999993</v>
      </c>
      <c r="AJ158" s="100">
        <f>'Weather Data'!M254</f>
        <v>0</v>
      </c>
      <c r="AK158" s="100">
        <f>'Weather Data'!N254</f>
        <v>518.19999999999993</v>
      </c>
      <c r="AL158" s="100">
        <f>'Weather Data'!O254</f>
        <v>0</v>
      </c>
      <c r="AM158" s="100">
        <f>'Weather Data'!P254</f>
        <v>456.2</v>
      </c>
      <c r="AN158" s="100">
        <f>'Weather Data'!Q254</f>
        <v>0</v>
      </c>
      <c r="AO158" s="100">
        <f>'Weather Data'!R254</f>
        <v>-6.7161290322580642</v>
      </c>
      <c r="AP158" s="5">
        <f>'Economic Data'!D124</f>
        <v>7620</v>
      </c>
      <c r="AQ158" s="5">
        <f>'Economic Data'!E124</f>
        <v>7595.1</v>
      </c>
      <c r="AR158" s="5">
        <f>'Economic Data'!F124</f>
        <v>184.2</v>
      </c>
      <c r="AS158" s="5">
        <f>'Economic Data'!G124</f>
        <v>183.4</v>
      </c>
      <c r="AT158" s="5">
        <f>'Economic Data'!H124</f>
        <v>839497.4</v>
      </c>
      <c r="AU158" s="5">
        <f>'Economic Data'!I124</f>
        <v>8788.9</v>
      </c>
      <c r="AV158" s="5">
        <f>'Economic Data'!J124</f>
        <v>7781.9</v>
      </c>
      <c r="AW158" s="5">
        <f>'Economic Data'!K124</f>
        <v>5915.7</v>
      </c>
      <c r="AX158" s="5">
        <f>'Economic Data'!L124</f>
        <v>1230.4000000000001</v>
      </c>
      <c r="AY158" s="5">
        <f>'Economic Data'!M124</f>
        <v>2117.6</v>
      </c>
      <c r="AZ158" s="5">
        <f>'Economic Data'!N124</f>
        <v>6860.3</v>
      </c>
      <c r="BA158" s="5">
        <f>'Economic Data'!O124</f>
        <v>109.5</v>
      </c>
      <c r="BB158" s="5">
        <f>'Economic Data'!P124</f>
        <v>119.5</v>
      </c>
      <c r="BC158" s="5">
        <f>'Economic Data'!Q124</f>
        <v>833713</v>
      </c>
      <c r="BD158" s="5">
        <f>'Economic Data'!R124</f>
        <v>8882</v>
      </c>
      <c r="BE158" s="5">
        <f>'Economic Data'!S124</f>
        <v>4219</v>
      </c>
      <c r="BF158" s="5">
        <f>'Economic Data'!T124</f>
        <v>16469</v>
      </c>
      <c r="BG158" s="5">
        <f>'EV Data'!V63</f>
        <v>67315.333333333285</v>
      </c>
      <c r="BH158" s="5">
        <f>'EV Data'!AB63</f>
        <v>332.33333333333326</v>
      </c>
      <c r="BI158" s="5">
        <f>'EV Data'!W63</f>
        <v>986.33333333333371</v>
      </c>
      <c r="BJ158" s="5">
        <f t="shared" si="149"/>
        <v>109</v>
      </c>
      <c r="BK158" s="70">
        <f t="shared" ref="BK158:BK163" si="198">LOG(BJ158)</f>
        <v>2.0374264979406238</v>
      </c>
      <c r="BL158" s="5">
        <f t="shared" ref="BL158:BL163" si="199">BJ158^2</f>
        <v>11881</v>
      </c>
      <c r="BM158">
        <f t="shared" ref="BM158:CA158" si="200">BM146</f>
        <v>1</v>
      </c>
      <c r="BN158">
        <f t="shared" si="200"/>
        <v>0</v>
      </c>
      <c r="BO158">
        <f t="shared" si="200"/>
        <v>0</v>
      </c>
      <c r="BP158">
        <f t="shared" si="200"/>
        <v>0</v>
      </c>
      <c r="BQ158">
        <f t="shared" si="200"/>
        <v>0</v>
      </c>
      <c r="BR158">
        <f t="shared" si="200"/>
        <v>0</v>
      </c>
      <c r="BS158">
        <f t="shared" si="200"/>
        <v>0</v>
      </c>
      <c r="BT158">
        <f t="shared" si="200"/>
        <v>0</v>
      </c>
      <c r="BU158">
        <f t="shared" si="200"/>
        <v>0</v>
      </c>
      <c r="BV158">
        <f t="shared" si="200"/>
        <v>0</v>
      </c>
      <c r="BW158">
        <f t="shared" si="200"/>
        <v>0</v>
      </c>
      <c r="BX158">
        <f t="shared" si="200"/>
        <v>0</v>
      </c>
      <c r="BY158">
        <f t="shared" si="200"/>
        <v>0</v>
      </c>
      <c r="BZ158">
        <f t="shared" si="200"/>
        <v>0</v>
      </c>
      <c r="CA158">
        <f t="shared" si="200"/>
        <v>0</v>
      </c>
      <c r="CB158">
        <f t="shared" si="130"/>
        <v>31</v>
      </c>
      <c r="CC158">
        <v>20</v>
      </c>
      <c r="CD158">
        <f>CD157*0.5</f>
        <v>0.5</v>
      </c>
      <c r="CE158">
        <f>CE157*0.5</f>
        <v>0.25</v>
      </c>
      <c r="CF158">
        <v>0.5</v>
      </c>
      <c r="CG158">
        <v>0</v>
      </c>
      <c r="CH158" s="64">
        <f t="shared" si="153"/>
        <v>414.10000000000008</v>
      </c>
      <c r="CI158" s="64">
        <f t="shared" si="154"/>
        <v>0</v>
      </c>
      <c r="CJ158" s="64">
        <f t="shared" si="155"/>
        <v>383.1</v>
      </c>
      <c r="CK158" s="64">
        <f t="shared" si="156"/>
        <v>0</v>
      </c>
      <c r="CL158" s="64">
        <f t="shared" si="157"/>
        <v>352.1</v>
      </c>
      <c r="CM158" s="64">
        <f t="shared" si="158"/>
        <v>0</v>
      </c>
      <c r="CN158" s="64">
        <f t="shared" si="159"/>
        <v>321.10000000000002</v>
      </c>
      <c r="CO158" s="64">
        <f t="shared" si="160"/>
        <v>0</v>
      </c>
      <c r="CP158" s="64">
        <f t="shared" si="161"/>
        <v>290.09999999999997</v>
      </c>
      <c r="CQ158" s="64">
        <f t="shared" si="162"/>
        <v>0</v>
      </c>
      <c r="CR158" s="64">
        <f t="shared" si="163"/>
        <v>259.09999999999997</v>
      </c>
      <c r="CS158" s="64">
        <f t="shared" si="164"/>
        <v>0</v>
      </c>
      <c r="CT158" s="64">
        <f t="shared" si="165"/>
        <v>228.1</v>
      </c>
      <c r="CU158" s="64">
        <f t="shared" si="166"/>
        <v>0</v>
      </c>
      <c r="CV158" s="69">
        <f t="shared" si="167"/>
        <v>27.052300322183275</v>
      </c>
      <c r="CW158" s="69">
        <f t="shared" si="168"/>
        <v>1095.4043146907322</v>
      </c>
      <c r="CX158" s="69">
        <f t="shared" si="127"/>
        <v>3921.9652420331263</v>
      </c>
      <c r="CY158" s="69">
        <f t="shared" si="169"/>
        <v>30727.662499999999</v>
      </c>
      <c r="CZ158" s="64">
        <f t="shared" si="128"/>
        <v>2530.3001561504043</v>
      </c>
      <c r="DA158" s="64">
        <f t="shared" si="170"/>
        <v>19824.298387096773</v>
      </c>
      <c r="DB158">
        <f t="shared" si="171"/>
        <v>414.10000000000008</v>
      </c>
      <c r="DC158">
        <f t="shared" si="172"/>
        <v>0</v>
      </c>
      <c r="DD158">
        <f t="shared" si="173"/>
        <v>383.1</v>
      </c>
      <c r="DE158">
        <f t="shared" si="174"/>
        <v>0</v>
      </c>
      <c r="DF158">
        <f t="shared" si="175"/>
        <v>352.1</v>
      </c>
      <c r="DG158">
        <f t="shared" si="176"/>
        <v>0</v>
      </c>
      <c r="DH158">
        <f t="shared" si="177"/>
        <v>321.10000000000002</v>
      </c>
      <c r="DI158">
        <f t="shared" si="178"/>
        <v>0</v>
      </c>
      <c r="DJ158">
        <f t="shared" si="179"/>
        <v>290.09999999999997</v>
      </c>
      <c r="DK158">
        <f t="shared" si="180"/>
        <v>0</v>
      </c>
      <c r="DL158">
        <f t="shared" si="181"/>
        <v>259.09999999999997</v>
      </c>
      <c r="DM158">
        <f t="shared" si="182"/>
        <v>0</v>
      </c>
      <c r="DN158">
        <f t="shared" si="183"/>
        <v>228.1</v>
      </c>
      <c r="DO158">
        <f t="shared" si="184"/>
        <v>0</v>
      </c>
      <c r="DP158" s="2">
        <f t="shared" si="191"/>
        <v>73</v>
      </c>
      <c r="DQ158" s="2">
        <f t="shared" si="191"/>
        <v>61</v>
      </c>
      <c r="DR158" s="2">
        <f t="shared" si="191"/>
        <v>49</v>
      </c>
      <c r="DS158" s="2">
        <f t="shared" si="191"/>
        <v>37</v>
      </c>
      <c r="DT158" s="2">
        <f t="shared" si="191"/>
        <v>25</v>
      </c>
    </row>
    <row r="159" spans="1:124">
      <c r="A159" s="3">
        <v>44593</v>
      </c>
      <c r="B159">
        <f t="shared" si="197"/>
        <v>2022</v>
      </c>
      <c r="C159" s="6">
        <v>19604996</v>
      </c>
      <c r="D159" s="2">
        <f>VLOOKUP(B159,'Historic CDM'!$B$135:$H$146,2,FALSE)/12</f>
        <v>1168945.3950770386</v>
      </c>
      <c r="E159" s="2">
        <f t="shared" si="91"/>
        <v>20773941.395077039</v>
      </c>
      <c r="F159" s="5">
        <v>28663</v>
      </c>
      <c r="G159" s="219">
        <v>5204069</v>
      </c>
      <c r="H159" s="2">
        <f>VLOOKUP(B159,'Historic CDM'!$B$135:$H$147,3,FALSE)/12</f>
        <v>1167742.3523487775</v>
      </c>
      <c r="I159" s="2">
        <f t="shared" si="92"/>
        <v>6371811.3523487775</v>
      </c>
      <c r="J159" s="220">
        <v>2065</v>
      </c>
      <c r="K159" s="219">
        <v>13336476</v>
      </c>
      <c r="L159" s="2">
        <f>VLOOKUP(B159,'Historic CDM'!$B$135:$H$146,4,FALSE)/12</f>
        <v>1290028.8826544937</v>
      </c>
      <c r="M159" s="2">
        <f t="shared" si="132"/>
        <v>14626504.882654494</v>
      </c>
      <c r="N159" s="222">
        <v>44542</v>
      </c>
      <c r="O159" s="5">
        <v>203</v>
      </c>
      <c r="P159" s="219">
        <v>228233</v>
      </c>
      <c r="Q159" s="6">
        <v>613</v>
      </c>
      <c r="R159" s="5">
        <v>2790</v>
      </c>
      <c r="S159" s="220">
        <v>21164</v>
      </c>
      <c r="T159" s="6">
        <v>58</v>
      </c>
      <c r="U159" s="5">
        <v>228</v>
      </c>
      <c r="V159" s="221">
        <v>117392</v>
      </c>
      <c r="W159" s="1">
        <v>125</v>
      </c>
      <c r="X159" s="2">
        <v>2115178</v>
      </c>
      <c r="Y159" s="6">
        <v>6400</v>
      </c>
      <c r="Z159" s="5">
        <v>4</v>
      </c>
      <c r="AA159" s="100">
        <f>'Weather Data'!D255</f>
        <v>663.30000000000007</v>
      </c>
      <c r="AB159" s="100">
        <f>'Weather Data'!E255</f>
        <v>0</v>
      </c>
      <c r="AC159" s="100">
        <f>'Weather Data'!F255</f>
        <v>607.30000000000018</v>
      </c>
      <c r="AD159" s="100">
        <f>'Weather Data'!G255</f>
        <v>0</v>
      </c>
      <c r="AE159" s="100">
        <f>'Weather Data'!H255</f>
        <v>551.30000000000007</v>
      </c>
      <c r="AF159" s="100">
        <f>'Weather Data'!I255</f>
        <v>0</v>
      </c>
      <c r="AG159" s="100">
        <f>'Weather Data'!J255</f>
        <v>495.30000000000007</v>
      </c>
      <c r="AH159" s="100">
        <f>'Weather Data'!K255</f>
        <v>0</v>
      </c>
      <c r="AI159" s="100">
        <f>'Weather Data'!L255</f>
        <v>439.3</v>
      </c>
      <c r="AJ159" s="100">
        <f>'Weather Data'!M255</f>
        <v>0</v>
      </c>
      <c r="AK159" s="100">
        <f>'Weather Data'!N255</f>
        <v>383.29999999999995</v>
      </c>
      <c r="AL159" s="100">
        <f>'Weather Data'!O255</f>
        <v>0</v>
      </c>
      <c r="AM159" s="100">
        <f>'Weather Data'!P255</f>
        <v>327.29999999999995</v>
      </c>
      <c r="AN159" s="100">
        <f>'Weather Data'!Q255</f>
        <v>0</v>
      </c>
      <c r="AO159" s="100">
        <f>'Weather Data'!R255</f>
        <v>-3.6892857142857136</v>
      </c>
      <c r="AP159" s="5">
        <f>'Economic Data'!D125</f>
        <v>7649</v>
      </c>
      <c r="AQ159" s="5">
        <f>'Economic Data'!E125</f>
        <v>7588.8</v>
      </c>
      <c r="AR159" s="5">
        <f>'Economic Data'!F125</f>
        <v>181.8</v>
      </c>
      <c r="AS159" s="5">
        <f>'Economic Data'!G125</f>
        <v>180.5</v>
      </c>
      <c r="AT159" s="5">
        <f>'Economic Data'!H125</f>
        <v>839497.4</v>
      </c>
      <c r="AU159" s="5">
        <f>'Economic Data'!I125</f>
        <v>8788.9</v>
      </c>
      <c r="AV159" s="5">
        <f>'Economic Data'!J125</f>
        <v>7781.9</v>
      </c>
      <c r="AW159" s="5">
        <f>'Economic Data'!K125</f>
        <v>5915.7</v>
      </c>
      <c r="AX159" s="5">
        <f>'Economic Data'!L125</f>
        <v>1230.4000000000001</v>
      </c>
      <c r="AY159" s="5">
        <f>'Economic Data'!M125</f>
        <v>2117.6</v>
      </c>
      <c r="AZ159" s="5">
        <f>'Economic Data'!N125</f>
        <v>6860.3</v>
      </c>
      <c r="BA159" s="5">
        <f>'Economic Data'!O125</f>
        <v>109.5</v>
      </c>
      <c r="BB159" s="5">
        <f>'Economic Data'!P125</f>
        <v>119.5</v>
      </c>
      <c r="BC159" s="5">
        <f>'Economic Data'!Q125</f>
        <v>833713</v>
      </c>
      <c r="BD159" s="5">
        <f>'Economic Data'!R125</f>
        <v>8882</v>
      </c>
      <c r="BE159" s="5">
        <f>'Economic Data'!S125</f>
        <v>4219</v>
      </c>
      <c r="BF159" s="5">
        <f>'Economic Data'!T125</f>
        <v>16469</v>
      </c>
      <c r="BG159" s="5">
        <f>'EV Data'!V64</f>
        <v>69689.666666666613</v>
      </c>
      <c r="BH159" s="5">
        <f>'EV Data'!AB64</f>
        <v>345.66666666666657</v>
      </c>
      <c r="BI159" s="5">
        <f>'EV Data'!W64</f>
        <v>1023.6666666666671</v>
      </c>
      <c r="BJ159" s="5">
        <f t="shared" si="149"/>
        <v>110</v>
      </c>
      <c r="BK159" s="70">
        <f t="shared" si="198"/>
        <v>2.0413926851582249</v>
      </c>
      <c r="BL159" s="5">
        <f t="shared" si="199"/>
        <v>12100</v>
      </c>
      <c r="BM159">
        <f t="shared" ref="BM159:CA159" si="201">BM147</f>
        <v>0</v>
      </c>
      <c r="BN159">
        <f t="shared" si="201"/>
        <v>1</v>
      </c>
      <c r="BO159">
        <f t="shared" si="201"/>
        <v>0</v>
      </c>
      <c r="BP159">
        <f t="shared" si="201"/>
        <v>0</v>
      </c>
      <c r="BQ159">
        <f t="shared" si="201"/>
        <v>0</v>
      </c>
      <c r="BR159">
        <f t="shared" si="201"/>
        <v>0</v>
      </c>
      <c r="BS159">
        <f t="shared" si="201"/>
        <v>0</v>
      </c>
      <c r="BT159">
        <f t="shared" si="201"/>
        <v>0</v>
      </c>
      <c r="BU159">
        <f t="shared" si="201"/>
        <v>0</v>
      </c>
      <c r="BV159">
        <f t="shared" si="201"/>
        <v>0</v>
      </c>
      <c r="BW159">
        <f t="shared" si="201"/>
        <v>0</v>
      </c>
      <c r="BX159">
        <f t="shared" si="201"/>
        <v>0</v>
      </c>
      <c r="BY159">
        <f t="shared" si="201"/>
        <v>0</v>
      </c>
      <c r="BZ159">
        <f t="shared" si="201"/>
        <v>0</v>
      </c>
      <c r="CA159">
        <f t="shared" si="201"/>
        <v>0</v>
      </c>
      <c r="CB159">
        <f t="shared" si="130"/>
        <v>28</v>
      </c>
      <c r="CC159">
        <v>19</v>
      </c>
      <c r="CD159">
        <f>CD158</f>
        <v>0.5</v>
      </c>
      <c r="CE159">
        <f>CE158</f>
        <v>0.25</v>
      </c>
      <c r="CF159">
        <f t="shared" si="93"/>
        <v>0.5</v>
      </c>
      <c r="CG159">
        <v>0</v>
      </c>
      <c r="CH159" s="64">
        <f t="shared" si="153"/>
        <v>331.65000000000003</v>
      </c>
      <c r="CI159" s="64">
        <f t="shared" si="154"/>
        <v>0</v>
      </c>
      <c r="CJ159" s="64">
        <f t="shared" si="155"/>
        <v>303.65000000000009</v>
      </c>
      <c r="CK159" s="64">
        <f t="shared" si="156"/>
        <v>0</v>
      </c>
      <c r="CL159" s="64">
        <f t="shared" si="157"/>
        <v>275.65000000000003</v>
      </c>
      <c r="CM159" s="64">
        <f t="shared" si="158"/>
        <v>0</v>
      </c>
      <c r="CN159" s="64">
        <f t="shared" si="159"/>
        <v>247.65000000000003</v>
      </c>
      <c r="CO159" s="64">
        <f t="shared" si="160"/>
        <v>0</v>
      </c>
      <c r="CP159" s="64">
        <f t="shared" si="161"/>
        <v>219.65</v>
      </c>
      <c r="CQ159" s="64">
        <f t="shared" si="162"/>
        <v>0</v>
      </c>
      <c r="CR159" s="64">
        <f t="shared" si="163"/>
        <v>191.64999999999998</v>
      </c>
      <c r="CS159" s="64">
        <f t="shared" si="164"/>
        <v>0</v>
      </c>
      <c r="CT159" s="64">
        <f t="shared" si="165"/>
        <v>163.64999999999998</v>
      </c>
      <c r="CU159" s="64">
        <f t="shared" si="166"/>
        <v>0</v>
      </c>
      <c r="CV159" s="69">
        <f t="shared" si="167"/>
        <v>25.884467027024684</v>
      </c>
      <c r="CW159" s="69">
        <f t="shared" si="168"/>
        <v>1121.0083308143521</v>
      </c>
      <c r="CX159" s="69">
        <f t="shared" si="127"/>
        <v>3792.1972731798014</v>
      </c>
      <c r="CY159" s="69">
        <f t="shared" si="169"/>
        <v>27831.28947368421</v>
      </c>
      <c r="CZ159" s="64">
        <f t="shared" si="128"/>
        <v>2573.2767210862935</v>
      </c>
      <c r="DA159" s="64">
        <f t="shared" si="170"/>
        <v>18885.517857142859</v>
      </c>
      <c r="DB159">
        <f t="shared" si="171"/>
        <v>331.65000000000003</v>
      </c>
      <c r="DC159">
        <f t="shared" si="172"/>
        <v>0</v>
      </c>
      <c r="DD159">
        <f t="shared" si="173"/>
        <v>303.65000000000009</v>
      </c>
      <c r="DE159">
        <f t="shared" si="174"/>
        <v>0</v>
      </c>
      <c r="DF159">
        <f t="shared" si="175"/>
        <v>275.65000000000003</v>
      </c>
      <c r="DG159">
        <f t="shared" si="176"/>
        <v>0</v>
      </c>
      <c r="DH159">
        <f t="shared" si="177"/>
        <v>247.65000000000003</v>
      </c>
      <c r="DI159">
        <f t="shared" si="178"/>
        <v>0</v>
      </c>
      <c r="DJ159">
        <f t="shared" si="179"/>
        <v>219.65</v>
      </c>
      <c r="DK159">
        <f t="shared" si="180"/>
        <v>0</v>
      </c>
      <c r="DL159">
        <f t="shared" si="181"/>
        <v>191.64999999999998</v>
      </c>
      <c r="DM159">
        <f t="shared" si="182"/>
        <v>0</v>
      </c>
      <c r="DN159">
        <f t="shared" si="183"/>
        <v>163.64999999999998</v>
      </c>
      <c r="DO159">
        <f t="shared" si="184"/>
        <v>0</v>
      </c>
      <c r="DP159" s="2">
        <f t="shared" si="191"/>
        <v>74</v>
      </c>
      <c r="DQ159" s="2">
        <f t="shared" si="191"/>
        <v>62</v>
      </c>
      <c r="DR159" s="2">
        <f t="shared" si="191"/>
        <v>50</v>
      </c>
      <c r="DS159" s="2">
        <f t="shared" si="191"/>
        <v>38</v>
      </c>
      <c r="DT159" s="2">
        <f t="shared" si="191"/>
        <v>26</v>
      </c>
    </row>
    <row r="160" spans="1:124">
      <c r="A160" s="3">
        <v>44621</v>
      </c>
      <c r="B160">
        <f t="shared" si="197"/>
        <v>2022</v>
      </c>
      <c r="C160" s="6">
        <v>19167430</v>
      </c>
      <c r="D160" s="2">
        <f>VLOOKUP(B160,'Historic CDM'!$B$135:$H$146,2,FALSE)/12</f>
        <v>1168945.3950770386</v>
      </c>
      <c r="E160" s="2">
        <f t="shared" si="91"/>
        <v>20336375.395077039</v>
      </c>
      <c r="F160" s="5">
        <v>28714</v>
      </c>
      <c r="G160" s="219">
        <v>5411793</v>
      </c>
      <c r="H160" s="2">
        <f>VLOOKUP(B160,'Historic CDM'!$B$135:$H$147,3,FALSE)/12</f>
        <v>1167742.3523487775</v>
      </c>
      <c r="I160" s="2">
        <f t="shared" si="92"/>
        <v>6579535.3523487775</v>
      </c>
      <c r="J160" s="220">
        <v>2062</v>
      </c>
      <c r="K160" s="219">
        <v>14101884</v>
      </c>
      <c r="L160" s="2">
        <f>VLOOKUP(B160,'Historic CDM'!$B$135:$H$146,4,FALSE)/12</f>
        <v>1290028.8826544937</v>
      </c>
      <c r="M160" s="2">
        <f t="shared" si="132"/>
        <v>15391912.882654494</v>
      </c>
      <c r="N160" s="222">
        <v>43910</v>
      </c>
      <c r="O160" s="5">
        <v>204</v>
      </c>
      <c r="P160" s="219">
        <v>212685</v>
      </c>
      <c r="Q160" s="6">
        <v>604</v>
      </c>
      <c r="R160" s="5">
        <v>2790</v>
      </c>
      <c r="S160" s="220">
        <v>24214</v>
      </c>
      <c r="T160" s="6">
        <v>66</v>
      </c>
      <c r="U160" s="5">
        <v>228</v>
      </c>
      <c r="V160" s="221">
        <v>117392</v>
      </c>
      <c r="W160" s="1">
        <v>125</v>
      </c>
      <c r="X160" s="288">
        <f>AVERAGE(X159,X161)</f>
        <v>2122133</v>
      </c>
      <c r="Y160" s="6">
        <v>6250</v>
      </c>
      <c r="Z160" s="5">
        <v>4</v>
      </c>
      <c r="AA160" s="100">
        <f>'Weather Data'!D256</f>
        <v>527.93552299140981</v>
      </c>
      <c r="AB160" s="100">
        <f>'Weather Data'!E256</f>
        <v>0</v>
      </c>
      <c r="AC160" s="100">
        <f>'Weather Data'!F256</f>
        <v>465.93552299140975</v>
      </c>
      <c r="AD160" s="100">
        <f>'Weather Data'!G256</f>
        <v>0</v>
      </c>
      <c r="AE160" s="100">
        <f>'Weather Data'!H256</f>
        <v>403.93552299140981</v>
      </c>
      <c r="AF160" s="100">
        <f>'Weather Data'!I256</f>
        <v>0</v>
      </c>
      <c r="AG160" s="100">
        <f>'Weather Data'!J256</f>
        <v>341.93552299140981</v>
      </c>
      <c r="AH160" s="100">
        <f>'Weather Data'!K256</f>
        <v>0</v>
      </c>
      <c r="AI160" s="100">
        <f>'Weather Data'!L256</f>
        <v>279.93552299140987</v>
      </c>
      <c r="AJ160" s="100">
        <f>'Weather Data'!M256</f>
        <v>0</v>
      </c>
      <c r="AK160" s="100">
        <f>'Weather Data'!N256</f>
        <v>218.83552299140982</v>
      </c>
      <c r="AL160" s="100">
        <f>'Weather Data'!O256</f>
        <v>0.90000000000000036</v>
      </c>
      <c r="AM160" s="100">
        <f>'Weather Data'!P256</f>
        <v>161.23552299140979</v>
      </c>
      <c r="AN160" s="100">
        <f>'Weather Data'!Q256</f>
        <v>5.2999999999999989</v>
      </c>
      <c r="AO160" s="100">
        <f>'Weather Data'!R256</f>
        <v>2.9698218389867801</v>
      </c>
      <c r="AP160" s="5">
        <f>'Economic Data'!D126</f>
        <v>7670</v>
      </c>
      <c r="AQ160" s="5">
        <f>'Economic Data'!E126</f>
        <v>7573.4</v>
      </c>
      <c r="AR160" s="5">
        <f>'Economic Data'!F126</f>
        <v>178.4</v>
      </c>
      <c r="AS160" s="5">
        <f>'Economic Data'!G126</f>
        <v>175.2</v>
      </c>
      <c r="AT160" s="5">
        <f>'Economic Data'!H126</f>
        <v>839497.4</v>
      </c>
      <c r="AU160" s="5">
        <f>'Economic Data'!I126</f>
        <v>8788.9</v>
      </c>
      <c r="AV160" s="5">
        <f>'Economic Data'!J126</f>
        <v>7781.9</v>
      </c>
      <c r="AW160" s="5">
        <f>'Economic Data'!K126</f>
        <v>5915.7</v>
      </c>
      <c r="AX160" s="5">
        <f>'Economic Data'!L126</f>
        <v>1230.4000000000001</v>
      </c>
      <c r="AY160" s="5">
        <f>'Economic Data'!M126</f>
        <v>2117.6</v>
      </c>
      <c r="AZ160" s="5">
        <f>'Economic Data'!N126</f>
        <v>6860.3</v>
      </c>
      <c r="BA160" s="5">
        <f>'Economic Data'!O126</f>
        <v>109.5</v>
      </c>
      <c r="BB160" s="5">
        <f>'Economic Data'!P126</f>
        <v>119.5</v>
      </c>
      <c r="BC160" s="5">
        <f>'Economic Data'!Q126</f>
        <v>833713</v>
      </c>
      <c r="BD160" s="5">
        <f>'Economic Data'!R126</f>
        <v>8882</v>
      </c>
      <c r="BE160" s="5">
        <f>'Economic Data'!S126</f>
        <v>4219</v>
      </c>
      <c r="BF160" s="5">
        <f>'Economic Data'!T126</f>
        <v>16469</v>
      </c>
      <c r="BG160" s="5">
        <f>'EV Data'!V65</f>
        <v>72063.999999999942</v>
      </c>
      <c r="BH160" s="5">
        <f>'EV Data'!AB65</f>
        <v>358.99999999999989</v>
      </c>
      <c r="BI160" s="5">
        <f>'EV Data'!W65</f>
        <v>1061.0000000000005</v>
      </c>
      <c r="BJ160" s="5">
        <f t="shared" si="149"/>
        <v>111</v>
      </c>
      <c r="BK160" s="70">
        <f t="shared" si="198"/>
        <v>2.0453229787866576</v>
      </c>
      <c r="BL160" s="5">
        <f t="shared" si="199"/>
        <v>12321</v>
      </c>
      <c r="BM160">
        <f t="shared" ref="BM160:CA160" si="202">BM148</f>
        <v>0</v>
      </c>
      <c r="BN160">
        <f t="shared" si="202"/>
        <v>0</v>
      </c>
      <c r="BO160">
        <f t="shared" si="202"/>
        <v>1</v>
      </c>
      <c r="BP160">
        <f t="shared" si="202"/>
        <v>0</v>
      </c>
      <c r="BQ160">
        <f t="shared" si="202"/>
        <v>0</v>
      </c>
      <c r="BR160">
        <f t="shared" si="202"/>
        <v>0</v>
      </c>
      <c r="BS160">
        <f t="shared" si="202"/>
        <v>0</v>
      </c>
      <c r="BT160">
        <f t="shared" si="202"/>
        <v>0</v>
      </c>
      <c r="BU160">
        <f t="shared" si="202"/>
        <v>0</v>
      </c>
      <c r="BV160">
        <f t="shared" si="202"/>
        <v>0</v>
      </c>
      <c r="BW160">
        <f t="shared" si="202"/>
        <v>0</v>
      </c>
      <c r="BX160">
        <f t="shared" si="202"/>
        <v>0</v>
      </c>
      <c r="BY160">
        <f t="shared" si="202"/>
        <v>1</v>
      </c>
      <c r="BZ160">
        <f t="shared" si="202"/>
        <v>0</v>
      </c>
      <c r="CA160">
        <f t="shared" si="202"/>
        <v>1</v>
      </c>
      <c r="CB160">
        <f t="shared" si="130"/>
        <v>31</v>
      </c>
      <c r="CC160">
        <v>23</v>
      </c>
      <c r="CD160">
        <f t="shared" ref="CD160:CD169" si="203">CD159</f>
        <v>0.5</v>
      </c>
      <c r="CE160">
        <f t="shared" ref="CE160:CF169" si="204">CE159</f>
        <v>0.25</v>
      </c>
      <c r="CF160">
        <f t="shared" si="93"/>
        <v>0.5</v>
      </c>
      <c r="CG160">
        <v>0</v>
      </c>
      <c r="CH160" s="64">
        <f t="shared" si="153"/>
        <v>263.96776149570491</v>
      </c>
      <c r="CI160" s="64">
        <f t="shared" si="154"/>
        <v>0</v>
      </c>
      <c r="CJ160" s="64">
        <f t="shared" si="155"/>
        <v>232.96776149570488</v>
      </c>
      <c r="CK160" s="64">
        <f t="shared" si="156"/>
        <v>0</v>
      </c>
      <c r="CL160" s="64">
        <f t="shared" si="157"/>
        <v>201.96776149570491</v>
      </c>
      <c r="CM160" s="64">
        <f t="shared" si="158"/>
        <v>0</v>
      </c>
      <c r="CN160" s="64">
        <f t="shared" si="159"/>
        <v>170.96776149570491</v>
      </c>
      <c r="CO160" s="64">
        <f t="shared" si="160"/>
        <v>0</v>
      </c>
      <c r="CP160" s="64">
        <f t="shared" si="161"/>
        <v>139.96776149570493</v>
      </c>
      <c r="CQ160" s="64">
        <f t="shared" si="162"/>
        <v>0</v>
      </c>
      <c r="CR160" s="64">
        <f t="shared" si="163"/>
        <v>109.41776149570491</v>
      </c>
      <c r="CS160" s="64">
        <f t="shared" si="164"/>
        <v>0.45000000000000018</v>
      </c>
      <c r="CT160" s="64">
        <f t="shared" si="165"/>
        <v>80.617761495704897</v>
      </c>
      <c r="CU160" s="64">
        <f t="shared" si="166"/>
        <v>2.6499999999999995</v>
      </c>
      <c r="CV160" s="69">
        <f t="shared" si="167"/>
        <v>22.8464201963716</v>
      </c>
      <c r="CW160" s="69">
        <f t="shared" si="168"/>
        <v>1040.407234716758</v>
      </c>
      <c r="CX160" s="69">
        <f t="shared" si="127"/>
        <v>3280.4588411454592</v>
      </c>
      <c r="CY160" s="69">
        <f t="shared" si="169"/>
        <v>23066.66304347826</v>
      </c>
      <c r="CZ160" s="64">
        <f t="shared" si="128"/>
        <v>2433.8888176240503</v>
      </c>
      <c r="DA160" s="64">
        <f t="shared" si="170"/>
        <v>17113.975806451614</v>
      </c>
      <c r="DB160">
        <f t="shared" si="171"/>
        <v>263.96776149570491</v>
      </c>
      <c r="DC160">
        <f t="shared" si="172"/>
        <v>0</v>
      </c>
      <c r="DD160">
        <f t="shared" si="173"/>
        <v>232.96776149570488</v>
      </c>
      <c r="DE160">
        <f t="shared" si="174"/>
        <v>0</v>
      </c>
      <c r="DF160">
        <f t="shared" si="175"/>
        <v>201.96776149570491</v>
      </c>
      <c r="DG160">
        <f t="shared" si="176"/>
        <v>0</v>
      </c>
      <c r="DH160">
        <f t="shared" si="177"/>
        <v>170.96776149570491</v>
      </c>
      <c r="DI160">
        <f t="shared" si="178"/>
        <v>0</v>
      </c>
      <c r="DJ160">
        <f t="shared" si="179"/>
        <v>139.96776149570493</v>
      </c>
      <c r="DK160">
        <f t="shared" si="180"/>
        <v>0</v>
      </c>
      <c r="DL160">
        <f t="shared" si="181"/>
        <v>109.41776149570491</v>
      </c>
      <c r="DM160">
        <f t="shared" si="182"/>
        <v>0.45000000000000018</v>
      </c>
      <c r="DN160">
        <f t="shared" si="183"/>
        <v>80.617761495704897</v>
      </c>
      <c r="DO160">
        <f t="shared" si="184"/>
        <v>2.6499999999999995</v>
      </c>
      <c r="DP160" s="2">
        <f t="shared" si="191"/>
        <v>75</v>
      </c>
      <c r="DQ160" s="2">
        <f t="shared" si="191"/>
        <v>63</v>
      </c>
      <c r="DR160" s="2">
        <f t="shared" si="191"/>
        <v>51</v>
      </c>
      <c r="DS160" s="2">
        <f t="shared" si="191"/>
        <v>39</v>
      </c>
      <c r="DT160" s="2">
        <f t="shared" si="191"/>
        <v>27</v>
      </c>
    </row>
    <row r="161" spans="1:124">
      <c r="A161" s="3">
        <v>44652</v>
      </c>
      <c r="B161">
        <f t="shared" si="197"/>
        <v>2022</v>
      </c>
      <c r="C161" s="6">
        <v>17405507</v>
      </c>
      <c r="D161" s="225">
        <f>VLOOKUP(B161,'Historic CDM'!$B$135:$H$147,2,FALSE)/12</f>
        <v>1168945.3950770386</v>
      </c>
      <c r="E161" s="2">
        <f t="shared" si="91"/>
        <v>18574452.395077039</v>
      </c>
      <c r="F161" s="5">
        <v>28725</v>
      </c>
      <c r="G161" s="219">
        <v>4902258</v>
      </c>
      <c r="H161" s="2">
        <f>VLOOKUP(B161,'Historic CDM'!$B$135:$H$147,3,FALSE)/12</f>
        <v>1167742.3523487775</v>
      </c>
      <c r="I161" s="2">
        <f t="shared" si="92"/>
        <v>6070000.3523487775</v>
      </c>
      <c r="J161" s="220">
        <v>2061</v>
      </c>
      <c r="K161" s="219">
        <v>13208931</v>
      </c>
      <c r="L161" s="2">
        <f>VLOOKUP(B161,'Historic CDM'!$B$135:$H$146,4,FALSE)/12</f>
        <v>1290028.8826544937</v>
      </c>
      <c r="M161" s="2">
        <f t="shared" si="132"/>
        <v>14498959.882654494</v>
      </c>
      <c r="N161" s="222">
        <v>42797</v>
      </c>
      <c r="O161" s="5">
        <v>204</v>
      </c>
      <c r="P161" s="219">
        <v>177172</v>
      </c>
      <c r="Q161" s="6">
        <v>603</v>
      </c>
      <c r="R161" s="5">
        <v>2790</v>
      </c>
      <c r="S161" s="220">
        <v>22736</v>
      </c>
      <c r="T161" s="6">
        <v>62</v>
      </c>
      <c r="U161" s="5">
        <v>228</v>
      </c>
      <c r="V161" s="221">
        <v>117392</v>
      </c>
      <c r="W161" s="1">
        <v>125</v>
      </c>
      <c r="X161" s="2">
        <v>2129088</v>
      </c>
      <c r="Y161" s="6">
        <v>5807</v>
      </c>
      <c r="Z161" s="5">
        <v>4</v>
      </c>
      <c r="AA161" s="100">
        <f>'Weather Data'!D257</f>
        <v>392.50000000000006</v>
      </c>
      <c r="AB161" s="100">
        <f>'Weather Data'!E257</f>
        <v>0</v>
      </c>
      <c r="AC161" s="100">
        <f>'Weather Data'!F257</f>
        <v>333.80000000000007</v>
      </c>
      <c r="AD161" s="100">
        <f>'Weather Data'!G257</f>
        <v>1.3000000000000007</v>
      </c>
      <c r="AE161" s="100">
        <f>'Weather Data'!H257</f>
        <v>275.80000000000007</v>
      </c>
      <c r="AF161" s="100">
        <f>'Weather Data'!I257</f>
        <v>3.3000000000000007</v>
      </c>
      <c r="AG161" s="100">
        <f>'Weather Data'!J257</f>
        <v>220.60000000000005</v>
      </c>
      <c r="AH161" s="100">
        <f>'Weather Data'!K257</f>
        <v>8.1</v>
      </c>
      <c r="AI161" s="100">
        <f>'Weather Data'!L257</f>
        <v>168.70000000000002</v>
      </c>
      <c r="AJ161" s="100">
        <f>'Weather Data'!M257</f>
        <v>16.2</v>
      </c>
      <c r="AK161" s="100">
        <f>'Weather Data'!N257</f>
        <v>121.39999999999999</v>
      </c>
      <c r="AL161" s="100">
        <f>'Weather Data'!O257</f>
        <v>28.9</v>
      </c>
      <c r="AM161" s="100">
        <f>'Weather Data'!P257</f>
        <v>79.599999999999994</v>
      </c>
      <c r="AN161" s="100">
        <f>'Weather Data'!Q257</f>
        <v>47.099999999999994</v>
      </c>
      <c r="AO161" s="100">
        <f>'Weather Data'!R257</f>
        <v>6.916666666666667</v>
      </c>
      <c r="AP161" s="5">
        <f>'Economic Data'!D127</f>
        <v>7750.7</v>
      </c>
      <c r="AQ161" s="5">
        <f>'Economic Data'!E127</f>
        <v>7670</v>
      </c>
      <c r="AR161" s="5">
        <f>'Economic Data'!F127</f>
        <v>177.4</v>
      </c>
      <c r="AS161" s="5">
        <f>'Economic Data'!G127</f>
        <v>175.6</v>
      </c>
      <c r="AT161" s="5">
        <f>'Economic Data'!H127</f>
        <v>839497.4</v>
      </c>
      <c r="AU161" s="5">
        <f>'Economic Data'!I127</f>
        <v>8788.9</v>
      </c>
      <c r="AV161" s="5">
        <f>'Economic Data'!J127</f>
        <v>7781.9</v>
      </c>
      <c r="AW161" s="5">
        <f>'Economic Data'!K127</f>
        <v>5915.7</v>
      </c>
      <c r="AX161" s="5">
        <f>'Economic Data'!L127</f>
        <v>1230.4000000000001</v>
      </c>
      <c r="AY161" s="5">
        <f>'Economic Data'!M127</f>
        <v>2117.6</v>
      </c>
      <c r="AZ161" s="5">
        <f>'Economic Data'!N127</f>
        <v>6860.3</v>
      </c>
      <c r="BA161" s="5">
        <f>'Economic Data'!O127</f>
        <v>109.5</v>
      </c>
      <c r="BB161" s="5">
        <f>'Economic Data'!P127</f>
        <v>119.5</v>
      </c>
      <c r="BC161" s="5">
        <f>'Economic Data'!Q127</f>
        <v>840190</v>
      </c>
      <c r="BD161" s="5">
        <f>'Economic Data'!R127</f>
        <v>8753</v>
      </c>
      <c r="BE161" s="5">
        <f>'Economic Data'!S127</f>
        <v>3955</v>
      </c>
      <c r="BF161" s="5">
        <f>'Economic Data'!T127</f>
        <v>15914</v>
      </c>
      <c r="BG161" s="5">
        <f>'EV Data'!V66</f>
        <v>75241.666666666613</v>
      </c>
      <c r="BH161" s="5">
        <f>'EV Data'!AB66</f>
        <v>372.99999999999989</v>
      </c>
      <c r="BI161" s="5">
        <f>'EV Data'!W66</f>
        <v>1104.6666666666672</v>
      </c>
      <c r="BJ161" s="5">
        <f t="shared" si="149"/>
        <v>112</v>
      </c>
      <c r="BK161" s="70">
        <f t="shared" si="198"/>
        <v>2.0492180226701815</v>
      </c>
      <c r="BL161" s="5">
        <f t="shared" si="199"/>
        <v>12544</v>
      </c>
      <c r="BM161">
        <f t="shared" ref="BM161:CA161" si="205">BM149</f>
        <v>0</v>
      </c>
      <c r="BN161">
        <f t="shared" si="205"/>
        <v>0</v>
      </c>
      <c r="BO161">
        <f t="shared" si="205"/>
        <v>0</v>
      </c>
      <c r="BP161">
        <f t="shared" si="205"/>
        <v>1</v>
      </c>
      <c r="BQ161">
        <f t="shared" si="205"/>
        <v>0</v>
      </c>
      <c r="BR161">
        <f t="shared" si="205"/>
        <v>0</v>
      </c>
      <c r="BS161">
        <f t="shared" si="205"/>
        <v>0</v>
      </c>
      <c r="BT161">
        <f t="shared" si="205"/>
        <v>0</v>
      </c>
      <c r="BU161">
        <f t="shared" si="205"/>
        <v>0</v>
      </c>
      <c r="BV161">
        <f t="shared" si="205"/>
        <v>0</v>
      </c>
      <c r="BW161">
        <f t="shared" si="205"/>
        <v>0</v>
      </c>
      <c r="BX161">
        <f t="shared" si="205"/>
        <v>0</v>
      </c>
      <c r="BY161">
        <f t="shared" si="205"/>
        <v>1</v>
      </c>
      <c r="BZ161">
        <f t="shared" si="205"/>
        <v>0</v>
      </c>
      <c r="CA161">
        <f t="shared" si="205"/>
        <v>1</v>
      </c>
      <c r="CB161">
        <f t="shared" si="130"/>
        <v>30</v>
      </c>
      <c r="CC161">
        <v>20</v>
      </c>
      <c r="CD161">
        <f t="shared" si="203"/>
        <v>0.5</v>
      </c>
      <c r="CE161">
        <f t="shared" si="204"/>
        <v>0.25</v>
      </c>
      <c r="CF161">
        <f t="shared" si="93"/>
        <v>0.5</v>
      </c>
      <c r="CG161">
        <v>0</v>
      </c>
      <c r="CH161" s="64">
        <f t="shared" si="153"/>
        <v>196.25000000000003</v>
      </c>
      <c r="CI161" s="64">
        <f t="shared" si="154"/>
        <v>0</v>
      </c>
      <c r="CJ161" s="64">
        <f t="shared" si="155"/>
        <v>166.90000000000003</v>
      </c>
      <c r="CK161" s="64">
        <f t="shared" si="156"/>
        <v>0.65000000000000036</v>
      </c>
      <c r="CL161" s="64">
        <f t="shared" si="157"/>
        <v>137.90000000000003</v>
      </c>
      <c r="CM161" s="64">
        <f t="shared" si="158"/>
        <v>1.6500000000000004</v>
      </c>
      <c r="CN161" s="64">
        <f t="shared" si="159"/>
        <v>110.30000000000003</v>
      </c>
      <c r="CO161" s="64">
        <f t="shared" si="160"/>
        <v>4.05</v>
      </c>
      <c r="CP161" s="64">
        <f t="shared" si="161"/>
        <v>84.350000000000009</v>
      </c>
      <c r="CQ161" s="64">
        <f t="shared" si="162"/>
        <v>8.1</v>
      </c>
      <c r="CR161" s="64">
        <f t="shared" si="163"/>
        <v>60.699999999999996</v>
      </c>
      <c r="CS161" s="64">
        <f t="shared" si="164"/>
        <v>14.45</v>
      </c>
      <c r="CT161" s="64">
        <f t="shared" si="165"/>
        <v>39.799999999999997</v>
      </c>
      <c r="CU161" s="64">
        <f t="shared" si="166"/>
        <v>23.549999999999997</v>
      </c>
      <c r="CV161" s="69">
        <f t="shared" si="167"/>
        <v>21.554339884046463</v>
      </c>
      <c r="CW161" s="69">
        <f t="shared" si="168"/>
        <v>991.83012293280683</v>
      </c>
      <c r="CX161" s="69">
        <f t="shared" si="127"/>
        <v>3553.6666379055132</v>
      </c>
      <c r="CY161" s="69">
        <f t="shared" si="169"/>
        <v>26613.599999999999</v>
      </c>
      <c r="CZ161" s="64">
        <f t="shared" si="128"/>
        <v>2369.1110919370085</v>
      </c>
      <c r="DA161" s="64">
        <f t="shared" si="170"/>
        <v>17742.400000000001</v>
      </c>
      <c r="DB161">
        <f t="shared" si="171"/>
        <v>196.25000000000003</v>
      </c>
      <c r="DC161">
        <f t="shared" si="172"/>
        <v>0</v>
      </c>
      <c r="DD161">
        <f t="shared" si="173"/>
        <v>166.90000000000003</v>
      </c>
      <c r="DE161">
        <f t="shared" si="174"/>
        <v>0.65000000000000036</v>
      </c>
      <c r="DF161">
        <f t="shared" si="175"/>
        <v>137.90000000000003</v>
      </c>
      <c r="DG161">
        <f t="shared" si="176"/>
        <v>1.6500000000000004</v>
      </c>
      <c r="DH161">
        <f t="shared" si="177"/>
        <v>110.30000000000003</v>
      </c>
      <c r="DI161">
        <f t="shared" si="178"/>
        <v>4.05</v>
      </c>
      <c r="DJ161">
        <f t="shared" si="179"/>
        <v>84.350000000000009</v>
      </c>
      <c r="DK161">
        <f t="shared" si="180"/>
        <v>8.1</v>
      </c>
      <c r="DL161">
        <f t="shared" si="181"/>
        <v>60.699999999999996</v>
      </c>
      <c r="DM161">
        <f t="shared" si="182"/>
        <v>14.45</v>
      </c>
      <c r="DN161">
        <f t="shared" si="183"/>
        <v>39.799999999999997</v>
      </c>
      <c r="DO161">
        <f t="shared" si="184"/>
        <v>23.549999999999997</v>
      </c>
      <c r="DP161" s="2">
        <f t="shared" si="191"/>
        <v>76</v>
      </c>
      <c r="DQ161" s="2">
        <f t="shared" si="191"/>
        <v>64</v>
      </c>
      <c r="DR161" s="2">
        <f t="shared" si="191"/>
        <v>52</v>
      </c>
      <c r="DS161" s="2">
        <f t="shared" si="191"/>
        <v>40</v>
      </c>
      <c r="DT161" s="2">
        <f t="shared" si="191"/>
        <v>28</v>
      </c>
    </row>
    <row r="162" spans="1:124">
      <c r="A162" s="3">
        <v>44682</v>
      </c>
      <c r="B162">
        <f t="shared" si="197"/>
        <v>2022</v>
      </c>
      <c r="C162" s="6">
        <v>20447010</v>
      </c>
      <c r="D162" s="225">
        <f>VLOOKUP(B162,'Historic CDM'!$B$135:$H$147,2,FALSE)/12</f>
        <v>1168945.3950770386</v>
      </c>
      <c r="E162" s="2">
        <f t="shared" si="91"/>
        <v>21615955.395077039</v>
      </c>
      <c r="F162" s="5">
        <v>28733</v>
      </c>
      <c r="G162" s="219">
        <v>5347877</v>
      </c>
      <c r="H162" s="2">
        <f>VLOOKUP(B162,'Historic CDM'!$B$135:$H$147,3,FALSE)/12</f>
        <v>1167742.3523487775</v>
      </c>
      <c r="I162" s="2">
        <f t="shared" si="92"/>
        <v>6515619.3523487775</v>
      </c>
      <c r="J162" s="220">
        <v>2065</v>
      </c>
      <c r="K162" s="219">
        <v>14575813</v>
      </c>
      <c r="L162" s="2">
        <f>VLOOKUP(B162,'Historic CDM'!$B$135:$H$146,4,FALSE)/12</f>
        <v>1290028.8826544937</v>
      </c>
      <c r="M162" s="2">
        <f t="shared" ref="M162:M169" si="206">K162+L162</f>
        <v>15865841.882654494</v>
      </c>
      <c r="N162" s="222">
        <v>49541</v>
      </c>
      <c r="O162" s="5">
        <v>206</v>
      </c>
      <c r="P162" s="219">
        <v>159546</v>
      </c>
      <c r="Q162" s="6">
        <v>603</v>
      </c>
      <c r="R162" s="5">
        <v>2790</v>
      </c>
      <c r="S162" s="220">
        <v>23000</v>
      </c>
      <c r="T162" s="6">
        <v>63</v>
      </c>
      <c r="U162" s="5">
        <v>228</v>
      </c>
      <c r="V162" s="221">
        <v>117392</v>
      </c>
      <c r="W162" s="1">
        <v>125</v>
      </c>
      <c r="X162" s="2">
        <v>2149513</v>
      </c>
      <c r="Y162" s="6">
        <v>6353</v>
      </c>
      <c r="Z162" s="5">
        <v>4</v>
      </c>
      <c r="AA162" s="100">
        <f>'Weather Data'!D258</f>
        <v>131.5</v>
      </c>
      <c r="AB162" s="100">
        <f>'Weather Data'!E258</f>
        <v>19.099999999999994</v>
      </c>
      <c r="AC162" s="100">
        <f>'Weather Data'!F258</f>
        <v>92.700000000000031</v>
      </c>
      <c r="AD162" s="100">
        <f>'Weather Data'!G258</f>
        <v>42.29999999999999</v>
      </c>
      <c r="AE162" s="100">
        <f>'Weather Data'!H258</f>
        <v>60.899999999999991</v>
      </c>
      <c r="AF162" s="100">
        <f>'Weather Data'!I258</f>
        <v>72.5</v>
      </c>
      <c r="AG162" s="100">
        <f>'Weather Data'!J258</f>
        <v>33</v>
      </c>
      <c r="AH162" s="100">
        <f>'Weather Data'!K258</f>
        <v>106.6</v>
      </c>
      <c r="AI162" s="100">
        <f>'Weather Data'!L258</f>
        <v>12.999999999999998</v>
      </c>
      <c r="AJ162" s="100">
        <f>'Weather Data'!M258</f>
        <v>148.6</v>
      </c>
      <c r="AK162" s="100">
        <f>'Weather Data'!N258</f>
        <v>1.5999999999999996</v>
      </c>
      <c r="AL162" s="100">
        <f>'Weather Data'!O258</f>
        <v>199.2</v>
      </c>
      <c r="AM162" s="100">
        <f>'Weather Data'!P258</f>
        <v>0</v>
      </c>
      <c r="AN162" s="100">
        <f>'Weather Data'!Q258</f>
        <v>259.60000000000002</v>
      </c>
      <c r="AO162" s="100">
        <f>'Weather Data'!R258</f>
        <v>16.374193548387094</v>
      </c>
      <c r="AP162" s="5">
        <f>'Economic Data'!D128</f>
        <v>7765</v>
      </c>
      <c r="AQ162" s="5">
        <f>'Economic Data'!E128</f>
        <v>7738.6</v>
      </c>
      <c r="AR162" s="5">
        <f>'Economic Data'!F128</f>
        <v>176.2</v>
      </c>
      <c r="AS162" s="5">
        <f>'Economic Data'!G128</f>
        <v>174.6</v>
      </c>
      <c r="AT162" s="5">
        <f>'Economic Data'!H128</f>
        <v>839497.4</v>
      </c>
      <c r="AU162" s="5">
        <f>'Economic Data'!I128</f>
        <v>8788.9</v>
      </c>
      <c r="AV162" s="5">
        <f>'Economic Data'!J128</f>
        <v>7781.9</v>
      </c>
      <c r="AW162" s="5">
        <f>'Economic Data'!K128</f>
        <v>5915.7</v>
      </c>
      <c r="AX162" s="5">
        <f>'Economic Data'!L128</f>
        <v>1230.4000000000001</v>
      </c>
      <c r="AY162" s="5">
        <f>'Economic Data'!M128</f>
        <v>2117.6</v>
      </c>
      <c r="AZ162" s="5">
        <f>'Economic Data'!N128</f>
        <v>6860.3</v>
      </c>
      <c r="BA162" s="5">
        <f>'Economic Data'!O128</f>
        <v>109.5</v>
      </c>
      <c r="BB162" s="5">
        <f>'Economic Data'!P128</f>
        <v>119.5</v>
      </c>
      <c r="BC162" s="5">
        <f>'Economic Data'!Q128</f>
        <v>840190</v>
      </c>
      <c r="BD162" s="5">
        <f>'Economic Data'!R128</f>
        <v>8753</v>
      </c>
      <c r="BE162" s="5">
        <f>'Economic Data'!S128</f>
        <v>3955</v>
      </c>
      <c r="BF162" s="5">
        <f>'Economic Data'!T128</f>
        <v>15914</v>
      </c>
      <c r="BG162" s="5">
        <f>'EV Data'!V67</f>
        <v>78419.333333333285</v>
      </c>
      <c r="BH162" s="5">
        <f>'EV Data'!AB67</f>
        <v>386.99999999999989</v>
      </c>
      <c r="BI162" s="5">
        <f>'EV Data'!W67</f>
        <v>1148.3333333333339</v>
      </c>
      <c r="BJ162" s="5">
        <f t="shared" si="149"/>
        <v>113</v>
      </c>
      <c r="BK162" s="70">
        <f t="shared" si="198"/>
        <v>2.0530784434834195</v>
      </c>
      <c r="BL162" s="5">
        <f t="shared" si="199"/>
        <v>12769</v>
      </c>
      <c r="BM162">
        <f t="shared" ref="BM162:CA162" si="207">BM150</f>
        <v>0</v>
      </c>
      <c r="BN162">
        <f t="shared" si="207"/>
        <v>0</v>
      </c>
      <c r="BO162">
        <f t="shared" si="207"/>
        <v>0</v>
      </c>
      <c r="BP162">
        <f t="shared" si="207"/>
        <v>0</v>
      </c>
      <c r="BQ162">
        <f t="shared" si="207"/>
        <v>1</v>
      </c>
      <c r="BR162">
        <f t="shared" si="207"/>
        <v>0</v>
      </c>
      <c r="BS162">
        <f t="shared" si="207"/>
        <v>0</v>
      </c>
      <c r="BT162">
        <f t="shared" si="207"/>
        <v>0</v>
      </c>
      <c r="BU162">
        <f t="shared" si="207"/>
        <v>0</v>
      </c>
      <c r="BV162">
        <f t="shared" si="207"/>
        <v>0</v>
      </c>
      <c r="BW162">
        <f t="shared" si="207"/>
        <v>0</v>
      </c>
      <c r="BX162">
        <f t="shared" si="207"/>
        <v>0</v>
      </c>
      <c r="BY162">
        <f t="shared" si="207"/>
        <v>1</v>
      </c>
      <c r="BZ162">
        <f t="shared" si="207"/>
        <v>0</v>
      </c>
      <c r="CA162">
        <f t="shared" si="207"/>
        <v>1</v>
      </c>
      <c r="CB162">
        <f t="shared" si="130"/>
        <v>31</v>
      </c>
      <c r="CC162">
        <v>21</v>
      </c>
      <c r="CD162">
        <f t="shared" si="203"/>
        <v>0.5</v>
      </c>
      <c r="CE162">
        <f t="shared" si="204"/>
        <v>0.25</v>
      </c>
      <c r="CF162">
        <f t="shared" si="93"/>
        <v>0.5</v>
      </c>
      <c r="CG162">
        <v>0</v>
      </c>
      <c r="CH162" s="64">
        <f t="shared" si="153"/>
        <v>65.75</v>
      </c>
      <c r="CI162" s="64">
        <f t="shared" si="154"/>
        <v>9.5499999999999972</v>
      </c>
      <c r="CJ162" s="64">
        <f t="shared" si="155"/>
        <v>46.350000000000016</v>
      </c>
      <c r="CK162" s="64">
        <f t="shared" si="156"/>
        <v>21.149999999999995</v>
      </c>
      <c r="CL162" s="64">
        <f t="shared" si="157"/>
        <v>30.449999999999996</v>
      </c>
      <c r="CM162" s="64">
        <f t="shared" si="158"/>
        <v>36.25</v>
      </c>
      <c r="CN162" s="64">
        <f t="shared" si="159"/>
        <v>16.5</v>
      </c>
      <c r="CO162" s="64">
        <f t="shared" si="160"/>
        <v>53.3</v>
      </c>
      <c r="CP162" s="64">
        <f t="shared" si="161"/>
        <v>6.4999999999999991</v>
      </c>
      <c r="CQ162" s="64">
        <f t="shared" si="162"/>
        <v>74.3</v>
      </c>
      <c r="CR162" s="64">
        <f t="shared" si="163"/>
        <v>0.79999999999999982</v>
      </c>
      <c r="CS162" s="64">
        <f t="shared" si="164"/>
        <v>99.6</v>
      </c>
      <c r="CT162" s="64">
        <f t="shared" si="165"/>
        <v>0</v>
      </c>
      <c r="CU162" s="64">
        <f t="shared" si="166"/>
        <v>129.80000000000001</v>
      </c>
      <c r="CV162" s="69">
        <f t="shared" si="167"/>
        <v>24.267876090633155</v>
      </c>
      <c r="CW162" s="69">
        <f t="shared" si="168"/>
        <v>1020.2974244204162</v>
      </c>
      <c r="CX162" s="69">
        <f t="shared" si="127"/>
        <v>3667.5547578951673</v>
      </c>
      <c r="CY162" s="69">
        <f t="shared" si="169"/>
        <v>25589.440476190477</v>
      </c>
      <c r="CZ162" s="64">
        <f t="shared" si="128"/>
        <v>2484.4725779289843</v>
      </c>
      <c r="DA162" s="64">
        <f t="shared" si="170"/>
        <v>17334.782258064515</v>
      </c>
      <c r="DB162">
        <f t="shared" si="171"/>
        <v>65.75</v>
      </c>
      <c r="DC162">
        <f t="shared" si="172"/>
        <v>9.5499999999999972</v>
      </c>
      <c r="DD162">
        <f t="shared" si="173"/>
        <v>46.350000000000016</v>
      </c>
      <c r="DE162">
        <f t="shared" si="174"/>
        <v>21.149999999999995</v>
      </c>
      <c r="DF162">
        <f t="shared" si="175"/>
        <v>30.449999999999996</v>
      </c>
      <c r="DG162">
        <f t="shared" si="176"/>
        <v>36.25</v>
      </c>
      <c r="DH162">
        <f t="shared" si="177"/>
        <v>16.5</v>
      </c>
      <c r="DI162">
        <f t="shared" si="178"/>
        <v>53.3</v>
      </c>
      <c r="DJ162">
        <f t="shared" si="179"/>
        <v>6.4999999999999991</v>
      </c>
      <c r="DK162">
        <f t="shared" si="180"/>
        <v>74.3</v>
      </c>
      <c r="DL162">
        <f t="shared" si="181"/>
        <v>0.79999999999999982</v>
      </c>
      <c r="DM162">
        <f t="shared" si="182"/>
        <v>99.6</v>
      </c>
      <c r="DN162">
        <f t="shared" si="183"/>
        <v>0</v>
      </c>
      <c r="DO162">
        <f t="shared" si="184"/>
        <v>129.80000000000001</v>
      </c>
      <c r="DP162" s="2">
        <f t="shared" si="191"/>
        <v>77</v>
      </c>
      <c r="DQ162" s="2">
        <f t="shared" si="191"/>
        <v>65</v>
      </c>
      <c r="DR162" s="2">
        <f t="shared" si="191"/>
        <v>53</v>
      </c>
      <c r="DS162" s="2">
        <f t="shared" si="191"/>
        <v>41</v>
      </c>
      <c r="DT162" s="2">
        <f t="shared" si="191"/>
        <v>29</v>
      </c>
    </row>
    <row r="163" spans="1:124">
      <c r="A163" s="3">
        <v>44713</v>
      </c>
      <c r="B163">
        <f t="shared" si="197"/>
        <v>2022</v>
      </c>
      <c r="C163" s="6">
        <v>27608097</v>
      </c>
      <c r="D163" s="225">
        <f>VLOOKUP(B163,'Historic CDM'!$B$135:$H$147,2,FALSE)/12</f>
        <v>1168945.3950770386</v>
      </c>
      <c r="E163" s="2">
        <f t="shared" si="91"/>
        <v>28777042.395077039</v>
      </c>
      <c r="F163" s="5">
        <v>28736</v>
      </c>
      <c r="G163" s="219">
        <v>6366968</v>
      </c>
      <c r="H163" s="2">
        <f>VLOOKUP(B163,'Historic CDM'!$B$135:$H$147,3,FALSE)/12</f>
        <v>1167742.3523487775</v>
      </c>
      <c r="I163" s="2">
        <f t="shared" si="92"/>
        <v>7534710.3523487775</v>
      </c>
      <c r="J163" s="220">
        <v>2066</v>
      </c>
      <c r="K163" s="219">
        <v>16383446</v>
      </c>
      <c r="L163" s="2">
        <f>VLOOKUP(B163,'Historic CDM'!$B$135:$H$146,4,FALSE)/12</f>
        <v>1290028.8826544937</v>
      </c>
      <c r="M163" s="2">
        <f t="shared" si="206"/>
        <v>17673474.882654496</v>
      </c>
      <c r="N163" s="222">
        <v>55110</v>
      </c>
      <c r="O163" s="5">
        <v>206</v>
      </c>
      <c r="P163" s="219">
        <v>141212</v>
      </c>
      <c r="Q163" s="112">
        <v>605</v>
      </c>
      <c r="R163" s="5">
        <v>2790</v>
      </c>
      <c r="S163" s="219">
        <v>22593</v>
      </c>
      <c r="T163" s="112">
        <v>62</v>
      </c>
      <c r="U163" s="5">
        <v>228</v>
      </c>
      <c r="V163" s="221">
        <v>117392</v>
      </c>
      <c r="W163" s="1">
        <v>125</v>
      </c>
      <c r="X163" s="225">
        <v>2446520</v>
      </c>
      <c r="Y163" s="112">
        <v>7489</v>
      </c>
      <c r="Z163" s="5">
        <v>4</v>
      </c>
      <c r="AA163" s="100">
        <f>'Weather Data'!D259</f>
        <v>27.335522991409807</v>
      </c>
      <c r="AB163" s="100">
        <f>'Weather Data'!E259</f>
        <v>54.699999999999996</v>
      </c>
      <c r="AC163" s="100">
        <f>'Weather Data'!F259</f>
        <v>6.5355229914098061</v>
      </c>
      <c r="AD163" s="100">
        <f>'Weather Data'!G259</f>
        <v>93.9</v>
      </c>
      <c r="AE163" s="100">
        <f>'Weather Data'!H259</f>
        <v>0.33552299140980679</v>
      </c>
      <c r="AF163" s="100">
        <f>'Weather Data'!I259</f>
        <v>147.70000000000002</v>
      </c>
      <c r="AG163" s="100">
        <f>'Weather Data'!J259</f>
        <v>0</v>
      </c>
      <c r="AH163" s="100">
        <f>'Weather Data'!K259</f>
        <v>207.3644770085902</v>
      </c>
      <c r="AI163" s="100">
        <f>'Weather Data'!L259</f>
        <v>0</v>
      </c>
      <c r="AJ163" s="100">
        <f>'Weather Data'!M259</f>
        <v>267.3644770085902</v>
      </c>
      <c r="AK163" s="100">
        <f>'Weather Data'!N259</f>
        <v>0</v>
      </c>
      <c r="AL163" s="100">
        <f>'Weather Data'!O259</f>
        <v>327.36447700859014</v>
      </c>
      <c r="AM163" s="100">
        <f>'Weather Data'!P259</f>
        <v>0</v>
      </c>
      <c r="AN163" s="100">
        <f>'Weather Data'!Q259</f>
        <v>387.36447700859009</v>
      </c>
      <c r="AO163" s="100">
        <f>'Weather Data'!R259</f>
        <v>20.912149233619672</v>
      </c>
      <c r="AP163" s="5">
        <f>'Economic Data'!D129</f>
        <v>7761.1</v>
      </c>
      <c r="AQ163" s="5">
        <f>'Economic Data'!E129</f>
        <v>7809.2</v>
      </c>
      <c r="AR163" s="5">
        <f>'Economic Data'!F129</f>
        <v>175.1</v>
      </c>
      <c r="AS163" s="5">
        <f>'Economic Data'!G129</f>
        <v>174.5</v>
      </c>
      <c r="AT163" s="5">
        <f>'Economic Data'!H129</f>
        <v>839497.4</v>
      </c>
      <c r="AU163" s="5">
        <f>'Economic Data'!I129</f>
        <v>8788.9</v>
      </c>
      <c r="AV163" s="5">
        <f>'Economic Data'!J129</f>
        <v>7781.9</v>
      </c>
      <c r="AW163" s="5">
        <f>'Economic Data'!K129</f>
        <v>5915.7</v>
      </c>
      <c r="AX163" s="5">
        <f>'Economic Data'!L129</f>
        <v>1230.4000000000001</v>
      </c>
      <c r="AY163" s="5">
        <f>'Economic Data'!M129</f>
        <v>2117.6</v>
      </c>
      <c r="AZ163" s="5">
        <f>'Economic Data'!N129</f>
        <v>6860.3</v>
      </c>
      <c r="BA163" s="5">
        <f>'Economic Data'!O129</f>
        <v>109.5</v>
      </c>
      <c r="BB163" s="5">
        <f>'Economic Data'!P129</f>
        <v>119.5</v>
      </c>
      <c r="BC163" s="5">
        <f>'Economic Data'!Q129</f>
        <v>840190</v>
      </c>
      <c r="BD163" s="5">
        <f>'Economic Data'!R129</f>
        <v>8753</v>
      </c>
      <c r="BE163" s="5">
        <f>'Economic Data'!S129</f>
        <v>3955</v>
      </c>
      <c r="BF163" s="5">
        <f>'Economic Data'!T129</f>
        <v>15914</v>
      </c>
      <c r="BG163" s="5">
        <f>'EV Data'!V68</f>
        <v>81596.999999999956</v>
      </c>
      <c r="BH163" s="5">
        <f>'EV Data'!AB68</f>
        <v>400.99999999999989</v>
      </c>
      <c r="BI163" s="5">
        <f>'EV Data'!W68</f>
        <v>1192.0000000000007</v>
      </c>
      <c r="BJ163" s="5">
        <f t="shared" si="149"/>
        <v>114</v>
      </c>
      <c r="BK163" s="70">
        <f t="shared" si="198"/>
        <v>2.0569048513364727</v>
      </c>
      <c r="BL163" s="5">
        <f t="shared" si="199"/>
        <v>12996</v>
      </c>
      <c r="BM163">
        <f t="shared" ref="BM163:CA163" si="208">BM151</f>
        <v>0</v>
      </c>
      <c r="BN163">
        <f t="shared" si="208"/>
        <v>0</v>
      </c>
      <c r="BO163">
        <f t="shared" si="208"/>
        <v>0</v>
      </c>
      <c r="BP163">
        <f t="shared" si="208"/>
        <v>0</v>
      </c>
      <c r="BQ163">
        <f t="shared" si="208"/>
        <v>0</v>
      </c>
      <c r="BR163">
        <f t="shared" si="208"/>
        <v>1</v>
      </c>
      <c r="BS163">
        <f t="shared" si="208"/>
        <v>0</v>
      </c>
      <c r="BT163">
        <f t="shared" si="208"/>
        <v>0</v>
      </c>
      <c r="BU163">
        <f t="shared" si="208"/>
        <v>0</v>
      </c>
      <c r="BV163">
        <f t="shared" si="208"/>
        <v>0</v>
      </c>
      <c r="BW163">
        <f t="shared" si="208"/>
        <v>0</v>
      </c>
      <c r="BX163">
        <f t="shared" si="208"/>
        <v>0</v>
      </c>
      <c r="BY163">
        <f t="shared" si="208"/>
        <v>0</v>
      </c>
      <c r="BZ163">
        <f t="shared" si="208"/>
        <v>0</v>
      </c>
      <c r="CA163">
        <f t="shared" si="208"/>
        <v>0</v>
      </c>
      <c r="CB163">
        <f t="shared" si="130"/>
        <v>30</v>
      </c>
      <c r="CC163">
        <v>22</v>
      </c>
      <c r="CD163">
        <f t="shared" si="203"/>
        <v>0.5</v>
      </c>
      <c r="CE163">
        <f t="shared" si="204"/>
        <v>0.25</v>
      </c>
      <c r="CF163">
        <f t="shared" si="93"/>
        <v>0.5</v>
      </c>
      <c r="CG163">
        <v>0</v>
      </c>
      <c r="CH163" s="64">
        <f t="shared" si="153"/>
        <v>13.667761495704903</v>
      </c>
      <c r="CI163" s="64">
        <f t="shared" si="154"/>
        <v>27.349999999999998</v>
      </c>
      <c r="CJ163" s="64">
        <f t="shared" si="155"/>
        <v>3.267761495704903</v>
      </c>
      <c r="CK163" s="64">
        <f t="shared" si="156"/>
        <v>46.95</v>
      </c>
      <c r="CL163" s="64">
        <f t="shared" si="157"/>
        <v>0.1677614957049034</v>
      </c>
      <c r="CM163" s="64">
        <f t="shared" si="158"/>
        <v>73.850000000000009</v>
      </c>
      <c r="CN163" s="64">
        <f t="shared" si="159"/>
        <v>0</v>
      </c>
      <c r="CO163" s="64">
        <f t="shared" si="160"/>
        <v>103.6822385042951</v>
      </c>
      <c r="CP163" s="64">
        <f t="shared" si="161"/>
        <v>0</v>
      </c>
      <c r="CQ163" s="64">
        <f t="shared" si="162"/>
        <v>133.6822385042951</v>
      </c>
      <c r="CR163" s="64">
        <f t="shared" si="163"/>
        <v>0</v>
      </c>
      <c r="CS163" s="64">
        <f t="shared" si="164"/>
        <v>163.68223850429507</v>
      </c>
      <c r="CT163" s="64">
        <f t="shared" si="165"/>
        <v>0</v>
      </c>
      <c r="CU163" s="64">
        <f t="shared" si="166"/>
        <v>193.68223850429504</v>
      </c>
      <c r="CV163" s="69">
        <f t="shared" si="167"/>
        <v>33.380941902233012</v>
      </c>
      <c r="CW163" s="69">
        <f t="shared" si="168"/>
        <v>1219.2087948784429</v>
      </c>
      <c r="CX163" s="69">
        <f t="shared" si="127"/>
        <v>3899.7076087057576</v>
      </c>
      <c r="CY163" s="69">
        <f t="shared" si="169"/>
        <v>27801.363636363636</v>
      </c>
      <c r="CZ163" s="64">
        <f t="shared" si="128"/>
        <v>2859.7855797175557</v>
      </c>
      <c r="DA163" s="64">
        <f t="shared" si="170"/>
        <v>20387.666666666668</v>
      </c>
      <c r="DB163">
        <f t="shared" si="171"/>
        <v>13.667761495704903</v>
      </c>
      <c r="DC163">
        <f t="shared" si="172"/>
        <v>27.349999999999998</v>
      </c>
      <c r="DD163">
        <f t="shared" si="173"/>
        <v>3.267761495704903</v>
      </c>
      <c r="DE163">
        <f t="shared" si="174"/>
        <v>46.95</v>
      </c>
      <c r="DF163">
        <f t="shared" si="175"/>
        <v>0.1677614957049034</v>
      </c>
      <c r="DG163">
        <f t="shared" si="176"/>
        <v>73.850000000000009</v>
      </c>
      <c r="DH163">
        <f t="shared" si="177"/>
        <v>0</v>
      </c>
      <c r="DI163">
        <f t="shared" si="178"/>
        <v>103.6822385042951</v>
      </c>
      <c r="DJ163">
        <f t="shared" si="179"/>
        <v>0</v>
      </c>
      <c r="DK163">
        <f t="shared" si="180"/>
        <v>133.6822385042951</v>
      </c>
      <c r="DL163">
        <f t="shared" si="181"/>
        <v>0</v>
      </c>
      <c r="DM163">
        <f t="shared" si="182"/>
        <v>163.68223850429507</v>
      </c>
      <c r="DN163">
        <f t="shared" si="183"/>
        <v>0</v>
      </c>
      <c r="DO163">
        <f t="shared" si="184"/>
        <v>193.68223850429504</v>
      </c>
      <c r="DP163" s="2">
        <f t="shared" si="191"/>
        <v>78</v>
      </c>
      <c r="DQ163" s="2">
        <f t="shared" si="191"/>
        <v>66</v>
      </c>
      <c r="DR163" s="2">
        <f t="shared" si="191"/>
        <v>54</v>
      </c>
      <c r="DS163" s="2">
        <f t="shared" si="191"/>
        <v>42</v>
      </c>
      <c r="DT163" s="2">
        <f t="shared" si="191"/>
        <v>30</v>
      </c>
    </row>
    <row r="164" spans="1:124">
      <c r="A164" s="3">
        <v>44743</v>
      </c>
      <c r="B164">
        <f t="shared" ref="B164:B169" si="209">YEAR(A164)</f>
        <v>2022</v>
      </c>
      <c r="C164" s="6">
        <v>33067550</v>
      </c>
      <c r="D164" s="225">
        <f>VLOOKUP(B164,'Historic CDM'!$B$135:$H$147,2,FALSE)/12</f>
        <v>1168945.3950770386</v>
      </c>
      <c r="E164" s="2">
        <f t="shared" ref="E164:E175" si="210">C164+D164</f>
        <v>34236495.395077035</v>
      </c>
      <c r="F164" s="5">
        <v>28738</v>
      </c>
      <c r="G164" s="219">
        <v>6804406</v>
      </c>
      <c r="H164" s="2">
        <f>VLOOKUP(B164,'Historic CDM'!$B$135:$H$147,3,FALSE)/12</f>
        <v>1167742.3523487775</v>
      </c>
      <c r="I164" s="2">
        <f t="shared" ref="I164:I175" si="211">G164+H164</f>
        <v>7972148.3523487775</v>
      </c>
      <c r="J164" s="220">
        <v>2067</v>
      </c>
      <c r="K164" s="219">
        <v>17171379</v>
      </c>
      <c r="L164" s="2">
        <f>VLOOKUP(B164,'Historic CDM'!$B$135:$H$146,4,FALSE)/12</f>
        <v>1290028.8826544937</v>
      </c>
      <c r="M164" s="2">
        <f t="shared" si="206"/>
        <v>18461407.882654496</v>
      </c>
      <c r="N164" s="222">
        <v>53280</v>
      </c>
      <c r="O164" s="5">
        <v>208</v>
      </c>
      <c r="P164" s="219">
        <v>149859</v>
      </c>
      <c r="Q164" s="112">
        <v>605</v>
      </c>
      <c r="R164" s="5">
        <v>2790</v>
      </c>
      <c r="S164" s="219">
        <v>22798</v>
      </c>
      <c r="T164" s="112">
        <v>62</v>
      </c>
      <c r="U164" s="5">
        <v>228</v>
      </c>
      <c r="V164" s="221">
        <v>117392</v>
      </c>
      <c r="W164" s="1">
        <v>125</v>
      </c>
      <c r="X164" s="225">
        <v>2691240</v>
      </c>
      <c r="Y164" s="112">
        <v>7753</v>
      </c>
      <c r="Z164" s="5">
        <v>4</v>
      </c>
      <c r="AA164" s="100">
        <f>'Weather Data'!D260</f>
        <v>0.5</v>
      </c>
      <c r="AB164" s="100">
        <f>'Weather Data'!E260</f>
        <v>95.09999999999998</v>
      </c>
      <c r="AC164" s="100">
        <f>'Weather Data'!F260</f>
        <v>0</v>
      </c>
      <c r="AD164" s="100">
        <f>'Weather Data'!G260</f>
        <v>156.60000000000002</v>
      </c>
      <c r="AE164" s="100">
        <f>'Weather Data'!H260</f>
        <v>0</v>
      </c>
      <c r="AF164" s="100">
        <f>'Weather Data'!I260</f>
        <v>218.60000000000002</v>
      </c>
      <c r="AG164" s="100">
        <f>'Weather Data'!J260</f>
        <v>0</v>
      </c>
      <c r="AH164" s="100">
        <f>'Weather Data'!K260</f>
        <v>280.60000000000002</v>
      </c>
      <c r="AI164" s="100">
        <f>'Weather Data'!L260</f>
        <v>0</v>
      </c>
      <c r="AJ164" s="100">
        <f>'Weather Data'!M260</f>
        <v>342.59999999999997</v>
      </c>
      <c r="AK164" s="100">
        <f>'Weather Data'!N260</f>
        <v>0</v>
      </c>
      <c r="AL164" s="100">
        <f>'Weather Data'!O260</f>
        <v>404.59999999999991</v>
      </c>
      <c r="AM164" s="100">
        <f>'Weather Data'!P260</f>
        <v>0</v>
      </c>
      <c r="AN164" s="100">
        <f>'Weather Data'!Q260</f>
        <v>466.59999999999991</v>
      </c>
      <c r="AO164" s="100">
        <f>'Weather Data'!R260</f>
        <v>23.051612903225802</v>
      </c>
      <c r="AP164" s="5">
        <f>'Economic Data'!D130</f>
        <v>7756.4</v>
      </c>
      <c r="AQ164" s="5">
        <f>'Economic Data'!E130</f>
        <v>7843.6</v>
      </c>
      <c r="AR164" s="5">
        <f>'Economic Data'!F130</f>
        <v>170.6</v>
      </c>
      <c r="AS164" s="5">
        <f>'Economic Data'!G130</f>
        <v>170.6</v>
      </c>
      <c r="AT164" s="5">
        <f>'Economic Data'!H130</f>
        <v>839497.4</v>
      </c>
      <c r="AU164" s="5">
        <f>'Economic Data'!I130</f>
        <v>8788.9</v>
      </c>
      <c r="AV164" s="5">
        <f>'Economic Data'!J130</f>
        <v>7781.9</v>
      </c>
      <c r="AW164" s="5">
        <f>'Economic Data'!K130</f>
        <v>5915.7</v>
      </c>
      <c r="AX164" s="5">
        <f>'Economic Data'!L130</f>
        <v>1230.4000000000001</v>
      </c>
      <c r="AY164" s="5">
        <f>'Economic Data'!M130</f>
        <v>2117.6</v>
      </c>
      <c r="AZ164" s="5">
        <f>'Economic Data'!N130</f>
        <v>6860.3</v>
      </c>
      <c r="BA164" s="5">
        <f>'Economic Data'!O130</f>
        <v>109.5</v>
      </c>
      <c r="BB164" s="5">
        <f>'Economic Data'!P130</f>
        <v>119.5</v>
      </c>
      <c r="BC164" s="5">
        <f>'Economic Data'!Q130</f>
        <v>842100</v>
      </c>
      <c r="BD164" s="5">
        <f>'Economic Data'!R130</f>
        <v>8779</v>
      </c>
      <c r="BE164" s="5">
        <f>'Economic Data'!S130</f>
        <v>4136</v>
      </c>
      <c r="BF164" s="5">
        <f>'Economic Data'!T130</f>
        <v>15900</v>
      </c>
      <c r="BG164" s="5">
        <f>'EV Data'!V69</f>
        <v>85269.333333333285</v>
      </c>
      <c r="BH164" s="5">
        <f>'EV Data'!AB69</f>
        <v>429.99999999999989</v>
      </c>
      <c r="BI164" s="5">
        <f>'EV Data'!W69</f>
        <v>1260.6666666666674</v>
      </c>
      <c r="BJ164" s="5">
        <f t="shared" si="149"/>
        <v>115</v>
      </c>
      <c r="BK164" s="70">
        <f t="shared" ref="BK164:BK169" si="212">LOG(BJ164)</f>
        <v>2.0606978403536118</v>
      </c>
      <c r="BL164" s="5">
        <f t="shared" ref="BL164:BL169" si="213">BJ164^2</f>
        <v>13225</v>
      </c>
      <c r="BM164">
        <f t="shared" ref="BM164:CA164" si="214">BM152</f>
        <v>0</v>
      </c>
      <c r="BN164">
        <f t="shared" si="214"/>
        <v>0</v>
      </c>
      <c r="BO164">
        <f t="shared" si="214"/>
        <v>0</v>
      </c>
      <c r="BP164">
        <f t="shared" si="214"/>
        <v>0</v>
      </c>
      <c r="BQ164">
        <f t="shared" si="214"/>
        <v>0</v>
      </c>
      <c r="BR164">
        <f t="shared" si="214"/>
        <v>0</v>
      </c>
      <c r="BS164">
        <f t="shared" si="214"/>
        <v>1</v>
      </c>
      <c r="BT164">
        <f t="shared" si="214"/>
        <v>0</v>
      </c>
      <c r="BU164">
        <f t="shared" si="214"/>
        <v>0</v>
      </c>
      <c r="BV164">
        <f t="shared" si="214"/>
        <v>0</v>
      </c>
      <c r="BW164">
        <f t="shared" si="214"/>
        <v>0</v>
      </c>
      <c r="BX164">
        <f t="shared" si="214"/>
        <v>0</v>
      </c>
      <c r="BY164">
        <f t="shared" si="214"/>
        <v>0</v>
      </c>
      <c r="BZ164">
        <f t="shared" si="214"/>
        <v>0</v>
      </c>
      <c r="CA164">
        <f t="shared" si="214"/>
        <v>0</v>
      </c>
      <c r="CB164">
        <f t="shared" si="130"/>
        <v>31</v>
      </c>
      <c r="CC164">
        <v>20</v>
      </c>
      <c r="CD164">
        <f t="shared" si="203"/>
        <v>0.5</v>
      </c>
      <c r="CE164">
        <f t="shared" si="204"/>
        <v>0.25</v>
      </c>
      <c r="CF164">
        <f t="shared" si="93"/>
        <v>0.5</v>
      </c>
      <c r="CG164">
        <v>0</v>
      </c>
      <c r="CH164" s="64">
        <f t="shared" si="153"/>
        <v>0.25</v>
      </c>
      <c r="CI164" s="64">
        <f t="shared" si="154"/>
        <v>47.54999999999999</v>
      </c>
      <c r="CJ164" s="64">
        <f t="shared" si="155"/>
        <v>0</v>
      </c>
      <c r="CK164" s="64">
        <f t="shared" si="156"/>
        <v>78.300000000000011</v>
      </c>
      <c r="CL164" s="64">
        <f t="shared" si="157"/>
        <v>0</v>
      </c>
      <c r="CM164" s="64">
        <f t="shared" si="158"/>
        <v>109.30000000000001</v>
      </c>
      <c r="CN164" s="64">
        <f t="shared" si="159"/>
        <v>0</v>
      </c>
      <c r="CO164" s="64">
        <f t="shared" si="160"/>
        <v>140.30000000000001</v>
      </c>
      <c r="CP164" s="64">
        <f t="shared" si="161"/>
        <v>0</v>
      </c>
      <c r="CQ164" s="64">
        <f t="shared" si="162"/>
        <v>171.29999999999998</v>
      </c>
      <c r="CR164" s="64">
        <f t="shared" si="163"/>
        <v>0</v>
      </c>
      <c r="CS164" s="64">
        <f t="shared" si="164"/>
        <v>202.29999999999995</v>
      </c>
      <c r="CT164" s="64">
        <f t="shared" si="165"/>
        <v>0</v>
      </c>
      <c r="CU164" s="64">
        <f t="shared" si="166"/>
        <v>233.29999999999995</v>
      </c>
      <c r="CV164" s="69">
        <f t="shared" si="167"/>
        <v>38.430060451685904</v>
      </c>
      <c r="CW164" s="69">
        <f t="shared" si="168"/>
        <v>1236.3753648183588</v>
      </c>
      <c r="CX164" s="69">
        <f t="shared" si="127"/>
        <v>4437.8384333304075</v>
      </c>
      <c r="CY164" s="69">
        <f t="shared" si="169"/>
        <v>33640.5</v>
      </c>
      <c r="CZ164" s="64">
        <f t="shared" si="128"/>
        <v>2863.1215698905853</v>
      </c>
      <c r="DA164" s="64">
        <f t="shared" si="170"/>
        <v>21703.548387096773</v>
      </c>
      <c r="DB164">
        <f t="shared" si="171"/>
        <v>0.25</v>
      </c>
      <c r="DC164">
        <f t="shared" si="172"/>
        <v>47.54999999999999</v>
      </c>
      <c r="DD164">
        <f t="shared" si="173"/>
        <v>0</v>
      </c>
      <c r="DE164">
        <f t="shared" si="174"/>
        <v>78.300000000000011</v>
      </c>
      <c r="DF164">
        <f t="shared" si="175"/>
        <v>0</v>
      </c>
      <c r="DG164">
        <f t="shared" si="176"/>
        <v>109.30000000000001</v>
      </c>
      <c r="DH164">
        <f t="shared" si="177"/>
        <v>0</v>
      </c>
      <c r="DI164">
        <f t="shared" si="178"/>
        <v>140.30000000000001</v>
      </c>
      <c r="DJ164">
        <f t="shared" si="179"/>
        <v>0</v>
      </c>
      <c r="DK164">
        <f t="shared" si="180"/>
        <v>171.29999999999998</v>
      </c>
      <c r="DL164">
        <f t="shared" si="181"/>
        <v>0</v>
      </c>
      <c r="DM164">
        <f t="shared" si="182"/>
        <v>202.29999999999995</v>
      </c>
      <c r="DN164">
        <f t="shared" si="183"/>
        <v>0</v>
      </c>
      <c r="DO164">
        <f t="shared" si="184"/>
        <v>233.29999999999995</v>
      </c>
      <c r="DP164" s="2">
        <f t="shared" si="191"/>
        <v>79</v>
      </c>
      <c r="DQ164" s="2">
        <f t="shared" si="191"/>
        <v>67</v>
      </c>
      <c r="DR164" s="2">
        <f t="shared" si="191"/>
        <v>55</v>
      </c>
      <c r="DS164" s="2">
        <f t="shared" si="191"/>
        <v>43</v>
      </c>
      <c r="DT164" s="2">
        <f t="shared" si="191"/>
        <v>31</v>
      </c>
    </row>
    <row r="165" spans="1:124">
      <c r="A165" s="3">
        <v>44774</v>
      </c>
      <c r="B165">
        <f t="shared" si="209"/>
        <v>2022</v>
      </c>
      <c r="C165" s="6">
        <v>31705264</v>
      </c>
      <c r="D165" s="225">
        <f>VLOOKUP(B165,'Historic CDM'!$B$135:$H$147,2,FALSE)/12</f>
        <v>1168945.3950770386</v>
      </c>
      <c r="E165" s="2">
        <f t="shared" si="210"/>
        <v>32874209.395077039</v>
      </c>
      <c r="F165" s="5">
        <v>28739</v>
      </c>
      <c r="G165" s="219">
        <v>6742337</v>
      </c>
      <c r="H165" s="2">
        <f>VLOOKUP(B165,'Historic CDM'!$B$135:$H$147,3,FALSE)/12</f>
        <v>1167742.3523487775</v>
      </c>
      <c r="I165" s="2">
        <f t="shared" si="211"/>
        <v>7910079.3523487775</v>
      </c>
      <c r="J165" s="220">
        <v>2070</v>
      </c>
      <c r="K165" s="219">
        <v>18580157</v>
      </c>
      <c r="L165" s="2">
        <f>VLOOKUP(B165,'Historic CDM'!$B$135:$H$146,4,FALSE)/12</f>
        <v>1290028.8826544937</v>
      </c>
      <c r="M165" s="2">
        <f t="shared" si="206"/>
        <v>19870185.882654496</v>
      </c>
      <c r="N165" s="222">
        <v>57687</v>
      </c>
      <c r="O165" s="5">
        <v>208</v>
      </c>
      <c r="P165" s="219">
        <v>168910</v>
      </c>
      <c r="Q165" s="112">
        <v>608</v>
      </c>
      <c r="R165" s="5">
        <v>2798</v>
      </c>
      <c r="S165" s="219">
        <v>22549</v>
      </c>
      <c r="T165" s="112">
        <v>62</v>
      </c>
      <c r="U165" s="5">
        <v>226</v>
      </c>
      <c r="V165" s="221">
        <v>117392</v>
      </c>
      <c r="W165" s="1">
        <v>125</v>
      </c>
      <c r="X165" s="225">
        <v>2769504</v>
      </c>
      <c r="Y165" s="112">
        <v>7189</v>
      </c>
      <c r="Z165" s="5">
        <v>4</v>
      </c>
      <c r="AA165" s="100">
        <f>'Weather Data'!D261</f>
        <v>2.9000000000000021</v>
      </c>
      <c r="AB165" s="100">
        <f>'Weather Data'!E261</f>
        <v>77.828954017180394</v>
      </c>
      <c r="AC165" s="100">
        <f>'Weather Data'!F261</f>
        <v>0</v>
      </c>
      <c r="AD165" s="100">
        <f>'Weather Data'!G261</f>
        <v>136.92895401718036</v>
      </c>
      <c r="AE165" s="100">
        <f>'Weather Data'!H261</f>
        <v>0</v>
      </c>
      <c r="AF165" s="100">
        <f>'Weather Data'!I261</f>
        <v>198.92895401718039</v>
      </c>
      <c r="AG165" s="100">
        <f>'Weather Data'!J261</f>
        <v>0</v>
      </c>
      <c r="AH165" s="100">
        <f>'Weather Data'!K261</f>
        <v>260.92895401718039</v>
      </c>
      <c r="AI165" s="100">
        <f>'Weather Data'!L261</f>
        <v>0</v>
      </c>
      <c r="AJ165" s="100">
        <f>'Weather Data'!M261</f>
        <v>322.92895401718039</v>
      </c>
      <c r="AK165" s="100">
        <f>'Weather Data'!N261</f>
        <v>0</v>
      </c>
      <c r="AL165" s="100">
        <f>'Weather Data'!O261</f>
        <v>384.92895401718044</v>
      </c>
      <c r="AM165" s="100">
        <f>'Weather Data'!P261</f>
        <v>0</v>
      </c>
      <c r="AN165" s="100">
        <f>'Weather Data'!Q261</f>
        <v>446.92895401718044</v>
      </c>
      <c r="AO165" s="100">
        <f>'Weather Data'!R261</f>
        <v>22.417063032812273</v>
      </c>
      <c r="AP165" s="5">
        <f>'Economic Data'!D131</f>
        <v>7746.5</v>
      </c>
      <c r="AQ165" s="5">
        <f>'Economic Data'!E131</f>
        <v>7825.4</v>
      </c>
      <c r="AR165" s="5">
        <f>'Economic Data'!F131</f>
        <v>165.3</v>
      </c>
      <c r="AS165" s="5">
        <f>'Economic Data'!G131</f>
        <v>166.2</v>
      </c>
      <c r="AT165" s="5">
        <f>'Economic Data'!H131</f>
        <v>839497.4</v>
      </c>
      <c r="AU165" s="5">
        <f>'Economic Data'!I131</f>
        <v>8788.9</v>
      </c>
      <c r="AV165" s="5">
        <f>'Economic Data'!J131</f>
        <v>7781.9</v>
      </c>
      <c r="AW165" s="5">
        <f>'Economic Data'!K131</f>
        <v>5915.7</v>
      </c>
      <c r="AX165" s="5">
        <f>'Economic Data'!L131</f>
        <v>1230.4000000000001</v>
      </c>
      <c r="AY165" s="5">
        <f>'Economic Data'!M131</f>
        <v>2117.6</v>
      </c>
      <c r="AZ165" s="5">
        <f>'Economic Data'!N131</f>
        <v>6860.3</v>
      </c>
      <c r="BA165" s="5">
        <f>'Economic Data'!O131</f>
        <v>109.5</v>
      </c>
      <c r="BB165" s="5">
        <f>'Economic Data'!P131</f>
        <v>119.5</v>
      </c>
      <c r="BC165" s="5">
        <f>'Economic Data'!Q131</f>
        <v>842100</v>
      </c>
      <c r="BD165" s="5">
        <f>'Economic Data'!R131</f>
        <v>8779</v>
      </c>
      <c r="BE165" s="5">
        <f>'Economic Data'!S131</f>
        <v>4136</v>
      </c>
      <c r="BF165" s="5">
        <f>'Economic Data'!T131</f>
        <v>15900</v>
      </c>
      <c r="BG165" s="5">
        <f>'EV Data'!V70</f>
        <v>88941.666666666613</v>
      </c>
      <c r="BH165" s="5">
        <f>'EV Data'!AB70</f>
        <v>458.99999999999989</v>
      </c>
      <c r="BI165" s="5">
        <f>'EV Data'!W70</f>
        <v>1329.3333333333342</v>
      </c>
      <c r="BJ165" s="5">
        <f t="shared" si="149"/>
        <v>116</v>
      </c>
      <c r="BK165" s="70">
        <f t="shared" si="212"/>
        <v>2.0644579892269186</v>
      </c>
      <c r="BL165" s="5">
        <f t="shared" si="213"/>
        <v>13456</v>
      </c>
      <c r="BM165">
        <f t="shared" ref="BM165:CA165" si="215">BM153</f>
        <v>0</v>
      </c>
      <c r="BN165">
        <f t="shared" si="215"/>
        <v>0</v>
      </c>
      <c r="BO165">
        <f t="shared" si="215"/>
        <v>0</v>
      </c>
      <c r="BP165">
        <f t="shared" si="215"/>
        <v>0</v>
      </c>
      <c r="BQ165">
        <f t="shared" si="215"/>
        <v>0</v>
      </c>
      <c r="BR165">
        <f t="shared" si="215"/>
        <v>0</v>
      </c>
      <c r="BS165">
        <f t="shared" si="215"/>
        <v>0</v>
      </c>
      <c r="BT165">
        <f t="shared" si="215"/>
        <v>1</v>
      </c>
      <c r="BU165">
        <f t="shared" si="215"/>
        <v>0</v>
      </c>
      <c r="BV165">
        <f t="shared" si="215"/>
        <v>0</v>
      </c>
      <c r="BW165">
        <f t="shared" si="215"/>
        <v>0</v>
      </c>
      <c r="BX165">
        <f t="shared" si="215"/>
        <v>0</v>
      </c>
      <c r="BY165">
        <f t="shared" si="215"/>
        <v>0</v>
      </c>
      <c r="BZ165">
        <f t="shared" si="215"/>
        <v>0</v>
      </c>
      <c r="CA165">
        <f t="shared" si="215"/>
        <v>0</v>
      </c>
      <c r="CB165">
        <f t="shared" si="130"/>
        <v>31</v>
      </c>
      <c r="CC165">
        <v>22</v>
      </c>
      <c r="CD165">
        <f t="shared" si="203"/>
        <v>0.5</v>
      </c>
      <c r="CE165">
        <f t="shared" si="204"/>
        <v>0.25</v>
      </c>
      <c r="CF165">
        <f t="shared" si="93"/>
        <v>0.5</v>
      </c>
      <c r="CG165">
        <v>0</v>
      </c>
      <c r="CH165" s="64">
        <f t="shared" si="153"/>
        <v>1.4500000000000011</v>
      </c>
      <c r="CI165" s="64">
        <f t="shared" si="154"/>
        <v>38.914477008590197</v>
      </c>
      <c r="CJ165" s="64">
        <f t="shared" si="155"/>
        <v>0</v>
      </c>
      <c r="CK165" s="64">
        <f t="shared" si="156"/>
        <v>68.46447700859018</v>
      </c>
      <c r="CL165" s="64">
        <f t="shared" si="157"/>
        <v>0</v>
      </c>
      <c r="CM165" s="64">
        <f t="shared" si="158"/>
        <v>99.464477008590194</v>
      </c>
      <c r="CN165" s="64">
        <f t="shared" si="159"/>
        <v>0</v>
      </c>
      <c r="CO165" s="64">
        <f t="shared" si="160"/>
        <v>130.46447700859019</v>
      </c>
      <c r="CP165" s="64">
        <f t="shared" si="161"/>
        <v>0</v>
      </c>
      <c r="CQ165" s="64">
        <f t="shared" si="162"/>
        <v>161.46447700859019</v>
      </c>
      <c r="CR165" s="64">
        <f t="shared" si="163"/>
        <v>0</v>
      </c>
      <c r="CS165" s="64">
        <f t="shared" si="164"/>
        <v>192.46447700859022</v>
      </c>
      <c r="CT165" s="64">
        <f t="shared" si="165"/>
        <v>0</v>
      </c>
      <c r="CU165" s="64">
        <f t="shared" si="166"/>
        <v>223.46447700859022</v>
      </c>
      <c r="CV165" s="69">
        <f t="shared" si="167"/>
        <v>36.89962655566061</v>
      </c>
      <c r="CW165" s="69">
        <f t="shared" si="168"/>
        <v>1226.7492792104183</v>
      </c>
      <c r="CX165" s="69">
        <f t="shared" si="127"/>
        <v>4342.2609009297412</v>
      </c>
      <c r="CY165" s="69">
        <f t="shared" si="169"/>
        <v>31471.636363636364</v>
      </c>
      <c r="CZ165" s="64">
        <f t="shared" si="128"/>
        <v>3081.6045103372358</v>
      </c>
      <c r="DA165" s="64">
        <f t="shared" si="170"/>
        <v>22334.709677419356</v>
      </c>
      <c r="DB165">
        <f t="shared" si="171"/>
        <v>1.4500000000000011</v>
      </c>
      <c r="DC165">
        <f t="shared" si="172"/>
        <v>38.914477008590197</v>
      </c>
      <c r="DD165">
        <f t="shared" si="173"/>
        <v>0</v>
      </c>
      <c r="DE165">
        <f t="shared" si="174"/>
        <v>68.46447700859018</v>
      </c>
      <c r="DF165">
        <f t="shared" si="175"/>
        <v>0</v>
      </c>
      <c r="DG165">
        <f t="shared" si="176"/>
        <v>99.464477008590194</v>
      </c>
      <c r="DH165">
        <f t="shared" si="177"/>
        <v>0</v>
      </c>
      <c r="DI165">
        <f t="shared" si="178"/>
        <v>130.46447700859019</v>
      </c>
      <c r="DJ165">
        <f t="shared" si="179"/>
        <v>0</v>
      </c>
      <c r="DK165">
        <f t="shared" si="180"/>
        <v>161.46447700859019</v>
      </c>
      <c r="DL165">
        <f t="shared" si="181"/>
        <v>0</v>
      </c>
      <c r="DM165">
        <f t="shared" si="182"/>
        <v>192.46447700859022</v>
      </c>
      <c r="DN165">
        <f t="shared" si="183"/>
        <v>0</v>
      </c>
      <c r="DO165">
        <f t="shared" si="184"/>
        <v>223.46447700859022</v>
      </c>
      <c r="DP165" s="2">
        <f t="shared" si="191"/>
        <v>80</v>
      </c>
      <c r="DQ165" s="2">
        <f t="shared" si="191"/>
        <v>68</v>
      </c>
      <c r="DR165" s="2">
        <f t="shared" si="191"/>
        <v>56</v>
      </c>
      <c r="DS165" s="2">
        <f t="shared" si="191"/>
        <v>44</v>
      </c>
      <c r="DT165" s="2">
        <f t="shared" si="191"/>
        <v>32</v>
      </c>
    </row>
    <row r="166" spans="1:124">
      <c r="A166" s="3">
        <v>44805</v>
      </c>
      <c r="B166">
        <f t="shared" si="209"/>
        <v>2022</v>
      </c>
      <c r="C166" s="6">
        <v>23884481</v>
      </c>
      <c r="D166" s="225">
        <f>VLOOKUP(B166,'Historic CDM'!$B$135:$H$147,2,FALSE)/12</f>
        <v>1168945.3950770386</v>
      </c>
      <c r="E166" s="2">
        <f t="shared" si="210"/>
        <v>25053426.395077039</v>
      </c>
      <c r="F166" s="5">
        <v>28749</v>
      </c>
      <c r="G166" s="219">
        <v>5730375</v>
      </c>
      <c r="H166" s="2">
        <f>VLOOKUP(B166,'Historic CDM'!$B$135:$H$147,3,FALSE)/12</f>
        <v>1167742.3523487775</v>
      </c>
      <c r="I166" s="2">
        <f t="shared" si="211"/>
        <v>6898117.3523487775</v>
      </c>
      <c r="J166" s="220">
        <v>2068</v>
      </c>
      <c r="K166" s="219">
        <v>17098037</v>
      </c>
      <c r="L166" s="2">
        <f>VLOOKUP(B166,'Historic CDM'!$B$135:$H$146,4,FALSE)/12</f>
        <v>1290028.8826544937</v>
      </c>
      <c r="M166" s="2">
        <f t="shared" si="206"/>
        <v>18388065.882654496</v>
      </c>
      <c r="N166" s="222">
        <v>59922</v>
      </c>
      <c r="O166" s="5">
        <v>211</v>
      </c>
      <c r="P166" s="219">
        <v>190479</v>
      </c>
      <c r="Q166" s="112">
        <v>608</v>
      </c>
      <c r="R166" s="5">
        <v>2798</v>
      </c>
      <c r="S166" s="219">
        <v>22619</v>
      </c>
      <c r="T166" s="112">
        <v>62</v>
      </c>
      <c r="U166" s="5">
        <v>226</v>
      </c>
      <c r="V166" s="221">
        <v>117392</v>
      </c>
      <c r="W166" s="1">
        <v>125</v>
      </c>
      <c r="X166" s="225">
        <v>2440616</v>
      </c>
      <c r="Y166" s="112">
        <v>9676</v>
      </c>
      <c r="Z166" s="5">
        <v>4</v>
      </c>
      <c r="AA166" s="100">
        <f>'Weather Data'!D262</f>
        <v>76.099999999999994</v>
      </c>
      <c r="AB166" s="100">
        <f>'Weather Data'!E262</f>
        <v>26.6</v>
      </c>
      <c r="AC166" s="100">
        <f>'Weather Data'!F262</f>
        <v>47.400000000000006</v>
      </c>
      <c r="AD166" s="100">
        <f>'Weather Data'!G262</f>
        <v>57.899999999999991</v>
      </c>
      <c r="AE166" s="100">
        <f>'Weather Data'!H262</f>
        <v>27.5</v>
      </c>
      <c r="AF166" s="100">
        <f>'Weather Data'!I262</f>
        <v>97.999999999999986</v>
      </c>
      <c r="AG166" s="100">
        <f>'Weather Data'!J262</f>
        <v>10.600000000000001</v>
      </c>
      <c r="AH166" s="100">
        <f>'Weather Data'!K262</f>
        <v>141.1</v>
      </c>
      <c r="AI166" s="100">
        <f>'Weather Data'!L262</f>
        <v>2.5</v>
      </c>
      <c r="AJ166" s="100">
        <f>'Weather Data'!M262</f>
        <v>193.00000000000003</v>
      </c>
      <c r="AK166" s="100">
        <f>'Weather Data'!N262</f>
        <v>0</v>
      </c>
      <c r="AL166" s="100">
        <f>'Weather Data'!O262</f>
        <v>250.50000000000006</v>
      </c>
      <c r="AM166" s="100">
        <f>'Weather Data'!P262</f>
        <v>0</v>
      </c>
      <c r="AN166" s="100">
        <f>'Weather Data'!Q262</f>
        <v>310.50000000000011</v>
      </c>
      <c r="AO166" s="100">
        <f>'Weather Data'!R262</f>
        <v>18.350000000000005</v>
      </c>
      <c r="AP166" s="5">
        <f>'Economic Data'!D132</f>
        <v>7738.7</v>
      </c>
      <c r="AQ166" s="5">
        <f>'Economic Data'!E132</f>
        <v>7766.7</v>
      </c>
      <c r="AR166" s="5">
        <f>'Economic Data'!F132</f>
        <v>162.30000000000001</v>
      </c>
      <c r="AS166" s="5">
        <f>'Economic Data'!G132</f>
        <v>164.4</v>
      </c>
      <c r="AT166" s="5">
        <f>'Economic Data'!H132</f>
        <v>839497.4</v>
      </c>
      <c r="AU166" s="5">
        <f>'Economic Data'!I132</f>
        <v>8788.9</v>
      </c>
      <c r="AV166" s="5">
        <f>'Economic Data'!J132</f>
        <v>7781.9</v>
      </c>
      <c r="AW166" s="5">
        <f>'Economic Data'!K132</f>
        <v>5915.7</v>
      </c>
      <c r="AX166" s="5">
        <f>'Economic Data'!L132</f>
        <v>1230.4000000000001</v>
      </c>
      <c r="AY166" s="5">
        <f>'Economic Data'!M132</f>
        <v>2117.6</v>
      </c>
      <c r="AZ166" s="5">
        <f>'Economic Data'!N132</f>
        <v>6860.3</v>
      </c>
      <c r="BA166" s="5">
        <f>'Economic Data'!O132</f>
        <v>109.5</v>
      </c>
      <c r="BB166" s="5">
        <f>'Economic Data'!P132</f>
        <v>119.5</v>
      </c>
      <c r="BC166" s="5">
        <f>'Economic Data'!Q132</f>
        <v>842100</v>
      </c>
      <c r="BD166" s="5">
        <f>'Economic Data'!R132</f>
        <v>8779</v>
      </c>
      <c r="BE166" s="5">
        <f>'Economic Data'!S132</f>
        <v>4136</v>
      </c>
      <c r="BF166" s="5">
        <f>'Economic Data'!T132</f>
        <v>15900</v>
      </c>
      <c r="BG166" s="5">
        <f>'EV Data'!V71</f>
        <v>92613.999999999942</v>
      </c>
      <c r="BH166" s="5">
        <f>'EV Data'!AB71</f>
        <v>487.99999999999989</v>
      </c>
      <c r="BI166" s="5">
        <f>'EV Data'!W71</f>
        <v>1398.0000000000009</v>
      </c>
      <c r="BJ166" s="5">
        <f t="shared" si="149"/>
        <v>117</v>
      </c>
      <c r="BK166" s="70">
        <f t="shared" si="212"/>
        <v>2.0681858617461617</v>
      </c>
      <c r="BL166" s="5">
        <f t="shared" si="213"/>
        <v>13689</v>
      </c>
      <c r="BM166">
        <f t="shared" ref="BM166:CA166" si="216">BM154</f>
        <v>0</v>
      </c>
      <c r="BN166">
        <f t="shared" si="216"/>
        <v>0</v>
      </c>
      <c r="BO166">
        <f t="shared" si="216"/>
        <v>0</v>
      </c>
      <c r="BP166">
        <f t="shared" si="216"/>
        <v>0</v>
      </c>
      <c r="BQ166">
        <f t="shared" si="216"/>
        <v>0</v>
      </c>
      <c r="BR166">
        <f t="shared" si="216"/>
        <v>0</v>
      </c>
      <c r="BS166">
        <f t="shared" si="216"/>
        <v>0</v>
      </c>
      <c r="BT166">
        <f t="shared" si="216"/>
        <v>0</v>
      </c>
      <c r="BU166">
        <f t="shared" si="216"/>
        <v>1</v>
      </c>
      <c r="BV166">
        <f t="shared" si="216"/>
        <v>0</v>
      </c>
      <c r="BW166">
        <f t="shared" si="216"/>
        <v>0</v>
      </c>
      <c r="BX166">
        <f t="shared" si="216"/>
        <v>0</v>
      </c>
      <c r="BY166">
        <f t="shared" si="216"/>
        <v>0</v>
      </c>
      <c r="BZ166">
        <f t="shared" si="216"/>
        <v>0</v>
      </c>
      <c r="CA166">
        <f t="shared" si="216"/>
        <v>0</v>
      </c>
      <c r="CB166">
        <f t="shared" si="130"/>
        <v>30</v>
      </c>
      <c r="CC166">
        <v>20</v>
      </c>
      <c r="CD166">
        <f t="shared" si="203"/>
        <v>0.5</v>
      </c>
      <c r="CE166">
        <f t="shared" si="204"/>
        <v>0.25</v>
      </c>
      <c r="CF166">
        <f t="shared" si="93"/>
        <v>0.5</v>
      </c>
      <c r="CG166">
        <v>0</v>
      </c>
      <c r="CH166" s="64">
        <f t="shared" si="153"/>
        <v>38.049999999999997</v>
      </c>
      <c r="CI166" s="64">
        <f t="shared" si="154"/>
        <v>13.3</v>
      </c>
      <c r="CJ166" s="64">
        <f t="shared" si="155"/>
        <v>23.700000000000003</v>
      </c>
      <c r="CK166" s="64">
        <f t="shared" si="156"/>
        <v>28.949999999999996</v>
      </c>
      <c r="CL166" s="64">
        <f t="shared" si="157"/>
        <v>13.75</v>
      </c>
      <c r="CM166" s="64">
        <f t="shared" si="158"/>
        <v>48.999999999999993</v>
      </c>
      <c r="CN166" s="64">
        <f t="shared" si="159"/>
        <v>5.3000000000000007</v>
      </c>
      <c r="CO166" s="64">
        <f t="shared" si="160"/>
        <v>70.55</v>
      </c>
      <c r="CP166" s="64">
        <f t="shared" si="161"/>
        <v>1.25</v>
      </c>
      <c r="CQ166" s="64">
        <f t="shared" si="162"/>
        <v>96.500000000000014</v>
      </c>
      <c r="CR166" s="64">
        <f t="shared" si="163"/>
        <v>0</v>
      </c>
      <c r="CS166" s="64">
        <f t="shared" si="164"/>
        <v>125.25000000000003</v>
      </c>
      <c r="CT166" s="64">
        <f t="shared" si="165"/>
        <v>0</v>
      </c>
      <c r="CU166" s="64">
        <f t="shared" si="166"/>
        <v>155.25000000000006</v>
      </c>
      <c r="CV166" s="69">
        <f t="shared" si="167"/>
        <v>29.04846127410465</v>
      </c>
      <c r="CW166" s="69">
        <f t="shared" si="168"/>
        <v>1089.7499766743724</v>
      </c>
      <c r="CX166" s="69">
        <f t="shared" si="127"/>
        <v>4357.3615835674163</v>
      </c>
      <c r="CY166" s="69">
        <f t="shared" si="169"/>
        <v>30507.7</v>
      </c>
      <c r="CZ166" s="64">
        <f t="shared" si="128"/>
        <v>2904.907722378277</v>
      </c>
      <c r="DA166" s="64">
        <f t="shared" si="170"/>
        <v>20338.466666666667</v>
      </c>
      <c r="DB166">
        <f t="shared" si="171"/>
        <v>38.049999999999997</v>
      </c>
      <c r="DC166">
        <f t="shared" si="172"/>
        <v>13.3</v>
      </c>
      <c r="DD166">
        <f t="shared" si="173"/>
        <v>23.700000000000003</v>
      </c>
      <c r="DE166">
        <f t="shared" si="174"/>
        <v>28.949999999999996</v>
      </c>
      <c r="DF166">
        <f t="shared" si="175"/>
        <v>13.75</v>
      </c>
      <c r="DG166">
        <f t="shared" si="176"/>
        <v>48.999999999999993</v>
      </c>
      <c r="DH166">
        <f t="shared" si="177"/>
        <v>5.3000000000000007</v>
      </c>
      <c r="DI166">
        <f t="shared" si="178"/>
        <v>70.55</v>
      </c>
      <c r="DJ166">
        <f t="shared" si="179"/>
        <v>1.25</v>
      </c>
      <c r="DK166">
        <f t="shared" si="180"/>
        <v>96.500000000000014</v>
      </c>
      <c r="DL166">
        <f t="shared" si="181"/>
        <v>0</v>
      </c>
      <c r="DM166">
        <f t="shared" si="182"/>
        <v>125.25000000000003</v>
      </c>
      <c r="DN166">
        <f t="shared" si="183"/>
        <v>0</v>
      </c>
      <c r="DO166">
        <f t="shared" si="184"/>
        <v>155.25000000000006</v>
      </c>
      <c r="DP166" s="2">
        <f t="shared" si="191"/>
        <v>81</v>
      </c>
      <c r="DQ166" s="2">
        <f t="shared" si="191"/>
        <v>69</v>
      </c>
      <c r="DR166" s="2">
        <f t="shared" si="191"/>
        <v>57</v>
      </c>
      <c r="DS166" s="2">
        <f t="shared" si="191"/>
        <v>45</v>
      </c>
      <c r="DT166" s="2">
        <f t="shared" si="191"/>
        <v>33</v>
      </c>
    </row>
    <row r="167" spans="1:124">
      <c r="A167" s="3">
        <v>44835</v>
      </c>
      <c r="B167">
        <f t="shared" si="209"/>
        <v>2022</v>
      </c>
      <c r="C167" s="6">
        <v>17122283</v>
      </c>
      <c r="D167" s="225">
        <f>VLOOKUP(B167,'Historic CDM'!$B$135:$H$147,2,FALSE)/12</f>
        <v>1168945.3950770386</v>
      </c>
      <c r="E167" s="2">
        <f t="shared" si="210"/>
        <v>18291228.395077039</v>
      </c>
      <c r="F167" s="5">
        <v>28807</v>
      </c>
      <c r="G167" s="219">
        <v>4928502</v>
      </c>
      <c r="H167" s="2">
        <f>VLOOKUP(B167,'Historic CDM'!$B$135:$H$147,3,FALSE)/12</f>
        <v>1167742.3523487775</v>
      </c>
      <c r="I167" s="2">
        <f t="shared" si="211"/>
        <v>6096244.3523487775</v>
      </c>
      <c r="J167" s="220">
        <v>2064</v>
      </c>
      <c r="K167" s="219">
        <v>15289103</v>
      </c>
      <c r="L167" s="2">
        <f>VLOOKUP(B167,'Historic CDM'!$B$135:$H$146,4,FALSE)/12</f>
        <v>1290028.8826544937</v>
      </c>
      <c r="M167" s="2">
        <f t="shared" si="206"/>
        <v>16579131.882654494</v>
      </c>
      <c r="N167" s="222">
        <v>47171</v>
      </c>
      <c r="O167" s="5">
        <v>221</v>
      </c>
      <c r="P167" s="219">
        <v>225112</v>
      </c>
      <c r="Q167" s="112">
        <v>608</v>
      </c>
      <c r="R167" s="5">
        <v>2798</v>
      </c>
      <c r="S167" s="219">
        <v>22542</v>
      </c>
      <c r="T167" s="112">
        <v>62</v>
      </c>
      <c r="U167" s="5">
        <v>226</v>
      </c>
      <c r="V167" s="221">
        <v>117392</v>
      </c>
      <c r="W167" s="1">
        <v>125</v>
      </c>
      <c r="X167" s="225">
        <v>2187893</v>
      </c>
      <c r="Y167" s="112">
        <v>5944</v>
      </c>
      <c r="Z167" s="5">
        <v>4</v>
      </c>
      <c r="AA167" s="100">
        <f>'Weather Data'!D263</f>
        <v>271.5420919656392</v>
      </c>
      <c r="AB167" s="100">
        <f>'Weather Data'!E263</f>
        <v>0</v>
      </c>
      <c r="AC167" s="100">
        <f>'Weather Data'!F263</f>
        <v>209.6420919656392</v>
      </c>
      <c r="AD167" s="100">
        <f>'Weather Data'!G263</f>
        <v>0.10000000000000142</v>
      </c>
      <c r="AE167" s="100">
        <f>'Weather Data'!H263</f>
        <v>155.24209196563922</v>
      </c>
      <c r="AF167" s="100">
        <f>'Weather Data'!I263</f>
        <v>7.7000000000000028</v>
      </c>
      <c r="AG167" s="100">
        <f>'Weather Data'!J263</f>
        <v>109.40656897422942</v>
      </c>
      <c r="AH167" s="100">
        <f>'Weather Data'!K263</f>
        <v>23.8644770085902</v>
      </c>
      <c r="AI167" s="100">
        <f>'Weather Data'!L263</f>
        <v>70.871045982819609</v>
      </c>
      <c r="AJ167" s="100">
        <f>'Weather Data'!M263</f>
        <v>47.328954017180394</v>
      </c>
      <c r="AK167" s="100">
        <f>'Weather Data'!N263</f>
        <v>40.135522991409808</v>
      </c>
      <c r="AL167" s="100">
        <f>'Weather Data'!O263</f>
        <v>78.59343102577057</v>
      </c>
      <c r="AM167" s="100">
        <f>'Weather Data'!P263</f>
        <v>18.535522991409803</v>
      </c>
      <c r="AN167" s="100">
        <f>'Weather Data'!Q263</f>
        <v>118.9934310257706</v>
      </c>
      <c r="AO167" s="100">
        <f>'Weather Data'!R263</f>
        <v>11.240577678527769</v>
      </c>
      <c r="AP167" s="5">
        <f>'Economic Data'!D133</f>
        <v>7731.5</v>
      </c>
      <c r="AQ167" s="5">
        <f>'Economic Data'!E133</f>
        <v>7743.5</v>
      </c>
      <c r="AR167" s="5">
        <f>'Economic Data'!F133</f>
        <v>168.4</v>
      </c>
      <c r="AS167" s="5">
        <f>'Economic Data'!G133</f>
        <v>170.6</v>
      </c>
      <c r="AT167" s="5">
        <f>'Economic Data'!H133</f>
        <v>839497.4</v>
      </c>
      <c r="AU167" s="5">
        <f>'Economic Data'!I133</f>
        <v>8788.9</v>
      </c>
      <c r="AV167" s="5">
        <f>'Economic Data'!J133</f>
        <v>7781.9</v>
      </c>
      <c r="AW167" s="5">
        <f>'Economic Data'!K133</f>
        <v>5915.7</v>
      </c>
      <c r="AX167" s="5">
        <f>'Economic Data'!L133</f>
        <v>1230.4000000000001</v>
      </c>
      <c r="AY167" s="5">
        <f>'Economic Data'!M133</f>
        <v>2117.6</v>
      </c>
      <c r="AZ167" s="5">
        <f>'Economic Data'!N133</f>
        <v>6860.3</v>
      </c>
      <c r="BA167" s="5">
        <f>'Economic Data'!O133</f>
        <v>109.5</v>
      </c>
      <c r="BB167" s="5">
        <f>'Economic Data'!P133</f>
        <v>119.5</v>
      </c>
      <c r="BC167" s="5">
        <f>'Economic Data'!Q133</f>
        <v>841987</v>
      </c>
      <c r="BD167" s="5">
        <f>'Economic Data'!R133</f>
        <v>8741</v>
      </c>
      <c r="BE167" s="5">
        <f>'Economic Data'!S133</f>
        <v>4053</v>
      </c>
      <c r="BF167" s="5">
        <f>'Economic Data'!T133</f>
        <v>15653</v>
      </c>
      <c r="BG167" s="5">
        <f>'EV Data'!V72</f>
        <v>96274.666666666613</v>
      </c>
      <c r="BH167" s="5">
        <f>'EV Data'!AB72</f>
        <v>501.99999999999989</v>
      </c>
      <c r="BI167" s="5">
        <f>'EV Data'!W72</f>
        <v>1440.6666666666677</v>
      </c>
      <c r="BJ167" s="5">
        <f t="shared" si="149"/>
        <v>118</v>
      </c>
      <c r="BK167" s="70">
        <f t="shared" si="212"/>
        <v>2.0718820073061255</v>
      </c>
      <c r="BL167" s="5">
        <f t="shared" si="213"/>
        <v>13924</v>
      </c>
      <c r="BM167">
        <f t="shared" ref="BM167:CA167" si="217">BM155</f>
        <v>0</v>
      </c>
      <c r="BN167">
        <f t="shared" si="217"/>
        <v>0</v>
      </c>
      <c r="BO167">
        <f t="shared" si="217"/>
        <v>0</v>
      </c>
      <c r="BP167">
        <f t="shared" si="217"/>
        <v>0</v>
      </c>
      <c r="BQ167">
        <f t="shared" si="217"/>
        <v>0</v>
      </c>
      <c r="BR167">
        <f t="shared" si="217"/>
        <v>0</v>
      </c>
      <c r="BS167">
        <f t="shared" si="217"/>
        <v>0</v>
      </c>
      <c r="BT167">
        <f t="shared" si="217"/>
        <v>0</v>
      </c>
      <c r="BU167">
        <f t="shared" si="217"/>
        <v>0</v>
      </c>
      <c r="BV167">
        <f t="shared" si="217"/>
        <v>1</v>
      </c>
      <c r="BW167">
        <f t="shared" si="217"/>
        <v>0</v>
      </c>
      <c r="BX167">
        <f t="shared" si="217"/>
        <v>0</v>
      </c>
      <c r="BY167">
        <f t="shared" si="217"/>
        <v>0</v>
      </c>
      <c r="BZ167">
        <f t="shared" si="217"/>
        <v>1</v>
      </c>
      <c r="CA167">
        <f t="shared" si="217"/>
        <v>1</v>
      </c>
      <c r="CB167">
        <f t="shared" si="130"/>
        <v>31</v>
      </c>
      <c r="CC167">
        <v>20</v>
      </c>
      <c r="CD167">
        <f t="shared" si="203"/>
        <v>0.5</v>
      </c>
      <c r="CE167">
        <f t="shared" si="204"/>
        <v>0.25</v>
      </c>
      <c r="CF167">
        <f t="shared" si="93"/>
        <v>0.5</v>
      </c>
      <c r="CG167">
        <v>0</v>
      </c>
      <c r="CH167" s="64">
        <f t="shared" si="153"/>
        <v>135.7710459828196</v>
      </c>
      <c r="CI167" s="64">
        <f t="shared" si="154"/>
        <v>0</v>
      </c>
      <c r="CJ167" s="64">
        <f t="shared" si="155"/>
        <v>104.8210459828196</v>
      </c>
      <c r="CK167" s="64">
        <f t="shared" si="156"/>
        <v>5.0000000000000711E-2</v>
      </c>
      <c r="CL167" s="64">
        <f t="shared" si="157"/>
        <v>77.621045982819609</v>
      </c>
      <c r="CM167" s="64">
        <f t="shared" si="158"/>
        <v>3.8500000000000014</v>
      </c>
      <c r="CN167" s="64">
        <f t="shared" si="159"/>
        <v>54.703284487114708</v>
      </c>
      <c r="CO167" s="64">
        <f t="shared" si="160"/>
        <v>11.9322385042951</v>
      </c>
      <c r="CP167" s="64">
        <f t="shared" si="161"/>
        <v>35.435522991409805</v>
      </c>
      <c r="CQ167" s="64">
        <f t="shared" si="162"/>
        <v>23.664477008590197</v>
      </c>
      <c r="CR167" s="64">
        <f t="shared" si="163"/>
        <v>20.067761495704904</v>
      </c>
      <c r="CS167" s="64">
        <f t="shared" si="164"/>
        <v>39.296715512885285</v>
      </c>
      <c r="CT167" s="64">
        <f t="shared" si="165"/>
        <v>9.2677614957049013</v>
      </c>
      <c r="CU167" s="64">
        <f t="shared" si="166"/>
        <v>59.496715512885302</v>
      </c>
      <c r="CV167" s="69">
        <f t="shared" si="167"/>
        <v>20.482508614144006</v>
      </c>
      <c r="CW167" s="69">
        <f t="shared" si="168"/>
        <v>889.83277657988288</v>
      </c>
      <c r="CX167" s="69">
        <f t="shared" si="127"/>
        <v>3750.934815080202</v>
      </c>
      <c r="CY167" s="69">
        <f t="shared" si="169"/>
        <v>27348.662499999999</v>
      </c>
      <c r="CZ167" s="64">
        <f t="shared" si="128"/>
        <v>2419.9579452130338</v>
      </c>
      <c r="DA167" s="64">
        <f t="shared" si="170"/>
        <v>17644.298387096773</v>
      </c>
      <c r="DB167">
        <f t="shared" si="171"/>
        <v>135.7710459828196</v>
      </c>
      <c r="DC167">
        <f t="shared" si="172"/>
        <v>0</v>
      </c>
      <c r="DD167">
        <f t="shared" si="173"/>
        <v>104.8210459828196</v>
      </c>
      <c r="DE167">
        <f t="shared" si="174"/>
        <v>5.0000000000000711E-2</v>
      </c>
      <c r="DF167">
        <f t="shared" si="175"/>
        <v>77.621045982819609</v>
      </c>
      <c r="DG167">
        <f t="shared" si="176"/>
        <v>3.8500000000000014</v>
      </c>
      <c r="DH167">
        <f t="shared" si="177"/>
        <v>54.703284487114708</v>
      </c>
      <c r="DI167">
        <f t="shared" si="178"/>
        <v>11.9322385042951</v>
      </c>
      <c r="DJ167">
        <f t="shared" si="179"/>
        <v>35.435522991409805</v>
      </c>
      <c r="DK167">
        <f t="shared" si="180"/>
        <v>23.664477008590197</v>
      </c>
      <c r="DL167">
        <f t="shared" si="181"/>
        <v>20.067761495704904</v>
      </c>
      <c r="DM167">
        <f t="shared" si="182"/>
        <v>39.296715512885285</v>
      </c>
      <c r="DN167">
        <f t="shared" si="183"/>
        <v>9.2677614957049013</v>
      </c>
      <c r="DO167">
        <f t="shared" si="184"/>
        <v>59.496715512885302</v>
      </c>
      <c r="DP167" s="2">
        <f t="shared" si="191"/>
        <v>82</v>
      </c>
      <c r="DQ167" s="2">
        <f t="shared" si="191"/>
        <v>70</v>
      </c>
      <c r="DR167" s="2">
        <f t="shared" si="191"/>
        <v>58</v>
      </c>
      <c r="DS167" s="2">
        <f t="shared" si="191"/>
        <v>46</v>
      </c>
      <c r="DT167" s="2">
        <f t="shared" si="191"/>
        <v>34</v>
      </c>
    </row>
    <row r="168" spans="1:124">
      <c r="A168" s="3">
        <v>44866</v>
      </c>
      <c r="B168">
        <f t="shared" si="209"/>
        <v>2022</v>
      </c>
      <c r="C168" s="6">
        <v>17835575</v>
      </c>
      <c r="D168" s="225">
        <f>VLOOKUP(B168,'Historic CDM'!$B$135:$H$147,2,FALSE)/12</f>
        <v>1168945.3950770386</v>
      </c>
      <c r="E168" s="2">
        <f t="shared" si="210"/>
        <v>19004520.395077039</v>
      </c>
      <c r="F168" s="5">
        <v>28840</v>
      </c>
      <c r="G168" s="219">
        <v>4997795</v>
      </c>
      <c r="H168" s="2">
        <f>VLOOKUP(B168,'Historic CDM'!$B$135:$H$147,3,FALSE)/12</f>
        <v>1167742.3523487775</v>
      </c>
      <c r="I168" s="2">
        <f t="shared" si="211"/>
        <v>6165537.3523487775</v>
      </c>
      <c r="J168" s="220">
        <v>2064</v>
      </c>
      <c r="K168" s="219">
        <v>14903542</v>
      </c>
      <c r="L168" s="2">
        <f>VLOOKUP(B168,'Historic CDM'!$B$135:$H$146,4,FALSE)/12</f>
        <v>1290028.8826544937</v>
      </c>
      <c r="M168" s="2">
        <f t="shared" si="206"/>
        <v>16193570.882654494</v>
      </c>
      <c r="N168" s="222">
        <v>42930</v>
      </c>
      <c r="O168" s="5">
        <v>223</v>
      </c>
      <c r="P168" s="219">
        <v>236352</v>
      </c>
      <c r="Q168" s="112">
        <v>608</v>
      </c>
      <c r="R168" s="5">
        <v>2798</v>
      </c>
      <c r="S168" s="219">
        <v>21925</v>
      </c>
      <c r="T168" s="112">
        <v>60</v>
      </c>
      <c r="U168" s="5">
        <v>223</v>
      </c>
      <c r="V168" s="221">
        <v>117392</v>
      </c>
      <c r="W168" s="1">
        <v>125</v>
      </c>
      <c r="X168" s="225">
        <v>2451162</v>
      </c>
      <c r="Y168" s="112">
        <v>7052</v>
      </c>
      <c r="Z168" s="5">
        <v>4</v>
      </c>
      <c r="AA168" s="100">
        <f>'Weather Data'!D264</f>
        <v>428.6</v>
      </c>
      <c r="AB168" s="100">
        <f>'Weather Data'!E264</f>
        <v>0</v>
      </c>
      <c r="AC168" s="100">
        <f>'Weather Data'!F264</f>
        <v>368.6</v>
      </c>
      <c r="AD168" s="100">
        <f>'Weather Data'!G264</f>
        <v>0</v>
      </c>
      <c r="AE168" s="100">
        <f>'Weather Data'!H264</f>
        <v>310.89999999999998</v>
      </c>
      <c r="AF168" s="100">
        <f>'Weather Data'!I264</f>
        <v>2.2999999999999972</v>
      </c>
      <c r="AG168" s="100">
        <f>'Weather Data'!J264</f>
        <v>256.09999999999997</v>
      </c>
      <c r="AH168" s="100">
        <f>'Weather Data'!K264</f>
        <v>7.4999999999999964</v>
      </c>
      <c r="AI168" s="100">
        <f>'Weather Data'!L264</f>
        <v>203.69999999999996</v>
      </c>
      <c r="AJ168" s="100">
        <f>'Weather Data'!M264</f>
        <v>15.099999999999996</v>
      </c>
      <c r="AK168" s="100">
        <f>'Weather Data'!N264</f>
        <v>155.89999999999995</v>
      </c>
      <c r="AL168" s="100">
        <f>'Weather Data'!O264</f>
        <v>27.299999999999994</v>
      </c>
      <c r="AM168" s="100">
        <f>'Weather Data'!P264</f>
        <v>114.3</v>
      </c>
      <c r="AN168" s="100">
        <f>'Weather Data'!Q264</f>
        <v>45.7</v>
      </c>
      <c r="AO168" s="100">
        <f>'Weather Data'!R264</f>
        <v>5.7133333333333329</v>
      </c>
      <c r="AP168" s="5">
        <f>'Economic Data'!D134</f>
        <v>7736.9</v>
      </c>
      <c r="AQ168" s="5">
        <f>'Economic Data'!E134</f>
        <v>7738.9</v>
      </c>
      <c r="AR168" s="5">
        <f>'Economic Data'!F134</f>
        <v>176.3</v>
      </c>
      <c r="AS168" s="5">
        <f>'Economic Data'!G134</f>
        <v>178.1</v>
      </c>
      <c r="AT168" s="5">
        <f>'Economic Data'!H134</f>
        <v>839497.4</v>
      </c>
      <c r="AU168" s="5">
        <f>'Economic Data'!I134</f>
        <v>8788.9</v>
      </c>
      <c r="AV168" s="5">
        <f>'Economic Data'!J134</f>
        <v>7781.9</v>
      </c>
      <c r="AW168" s="5">
        <f>'Economic Data'!K134</f>
        <v>5915.7</v>
      </c>
      <c r="AX168" s="5">
        <f>'Economic Data'!L134</f>
        <v>1230.4000000000001</v>
      </c>
      <c r="AY168" s="5">
        <f>'Economic Data'!M134</f>
        <v>2117.6</v>
      </c>
      <c r="AZ168" s="5">
        <f>'Economic Data'!N134</f>
        <v>6860.3</v>
      </c>
      <c r="BA168" s="5">
        <f>'Economic Data'!O134</f>
        <v>109.5</v>
      </c>
      <c r="BB168" s="5">
        <f>'Economic Data'!P134</f>
        <v>119.5</v>
      </c>
      <c r="BC168" s="5">
        <f>'Economic Data'!Q134</f>
        <v>841987</v>
      </c>
      <c r="BD168" s="5">
        <f>'Economic Data'!R134</f>
        <v>8741</v>
      </c>
      <c r="BE168" s="5">
        <f>'Economic Data'!S134</f>
        <v>4053</v>
      </c>
      <c r="BF168" s="5">
        <f>'Economic Data'!T134</f>
        <v>15653</v>
      </c>
      <c r="BG168" s="5">
        <f>'EV Data'!V73</f>
        <v>99935.333333333285</v>
      </c>
      <c r="BH168" s="5">
        <f>'EV Data'!AB73</f>
        <v>515.99999999999989</v>
      </c>
      <c r="BI168" s="5">
        <f>'EV Data'!W73</f>
        <v>1483.3333333333344</v>
      </c>
      <c r="BJ168" s="5">
        <f t="shared" si="149"/>
        <v>119</v>
      </c>
      <c r="BK168" s="70">
        <f t="shared" si="212"/>
        <v>2.0755469613925306</v>
      </c>
      <c r="BL168" s="5">
        <f t="shared" si="213"/>
        <v>14161</v>
      </c>
      <c r="BM168">
        <f t="shared" ref="BM168:CA168" si="218">BM156</f>
        <v>0</v>
      </c>
      <c r="BN168">
        <f t="shared" si="218"/>
        <v>0</v>
      </c>
      <c r="BO168">
        <f t="shared" si="218"/>
        <v>0</v>
      </c>
      <c r="BP168">
        <f t="shared" si="218"/>
        <v>0</v>
      </c>
      <c r="BQ168">
        <f t="shared" si="218"/>
        <v>0</v>
      </c>
      <c r="BR168">
        <f t="shared" si="218"/>
        <v>0</v>
      </c>
      <c r="BS168">
        <f t="shared" si="218"/>
        <v>0</v>
      </c>
      <c r="BT168">
        <f t="shared" si="218"/>
        <v>0</v>
      </c>
      <c r="BU168">
        <f t="shared" si="218"/>
        <v>0</v>
      </c>
      <c r="BV168">
        <f t="shared" si="218"/>
        <v>0</v>
      </c>
      <c r="BW168">
        <f t="shared" si="218"/>
        <v>1</v>
      </c>
      <c r="BX168">
        <f t="shared" si="218"/>
        <v>0</v>
      </c>
      <c r="BY168">
        <f t="shared" si="218"/>
        <v>0</v>
      </c>
      <c r="BZ168">
        <f t="shared" si="218"/>
        <v>1</v>
      </c>
      <c r="CA168">
        <f t="shared" si="218"/>
        <v>1</v>
      </c>
      <c r="CB168">
        <f t="shared" si="130"/>
        <v>30</v>
      </c>
      <c r="CC168">
        <v>22</v>
      </c>
      <c r="CD168">
        <f t="shared" si="203"/>
        <v>0.5</v>
      </c>
      <c r="CE168">
        <f t="shared" si="204"/>
        <v>0.25</v>
      </c>
      <c r="CF168">
        <f t="shared" si="204"/>
        <v>0.5</v>
      </c>
      <c r="CG168">
        <v>0</v>
      </c>
      <c r="CH168" s="64">
        <f t="shared" si="153"/>
        <v>214.3</v>
      </c>
      <c r="CI168" s="64">
        <f t="shared" si="154"/>
        <v>0</v>
      </c>
      <c r="CJ168" s="64">
        <f t="shared" si="155"/>
        <v>184.3</v>
      </c>
      <c r="CK168" s="64">
        <f t="shared" si="156"/>
        <v>0</v>
      </c>
      <c r="CL168" s="64">
        <f t="shared" si="157"/>
        <v>155.44999999999999</v>
      </c>
      <c r="CM168" s="64">
        <f t="shared" si="158"/>
        <v>1.1499999999999986</v>
      </c>
      <c r="CN168" s="64">
        <f t="shared" si="159"/>
        <v>128.04999999999998</v>
      </c>
      <c r="CO168" s="64">
        <f t="shared" si="160"/>
        <v>3.7499999999999982</v>
      </c>
      <c r="CP168" s="64">
        <f t="shared" si="161"/>
        <v>101.84999999999998</v>
      </c>
      <c r="CQ168" s="64">
        <f t="shared" si="162"/>
        <v>7.549999999999998</v>
      </c>
      <c r="CR168" s="64">
        <f t="shared" si="163"/>
        <v>77.949999999999974</v>
      </c>
      <c r="CS168" s="64">
        <f t="shared" si="164"/>
        <v>13.649999999999997</v>
      </c>
      <c r="CT168" s="64">
        <f t="shared" si="165"/>
        <v>57.15</v>
      </c>
      <c r="CU168" s="64">
        <f t="shared" si="166"/>
        <v>22.85</v>
      </c>
      <c r="CV168" s="69">
        <f t="shared" si="167"/>
        <v>21.965465089085804</v>
      </c>
      <c r="CW168" s="69">
        <f t="shared" si="168"/>
        <v>921.60498540340473</v>
      </c>
      <c r="CX168" s="69">
        <f t="shared" si="127"/>
        <v>3300.7686267131053</v>
      </c>
      <c r="CY168" s="69">
        <f t="shared" si="169"/>
        <v>27854.113636363636</v>
      </c>
      <c r="CZ168" s="64">
        <f t="shared" si="128"/>
        <v>2420.5636595896103</v>
      </c>
      <c r="DA168" s="64">
        <f t="shared" si="170"/>
        <v>20426.349999999999</v>
      </c>
      <c r="DB168">
        <f t="shared" si="171"/>
        <v>214.3</v>
      </c>
      <c r="DC168">
        <f t="shared" si="172"/>
        <v>0</v>
      </c>
      <c r="DD168">
        <f t="shared" si="173"/>
        <v>184.3</v>
      </c>
      <c r="DE168">
        <f t="shared" si="174"/>
        <v>0</v>
      </c>
      <c r="DF168">
        <f t="shared" si="175"/>
        <v>155.44999999999999</v>
      </c>
      <c r="DG168">
        <f t="shared" si="176"/>
        <v>1.1499999999999986</v>
      </c>
      <c r="DH168">
        <f t="shared" si="177"/>
        <v>128.04999999999998</v>
      </c>
      <c r="DI168">
        <f t="shared" si="178"/>
        <v>3.7499999999999982</v>
      </c>
      <c r="DJ168">
        <f t="shared" si="179"/>
        <v>101.84999999999998</v>
      </c>
      <c r="DK168">
        <f t="shared" si="180"/>
        <v>7.549999999999998</v>
      </c>
      <c r="DL168">
        <f t="shared" si="181"/>
        <v>77.949999999999974</v>
      </c>
      <c r="DM168">
        <f t="shared" si="182"/>
        <v>13.649999999999997</v>
      </c>
      <c r="DN168">
        <f t="shared" si="183"/>
        <v>57.15</v>
      </c>
      <c r="DO168">
        <f t="shared" si="184"/>
        <v>22.85</v>
      </c>
      <c r="DP168" s="2">
        <f t="shared" si="191"/>
        <v>83</v>
      </c>
      <c r="DQ168" s="2">
        <f t="shared" si="191"/>
        <v>71</v>
      </c>
      <c r="DR168" s="2">
        <f t="shared" si="191"/>
        <v>59</v>
      </c>
      <c r="DS168" s="2">
        <f t="shared" si="191"/>
        <v>47</v>
      </c>
      <c r="DT168" s="2">
        <f t="shared" si="191"/>
        <v>35</v>
      </c>
    </row>
    <row r="169" spans="1:124">
      <c r="A169" s="3">
        <v>44896</v>
      </c>
      <c r="B169">
        <f t="shared" si="209"/>
        <v>2022</v>
      </c>
      <c r="C169" s="6">
        <v>21898882</v>
      </c>
      <c r="D169" s="225">
        <f>VLOOKUP(B169,'Historic CDM'!$B$135:$H$147,2,FALSE)/12</f>
        <v>1168945.3950770386</v>
      </c>
      <c r="E169" s="2">
        <f t="shared" si="210"/>
        <v>23067827.395077039</v>
      </c>
      <c r="F169" s="5">
        <v>28847</v>
      </c>
      <c r="G169" s="219">
        <v>5466808</v>
      </c>
      <c r="H169" s="2">
        <f>VLOOKUP(B169,'Historic CDM'!$B$135:$H$147,3,FALSE)/12</f>
        <v>1167742.3523487775</v>
      </c>
      <c r="I169" s="2">
        <f t="shared" si="211"/>
        <v>6634550.3523487775</v>
      </c>
      <c r="J169" s="220">
        <v>2064</v>
      </c>
      <c r="K169" s="219">
        <v>14518130</v>
      </c>
      <c r="L169" s="225">
        <f>VLOOKUP(B169,'Historic CDM'!$B$135:$H$147,4,FALSE)/12</f>
        <v>1290028.8826544937</v>
      </c>
      <c r="M169" s="225">
        <f t="shared" si="206"/>
        <v>15808158.882654494</v>
      </c>
      <c r="N169" s="222">
        <v>51440</v>
      </c>
      <c r="O169" s="5">
        <v>224</v>
      </c>
      <c r="P169" s="219">
        <v>258529</v>
      </c>
      <c r="Q169" s="112">
        <v>608</v>
      </c>
      <c r="R169" s="5">
        <v>2799</v>
      </c>
      <c r="S169" s="219">
        <v>21833</v>
      </c>
      <c r="T169" s="112">
        <v>60</v>
      </c>
      <c r="U169" s="5">
        <v>223</v>
      </c>
      <c r="V169" s="221">
        <v>117392</v>
      </c>
      <c r="W169" s="1">
        <v>125</v>
      </c>
      <c r="X169" s="225">
        <v>2831510</v>
      </c>
      <c r="Y169" s="112">
        <v>7244</v>
      </c>
      <c r="Z169" s="5">
        <v>4</v>
      </c>
      <c r="AA169" s="100">
        <f>'Weather Data'!D265</f>
        <v>618.1</v>
      </c>
      <c r="AB169" s="100">
        <f>'Weather Data'!E265</f>
        <v>0</v>
      </c>
      <c r="AC169" s="100">
        <f>'Weather Data'!F265</f>
        <v>556.1</v>
      </c>
      <c r="AD169" s="100">
        <f>'Weather Data'!G265</f>
        <v>0</v>
      </c>
      <c r="AE169" s="100">
        <f>'Weather Data'!H265</f>
        <v>494.09999999999997</v>
      </c>
      <c r="AF169" s="100">
        <f>'Weather Data'!I265</f>
        <v>0</v>
      </c>
      <c r="AG169" s="100">
        <f>'Weather Data'!J265</f>
        <v>432.09999999999997</v>
      </c>
      <c r="AH169" s="100">
        <f>'Weather Data'!K265</f>
        <v>0</v>
      </c>
      <c r="AI169" s="100">
        <f>'Weather Data'!L265</f>
        <v>370.1</v>
      </c>
      <c r="AJ169" s="100">
        <f>'Weather Data'!M265</f>
        <v>0</v>
      </c>
      <c r="AK169" s="100">
        <f>'Weather Data'!N265</f>
        <v>308.3</v>
      </c>
      <c r="AL169" s="100">
        <f>'Weather Data'!O265</f>
        <v>0.19999999999999929</v>
      </c>
      <c r="AM169" s="100">
        <f>'Weather Data'!P265</f>
        <v>248.29999999999998</v>
      </c>
      <c r="AN169" s="100">
        <f>'Weather Data'!Q265</f>
        <v>2.1999999999999993</v>
      </c>
      <c r="AO169" s="100">
        <f>'Weather Data'!R265</f>
        <v>6.1290322580645144E-2</v>
      </c>
      <c r="AP169" s="5">
        <f>'Economic Data'!D135</f>
        <v>7760.9</v>
      </c>
      <c r="AQ169" s="5">
        <f>'Economic Data'!E135</f>
        <v>7777.2</v>
      </c>
      <c r="AR169" s="5">
        <f>'Economic Data'!F135</f>
        <v>183.1</v>
      </c>
      <c r="AS169" s="5">
        <f>'Economic Data'!G135</f>
        <v>184.9</v>
      </c>
      <c r="AT169" s="5">
        <f>'Economic Data'!H135</f>
        <v>839497.4</v>
      </c>
      <c r="AU169" s="5">
        <f>'Economic Data'!I135</f>
        <v>8788.9</v>
      </c>
      <c r="AV169" s="5">
        <f>'Economic Data'!J135</f>
        <v>7781.9</v>
      </c>
      <c r="AW169" s="5">
        <f>'Economic Data'!K135</f>
        <v>5915.7</v>
      </c>
      <c r="AX169" s="5">
        <f>'Economic Data'!L135</f>
        <v>1230.4000000000001</v>
      </c>
      <c r="AY169" s="5">
        <f>'Economic Data'!M135</f>
        <v>2117.6</v>
      </c>
      <c r="AZ169" s="5">
        <f>'Economic Data'!N135</f>
        <v>6860.3</v>
      </c>
      <c r="BA169" s="5">
        <f>'Economic Data'!O135</f>
        <v>109.5</v>
      </c>
      <c r="BB169" s="5">
        <f>'Economic Data'!P135</f>
        <v>119.5</v>
      </c>
      <c r="BC169" s="5">
        <f>'Economic Data'!Q135</f>
        <v>841987</v>
      </c>
      <c r="BD169" s="5">
        <f>'Economic Data'!R135</f>
        <v>8741</v>
      </c>
      <c r="BE169" s="5">
        <f>'Economic Data'!S135</f>
        <v>4053</v>
      </c>
      <c r="BF169" s="5">
        <f>'Economic Data'!T135</f>
        <v>15653</v>
      </c>
      <c r="BG169" s="5">
        <f>'EV Data'!V74</f>
        <v>103595.99999999996</v>
      </c>
      <c r="BH169" s="5">
        <f>'EV Data'!AB74</f>
        <v>529.99999999999989</v>
      </c>
      <c r="BI169" s="5">
        <f>'EV Data'!W74</f>
        <v>1526.0000000000011</v>
      </c>
      <c r="BJ169" s="5">
        <f t="shared" si="149"/>
        <v>120</v>
      </c>
      <c r="BK169" s="70">
        <f t="shared" si="212"/>
        <v>2.0791812460476247</v>
      </c>
      <c r="BL169" s="5">
        <f t="shared" si="213"/>
        <v>14400</v>
      </c>
      <c r="BM169">
        <f t="shared" ref="BM169:CA169" si="219">BM157</f>
        <v>0</v>
      </c>
      <c r="BN169">
        <f t="shared" si="219"/>
        <v>0</v>
      </c>
      <c r="BO169">
        <f t="shared" si="219"/>
        <v>0</v>
      </c>
      <c r="BP169">
        <f t="shared" si="219"/>
        <v>0</v>
      </c>
      <c r="BQ169">
        <f t="shared" si="219"/>
        <v>0</v>
      </c>
      <c r="BR169">
        <f t="shared" si="219"/>
        <v>0</v>
      </c>
      <c r="BS169">
        <f t="shared" si="219"/>
        <v>0</v>
      </c>
      <c r="BT169">
        <f t="shared" si="219"/>
        <v>0</v>
      </c>
      <c r="BU169">
        <f t="shared" si="219"/>
        <v>0</v>
      </c>
      <c r="BV169">
        <f t="shared" si="219"/>
        <v>0</v>
      </c>
      <c r="BW169">
        <f t="shared" si="219"/>
        <v>0</v>
      </c>
      <c r="BX169">
        <f t="shared" si="219"/>
        <v>1</v>
      </c>
      <c r="BY169">
        <f t="shared" si="219"/>
        <v>0</v>
      </c>
      <c r="BZ169">
        <f t="shared" si="219"/>
        <v>0</v>
      </c>
      <c r="CA169">
        <f t="shared" si="219"/>
        <v>0</v>
      </c>
      <c r="CB169">
        <f t="shared" si="130"/>
        <v>31</v>
      </c>
      <c r="CC169">
        <v>20</v>
      </c>
      <c r="CD169">
        <f t="shared" si="203"/>
        <v>0.5</v>
      </c>
      <c r="CE169">
        <f t="shared" si="204"/>
        <v>0.25</v>
      </c>
      <c r="CF169">
        <f t="shared" si="204"/>
        <v>0.5</v>
      </c>
      <c r="CG169">
        <v>0</v>
      </c>
      <c r="CH169" s="64">
        <f t="shared" si="153"/>
        <v>309.05</v>
      </c>
      <c r="CI169" s="64">
        <f t="shared" si="154"/>
        <v>0</v>
      </c>
      <c r="CJ169" s="64">
        <f t="shared" si="155"/>
        <v>278.05</v>
      </c>
      <c r="CK169" s="64">
        <f t="shared" si="156"/>
        <v>0</v>
      </c>
      <c r="CL169" s="64">
        <f t="shared" si="157"/>
        <v>247.04999999999998</v>
      </c>
      <c r="CM169" s="64">
        <f t="shared" si="158"/>
        <v>0</v>
      </c>
      <c r="CN169" s="64">
        <f t="shared" si="159"/>
        <v>216.04999999999998</v>
      </c>
      <c r="CO169" s="64">
        <f t="shared" si="160"/>
        <v>0</v>
      </c>
      <c r="CP169" s="64">
        <f t="shared" si="161"/>
        <v>185.05</v>
      </c>
      <c r="CQ169" s="64">
        <f t="shared" si="162"/>
        <v>0</v>
      </c>
      <c r="CR169" s="64">
        <f t="shared" si="163"/>
        <v>154.15</v>
      </c>
      <c r="CS169" s="64">
        <f t="shared" si="164"/>
        <v>9.9999999999999645E-2</v>
      </c>
      <c r="CT169" s="64">
        <f t="shared" si="165"/>
        <v>124.14999999999999</v>
      </c>
      <c r="CU169" s="64">
        <f t="shared" si="166"/>
        <v>1.0999999999999996</v>
      </c>
      <c r="CV169" s="69">
        <f t="shared" si="167"/>
        <v>25.795523429033306</v>
      </c>
      <c r="CW169" s="69">
        <f t="shared" si="168"/>
        <v>955.43639866773879</v>
      </c>
      <c r="CX169" s="69">
        <f t="shared" si="127"/>
        <v>3528.6068934496639</v>
      </c>
      <c r="CY169" s="69">
        <f t="shared" si="169"/>
        <v>35393.875</v>
      </c>
      <c r="CZ169" s="64">
        <f t="shared" si="128"/>
        <v>2276.5205764191378</v>
      </c>
      <c r="DA169" s="64">
        <f t="shared" si="170"/>
        <v>22834.758064516129</v>
      </c>
      <c r="DB169">
        <f t="shared" si="171"/>
        <v>309.05</v>
      </c>
      <c r="DC169">
        <f t="shared" si="172"/>
        <v>0</v>
      </c>
      <c r="DD169">
        <f t="shared" si="173"/>
        <v>278.05</v>
      </c>
      <c r="DE169">
        <f t="shared" si="174"/>
        <v>0</v>
      </c>
      <c r="DF169">
        <f t="shared" si="175"/>
        <v>247.04999999999998</v>
      </c>
      <c r="DG169">
        <f t="shared" si="176"/>
        <v>0</v>
      </c>
      <c r="DH169">
        <f t="shared" si="177"/>
        <v>216.04999999999998</v>
      </c>
      <c r="DI169">
        <f t="shared" si="178"/>
        <v>0</v>
      </c>
      <c r="DJ169">
        <f t="shared" si="179"/>
        <v>185.05</v>
      </c>
      <c r="DK169">
        <f t="shared" si="180"/>
        <v>0</v>
      </c>
      <c r="DL169">
        <f t="shared" si="181"/>
        <v>154.15</v>
      </c>
      <c r="DM169">
        <f t="shared" si="182"/>
        <v>9.9999999999999645E-2</v>
      </c>
      <c r="DN169">
        <f t="shared" si="183"/>
        <v>124.14999999999999</v>
      </c>
      <c r="DO169">
        <f t="shared" si="184"/>
        <v>1.0999999999999996</v>
      </c>
      <c r="DP169" s="2">
        <f t="shared" si="191"/>
        <v>84</v>
      </c>
      <c r="DQ169" s="2">
        <f t="shared" si="191"/>
        <v>72</v>
      </c>
      <c r="DR169" s="2">
        <f t="shared" si="191"/>
        <v>60</v>
      </c>
      <c r="DS169" s="2">
        <f t="shared" si="191"/>
        <v>48</v>
      </c>
      <c r="DT169" s="2">
        <f t="shared" si="191"/>
        <v>36</v>
      </c>
    </row>
    <row r="170" spans="1:124">
      <c r="A170" s="3">
        <v>44927</v>
      </c>
      <c r="B170">
        <f>YEAR(A170)</f>
        <v>2023</v>
      </c>
      <c r="C170" s="112">
        <v>20559513.70522679</v>
      </c>
      <c r="D170" s="225">
        <f>VLOOKUP(B170,'Historic CDM'!$B$135:$H$147,2,FALSE)/12</f>
        <v>1180139.3153653573</v>
      </c>
      <c r="E170" s="2">
        <f t="shared" si="210"/>
        <v>21739653.020592146</v>
      </c>
      <c r="F170" s="5">
        <v>28855</v>
      </c>
      <c r="G170" s="219">
        <v>5435431.2866580132</v>
      </c>
      <c r="H170" s="2">
        <f>VLOOKUP(B170,'Historic CDM'!$B$135:$H$147,3,FALSE)/12</f>
        <v>1197125.69573412</v>
      </c>
      <c r="I170" s="2">
        <f t="shared" si="211"/>
        <v>6632556.9823921332</v>
      </c>
      <c r="J170" s="220">
        <v>2063</v>
      </c>
      <c r="K170" s="219">
        <v>14330957.547002995</v>
      </c>
      <c r="L170" s="225">
        <f>VLOOKUP(B170,'Historic CDM'!$B$135:$H$147,4,FALSE)/12</f>
        <v>1499293.7806216448</v>
      </c>
      <c r="M170" s="225">
        <f t="shared" ref="M170:M175" si="220">K170+L170</f>
        <v>15830251.327624639</v>
      </c>
      <c r="N170" s="225">
        <v>42429</v>
      </c>
      <c r="O170" s="5">
        <v>225</v>
      </c>
      <c r="P170" s="112">
        <v>254276.19507484304</v>
      </c>
      <c r="Q170" s="112">
        <v>607.6</v>
      </c>
      <c r="R170" s="5">
        <v>2799</v>
      </c>
      <c r="S170" s="112">
        <v>23004.345726702075</v>
      </c>
      <c r="T170" s="112">
        <v>62.76</v>
      </c>
      <c r="U170" s="5">
        <v>223</v>
      </c>
      <c r="V170" s="112">
        <v>117391.59826170931</v>
      </c>
      <c r="W170" s="1">
        <v>125</v>
      </c>
      <c r="X170" s="225">
        <v>3051532.49</v>
      </c>
      <c r="Y170" s="112">
        <v>7954</v>
      </c>
      <c r="Z170" s="5">
        <v>4</v>
      </c>
      <c r="AA170" s="100">
        <f>'Weather Data'!D266</f>
        <v>610.70000000000005</v>
      </c>
      <c r="AB170" s="100">
        <f>'Weather Data'!E266</f>
        <v>0</v>
      </c>
      <c r="AC170" s="100">
        <f>'Weather Data'!F266</f>
        <v>548.70000000000005</v>
      </c>
      <c r="AD170" s="100">
        <f>'Weather Data'!G266</f>
        <v>0</v>
      </c>
      <c r="AE170" s="100">
        <f>'Weather Data'!H266</f>
        <v>486.7000000000001</v>
      </c>
      <c r="AF170" s="100">
        <f>'Weather Data'!I266</f>
        <v>0</v>
      </c>
      <c r="AG170" s="100">
        <f>'Weather Data'!J266</f>
        <v>424.7000000000001</v>
      </c>
      <c r="AH170" s="100">
        <f>'Weather Data'!K266</f>
        <v>0</v>
      </c>
      <c r="AI170" s="100">
        <f>'Weather Data'!L266</f>
        <v>362.7000000000001</v>
      </c>
      <c r="AJ170" s="100">
        <f>'Weather Data'!M266</f>
        <v>0</v>
      </c>
      <c r="AK170" s="100">
        <f>'Weather Data'!N266</f>
        <v>300.70000000000005</v>
      </c>
      <c r="AL170" s="100">
        <f>'Weather Data'!O266</f>
        <v>0</v>
      </c>
      <c r="AM170" s="100">
        <f>'Weather Data'!P266</f>
        <v>239.3</v>
      </c>
      <c r="AN170" s="100">
        <f>'Weather Data'!Q266</f>
        <v>0.59999999999999964</v>
      </c>
      <c r="AO170" s="100">
        <f>'Weather Data'!R266</f>
        <v>0.29999999999999949</v>
      </c>
      <c r="AP170" s="5">
        <f>'Economic Data'!D136</f>
        <v>7795.7</v>
      </c>
      <c r="AQ170" s="5">
        <f>'Economic Data'!E136</f>
        <v>7776.6</v>
      </c>
      <c r="AR170" s="5">
        <f>'Economic Data'!F136</f>
        <v>189.2</v>
      </c>
      <c r="AS170" s="5">
        <f>'Economic Data'!G136</f>
        <v>189.3</v>
      </c>
      <c r="AT170" s="5">
        <f>'Economic Data'!H136</f>
        <v>849571.36880000005</v>
      </c>
      <c r="AU170" s="5">
        <f>'Economic Data'!I136</f>
        <v>8894.3667999999998</v>
      </c>
      <c r="AV170" s="5">
        <f>'Economic Data'!J136</f>
        <v>7875.2828</v>
      </c>
      <c r="AW170" s="5">
        <f>'Economic Data'!K136</f>
        <v>5986.6884</v>
      </c>
      <c r="AX170" s="5">
        <f>'Economic Data'!L136</f>
        <v>1245.1648</v>
      </c>
      <c r="AY170" s="5">
        <f>'Economic Data'!M136</f>
        <v>2143.0111999999999</v>
      </c>
      <c r="AZ170" s="5">
        <f>'Economic Data'!N136</f>
        <v>6942.6235999999999</v>
      </c>
      <c r="BA170" s="5">
        <f>'Economic Data'!O136</f>
        <v>110.81400000000001</v>
      </c>
      <c r="BB170" s="5">
        <f>'Economic Data'!P136</f>
        <v>120.934</v>
      </c>
      <c r="BC170" s="5">
        <f>'Economic Data'!Q136</f>
        <v>848873</v>
      </c>
      <c r="BD170" s="5">
        <f>'Economic Data'!R136</f>
        <v>8403</v>
      </c>
      <c r="BE170" s="5">
        <f>'Economic Data'!S136</f>
        <v>4025</v>
      </c>
      <c r="BF170" s="5">
        <f>'Economic Data'!T136</f>
        <v>15838</v>
      </c>
      <c r="BG170" s="5">
        <f>'EV Data'!V75</f>
        <v>106413.66666666663</v>
      </c>
      <c r="BH170" s="5">
        <f>'EV Data'!AB75</f>
        <v>543.99999999999989</v>
      </c>
      <c r="BI170" s="5">
        <f>'EV Data'!W75</f>
        <v>1569.6666666666679</v>
      </c>
      <c r="BJ170" s="5">
        <f t="shared" si="149"/>
        <v>121</v>
      </c>
      <c r="BK170" s="70">
        <f t="shared" ref="BK170:BK175" si="221">LOG(BJ170)</f>
        <v>2.0827853703164503</v>
      </c>
      <c r="BL170" s="5">
        <f t="shared" ref="BL170:BL175" si="222">BJ170^2</f>
        <v>14641</v>
      </c>
      <c r="BM170">
        <f t="shared" ref="BM170:CA170" si="223">BM158</f>
        <v>1</v>
      </c>
      <c r="BN170">
        <f t="shared" si="223"/>
        <v>0</v>
      </c>
      <c r="BO170">
        <f t="shared" si="223"/>
        <v>0</v>
      </c>
      <c r="BP170">
        <f t="shared" si="223"/>
        <v>0</v>
      </c>
      <c r="BQ170">
        <f t="shared" si="223"/>
        <v>0</v>
      </c>
      <c r="BR170">
        <f t="shared" si="223"/>
        <v>0</v>
      </c>
      <c r="BS170">
        <f t="shared" si="223"/>
        <v>0</v>
      </c>
      <c r="BT170">
        <f t="shared" si="223"/>
        <v>0</v>
      </c>
      <c r="BU170">
        <f t="shared" si="223"/>
        <v>0</v>
      </c>
      <c r="BV170">
        <f t="shared" si="223"/>
        <v>0</v>
      </c>
      <c r="BW170">
        <f t="shared" si="223"/>
        <v>0</v>
      </c>
      <c r="BX170">
        <f t="shared" si="223"/>
        <v>0</v>
      </c>
      <c r="BY170">
        <f t="shared" si="223"/>
        <v>0</v>
      </c>
      <c r="BZ170">
        <f t="shared" si="223"/>
        <v>0</v>
      </c>
      <c r="CA170">
        <f t="shared" si="223"/>
        <v>0</v>
      </c>
      <c r="CB170">
        <f t="shared" si="130"/>
        <v>31</v>
      </c>
      <c r="CC170">
        <v>21</v>
      </c>
      <c r="CD170">
        <v>0</v>
      </c>
      <c r="CE170">
        <v>0</v>
      </c>
      <c r="CF170">
        <v>0.25</v>
      </c>
      <c r="CG170">
        <v>0</v>
      </c>
      <c r="CH170" s="64">
        <f t="shared" ref="CH170:CH175" si="224">AA170*$CD170</f>
        <v>0</v>
      </c>
      <c r="CI170" s="64">
        <f t="shared" ref="CI170:CI175" si="225">AB170*$CD170</f>
        <v>0</v>
      </c>
      <c r="CJ170" s="64">
        <f t="shared" ref="CJ170:CJ175" si="226">AC170*$CD170</f>
        <v>0</v>
      </c>
      <c r="CK170" s="64">
        <f t="shared" ref="CK170:CK175" si="227">AD170*$CD170</f>
        <v>0</v>
      </c>
      <c r="CL170" s="64">
        <f t="shared" ref="CL170:CL175" si="228">AE170*$CD170</f>
        <v>0</v>
      </c>
      <c r="CM170" s="64">
        <f t="shared" ref="CM170:CM175" si="229">AF170*$CD170</f>
        <v>0</v>
      </c>
      <c r="CN170" s="64">
        <f t="shared" ref="CN170:CN175" si="230">AG170*$CD170</f>
        <v>0</v>
      </c>
      <c r="CO170" s="64">
        <f t="shared" ref="CO170:CO175" si="231">AH170*$CD170</f>
        <v>0</v>
      </c>
      <c r="CP170" s="64">
        <f t="shared" ref="CP170:CP175" si="232">AI170*$CD170</f>
        <v>0</v>
      </c>
      <c r="CQ170" s="64">
        <f t="shared" ref="CQ170:CQ175" si="233">AJ170*$CD170</f>
        <v>0</v>
      </c>
      <c r="CR170" s="64">
        <f t="shared" ref="CR170:CR175" si="234">AK170*$CD170</f>
        <v>0</v>
      </c>
      <c r="CS170" s="64">
        <f t="shared" ref="CS170:CS175" si="235">AL170*$CD170</f>
        <v>0</v>
      </c>
      <c r="CT170" s="64">
        <f t="shared" ref="CT170:CT175" si="236">AM170*$CD170</f>
        <v>0</v>
      </c>
      <c r="CU170" s="64">
        <f t="shared" ref="CU170:CU175" si="237">AN170*$CD170</f>
        <v>0</v>
      </c>
      <c r="CV170" s="69">
        <f t="shared" ref="CV170:CV175" si="238">E170/$CB170/F170</f>
        <v>24.303556738746174</v>
      </c>
      <c r="CW170" s="69">
        <f t="shared" ref="CW170:CW175" si="239">I170/$CB170/O170</f>
        <v>950.90422686625573</v>
      </c>
      <c r="CX170" s="69">
        <f t="shared" ref="CX170:CX175" si="240">M170/$CC170/O170</f>
        <v>3350.31774129622</v>
      </c>
      <c r="CY170" s="69">
        <f t="shared" ref="CY170:CY175" si="241">X170/$CC170/Z170</f>
        <v>36327.767738095237</v>
      </c>
      <c r="CZ170" s="64">
        <f t="shared" ref="CZ170:CZ175" si="242">M170/$CB170/O170</f>
        <v>2269.5700828135682</v>
      </c>
      <c r="DA170" s="64">
        <f t="shared" ref="DA170:DA175" si="243">X170/$CB170/Z170</f>
        <v>24609.132983870968</v>
      </c>
      <c r="DB170">
        <f t="shared" ref="DB170:DB175" si="244">$CF170*AA170</f>
        <v>152.67500000000001</v>
      </c>
      <c r="DC170">
        <f t="shared" ref="DC170:DC175" si="245">$CF170*AB170</f>
        <v>0</v>
      </c>
      <c r="DD170">
        <f t="shared" ref="DD170:DD175" si="246">$CF170*AC170</f>
        <v>137.17500000000001</v>
      </c>
      <c r="DE170">
        <f t="shared" ref="DE170:DE175" si="247">$CF170*AD170</f>
        <v>0</v>
      </c>
      <c r="DF170">
        <f t="shared" ref="DF170:DF175" si="248">$CF170*AE170</f>
        <v>121.67500000000003</v>
      </c>
      <c r="DG170">
        <f t="shared" ref="DG170:DG175" si="249">$CF170*AF170</f>
        <v>0</v>
      </c>
      <c r="DH170">
        <f t="shared" ref="DH170:DH175" si="250">$CF170*AG170</f>
        <v>106.17500000000003</v>
      </c>
      <c r="DI170">
        <f t="shared" ref="DI170:DI175" si="251">$CF170*AH170</f>
        <v>0</v>
      </c>
      <c r="DJ170">
        <f t="shared" ref="DJ170:DJ175" si="252">$CF170*AI170</f>
        <v>90.675000000000026</v>
      </c>
      <c r="DK170">
        <f t="shared" ref="DK170:DK175" si="253">$CF170*AJ170</f>
        <v>0</v>
      </c>
      <c r="DL170">
        <f t="shared" ref="DL170:DL175" si="254">$CF170*AK170</f>
        <v>75.175000000000011</v>
      </c>
      <c r="DM170">
        <f t="shared" ref="DM170:DM175" si="255">$CF170*AL170</f>
        <v>0</v>
      </c>
      <c r="DN170">
        <f t="shared" ref="DN170:DN175" si="256">$CF170*AM170</f>
        <v>59.825000000000003</v>
      </c>
      <c r="DO170">
        <f t="shared" ref="DO170:DO175" si="257">$CF170*AN170</f>
        <v>0.14999999999999991</v>
      </c>
      <c r="DP170" s="2">
        <f t="shared" ref="DP170:DP181" si="258">DP169+1</f>
        <v>85</v>
      </c>
      <c r="DQ170" s="2">
        <f t="shared" ref="DQ170:DQ181" si="259">DQ169+1</f>
        <v>73</v>
      </c>
      <c r="DR170" s="2">
        <f t="shared" ref="DR170:DR181" si="260">DR169+1</f>
        <v>61</v>
      </c>
      <c r="DS170" s="2">
        <f t="shared" ref="DS170:DS181" si="261">DS169+1</f>
        <v>49</v>
      </c>
      <c r="DT170" s="2">
        <f t="shared" ref="DT170:DT181" si="262">DT169+1</f>
        <v>37</v>
      </c>
    </row>
    <row r="171" spans="1:124">
      <c r="A171" s="3">
        <v>44958</v>
      </c>
      <c r="B171">
        <f>YEAR(A171)</f>
        <v>2023</v>
      </c>
      <c r="C171" s="112">
        <v>18145361.049486008</v>
      </c>
      <c r="D171" s="225">
        <f>VLOOKUP(B171,'Historic CDM'!$B$135:$H$147,2,FALSE)/12</f>
        <v>1180139.3153653573</v>
      </c>
      <c r="E171" s="2">
        <f t="shared" si="210"/>
        <v>19325500.364851363</v>
      </c>
      <c r="F171" s="5">
        <v>28868</v>
      </c>
      <c r="G171" s="112">
        <v>4894875.5573279932</v>
      </c>
      <c r="H171" s="2">
        <f>VLOOKUP(B171,'Historic CDM'!$B$135:$H$147,3,FALSE)/12</f>
        <v>1197125.69573412</v>
      </c>
      <c r="I171" s="2">
        <f t="shared" si="211"/>
        <v>6092001.2530621132</v>
      </c>
      <c r="J171" s="220">
        <v>2063</v>
      </c>
      <c r="K171" s="112">
        <v>13054925.880000012</v>
      </c>
      <c r="L171" s="225">
        <f>VLOOKUP(B171,'Historic CDM'!$B$135:$H$147,4,FALSE)/12</f>
        <v>1499293.7806216448</v>
      </c>
      <c r="M171" s="225">
        <f t="shared" si="220"/>
        <v>14554219.660621656</v>
      </c>
      <c r="N171" s="112">
        <v>51519</v>
      </c>
      <c r="O171" s="5">
        <v>225</v>
      </c>
      <c r="P171" s="112">
        <v>229668.75905359728</v>
      </c>
      <c r="Q171" s="112">
        <v>607.6</v>
      </c>
      <c r="R171" s="5">
        <v>2799</v>
      </c>
      <c r="S171" s="112">
        <v>22593.915982617091</v>
      </c>
      <c r="T171" s="112">
        <v>61.64</v>
      </c>
      <c r="U171" s="5">
        <v>223</v>
      </c>
      <c r="V171" s="112">
        <v>117391.59826170931</v>
      </c>
      <c r="W171" s="1">
        <v>125</v>
      </c>
      <c r="X171" s="225">
        <v>2758376.97</v>
      </c>
      <c r="Y171" s="112">
        <v>7783</v>
      </c>
      <c r="Z171" s="5">
        <v>4</v>
      </c>
      <c r="AA171" s="100">
        <f>'Weather Data'!D267</f>
        <v>547.23552299140999</v>
      </c>
      <c r="AB171" s="100">
        <f>'Weather Data'!E267</f>
        <v>0</v>
      </c>
      <c r="AC171" s="100">
        <f>'Weather Data'!F267</f>
        <v>491.23552299140994</v>
      </c>
      <c r="AD171" s="100">
        <f>'Weather Data'!G267</f>
        <v>0</v>
      </c>
      <c r="AE171" s="100">
        <f>'Weather Data'!H267</f>
        <v>435.23552299140994</v>
      </c>
      <c r="AF171" s="100">
        <f>'Weather Data'!I267</f>
        <v>0</v>
      </c>
      <c r="AG171" s="100">
        <f>'Weather Data'!J267</f>
        <v>379.23552299140988</v>
      </c>
      <c r="AH171" s="100">
        <f>'Weather Data'!K267</f>
        <v>0</v>
      </c>
      <c r="AI171" s="100">
        <f>'Weather Data'!L267</f>
        <v>323.23552299140982</v>
      </c>
      <c r="AJ171" s="100">
        <f>'Weather Data'!M267</f>
        <v>0</v>
      </c>
      <c r="AK171" s="100">
        <f>'Weather Data'!N267</f>
        <v>267.23552299140982</v>
      </c>
      <c r="AL171" s="100">
        <f>'Weather Data'!O267</f>
        <v>0</v>
      </c>
      <c r="AM171" s="100">
        <f>'Weather Data'!P267</f>
        <v>213.03552299140983</v>
      </c>
      <c r="AN171" s="100">
        <f>'Weather Data'!Q267</f>
        <v>1.8000000000000007</v>
      </c>
      <c r="AO171" s="100">
        <f>'Weather Data'!R267</f>
        <v>0.45587417887822124</v>
      </c>
      <c r="AP171" s="5">
        <f>'Economic Data'!D137</f>
        <v>7833.9</v>
      </c>
      <c r="AQ171" s="5">
        <f>'Economic Data'!E137</f>
        <v>7780.5</v>
      </c>
      <c r="AR171" s="5">
        <f>'Economic Data'!F137</f>
        <v>190</v>
      </c>
      <c r="AS171" s="5">
        <f>'Economic Data'!G137</f>
        <v>189.5</v>
      </c>
      <c r="AT171" s="5">
        <f>'Economic Data'!H137</f>
        <v>849571.36880000005</v>
      </c>
      <c r="AU171" s="5">
        <f>'Economic Data'!I137</f>
        <v>8894.3667999999998</v>
      </c>
      <c r="AV171" s="5">
        <f>'Economic Data'!J137</f>
        <v>7875.2828</v>
      </c>
      <c r="AW171" s="5">
        <f>'Economic Data'!K137</f>
        <v>5986.6884</v>
      </c>
      <c r="AX171" s="5">
        <f>'Economic Data'!L137</f>
        <v>1245.1648</v>
      </c>
      <c r="AY171" s="5">
        <f>'Economic Data'!M137</f>
        <v>2143.0111999999999</v>
      </c>
      <c r="AZ171" s="5">
        <f>'Economic Data'!N137</f>
        <v>6942.6235999999999</v>
      </c>
      <c r="BA171" s="5">
        <f>'Economic Data'!O137</f>
        <v>110.81400000000001</v>
      </c>
      <c r="BB171" s="5">
        <f>'Economic Data'!P137</f>
        <v>120.934</v>
      </c>
      <c r="BC171" s="5">
        <f>'Economic Data'!Q137</f>
        <v>848873</v>
      </c>
      <c r="BD171" s="5">
        <f>'Economic Data'!R137</f>
        <v>8403</v>
      </c>
      <c r="BE171" s="5">
        <f>'Economic Data'!S137</f>
        <v>4025</v>
      </c>
      <c r="BF171" s="5">
        <f>'Economic Data'!T137</f>
        <v>15838</v>
      </c>
      <c r="BG171" s="5">
        <f>'EV Data'!V76</f>
        <v>109231.3333333333</v>
      </c>
      <c r="BH171" s="5">
        <f>'EV Data'!AB76</f>
        <v>557.99999999999989</v>
      </c>
      <c r="BI171" s="5">
        <f>'EV Data'!W76</f>
        <v>1613.3333333333346</v>
      </c>
      <c r="BJ171" s="5">
        <f t="shared" si="149"/>
        <v>122</v>
      </c>
      <c r="BK171" s="70">
        <f t="shared" si="221"/>
        <v>2.0863598306747484</v>
      </c>
      <c r="BL171" s="5">
        <f t="shared" si="222"/>
        <v>14884</v>
      </c>
      <c r="BM171">
        <f t="shared" ref="BM171:CA171" si="263">BM159</f>
        <v>0</v>
      </c>
      <c r="BN171">
        <f t="shared" si="263"/>
        <v>1</v>
      </c>
      <c r="BO171">
        <f t="shared" si="263"/>
        <v>0</v>
      </c>
      <c r="BP171">
        <f t="shared" si="263"/>
        <v>0</v>
      </c>
      <c r="BQ171">
        <f t="shared" si="263"/>
        <v>0</v>
      </c>
      <c r="BR171">
        <f t="shared" si="263"/>
        <v>0</v>
      </c>
      <c r="BS171">
        <f t="shared" si="263"/>
        <v>0</v>
      </c>
      <c r="BT171">
        <f t="shared" si="263"/>
        <v>0</v>
      </c>
      <c r="BU171">
        <f t="shared" si="263"/>
        <v>0</v>
      </c>
      <c r="BV171">
        <f t="shared" si="263"/>
        <v>0</v>
      </c>
      <c r="BW171">
        <f t="shared" si="263"/>
        <v>0</v>
      </c>
      <c r="BX171">
        <f t="shared" si="263"/>
        <v>0</v>
      </c>
      <c r="BY171">
        <f t="shared" si="263"/>
        <v>0</v>
      </c>
      <c r="BZ171">
        <f t="shared" si="263"/>
        <v>0</v>
      </c>
      <c r="CA171">
        <f t="shared" si="263"/>
        <v>0</v>
      </c>
      <c r="CB171">
        <f t="shared" si="130"/>
        <v>28</v>
      </c>
      <c r="CC171">
        <v>19</v>
      </c>
      <c r="CD171">
        <v>0</v>
      </c>
      <c r="CE171">
        <f t="shared" ref="CE171:CE181" si="264">CE170</f>
        <v>0</v>
      </c>
      <c r="CF171">
        <f t="shared" ref="CF171:CF181" si="265">CF170</f>
        <v>0.25</v>
      </c>
      <c r="CG171">
        <v>0</v>
      </c>
      <c r="CH171" s="64">
        <f t="shared" si="224"/>
        <v>0</v>
      </c>
      <c r="CI171" s="64">
        <f t="shared" si="225"/>
        <v>0</v>
      </c>
      <c r="CJ171" s="64">
        <f t="shared" si="226"/>
        <v>0</v>
      </c>
      <c r="CK171" s="64">
        <f t="shared" si="227"/>
        <v>0</v>
      </c>
      <c r="CL171" s="64">
        <f t="shared" si="228"/>
        <v>0</v>
      </c>
      <c r="CM171" s="64">
        <f t="shared" si="229"/>
        <v>0</v>
      </c>
      <c r="CN171" s="64">
        <f t="shared" si="230"/>
        <v>0</v>
      </c>
      <c r="CO171" s="64">
        <f t="shared" si="231"/>
        <v>0</v>
      </c>
      <c r="CP171" s="64">
        <f t="shared" si="232"/>
        <v>0</v>
      </c>
      <c r="CQ171" s="64">
        <f t="shared" si="233"/>
        <v>0</v>
      </c>
      <c r="CR171" s="64">
        <f t="shared" si="234"/>
        <v>0</v>
      </c>
      <c r="CS171" s="64">
        <f t="shared" si="235"/>
        <v>0</v>
      </c>
      <c r="CT171" s="64">
        <f t="shared" si="236"/>
        <v>0</v>
      </c>
      <c r="CU171" s="64">
        <f t="shared" si="237"/>
        <v>0</v>
      </c>
      <c r="CV171" s="69">
        <f t="shared" si="238"/>
        <v>23.908703117702451</v>
      </c>
      <c r="CW171" s="69">
        <f t="shared" si="239"/>
        <v>966.98432588287517</v>
      </c>
      <c r="CX171" s="69">
        <f t="shared" si="240"/>
        <v>3404.4958270460015</v>
      </c>
      <c r="CY171" s="69">
        <f t="shared" si="241"/>
        <v>36294.433815789474</v>
      </c>
      <c r="CZ171" s="64">
        <f t="shared" si="242"/>
        <v>2310.1935969240722</v>
      </c>
      <c r="DA171" s="64">
        <f t="shared" si="243"/>
        <v>24628.365803571429</v>
      </c>
      <c r="DB171">
        <f t="shared" si="244"/>
        <v>136.8088807478525</v>
      </c>
      <c r="DC171">
        <f t="shared" si="245"/>
        <v>0</v>
      </c>
      <c r="DD171">
        <f t="shared" si="246"/>
        <v>122.80888074785248</v>
      </c>
      <c r="DE171">
        <f t="shared" si="247"/>
        <v>0</v>
      </c>
      <c r="DF171">
        <f t="shared" si="248"/>
        <v>108.80888074785248</v>
      </c>
      <c r="DG171">
        <f t="shared" si="249"/>
        <v>0</v>
      </c>
      <c r="DH171">
        <f t="shared" si="250"/>
        <v>94.80888074785247</v>
      </c>
      <c r="DI171">
        <f t="shared" si="251"/>
        <v>0</v>
      </c>
      <c r="DJ171">
        <f t="shared" si="252"/>
        <v>80.808880747852456</v>
      </c>
      <c r="DK171">
        <f t="shared" si="253"/>
        <v>0</v>
      </c>
      <c r="DL171">
        <f t="shared" si="254"/>
        <v>66.808880747852456</v>
      </c>
      <c r="DM171">
        <f t="shared" si="255"/>
        <v>0</v>
      </c>
      <c r="DN171">
        <f t="shared" si="256"/>
        <v>53.258880747852459</v>
      </c>
      <c r="DO171">
        <f t="shared" si="257"/>
        <v>0.45000000000000018</v>
      </c>
      <c r="DP171" s="2">
        <f t="shared" si="258"/>
        <v>86</v>
      </c>
      <c r="DQ171" s="2">
        <f t="shared" si="259"/>
        <v>74</v>
      </c>
      <c r="DR171" s="2">
        <f t="shared" si="260"/>
        <v>62</v>
      </c>
      <c r="DS171" s="2">
        <f t="shared" si="261"/>
        <v>50</v>
      </c>
      <c r="DT171" s="2">
        <f t="shared" si="262"/>
        <v>38</v>
      </c>
    </row>
    <row r="172" spans="1:124">
      <c r="A172" s="3">
        <v>44986</v>
      </c>
      <c r="B172">
        <f>YEAR(A172)</f>
        <v>2023</v>
      </c>
      <c r="C172" s="6">
        <v>19223053.108577978</v>
      </c>
      <c r="D172" s="225">
        <f>VLOOKUP(B172,'Historic CDM'!$B$135:$H$147,2,FALSE)/12</f>
        <v>1180139.3153653573</v>
      </c>
      <c r="E172" s="2">
        <f t="shared" si="210"/>
        <v>20403192.423943333</v>
      </c>
      <c r="F172" s="5">
        <v>28871</v>
      </c>
      <c r="G172" s="6">
        <v>5313988.2727750065</v>
      </c>
      <c r="H172" s="2">
        <f>VLOOKUP(B172,'Historic CDM'!$B$135:$H$147,3,FALSE)/12</f>
        <v>1197125.69573412</v>
      </c>
      <c r="I172" s="2">
        <f t="shared" si="211"/>
        <v>6511113.9685091265</v>
      </c>
      <c r="J172" s="220">
        <v>2061</v>
      </c>
      <c r="K172" s="6">
        <v>14453807.679999996</v>
      </c>
      <c r="L172" s="225">
        <f>VLOOKUP(B172,'Historic CDM'!$B$135:$H$147,4,FALSE)/12</f>
        <v>1499293.7806216448</v>
      </c>
      <c r="M172" s="225">
        <f t="shared" si="220"/>
        <v>15953101.46062164</v>
      </c>
      <c r="N172" s="6">
        <v>46259</v>
      </c>
      <c r="O172" s="5">
        <v>225</v>
      </c>
      <c r="P172" s="6">
        <v>214709.80202800577</v>
      </c>
      <c r="Q172" s="6">
        <v>609.6</v>
      </c>
      <c r="R172" s="5">
        <v>2808</v>
      </c>
      <c r="S172" s="6">
        <v>22207.629164654754</v>
      </c>
      <c r="T172" s="6">
        <v>60.58</v>
      </c>
      <c r="U172" s="5">
        <v>223</v>
      </c>
      <c r="V172" s="6">
        <v>117391.59826170931</v>
      </c>
      <c r="W172" s="1">
        <v>125</v>
      </c>
      <c r="X172" s="225">
        <v>2464136.4899999998</v>
      </c>
      <c r="Y172" s="6">
        <v>7150</v>
      </c>
      <c r="Z172" s="5">
        <v>4</v>
      </c>
      <c r="AA172" s="100">
        <f>'Weather Data'!D268</f>
        <v>542.1</v>
      </c>
      <c r="AB172" s="100">
        <f>'Weather Data'!E268</f>
        <v>0</v>
      </c>
      <c r="AC172" s="100">
        <f>'Weather Data'!F268</f>
        <v>480.09999999999997</v>
      </c>
      <c r="AD172" s="100">
        <f>'Weather Data'!G268</f>
        <v>0</v>
      </c>
      <c r="AE172" s="100">
        <f>'Weather Data'!H268</f>
        <v>418.09999999999997</v>
      </c>
      <c r="AF172" s="100">
        <f>'Weather Data'!I268</f>
        <v>0</v>
      </c>
      <c r="AG172" s="100">
        <f>'Weather Data'!J268</f>
        <v>356.09999999999997</v>
      </c>
      <c r="AH172" s="100">
        <f>'Weather Data'!K268</f>
        <v>0</v>
      </c>
      <c r="AI172" s="100">
        <f>'Weather Data'!L268</f>
        <v>294.10000000000002</v>
      </c>
      <c r="AJ172" s="100">
        <f>'Weather Data'!M268</f>
        <v>0</v>
      </c>
      <c r="AK172" s="100">
        <f>'Weather Data'!N268</f>
        <v>232.10000000000008</v>
      </c>
      <c r="AL172" s="100">
        <f>'Weather Data'!O268</f>
        <v>0</v>
      </c>
      <c r="AM172" s="100">
        <f>'Weather Data'!P268</f>
        <v>170.10000000000008</v>
      </c>
      <c r="AN172" s="100">
        <f>'Weather Data'!Q268</f>
        <v>0</v>
      </c>
      <c r="AO172" s="100">
        <f>'Weather Data'!R268</f>
        <v>2.5129032258064519</v>
      </c>
      <c r="AP172" s="5">
        <f>'Economic Data'!D138</f>
        <v>7867.2</v>
      </c>
      <c r="AQ172" s="5">
        <f>'Economic Data'!E138</f>
        <v>7781.3</v>
      </c>
      <c r="AR172" s="5">
        <f>'Economic Data'!F138</f>
        <v>192</v>
      </c>
      <c r="AS172" s="5">
        <f>'Economic Data'!G138</f>
        <v>189.8</v>
      </c>
      <c r="AT172" s="5">
        <f>'Economic Data'!H138</f>
        <v>849571.36880000005</v>
      </c>
      <c r="AU172" s="5">
        <f>'Economic Data'!I138</f>
        <v>8894.3667999999998</v>
      </c>
      <c r="AV172" s="5">
        <f>'Economic Data'!J138</f>
        <v>7875.2828</v>
      </c>
      <c r="AW172" s="5">
        <f>'Economic Data'!K138</f>
        <v>5986.6884</v>
      </c>
      <c r="AX172" s="5">
        <f>'Economic Data'!L138</f>
        <v>1245.1648</v>
      </c>
      <c r="AY172" s="5">
        <f>'Economic Data'!M138</f>
        <v>2143.0111999999999</v>
      </c>
      <c r="AZ172" s="5">
        <f>'Economic Data'!N138</f>
        <v>6942.6235999999999</v>
      </c>
      <c r="BA172" s="5">
        <f>'Economic Data'!O138</f>
        <v>110.81400000000001</v>
      </c>
      <c r="BB172" s="5">
        <f>'Economic Data'!P138</f>
        <v>120.934</v>
      </c>
      <c r="BC172" s="5">
        <f>'Economic Data'!Q138</f>
        <v>848873</v>
      </c>
      <c r="BD172" s="5">
        <f>'Economic Data'!R138</f>
        <v>8403</v>
      </c>
      <c r="BE172" s="5">
        <f>'Economic Data'!S138</f>
        <v>4025</v>
      </c>
      <c r="BF172" s="5">
        <f>'Economic Data'!T138</f>
        <v>15838</v>
      </c>
      <c r="BG172" s="5">
        <f>'EV Data'!V77</f>
        <v>112048.99999999997</v>
      </c>
      <c r="BH172" s="5">
        <f>'EV Data'!AB77</f>
        <v>571.99999999999989</v>
      </c>
      <c r="BI172" s="5">
        <f>'EV Data'!W77</f>
        <v>1657.0000000000014</v>
      </c>
      <c r="BJ172" s="5">
        <f t="shared" si="149"/>
        <v>123</v>
      </c>
      <c r="BK172" s="70">
        <f t="shared" si="221"/>
        <v>2.0899051114393981</v>
      </c>
      <c r="BL172" s="5">
        <f t="shared" si="222"/>
        <v>15129</v>
      </c>
      <c r="BM172">
        <f t="shared" ref="BM172:CA172" si="266">BM160</f>
        <v>0</v>
      </c>
      <c r="BN172">
        <f t="shared" si="266"/>
        <v>0</v>
      </c>
      <c r="BO172">
        <f t="shared" si="266"/>
        <v>1</v>
      </c>
      <c r="BP172">
        <f t="shared" si="266"/>
        <v>0</v>
      </c>
      <c r="BQ172">
        <f t="shared" si="266"/>
        <v>0</v>
      </c>
      <c r="BR172">
        <f t="shared" si="266"/>
        <v>0</v>
      </c>
      <c r="BS172">
        <f t="shared" si="266"/>
        <v>0</v>
      </c>
      <c r="BT172">
        <f t="shared" si="266"/>
        <v>0</v>
      </c>
      <c r="BU172">
        <f t="shared" si="266"/>
        <v>0</v>
      </c>
      <c r="BV172">
        <f t="shared" si="266"/>
        <v>0</v>
      </c>
      <c r="BW172">
        <f t="shared" si="266"/>
        <v>0</v>
      </c>
      <c r="BX172">
        <f t="shared" si="266"/>
        <v>0</v>
      </c>
      <c r="BY172">
        <f t="shared" si="266"/>
        <v>1</v>
      </c>
      <c r="BZ172">
        <f t="shared" si="266"/>
        <v>0</v>
      </c>
      <c r="CA172">
        <f t="shared" si="266"/>
        <v>1</v>
      </c>
      <c r="CB172">
        <f t="shared" si="130"/>
        <v>31</v>
      </c>
      <c r="CC172">
        <v>23</v>
      </c>
      <c r="CD172">
        <v>0</v>
      </c>
      <c r="CE172">
        <f t="shared" si="264"/>
        <v>0</v>
      </c>
      <c r="CF172">
        <f t="shared" si="265"/>
        <v>0.25</v>
      </c>
      <c r="CG172">
        <v>0</v>
      </c>
      <c r="CH172" s="64">
        <f t="shared" si="224"/>
        <v>0</v>
      </c>
      <c r="CI172" s="64">
        <f t="shared" si="225"/>
        <v>0</v>
      </c>
      <c r="CJ172" s="64">
        <f t="shared" si="226"/>
        <v>0</v>
      </c>
      <c r="CK172" s="64">
        <f t="shared" si="227"/>
        <v>0</v>
      </c>
      <c r="CL172" s="64">
        <f t="shared" si="228"/>
        <v>0</v>
      </c>
      <c r="CM172" s="64">
        <f t="shared" si="229"/>
        <v>0</v>
      </c>
      <c r="CN172" s="64">
        <f t="shared" si="230"/>
        <v>0</v>
      </c>
      <c r="CO172" s="64">
        <f t="shared" si="231"/>
        <v>0</v>
      </c>
      <c r="CP172" s="64">
        <f t="shared" si="232"/>
        <v>0</v>
      </c>
      <c r="CQ172" s="64">
        <f t="shared" si="233"/>
        <v>0</v>
      </c>
      <c r="CR172" s="64">
        <f t="shared" si="234"/>
        <v>0</v>
      </c>
      <c r="CS172" s="64">
        <f t="shared" si="235"/>
        <v>0</v>
      </c>
      <c r="CT172" s="64">
        <f t="shared" si="236"/>
        <v>0</v>
      </c>
      <c r="CU172" s="64">
        <f t="shared" si="237"/>
        <v>0</v>
      </c>
      <c r="CV172" s="69">
        <f t="shared" si="238"/>
        <v>22.796837572185208</v>
      </c>
      <c r="CW172" s="69">
        <f t="shared" si="239"/>
        <v>933.49304208016156</v>
      </c>
      <c r="CX172" s="69">
        <f t="shared" si="240"/>
        <v>3082.7249199268867</v>
      </c>
      <c r="CY172" s="69">
        <f t="shared" si="241"/>
        <v>26784.092282608693</v>
      </c>
      <c r="CZ172" s="64">
        <f t="shared" si="242"/>
        <v>2287.1830051070451</v>
      </c>
      <c r="DA172" s="64">
        <f t="shared" si="243"/>
        <v>19872.068467741934</v>
      </c>
      <c r="DB172">
        <f t="shared" si="244"/>
        <v>135.52500000000001</v>
      </c>
      <c r="DC172">
        <f t="shared" si="245"/>
        <v>0</v>
      </c>
      <c r="DD172">
        <f t="shared" si="246"/>
        <v>120.02499999999999</v>
      </c>
      <c r="DE172">
        <f t="shared" si="247"/>
        <v>0</v>
      </c>
      <c r="DF172">
        <f t="shared" si="248"/>
        <v>104.52499999999999</v>
      </c>
      <c r="DG172">
        <f t="shared" si="249"/>
        <v>0</v>
      </c>
      <c r="DH172">
        <f t="shared" si="250"/>
        <v>89.024999999999991</v>
      </c>
      <c r="DI172">
        <f t="shared" si="251"/>
        <v>0</v>
      </c>
      <c r="DJ172">
        <f t="shared" si="252"/>
        <v>73.525000000000006</v>
      </c>
      <c r="DK172">
        <f t="shared" si="253"/>
        <v>0</v>
      </c>
      <c r="DL172">
        <f t="shared" si="254"/>
        <v>58.02500000000002</v>
      </c>
      <c r="DM172">
        <f t="shared" si="255"/>
        <v>0</v>
      </c>
      <c r="DN172">
        <f t="shared" si="256"/>
        <v>42.52500000000002</v>
      </c>
      <c r="DO172">
        <f t="shared" si="257"/>
        <v>0</v>
      </c>
      <c r="DP172" s="2">
        <f t="shared" si="258"/>
        <v>87</v>
      </c>
      <c r="DQ172" s="2">
        <f t="shared" si="259"/>
        <v>75</v>
      </c>
      <c r="DR172" s="2">
        <f t="shared" si="260"/>
        <v>63</v>
      </c>
      <c r="DS172" s="2">
        <f t="shared" si="261"/>
        <v>51</v>
      </c>
      <c r="DT172" s="2">
        <f t="shared" si="262"/>
        <v>39</v>
      </c>
    </row>
    <row r="173" spans="1:124">
      <c r="A173" s="3">
        <v>45017</v>
      </c>
      <c r="B173">
        <f>YEAR(A173)</f>
        <v>2023</v>
      </c>
      <c r="C173" s="6">
        <v>17088738.537889868</v>
      </c>
      <c r="D173" s="225">
        <f>VLOOKUP(B173,'Historic CDM'!$B$135:$H$147,2,FALSE)/12</f>
        <v>1180139.3153653573</v>
      </c>
      <c r="E173" s="2">
        <f t="shared" si="210"/>
        <v>18268877.853255227</v>
      </c>
      <c r="F173" s="5">
        <v>28872</v>
      </c>
      <c r="G173" s="6">
        <v>4785878.6498959986</v>
      </c>
      <c r="H173" s="2">
        <f>VLOOKUP(B173,'Historic CDM'!$B$135:$H$147,3,FALSE)/12</f>
        <v>1197125.69573412</v>
      </c>
      <c r="I173" s="2">
        <f t="shared" si="211"/>
        <v>5983004.3456301186</v>
      </c>
      <c r="J173" s="220">
        <v>2059</v>
      </c>
      <c r="K173" s="6">
        <v>13125174.35</v>
      </c>
      <c r="L173" s="225">
        <f>VLOOKUP(B173,'Historic CDM'!$B$135:$H$147,4,FALSE)/12</f>
        <v>1499293.7806216448</v>
      </c>
      <c r="M173" s="225">
        <f t="shared" si="220"/>
        <v>14624468.130621644</v>
      </c>
      <c r="N173" s="6">
        <v>46015</v>
      </c>
      <c r="O173" s="5">
        <v>225</v>
      </c>
      <c r="P173" s="6">
        <v>179203.28343795266</v>
      </c>
      <c r="Q173" s="6">
        <v>609.5</v>
      </c>
      <c r="R173" s="5">
        <v>2808</v>
      </c>
      <c r="S173" s="6">
        <v>21977.788507967165</v>
      </c>
      <c r="T173" s="6">
        <v>59.96</v>
      </c>
      <c r="U173" s="5">
        <v>222</v>
      </c>
      <c r="V173" s="6">
        <v>117391.59826170931</v>
      </c>
      <c r="W173" s="1">
        <v>125</v>
      </c>
      <c r="X173" s="225">
        <v>2549361.0900000003</v>
      </c>
      <c r="Y173" s="6">
        <v>6981</v>
      </c>
      <c r="Z173" s="5">
        <v>4</v>
      </c>
      <c r="AA173" s="100">
        <f>'Weather Data'!D269</f>
        <v>319.59999999999997</v>
      </c>
      <c r="AB173" s="100">
        <f>'Weather Data'!E269</f>
        <v>0</v>
      </c>
      <c r="AC173" s="100">
        <f>'Weather Data'!F269</f>
        <v>263.89999999999998</v>
      </c>
      <c r="AD173" s="100">
        <f>'Weather Data'!G269</f>
        <v>4.2999999999999972</v>
      </c>
      <c r="AE173" s="100">
        <f>'Weather Data'!H269</f>
        <v>211.8</v>
      </c>
      <c r="AF173" s="100">
        <f>'Weather Data'!I269</f>
        <v>12.2</v>
      </c>
      <c r="AG173" s="100">
        <f>'Weather Data'!J269</f>
        <v>164.3</v>
      </c>
      <c r="AH173" s="100">
        <f>'Weather Data'!K269</f>
        <v>24.699999999999996</v>
      </c>
      <c r="AI173" s="100">
        <f>'Weather Data'!L269</f>
        <v>118.80000000000001</v>
      </c>
      <c r="AJ173" s="100">
        <f>'Weather Data'!M269</f>
        <v>39.199999999999996</v>
      </c>
      <c r="AK173" s="100">
        <f>'Weather Data'!N269</f>
        <v>78.7</v>
      </c>
      <c r="AL173" s="100">
        <f>'Weather Data'!O269</f>
        <v>59.099999999999994</v>
      </c>
      <c r="AM173" s="100">
        <f>'Weather Data'!P269</f>
        <v>44.4</v>
      </c>
      <c r="AN173" s="100">
        <f>'Weather Data'!Q269</f>
        <v>84.800000000000011</v>
      </c>
      <c r="AO173" s="100">
        <f>'Weather Data'!R269</f>
        <v>9.3466666666666676</v>
      </c>
      <c r="AP173" s="5">
        <f>'Economic Data'!D139</f>
        <v>7890.5</v>
      </c>
      <c r="AQ173" s="5">
        <f>'Economic Data'!E139</f>
        <v>7819.6</v>
      </c>
      <c r="AR173" s="5">
        <f>'Economic Data'!F139</f>
        <v>190.9</v>
      </c>
      <c r="AS173" s="5">
        <f>'Economic Data'!G139</f>
        <v>190.1</v>
      </c>
      <c r="AT173" s="5">
        <f>'Economic Data'!H139</f>
        <v>849571.36880000005</v>
      </c>
      <c r="AU173" s="5">
        <f>'Economic Data'!I139</f>
        <v>8894.3667999999998</v>
      </c>
      <c r="AV173" s="5">
        <f>'Economic Data'!J139</f>
        <v>7875.2828</v>
      </c>
      <c r="AW173" s="5">
        <f>'Economic Data'!K139</f>
        <v>5986.6884</v>
      </c>
      <c r="AX173" s="5">
        <f>'Economic Data'!L139</f>
        <v>1245.1648</v>
      </c>
      <c r="AY173" s="5">
        <f>'Economic Data'!M139</f>
        <v>2143.0111999999999</v>
      </c>
      <c r="AZ173" s="5">
        <f>'Economic Data'!N139</f>
        <v>6942.6235999999999</v>
      </c>
      <c r="BA173" s="5">
        <f>'Economic Data'!O139</f>
        <v>110.81400000000001</v>
      </c>
      <c r="BB173" s="5">
        <f>'Economic Data'!P139</f>
        <v>120.934</v>
      </c>
      <c r="BC173" s="5">
        <f>'Economic Data'!Q139</f>
        <v>852586</v>
      </c>
      <c r="BD173" s="5">
        <f>'Economic Data'!R139</f>
        <v>8060</v>
      </c>
      <c r="BE173" s="5">
        <f>'Economic Data'!S139</f>
        <v>4050</v>
      </c>
      <c r="BF173" s="5">
        <f>'Economic Data'!T139</f>
        <v>16563</v>
      </c>
      <c r="BG173" s="5">
        <f>'EV Data'!V78</f>
        <v>116299.3333333333</v>
      </c>
      <c r="BH173" s="5">
        <f>'EV Data'!AB78</f>
        <v>592.99999999999989</v>
      </c>
      <c r="BI173" s="5">
        <f>'EV Data'!W78</f>
        <v>1720.0000000000014</v>
      </c>
      <c r="BJ173" s="5">
        <f t="shared" si="149"/>
        <v>124</v>
      </c>
      <c r="BK173" s="70">
        <f t="shared" si="221"/>
        <v>2.0934216851622351</v>
      </c>
      <c r="BL173" s="5">
        <f t="shared" si="222"/>
        <v>15376</v>
      </c>
      <c r="BM173">
        <f t="shared" ref="BM173:CA173" si="267">BM161</f>
        <v>0</v>
      </c>
      <c r="BN173">
        <f t="shared" si="267"/>
        <v>0</v>
      </c>
      <c r="BO173">
        <f t="shared" si="267"/>
        <v>0</v>
      </c>
      <c r="BP173">
        <f t="shared" si="267"/>
        <v>1</v>
      </c>
      <c r="BQ173">
        <f t="shared" si="267"/>
        <v>0</v>
      </c>
      <c r="BR173">
        <f t="shared" si="267"/>
        <v>0</v>
      </c>
      <c r="BS173">
        <f t="shared" si="267"/>
        <v>0</v>
      </c>
      <c r="BT173">
        <f t="shared" si="267"/>
        <v>0</v>
      </c>
      <c r="BU173">
        <f t="shared" si="267"/>
        <v>0</v>
      </c>
      <c r="BV173">
        <f t="shared" si="267"/>
        <v>0</v>
      </c>
      <c r="BW173">
        <f t="shared" si="267"/>
        <v>0</v>
      </c>
      <c r="BX173">
        <f t="shared" si="267"/>
        <v>0</v>
      </c>
      <c r="BY173">
        <f t="shared" si="267"/>
        <v>1</v>
      </c>
      <c r="BZ173">
        <f t="shared" si="267"/>
        <v>0</v>
      </c>
      <c r="CA173">
        <f t="shared" si="267"/>
        <v>1</v>
      </c>
      <c r="CB173">
        <f t="shared" si="130"/>
        <v>30</v>
      </c>
      <c r="CC173">
        <v>19</v>
      </c>
      <c r="CD173">
        <v>0</v>
      </c>
      <c r="CE173">
        <f t="shared" si="264"/>
        <v>0</v>
      </c>
      <c r="CF173">
        <f t="shared" si="265"/>
        <v>0.25</v>
      </c>
      <c r="CG173">
        <v>0</v>
      </c>
      <c r="CH173" s="64">
        <f t="shared" si="224"/>
        <v>0</v>
      </c>
      <c r="CI173" s="64">
        <f t="shared" si="225"/>
        <v>0</v>
      </c>
      <c r="CJ173" s="64">
        <f t="shared" si="226"/>
        <v>0</v>
      </c>
      <c r="CK173" s="64">
        <f t="shared" si="227"/>
        <v>0</v>
      </c>
      <c r="CL173" s="64">
        <f t="shared" si="228"/>
        <v>0</v>
      </c>
      <c r="CM173" s="64">
        <f t="shared" si="229"/>
        <v>0</v>
      </c>
      <c r="CN173" s="64">
        <f t="shared" si="230"/>
        <v>0</v>
      </c>
      <c r="CO173" s="64">
        <f t="shared" si="231"/>
        <v>0</v>
      </c>
      <c r="CP173" s="64">
        <f t="shared" si="232"/>
        <v>0</v>
      </c>
      <c r="CQ173" s="64">
        <f t="shared" si="233"/>
        <v>0</v>
      </c>
      <c r="CR173" s="64">
        <f t="shared" si="234"/>
        <v>0</v>
      </c>
      <c r="CS173" s="64">
        <f t="shared" si="235"/>
        <v>0</v>
      </c>
      <c r="CT173" s="64">
        <f t="shared" si="236"/>
        <v>0</v>
      </c>
      <c r="CU173" s="64">
        <f t="shared" si="237"/>
        <v>0</v>
      </c>
      <c r="CV173" s="69">
        <f t="shared" si="238"/>
        <v>21.091805039779285</v>
      </c>
      <c r="CW173" s="69">
        <f t="shared" si="239"/>
        <v>886.37101416742496</v>
      </c>
      <c r="CX173" s="69">
        <f t="shared" si="240"/>
        <v>3420.9282176892734</v>
      </c>
      <c r="CY173" s="69">
        <f t="shared" si="241"/>
        <v>33544.224868421057</v>
      </c>
      <c r="CZ173" s="64">
        <f t="shared" si="242"/>
        <v>2166.5878712032063</v>
      </c>
      <c r="DA173" s="64">
        <f t="shared" si="243"/>
        <v>21244.675750000002</v>
      </c>
      <c r="DB173">
        <f t="shared" si="244"/>
        <v>79.899999999999991</v>
      </c>
      <c r="DC173">
        <f t="shared" si="245"/>
        <v>0</v>
      </c>
      <c r="DD173">
        <f t="shared" si="246"/>
        <v>65.974999999999994</v>
      </c>
      <c r="DE173">
        <f t="shared" si="247"/>
        <v>1.0749999999999993</v>
      </c>
      <c r="DF173">
        <f t="shared" si="248"/>
        <v>52.95</v>
      </c>
      <c r="DG173">
        <f t="shared" si="249"/>
        <v>3.05</v>
      </c>
      <c r="DH173">
        <f t="shared" si="250"/>
        <v>41.075000000000003</v>
      </c>
      <c r="DI173">
        <f t="shared" si="251"/>
        <v>6.1749999999999989</v>
      </c>
      <c r="DJ173">
        <f t="shared" si="252"/>
        <v>29.700000000000003</v>
      </c>
      <c r="DK173">
        <f t="shared" si="253"/>
        <v>9.7999999999999989</v>
      </c>
      <c r="DL173">
        <f t="shared" si="254"/>
        <v>19.675000000000001</v>
      </c>
      <c r="DM173">
        <f t="shared" si="255"/>
        <v>14.774999999999999</v>
      </c>
      <c r="DN173">
        <f t="shared" si="256"/>
        <v>11.1</v>
      </c>
      <c r="DO173">
        <f t="shared" si="257"/>
        <v>21.200000000000003</v>
      </c>
      <c r="DP173" s="2">
        <f t="shared" si="258"/>
        <v>88</v>
      </c>
      <c r="DQ173" s="2">
        <f t="shared" si="259"/>
        <v>76</v>
      </c>
      <c r="DR173" s="2">
        <f t="shared" si="260"/>
        <v>64</v>
      </c>
      <c r="DS173" s="2">
        <f t="shared" si="261"/>
        <v>52</v>
      </c>
      <c r="DT173" s="2">
        <f t="shared" si="262"/>
        <v>40</v>
      </c>
    </row>
    <row r="174" spans="1:124">
      <c r="A174" s="3">
        <v>45047</v>
      </c>
      <c r="B174">
        <f t="shared" ref="B174:B181" si="268">YEAR(A174)</f>
        <v>2023</v>
      </c>
      <c r="C174" s="6">
        <v>18514978.430059962</v>
      </c>
      <c r="D174" s="225">
        <f>VLOOKUP(B174,'Historic CDM'!$B$135:$H$147,2,FALSE)/12</f>
        <v>1180139.3153653573</v>
      </c>
      <c r="E174" s="2">
        <f t="shared" si="210"/>
        <v>19695117.745425321</v>
      </c>
      <c r="F174" s="5">
        <v>28872</v>
      </c>
      <c r="G174" s="6">
        <v>4981458.0243930062</v>
      </c>
      <c r="H174" s="2">
        <f>VLOOKUP(B174,'Historic CDM'!$B$135:$H$147,3,FALSE)/12</f>
        <v>1197125.69573412</v>
      </c>
      <c r="I174" s="2">
        <f t="shared" si="211"/>
        <v>6178583.7201271262</v>
      </c>
      <c r="J174" s="220">
        <v>2050</v>
      </c>
      <c r="K174" s="6">
        <v>14302940.489630006</v>
      </c>
      <c r="L174" s="225">
        <f>VLOOKUP(B174,'Historic CDM'!$B$135:$H$147,4,FALSE)/12</f>
        <v>1499293.7806216448</v>
      </c>
      <c r="M174" s="225">
        <f t="shared" si="220"/>
        <v>15802234.27025165</v>
      </c>
      <c r="N174" s="6">
        <v>49342</v>
      </c>
      <c r="O174" s="5">
        <v>232</v>
      </c>
      <c r="P174" s="6">
        <v>161373.24963785609</v>
      </c>
      <c r="Q174" s="6">
        <v>609.5</v>
      </c>
      <c r="R174" s="5">
        <v>2808</v>
      </c>
      <c r="S174" s="6">
        <v>23410.912602607434</v>
      </c>
      <c r="T174" s="6">
        <v>63.86</v>
      </c>
      <c r="U174" s="5">
        <v>222</v>
      </c>
      <c r="V174" s="6">
        <v>117391.59826170931</v>
      </c>
      <c r="W174" s="1">
        <v>125</v>
      </c>
      <c r="X174" s="225">
        <v>2835930.8300000005</v>
      </c>
      <c r="Y174" s="6">
        <v>7015</v>
      </c>
      <c r="Z174" s="5">
        <v>4</v>
      </c>
      <c r="AA174" s="100">
        <f>'Weather Data'!D270</f>
        <v>176.7</v>
      </c>
      <c r="AB174" s="100">
        <f>'Weather Data'!E270</f>
        <v>6.2999999999999972</v>
      </c>
      <c r="AC174" s="100">
        <f>'Weather Data'!F270</f>
        <v>122.5</v>
      </c>
      <c r="AD174" s="100">
        <f>'Weather Data'!G270</f>
        <v>14.099999999999998</v>
      </c>
      <c r="AE174" s="100">
        <f>'Weather Data'!H270</f>
        <v>80.299999999999983</v>
      </c>
      <c r="AF174" s="100">
        <f>'Weather Data'!I270</f>
        <v>33.9</v>
      </c>
      <c r="AG174" s="100">
        <f>'Weather Data'!J270</f>
        <v>46.400000000000006</v>
      </c>
      <c r="AH174" s="100">
        <f>'Weather Data'!K270</f>
        <v>62.000000000000007</v>
      </c>
      <c r="AI174" s="100">
        <f>'Weather Data'!L270</f>
        <v>27</v>
      </c>
      <c r="AJ174" s="100">
        <f>'Weather Data'!M270</f>
        <v>104.60000000000002</v>
      </c>
      <c r="AK174" s="100">
        <f>'Weather Data'!N270</f>
        <v>14.5</v>
      </c>
      <c r="AL174" s="100">
        <f>'Weather Data'!O270</f>
        <v>154.1</v>
      </c>
      <c r="AM174" s="100">
        <f>'Weather Data'!P270</f>
        <v>6.0000000000000009</v>
      </c>
      <c r="AN174" s="100">
        <f>'Weather Data'!Q270</f>
        <v>207.59999999999997</v>
      </c>
      <c r="AO174" s="100">
        <f>'Weather Data'!R270</f>
        <v>14.503225806451612</v>
      </c>
      <c r="AP174" s="5">
        <f>'Economic Data'!D140</f>
        <v>7900.6</v>
      </c>
      <c r="AQ174" s="5">
        <f>'Economic Data'!E140</f>
        <v>7882.6</v>
      </c>
      <c r="AR174" s="5">
        <f>'Economic Data'!F140</f>
        <v>191.7</v>
      </c>
      <c r="AS174" s="5">
        <f>'Economic Data'!G140</f>
        <v>190.8</v>
      </c>
      <c r="AT174" s="5">
        <f>'Economic Data'!H140</f>
        <v>849571.36880000005</v>
      </c>
      <c r="AU174" s="5">
        <f>'Economic Data'!I140</f>
        <v>8894.3667999999998</v>
      </c>
      <c r="AV174" s="5">
        <f>'Economic Data'!J140</f>
        <v>7875.2828</v>
      </c>
      <c r="AW174" s="5">
        <f>'Economic Data'!K140</f>
        <v>5986.6884</v>
      </c>
      <c r="AX174" s="5">
        <f>'Economic Data'!L140</f>
        <v>1245.1648</v>
      </c>
      <c r="AY174" s="5">
        <f>'Economic Data'!M140</f>
        <v>2143.0111999999999</v>
      </c>
      <c r="AZ174" s="5">
        <f>'Economic Data'!N140</f>
        <v>6942.6235999999999</v>
      </c>
      <c r="BA174" s="5">
        <f>'Economic Data'!O140</f>
        <v>110.81400000000001</v>
      </c>
      <c r="BB174" s="5">
        <f>'Economic Data'!P140</f>
        <v>120.934</v>
      </c>
      <c r="BC174" s="5">
        <f>'Economic Data'!Q140</f>
        <v>852586</v>
      </c>
      <c r="BD174" s="5">
        <f>'Economic Data'!R140</f>
        <v>8060</v>
      </c>
      <c r="BE174" s="5">
        <f>'Economic Data'!S140</f>
        <v>4050</v>
      </c>
      <c r="BF174" s="5">
        <f>'Economic Data'!T140</f>
        <v>16563</v>
      </c>
      <c r="BG174" s="5">
        <f>'EV Data'!V79</f>
        <v>120549.66666666663</v>
      </c>
      <c r="BH174" s="5">
        <f>'EV Data'!AB79</f>
        <v>613.99999999999989</v>
      </c>
      <c r="BI174" s="5">
        <f>'EV Data'!W79</f>
        <v>1783.0000000000014</v>
      </c>
      <c r="BJ174" s="5">
        <f t="shared" si="149"/>
        <v>125</v>
      </c>
      <c r="BK174" s="70">
        <f t="shared" si="221"/>
        <v>2.0969100130080562</v>
      </c>
      <c r="BL174" s="5">
        <f t="shared" si="222"/>
        <v>15625</v>
      </c>
      <c r="BM174">
        <f t="shared" ref="BM174:CA174" si="269">BM162</f>
        <v>0</v>
      </c>
      <c r="BN174">
        <f t="shared" si="269"/>
        <v>0</v>
      </c>
      <c r="BO174">
        <f t="shared" si="269"/>
        <v>0</v>
      </c>
      <c r="BP174">
        <f t="shared" si="269"/>
        <v>0</v>
      </c>
      <c r="BQ174">
        <f t="shared" si="269"/>
        <v>1</v>
      </c>
      <c r="BR174">
        <f t="shared" si="269"/>
        <v>0</v>
      </c>
      <c r="BS174">
        <f t="shared" si="269"/>
        <v>0</v>
      </c>
      <c r="BT174">
        <f t="shared" si="269"/>
        <v>0</v>
      </c>
      <c r="BU174">
        <f t="shared" si="269"/>
        <v>0</v>
      </c>
      <c r="BV174">
        <f t="shared" si="269"/>
        <v>0</v>
      </c>
      <c r="BW174">
        <f t="shared" si="269"/>
        <v>0</v>
      </c>
      <c r="BX174">
        <f t="shared" si="269"/>
        <v>0</v>
      </c>
      <c r="BY174">
        <f t="shared" si="269"/>
        <v>1</v>
      </c>
      <c r="BZ174">
        <f t="shared" si="269"/>
        <v>0</v>
      </c>
      <c r="CA174">
        <f t="shared" si="269"/>
        <v>1</v>
      </c>
      <c r="CB174">
        <f t="shared" si="130"/>
        <v>31</v>
      </c>
      <c r="CC174">
        <v>22</v>
      </c>
      <c r="CD174">
        <v>0</v>
      </c>
      <c r="CE174">
        <f t="shared" si="264"/>
        <v>0</v>
      </c>
      <c r="CF174">
        <f t="shared" si="265"/>
        <v>0.25</v>
      </c>
      <c r="CG174">
        <v>0</v>
      </c>
      <c r="CH174" s="64">
        <f t="shared" si="224"/>
        <v>0</v>
      </c>
      <c r="CI174" s="64">
        <f t="shared" si="225"/>
        <v>0</v>
      </c>
      <c r="CJ174" s="64">
        <f t="shared" si="226"/>
        <v>0</v>
      </c>
      <c r="CK174" s="64">
        <f t="shared" si="227"/>
        <v>0</v>
      </c>
      <c r="CL174" s="64">
        <f t="shared" si="228"/>
        <v>0</v>
      </c>
      <c r="CM174" s="64">
        <f t="shared" si="229"/>
        <v>0</v>
      </c>
      <c r="CN174" s="64">
        <f t="shared" si="230"/>
        <v>0</v>
      </c>
      <c r="CO174" s="64">
        <f t="shared" si="231"/>
        <v>0</v>
      </c>
      <c r="CP174" s="64">
        <f t="shared" si="232"/>
        <v>0</v>
      </c>
      <c r="CQ174" s="64">
        <f t="shared" si="233"/>
        <v>0</v>
      </c>
      <c r="CR174" s="64">
        <f t="shared" si="234"/>
        <v>0</v>
      </c>
      <c r="CS174" s="64">
        <f t="shared" si="235"/>
        <v>0</v>
      </c>
      <c r="CT174" s="64">
        <f t="shared" si="236"/>
        <v>0</v>
      </c>
      <c r="CU174" s="64">
        <f t="shared" si="237"/>
        <v>0</v>
      </c>
      <c r="CV174" s="69">
        <f t="shared" si="238"/>
        <v>22.004931382816839</v>
      </c>
      <c r="CW174" s="69">
        <f t="shared" si="239"/>
        <v>859.09117354381624</v>
      </c>
      <c r="CX174" s="69">
        <f t="shared" si="240"/>
        <v>3096.0490341402137</v>
      </c>
      <c r="CY174" s="69">
        <f t="shared" si="241"/>
        <v>32226.486704545459</v>
      </c>
      <c r="CZ174" s="64">
        <f t="shared" si="242"/>
        <v>2197.1960887446676</v>
      </c>
      <c r="DA174" s="64">
        <f t="shared" si="243"/>
        <v>22870.409919354843</v>
      </c>
      <c r="DB174">
        <f t="shared" si="244"/>
        <v>44.174999999999997</v>
      </c>
      <c r="DC174">
        <f t="shared" si="245"/>
        <v>1.5749999999999993</v>
      </c>
      <c r="DD174">
        <f t="shared" si="246"/>
        <v>30.625</v>
      </c>
      <c r="DE174">
        <f t="shared" si="247"/>
        <v>3.5249999999999995</v>
      </c>
      <c r="DF174">
        <f t="shared" si="248"/>
        <v>20.074999999999996</v>
      </c>
      <c r="DG174">
        <f t="shared" si="249"/>
        <v>8.4749999999999996</v>
      </c>
      <c r="DH174">
        <f t="shared" si="250"/>
        <v>11.600000000000001</v>
      </c>
      <c r="DI174">
        <f t="shared" si="251"/>
        <v>15.500000000000002</v>
      </c>
      <c r="DJ174">
        <f t="shared" si="252"/>
        <v>6.75</v>
      </c>
      <c r="DK174">
        <f t="shared" si="253"/>
        <v>26.150000000000006</v>
      </c>
      <c r="DL174">
        <f t="shared" si="254"/>
        <v>3.625</v>
      </c>
      <c r="DM174">
        <f t="shared" si="255"/>
        <v>38.524999999999999</v>
      </c>
      <c r="DN174">
        <f t="shared" si="256"/>
        <v>1.5000000000000002</v>
      </c>
      <c r="DO174">
        <f t="shared" si="257"/>
        <v>51.899999999999991</v>
      </c>
      <c r="DP174" s="2">
        <f t="shared" si="258"/>
        <v>89</v>
      </c>
      <c r="DQ174" s="2">
        <f t="shared" si="259"/>
        <v>77</v>
      </c>
      <c r="DR174" s="2">
        <f t="shared" si="260"/>
        <v>65</v>
      </c>
      <c r="DS174" s="2">
        <f t="shared" si="261"/>
        <v>53</v>
      </c>
      <c r="DT174" s="2">
        <f t="shared" si="262"/>
        <v>41</v>
      </c>
    </row>
    <row r="175" spans="1:124">
      <c r="A175" s="3">
        <v>45078</v>
      </c>
      <c r="B175">
        <f t="shared" si="268"/>
        <v>2023</v>
      </c>
      <c r="C175" s="6">
        <v>24356271.339371812</v>
      </c>
      <c r="D175" s="225">
        <f>VLOOKUP(B175,'Historic CDM'!$B$135:$H$147,2,FALSE)/12</f>
        <v>1180139.3153653573</v>
      </c>
      <c r="E175" s="2">
        <f t="shared" si="210"/>
        <v>25536410.654737167</v>
      </c>
      <c r="F175" s="5">
        <v>28873</v>
      </c>
      <c r="G175" s="6">
        <v>5430932.5728670005</v>
      </c>
      <c r="H175" s="2">
        <f>VLOOKUP(B175,'Historic CDM'!$B$135:$H$147,3,FALSE)/12</f>
        <v>1197125.69573412</v>
      </c>
      <c r="I175" s="2">
        <f t="shared" si="211"/>
        <v>6628058.2686011204</v>
      </c>
      <c r="J175" s="220">
        <v>2052</v>
      </c>
      <c r="K175" s="6">
        <v>15814922.760000002</v>
      </c>
      <c r="L175" s="225">
        <f>VLOOKUP(B175,'Historic CDM'!$B$135:$H$147,4,FALSE)/12</f>
        <v>1499293.7806216448</v>
      </c>
      <c r="M175" s="225">
        <f t="shared" si="220"/>
        <v>17314216.540621646</v>
      </c>
      <c r="N175" s="6">
        <v>53502</v>
      </c>
      <c r="O175" s="5">
        <v>232</v>
      </c>
      <c r="P175" s="6">
        <v>142173.82906808305</v>
      </c>
      <c r="Q175" s="6">
        <v>609.5</v>
      </c>
      <c r="R175" s="5">
        <v>2808</v>
      </c>
      <c r="S175" s="6">
        <v>22172.863351038144</v>
      </c>
      <c r="T175" s="6">
        <v>60.49</v>
      </c>
      <c r="U175" s="5">
        <v>222</v>
      </c>
      <c r="V175" s="6">
        <v>117391.59826170931</v>
      </c>
      <c r="W175" s="1">
        <v>125</v>
      </c>
      <c r="X175" s="225">
        <v>3027700.49</v>
      </c>
      <c r="Y175" s="6">
        <v>7846</v>
      </c>
      <c r="Z175" s="5">
        <v>4</v>
      </c>
      <c r="AA175" s="100">
        <f>'Weather Data'!D271</f>
        <v>40.699999999999996</v>
      </c>
      <c r="AB175" s="100">
        <f>'Weather Data'!E271</f>
        <v>31.299999999999997</v>
      </c>
      <c r="AC175" s="100">
        <f>'Weather Data'!F271</f>
        <v>14.600000000000001</v>
      </c>
      <c r="AD175" s="100">
        <f>'Weather Data'!G271</f>
        <v>65.2</v>
      </c>
      <c r="AE175" s="100">
        <f>'Weather Data'!H271</f>
        <v>3.5</v>
      </c>
      <c r="AF175" s="100">
        <f>'Weather Data'!I271</f>
        <v>114.10000000000001</v>
      </c>
      <c r="AG175" s="100">
        <f>'Weather Data'!J271</f>
        <v>9.9999999999999645E-2</v>
      </c>
      <c r="AH175" s="100">
        <f>'Weather Data'!K271</f>
        <v>170.69999999999996</v>
      </c>
      <c r="AI175" s="100">
        <f>'Weather Data'!L271</f>
        <v>0</v>
      </c>
      <c r="AJ175" s="100">
        <f>'Weather Data'!M271</f>
        <v>230.59999999999994</v>
      </c>
      <c r="AK175" s="100">
        <f>'Weather Data'!N271</f>
        <v>0</v>
      </c>
      <c r="AL175" s="100">
        <f>'Weather Data'!O271</f>
        <v>290.59999999999997</v>
      </c>
      <c r="AM175" s="100">
        <f>'Weather Data'!P271</f>
        <v>0</v>
      </c>
      <c r="AN175" s="100">
        <f>'Weather Data'!Q271</f>
        <v>350.59999999999997</v>
      </c>
      <c r="AO175" s="100">
        <f>'Weather Data'!R271</f>
        <v>19.686666666666667</v>
      </c>
      <c r="AP175" s="5">
        <f>'Economic Data'!D141</f>
        <v>7922.1</v>
      </c>
      <c r="AQ175" s="5">
        <f>'Economic Data'!E141</f>
        <v>7971.2</v>
      </c>
      <c r="AR175" s="5">
        <f>'Economic Data'!F141</f>
        <v>192</v>
      </c>
      <c r="AS175" s="5">
        <f>'Economic Data'!G141</f>
        <v>191.9</v>
      </c>
      <c r="AT175" s="5">
        <f>'Economic Data'!H141</f>
        <v>849571.36880000005</v>
      </c>
      <c r="AU175" s="5">
        <f>'Economic Data'!I141</f>
        <v>8894.3667999999998</v>
      </c>
      <c r="AV175" s="5">
        <f>'Economic Data'!J141</f>
        <v>7875.2828</v>
      </c>
      <c r="AW175" s="5">
        <f>'Economic Data'!K141</f>
        <v>5986.6884</v>
      </c>
      <c r="AX175" s="5">
        <f>'Economic Data'!L141</f>
        <v>1245.1648</v>
      </c>
      <c r="AY175" s="5">
        <f>'Economic Data'!M141</f>
        <v>2143.0111999999999</v>
      </c>
      <c r="AZ175" s="5">
        <f>'Economic Data'!N141</f>
        <v>6942.6235999999999</v>
      </c>
      <c r="BA175" s="5">
        <f>'Economic Data'!O141</f>
        <v>110.81400000000001</v>
      </c>
      <c r="BB175" s="5">
        <f>'Economic Data'!P141</f>
        <v>120.934</v>
      </c>
      <c r="BC175" s="5">
        <f>'Economic Data'!Q141</f>
        <v>852586</v>
      </c>
      <c r="BD175" s="5">
        <f>'Economic Data'!R141</f>
        <v>8060</v>
      </c>
      <c r="BE175" s="5">
        <f>'Economic Data'!S141</f>
        <v>4050</v>
      </c>
      <c r="BF175" s="5">
        <f>'Economic Data'!T141</f>
        <v>16563</v>
      </c>
      <c r="BG175" s="5">
        <f>'EV Data'!V80</f>
        <v>124799.99999999996</v>
      </c>
      <c r="BH175" s="5">
        <f>'EV Data'!AB80</f>
        <v>634.99999999999989</v>
      </c>
      <c r="BI175" s="5">
        <f>'EV Data'!W80</f>
        <v>1846.0000000000014</v>
      </c>
      <c r="BJ175" s="5">
        <f t="shared" si="149"/>
        <v>126</v>
      </c>
      <c r="BK175" s="70">
        <f t="shared" si="221"/>
        <v>2.1003705451175629</v>
      </c>
      <c r="BL175" s="5">
        <f t="shared" si="222"/>
        <v>15876</v>
      </c>
      <c r="BM175">
        <f t="shared" ref="BM175:CA175" si="270">BM163</f>
        <v>0</v>
      </c>
      <c r="BN175">
        <f t="shared" si="270"/>
        <v>0</v>
      </c>
      <c r="BO175">
        <f t="shared" si="270"/>
        <v>0</v>
      </c>
      <c r="BP175">
        <f t="shared" si="270"/>
        <v>0</v>
      </c>
      <c r="BQ175">
        <f t="shared" si="270"/>
        <v>0</v>
      </c>
      <c r="BR175">
        <f t="shared" si="270"/>
        <v>1</v>
      </c>
      <c r="BS175">
        <f t="shared" si="270"/>
        <v>0</v>
      </c>
      <c r="BT175">
        <f t="shared" si="270"/>
        <v>0</v>
      </c>
      <c r="BU175">
        <f t="shared" si="270"/>
        <v>0</v>
      </c>
      <c r="BV175">
        <f t="shared" si="270"/>
        <v>0</v>
      </c>
      <c r="BW175">
        <f t="shared" si="270"/>
        <v>0</v>
      </c>
      <c r="BX175">
        <f t="shared" si="270"/>
        <v>0</v>
      </c>
      <c r="BY175">
        <f t="shared" si="270"/>
        <v>0</v>
      </c>
      <c r="BZ175">
        <f t="shared" si="270"/>
        <v>0</v>
      </c>
      <c r="CA175">
        <f t="shared" si="270"/>
        <v>0</v>
      </c>
      <c r="CB175">
        <f t="shared" si="130"/>
        <v>30</v>
      </c>
      <c r="CC175">
        <v>22</v>
      </c>
      <c r="CD175">
        <v>0</v>
      </c>
      <c r="CE175">
        <f t="shared" si="264"/>
        <v>0</v>
      </c>
      <c r="CF175">
        <f t="shared" si="265"/>
        <v>0.25</v>
      </c>
      <c r="CG175">
        <v>0</v>
      </c>
      <c r="CH175" s="64">
        <f t="shared" si="224"/>
        <v>0</v>
      </c>
      <c r="CI175" s="64">
        <f t="shared" si="225"/>
        <v>0</v>
      </c>
      <c r="CJ175" s="64">
        <f t="shared" si="226"/>
        <v>0</v>
      </c>
      <c r="CK175" s="64">
        <f t="shared" si="227"/>
        <v>0</v>
      </c>
      <c r="CL175" s="64">
        <f t="shared" si="228"/>
        <v>0</v>
      </c>
      <c r="CM175" s="64">
        <f t="shared" si="229"/>
        <v>0</v>
      </c>
      <c r="CN175" s="64">
        <f t="shared" si="230"/>
        <v>0</v>
      </c>
      <c r="CO175" s="64">
        <f t="shared" si="231"/>
        <v>0</v>
      </c>
      <c r="CP175" s="64">
        <f t="shared" si="232"/>
        <v>0</v>
      </c>
      <c r="CQ175" s="64">
        <f t="shared" si="233"/>
        <v>0</v>
      </c>
      <c r="CR175" s="64">
        <f t="shared" si="234"/>
        <v>0</v>
      </c>
      <c r="CS175" s="64">
        <f t="shared" si="235"/>
        <v>0</v>
      </c>
      <c r="CT175" s="64">
        <f t="shared" si="236"/>
        <v>0</v>
      </c>
      <c r="CU175" s="64">
        <f t="shared" si="237"/>
        <v>0</v>
      </c>
      <c r="CV175" s="69">
        <f t="shared" si="238"/>
        <v>29.481303934168213</v>
      </c>
      <c r="CW175" s="69">
        <f t="shared" si="239"/>
        <v>952.30722250016095</v>
      </c>
      <c r="CX175" s="69">
        <f t="shared" si="240"/>
        <v>3392.2838049807297</v>
      </c>
      <c r="CY175" s="69">
        <f t="shared" si="241"/>
        <v>34405.687386363636</v>
      </c>
      <c r="CZ175" s="64">
        <f t="shared" si="242"/>
        <v>2487.6747903192017</v>
      </c>
      <c r="DA175" s="64">
        <f t="shared" si="243"/>
        <v>25230.837416666669</v>
      </c>
      <c r="DB175">
        <f t="shared" si="244"/>
        <v>10.174999999999999</v>
      </c>
      <c r="DC175">
        <f t="shared" si="245"/>
        <v>7.8249999999999993</v>
      </c>
      <c r="DD175">
        <f t="shared" si="246"/>
        <v>3.6500000000000004</v>
      </c>
      <c r="DE175">
        <f t="shared" si="247"/>
        <v>16.3</v>
      </c>
      <c r="DF175">
        <f t="shared" si="248"/>
        <v>0.875</v>
      </c>
      <c r="DG175">
        <f t="shared" si="249"/>
        <v>28.525000000000002</v>
      </c>
      <c r="DH175">
        <f t="shared" si="250"/>
        <v>2.4999999999999911E-2</v>
      </c>
      <c r="DI175">
        <f t="shared" si="251"/>
        <v>42.67499999999999</v>
      </c>
      <c r="DJ175">
        <f t="shared" si="252"/>
        <v>0</v>
      </c>
      <c r="DK175">
        <f t="shared" si="253"/>
        <v>57.649999999999984</v>
      </c>
      <c r="DL175">
        <f t="shared" si="254"/>
        <v>0</v>
      </c>
      <c r="DM175">
        <f t="shared" si="255"/>
        <v>72.649999999999991</v>
      </c>
      <c r="DN175">
        <f t="shared" si="256"/>
        <v>0</v>
      </c>
      <c r="DO175">
        <f t="shared" si="257"/>
        <v>87.649999999999991</v>
      </c>
      <c r="DP175" s="2">
        <f t="shared" si="258"/>
        <v>90</v>
      </c>
      <c r="DQ175" s="2">
        <f t="shared" si="259"/>
        <v>78</v>
      </c>
      <c r="DR175" s="2">
        <f t="shared" si="260"/>
        <v>66</v>
      </c>
      <c r="DS175" s="2">
        <f t="shared" si="261"/>
        <v>54</v>
      </c>
      <c r="DT175" s="2">
        <f t="shared" si="262"/>
        <v>42</v>
      </c>
    </row>
    <row r="176" spans="1:124">
      <c r="A176" s="3">
        <v>45108</v>
      </c>
      <c r="B176">
        <f t="shared" si="268"/>
        <v>2023</v>
      </c>
      <c r="C176" s="6">
        <v>31831877.621228062</v>
      </c>
      <c r="D176" s="225">
        <f>VLOOKUP(B176,'Historic CDM'!$B$135:$H$147,2,FALSE)/12</f>
        <v>1180139.3153653573</v>
      </c>
      <c r="E176" s="2">
        <f t="shared" ref="E176:E181" si="271">C176+D176</f>
        <v>33012016.936593421</v>
      </c>
      <c r="F176" s="5">
        <v>28891</v>
      </c>
      <c r="G176" s="6">
        <v>6269977.3074689908</v>
      </c>
      <c r="H176" s="2">
        <f>VLOOKUP(B176,'Historic CDM'!$B$135:$H$147,3,FALSE)/12</f>
        <v>1197125.69573412</v>
      </c>
      <c r="I176" s="2">
        <f t="shared" ref="I176:I181" si="272">G176+H176</f>
        <v>7467103.0032031108</v>
      </c>
      <c r="J176" s="220">
        <v>2056</v>
      </c>
      <c r="K176" s="6">
        <v>19000085.780000001</v>
      </c>
      <c r="L176" s="225">
        <f>VLOOKUP(B176,'Historic CDM'!$B$135:$H$147,4,FALSE)/12</f>
        <v>1499293.7806216448</v>
      </c>
      <c r="M176" s="225">
        <f t="shared" ref="M176:M181" si="273">K176+L176</f>
        <v>20499379.560621645</v>
      </c>
      <c r="N176" s="6">
        <v>51555</v>
      </c>
      <c r="O176" s="5">
        <v>232</v>
      </c>
      <c r="P176" s="6">
        <v>151009.19999999998</v>
      </c>
      <c r="Q176" s="6">
        <v>609.5</v>
      </c>
      <c r="R176" s="5">
        <v>2808</v>
      </c>
      <c r="S176" s="6">
        <v>22577.49879285369</v>
      </c>
      <c r="T176" s="6">
        <v>61.59</v>
      </c>
      <c r="U176" s="5">
        <v>222</v>
      </c>
      <c r="V176" s="6">
        <v>117391.59826170931</v>
      </c>
      <c r="W176" s="1">
        <v>125</v>
      </c>
      <c r="X176" s="6">
        <v>3284416.84</v>
      </c>
      <c r="Y176" s="6">
        <v>8547</v>
      </c>
      <c r="Z176" s="5">
        <v>4</v>
      </c>
      <c r="AA176" s="100">
        <f>'Weather Data'!D272</f>
        <v>0.39999999999999858</v>
      </c>
      <c r="AB176" s="100">
        <f>'Weather Data'!E272</f>
        <v>71.264477008590177</v>
      </c>
      <c r="AC176" s="100">
        <f>'Weather Data'!F272</f>
        <v>0</v>
      </c>
      <c r="AD176" s="100">
        <f>'Weather Data'!G272</f>
        <v>132.86447700859017</v>
      </c>
      <c r="AE176" s="100">
        <f>'Weather Data'!H272</f>
        <v>0</v>
      </c>
      <c r="AF176" s="100">
        <f>'Weather Data'!I272</f>
        <v>194.8644770085902</v>
      </c>
      <c r="AG176" s="100">
        <f>'Weather Data'!J272</f>
        <v>0</v>
      </c>
      <c r="AH176" s="100">
        <f>'Weather Data'!K272</f>
        <v>256.86447700859026</v>
      </c>
      <c r="AI176" s="100">
        <f>'Weather Data'!L272</f>
        <v>0</v>
      </c>
      <c r="AJ176" s="100">
        <f>'Weather Data'!M272</f>
        <v>318.86447700859026</v>
      </c>
      <c r="AK176" s="100">
        <f>'Weather Data'!N272</f>
        <v>0</v>
      </c>
      <c r="AL176" s="100">
        <f>'Weather Data'!O272</f>
        <v>380.8644770085902</v>
      </c>
      <c r="AM176" s="100">
        <f>'Weather Data'!P272</f>
        <v>0</v>
      </c>
      <c r="AN176" s="100">
        <f>'Weather Data'!Q272</f>
        <v>442.8644770085902</v>
      </c>
      <c r="AO176" s="100">
        <f>'Weather Data'!R272</f>
        <v>22.285950871244843</v>
      </c>
      <c r="AP176" s="5">
        <f>'Economic Data'!D142</f>
        <v>7932</v>
      </c>
      <c r="AQ176" s="5">
        <f>'Economic Data'!E142</f>
        <v>8016.9</v>
      </c>
      <c r="AR176" s="5">
        <f>'Economic Data'!F142</f>
        <v>189.7</v>
      </c>
      <c r="AS176" s="5">
        <f>'Economic Data'!G142</f>
        <v>190</v>
      </c>
      <c r="AT176" s="5">
        <f>'Economic Data'!H142</f>
        <v>849571.36880000005</v>
      </c>
      <c r="AU176" s="5">
        <f>'Economic Data'!I142</f>
        <v>8894.3667999999998</v>
      </c>
      <c r="AV176" s="5">
        <f>'Economic Data'!J142</f>
        <v>7875.2828</v>
      </c>
      <c r="AW176" s="5">
        <f>'Economic Data'!K142</f>
        <v>5986.6884</v>
      </c>
      <c r="AX176" s="5">
        <f>'Economic Data'!L142</f>
        <v>1245.1648</v>
      </c>
      <c r="AY176" s="5">
        <f>'Economic Data'!M142</f>
        <v>2143.0111999999999</v>
      </c>
      <c r="AZ176" s="5">
        <f>'Economic Data'!N142</f>
        <v>6942.6235999999999</v>
      </c>
      <c r="BA176" s="5">
        <f>'Economic Data'!O142</f>
        <v>110.81400000000001</v>
      </c>
      <c r="BB176" s="5">
        <f>'Economic Data'!P142</f>
        <v>120.934</v>
      </c>
      <c r="BC176" s="5">
        <f>'Economic Data'!Q142</f>
        <v>852629</v>
      </c>
      <c r="BD176" s="5">
        <f>'Economic Data'!R142</f>
        <v>7512</v>
      </c>
      <c r="BE176" s="5">
        <f>'Economic Data'!S142</f>
        <v>4225</v>
      </c>
      <c r="BF176" s="5">
        <f>'Economic Data'!T142</f>
        <v>15442</v>
      </c>
      <c r="BG176" s="5">
        <f>'EV Data'!V81</f>
        <v>129674.66666666663</v>
      </c>
      <c r="BH176" s="5">
        <f>'EV Data'!AB81</f>
        <v>659.66666666666652</v>
      </c>
      <c r="BI176" s="5">
        <f>'EV Data'!W81</f>
        <v>1918.6666666666681</v>
      </c>
      <c r="BJ176" s="5">
        <f t="shared" si="149"/>
        <v>127</v>
      </c>
      <c r="BK176" s="70">
        <f t="shared" ref="BK176:BK181" si="274">LOG(BJ176)</f>
        <v>2.1038037209559568</v>
      </c>
      <c r="BL176" s="5">
        <f t="shared" ref="BL176:BL181" si="275">BJ176^2</f>
        <v>16129</v>
      </c>
      <c r="BM176">
        <f t="shared" ref="BM176:CA176" si="276">BM164</f>
        <v>0</v>
      </c>
      <c r="BN176">
        <f t="shared" si="276"/>
        <v>0</v>
      </c>
      <c r="BO176">
        <f t="shared" si="276"/>
        <v>0</v>
      </c>
      <c r="BP176">
        <f t="shared" si="276"/>
        <v>0</v>
      </c>
      <c r="BQ176">
        <f t="shared" si="276"/>
        <v>0</v>
      </c>
      <c r="BR176">
        <f t="shared" si="276"/>
        <v>0</v>
      </c>
      <c r="BS176">
        <f t="shared" si="276"/>
        <v>1</v>
      </c>
      <c r="BT176">
        <f t="shared" si="276"/>
        <v>0</v>
      </c>
      <c r="BU176">
        <f t="shared" si="276"/>
        <v>0</v>
      </c>
      <c r="BV176">
        <f t="shared" si="276"/>
        <v>0</v>
      </c>
      <c r="BW176">
        <f t="shared" si="276"/>
        <v>0</v>
      </c>
      <c r="BX176">
        <f t="shared" si="276"/>
        <v>0</v>
      </c>
      <c r="BY176">
        <f t="shared" si="276"/>
        <v>0</v>
      </c>
      <c r="BZ176">
        <f t="shared" si="276"/>
        <v>0</v>
      </c>
      <c r="CA176">
        <f t="shared" si="276"/>
        <v>0</v>
      </c>
      <c r="CB176">
        <f t="shared" si="130"/>
        <v>31</v>
      </c>
      <c r="CC176">
        <v>20</v>
      </c>
      <c r="CD176">
        <v>0</v>
      </c>
      <c r="CE176">
        <f t="shared" si="264"/>
        <v>0</v>
      </c>
      <c r="CF176">
        <f t="shared" si="265"/>
        <v>0.25</v>
      </c>
      <c r="CG176">
        <v>0</v>
      </c>
      <c r="CH176" s="64">
        <f t="shared" ref="CH176:CH181" si="277">AA176*$CD176</f>
        <v>0</v>
      </c>
      <c r="CI176" s="64">
        <f t="shared" ref="CI176:CI181" si="278">AB176*$CD176</f>
        <v>0</v>
      </c>
      <c r="CJ176" s="64">
        <f t="shared" ref="CJ176:CJ181" si="279">AC176*$CD176</f>
        <v>0</v>
      </c>
      <c r="CK176" s="64">
        <f t="shared" ref="CK176:CK181" si="280">AD176*$CD176</f>
        <v>0</v>
      </c>
      <c r="CL176" s="64">
        <f t="shared" ref="CL176:CL181" si="281">AE176*$CD176</f>
        <v>0</v>
      </c>
      <c r="CM176" s="64">
        <f t="shared" ref="CM176:CM181" si="282">AF176*$CD176</f>
        <v>0</v>
      </c>
      <c r="CN176" s="64">
        <f t="shared" ref="CN176:CN181" si="283">AG176*$CD176</f>
        <v>0</v>
      </c>
      <c r="CO176" s="64">
        <f t="shared" ref="CO176:CO181" si="284">AH176*$CD176</f>
        <v>0</v>
      </c>
      <c r="CP176" s="64">
        <f t="shared" ref="CP176:CP181" si="285">AI176*$CD176</f>
        <v>0</v>
      </c>
      <c r="CQ176" s="64">
        <f t="shared" ref="CQ176:CQ181" si="286">AJ176*$CD176</f>
        <v>0</v>
      </c>
      <c r="CR176" s="64">
        <f t="shared" ref="CR176:CR181" si="287">AK176*$CD176</f>
        <v>0</v>
      </c>
      <c r="CS176" s="64">
        <f t="shared" ref="CS176:CS181" si="288">AL176*$CD176</f>
        <v>0</v>
      </c>
      <c r="CT176" s="64">
        <f t="shared" ref="CT176:CT181" si="289">AM176*$CD176</f>
        <v>0</v>
      </c>
      <c r="CU176" s="64">
        <f t="shared" ref="CU176:CU181" si="290">AN176*$CD176</f>
        <v>0</v>
      </c>
      <c r="CV176" s="69">
        <f t="shared" ref="CV176:CV181" si="291">E176/$CB176/F176</f>
        <v>36.859360082661553</v>
      </c>
      <c r="CW176" s="69">
        <f t="shared" ref="CW176:CW181" si="292">I176/$CB176/O176</f>
        <v>1038.2512518358051</v>
      </c>
      <c r="CX176" s="69">
        <f t="shared" ref="CX176:CX181" si="293">M176/$CC176/O176</f>
        <v>4417.9697328925959</v>
      </c>
      <c r="CY176" s="69">
        <f t="shared" ref="CY176:CY181" si="294">X176/$CC176/Z176</f>
        <v>41055.210500000001</v>
      </c>
      <c r="CZ176" s="64">
        <f t="shared" ref="CZ176:CZ181" si="295">M176/$CB176/O176</f>
        <v>2850.3030534790942</v>
      </c>
      <c r="DA176" s="64">
        <f t="shared" ref="DA176:DA181" si="296">X176/$CB176/Z176</f>
        <v>26487.232580645159</v>
      </c>
      <c r="DB176">
        <f t="shared" ref="DB176:DB181" si="297">$CF176*AA176</f>
        <v>9.9999999999999645E-2</v>
      </c>
      <c r="DC176">
        <f t="shared" ref="DC176:DC181" si="298">$CF176*AB176</f>
        <v>17.816119252147544</v>
      </c>
      <c r="DD176">
        <f t="shared" ref="DD176:DD181" si="299">$CF176*AC176</f>
        <v>0</v>
      </c>
      <c r="DE176">
        <f t="shared" ref="DE176:DE181" si="300">$CF176*AD176</f>
        <v>33.216119252147543</v>
      </c>
      <c r="DF176">
        <f t="shared" ref="DF176:DF181" si="301">$CF176*AE176</f>
        <v>0</v>
      </c>
      <c r="DG176">
        <f t="shared" ref="DG176:DG181" si="302">$CF176*AF176</f>
        <v>48.71611925214755</v>
      </c>
      <c r="DH176">
        <f t="shared" ref="DH176:DH181" si="303">$CF176*AG176</f>
        <v>0</v>
      </c>
      <c r="DI176">
        <f t="shared" ref="DI176:DI181" si="304">$CF176*AH176</f>
        <v>64.216119252147564</v>
      </c>
      <c r="DJ176">
        <f t="shared" ref="DJ176:DJ181" si="305">$CF176*AI176</f>
        <v>0</v>
      </c>
      <c r="DK176">
        <f t="shared" ref="DK176:DK181" si="306">$CF176*AJ176</f>
        <v>79.716119252147564</v>
      </c>
      <c r="DL176">
        <f t="shared" ref="DL176:DL181" si="307">$CF176*AK176</f>
        <v>0</v>
      </c>
      <c r="DM176">
        <f t="shared" ref="DM176:DM181" si="308">$CF176*AL176</f>
        <v>95.21611925214755</v>
      </c>
      <c r="DN176">
        <f t="shared" ref="DN176:DN181" si="309">$CF176*AM176</f>
        <v>0</v>
      </c>
      <c r="DO176">
        <f t="shared" ref="DO176:DO181" si="310">$CF176*AN176</f>
        <v>110.71611925214755</v>
      </c>
      <c r="DP176" s="2">
        <f t="shared" si="258"/>
        <v>91</v>
      </c>
      <c r="DQ176" s="2">
        <f t="shared" si="259"/>
        <v>79</v>
      </c>
      <c r="DR176" s="2">
        <f t="shared" si="260"/>
        <v>67</v>
      </c>
      <c r="DS176" s="2">
        <f t="shared" si="261"/>
        <v>55</v>
      </c>
      <c r="DT176" s="2">
        <f t="shared" si="262"/>
        <v>43</v>
      </c>
    </row>
    <row r="177" spans="1:124">
      <c r="A177" s="3">
        <v>45139</v>
      </c>
      <c r="B177">
        <f t="shared" si="268"/>
        <v>2023</v>
      </c>
      <c r="C177" s="6">
        <v>28611405.276762921</v>
      </c>
      <c r="D177" s="225">
        <f>VLOOKUP(B177,'Historic CDM'!$B$135:$H$147,2,FALSE)/12</f>
        <v>1180139.3153653573</v>
      </c>
      <c r="E177" s="2">
        <f t="shared" si="271"/>
        <v>29791544.592128277</v>
      </c>
      <c r="F177" s="5">
        <v>28894</v>
      </c>
      <c r="G177" s="6">
        <v>6044115.3833650015</v>
      </c>
      <c r="H177" s="2">
        <f>VLOOKUP(B177,'Historic CDM'!$B$135:$H$147,3,FALSE)/12</f>
        <v>1197125.69573412</v>
      </c>
      <c r="I177" s="2">
        <f t="shared" si="272"/>
        <v>7241241.0790991215</v>
      </c>
      <c r="J177" s="220">
        <v>2058</v>
      </c>
      <c r="K177" s="6">
        <v>17795204.819999989</v>
      </c>
      <c r="L177" s="225">
        <f>VLOOKUP(B177,'Historic CDM'!$B$135:$H$147,4,FALSE)/12</f>
        <v>1499293.7806216448</v>
      </c>
      <c r="M177" s="225">
        <f t="shared" si="273"/>
        <v>19294498.600621633</v>
      </c>
      <c r="N177" s="6">
        <v>48958</v>
      </c>
      <c r="O177" s="5">
        <v>232</v>
      </c>
      <c r="P177" s="6">
        <v>169447.47999999998</v>
      </c>
      <c r="Q177" s="6">
        <v>609.5</v>
      </c>
      <c r="R177" s="5">
        <v>2809</v>
      </c>
      <c r="S177" s="6">
        <v>22452.921294060838</v>
      </c>
      <c r="T177" s="6">
        <v>61.25</v>
      </c>
      <c r="U177" s="5">
        <v>222</v>
      </c>
      <c r="V177" s="6">
        <v>117391.59826170931</v>
      </c>
      <c r="W177" s="1">
        <v>125</v>
      </c>
      <c r="X177" s="6">
        <v>3286746.61</v>
      </c>
      <c r="Y177" s="6">
        <v>8183</v>
      </c>
      <c r="Z177" s="5">
        <v>4</v>
      </c>
      <c r="AA177" s="100">
        <f>'Weather Data'!D273</f>
        <v>25.371045982819613</v>
      </c>
      <c r="AB177" s="100">
        <f>'Weather Data'!E273</f>
        <v>38.986862051541152</v>
      </c>
      <c r="AC177" s="100">
        <f>'Weather Data'!F273</f>
        <v>8.5710459828196122</v>
      </c>
      <c r="AD177" s="100">
        <f>'Weather Data'!G273</f>
        <v>84.186862051541155</v>
      </c>
      <c r="AE177" s="100">
        <f>'Weather Data'!H273</f>
        <v>2.3999999999999986</v>
      </c>
      <c r="AF177" s="100">
        <f>'Weather Data'!I273</f>
        <v>140.01581606872151</v>
      </c>
      <c r="AG177" s="100">
        <f>'Weather Data'!J273</f>
        <v>0</v>
      </c>
      <c r="AH177" s="100">
        <f>'Weather Data'!K273</f>
        <v>199.61581606872156</v>
      </c>
      <c r="AI177" s="100">
        <f>'Weather Data'!L273</f>
        <v>0</v>
      </c>
      <c r="AJ177" s="100">
        <f>'Weather Data'!M273</f>
        <v>261.61581606872153</v>
      </c>
      <c r="AK177" s="100">
        <f>'Weather Data'!N273</f>
        <v>0</v>
      </c>
      <c r="AL177" s="100">
        <f>'Weather Data'!O273</f>
        <v>323.6158160687217</v>
      </c>
      <c r="AM177" s="100">
        <f>'Weather Data'!P273</f>
        <v>0</v>
      </c>
      <c r="AN177" s="100">
        <f>'Weather Data'!Q273</f>
        <v>385.6158160687217</v>
      </c>
      <c r="AO177" s="100">
        <f>'Weather Data'!R273</f>
        <v>20.439219873184562</v>
      </c>
      <c r="AP177" s="5">
        <f>'Economic Data'!D143</f>
        <v>7947</v>
      </c>
      <c r="AQ177" s="5">
        <f>'Economic Data'!E143</f>
        <v>8020.3</v>
      </c>
      <c r="AR177" s="5">
        <f>'Economic Data'!F143</f>
        <v>190.3</v>
      </c>
      <c r="AS177" s="5">
        <f>'Economic Data'!G143</f>
        <v>191.4</v>
      </c>
      <c r="AT177" s="5">
        <f>'Economic Data'!H143</f>
        <v>849571.36880000005</v>
      </c>
      <c r="AU177" s="5">
        <f>'Economic Data'!I143</f>
        <v>8894.3667999999998</v>
      </c>
      <c r="AV177" s="5">
        <f>'Economic Data'!J143</f>
        <v>7875.2828</v>
      </c>
      <c r="AW177" s="5">
        <f>'Economic Data'!K143</f>
        <v>5986.6884</v>
      </c>
      <c r="AX177" s="5">
        <f>'Economic Data'!L143</f>
        <v>1245.1648</v>
      </c>
      <c r="AY177" s="5">
        <f>'Economic Data'!M143</f>
        <v>2143.0111999999999</v>
      </c>
      <c r="AZ177" s="5">
        <f>'Economic Data'!N143</f>
        <v>6942.6235999999999</v>
      </c>
      <c r="BA177" s="5">
        <f>'Economic Data'!O143</f>
        <v>110.81400000000001</v>
      </c>
      <c r="BB177" s="5">
        <f>'Economic Data'!P143</f>
        <v>120.934</v>
      </c>
      <c r="BC177" s="5">
        <f>'Economic Data'!Q143</f>
        <v>852629</v>
      </c>
      <c r="BD177" s="5">
        <f>'Economic Data'!R143</f>
        <v>7512</v>
      </c>
      <c r="BE177" s="5">
        <f>'Economic Data'!S143</f>
        <v>4225</v>
      </c>
      <c r="BF177" s="5">
        <f>'Economic Data'!T143</f>
        <v>15442</v>
      </c>
      <c r="BG177" s="5">
        <f>'EV Data'!V82</f>
        <v>134549.33333333328</v>
      </c>
      <c r="BH177" s="5">
        <f>'EV Data'!AB82</f>
        <v>684.33333333333314</v>
      </c>
      <c r="BI177" s="5">
        <f>'EV Data'!W82</f>
        <v>1991.3333333333348</v>
      </c>
      <c r="BJ177" s="5">
        <f t="shared" si="149"/>
        <v>128</v>
      </c>
      <c r="BK177" s="70">
        <f t="shared" si="274"/>
        <v>2.1072099696478683</v>
      </c>
      <c r="BL177" s="5">
        <f t="shared" si="275"/>
        <v>16384</v>
      </c>
      <c r="BM177">
        <f t="shared" ref="BM177:CA177" si="311">BM165</f>
        <v>0</v>
      </c>
      <c r="BN177">
        <f t="shared" si="311"/>
        <v>0</v>
      </c>
      <c r="BO177">
        <f t="shared" si="311"/>
        <v>0</v>
      </c>
      <c r="BP177">
        <f t="shared" si="311"/>
        <v>0</v>
      </c>
      <c r="BQ177">
        <f t="shared" si="311"/>
        <v>0</v>
      </c>
      <c r="BR177">
        <f t="shared" si="311"/>
        <v>0</v>
      </c>
      <c r="BS177">
        <f t="shared" si="311"/>
        <v>0</v>
      </c>
      <c r="BT177">
        <f t="shared" si="311"/>
        <v>1</v>
      </c>
      <c r="BU177">
        <f t="shared" si="311"/>
        <v>0</v>
      </c>
      <c r="BV177">
        <f t="shared" si="311"/>
        <v>0</v>
      </c>
      <c r="BW177">
        <f t="shared" si="311"/>
        <v>0</v>
      </c>
      <c r="BX177">
        <f t="shared" si="311"/>
        <v>0</v>
      </c>
      <c r="BY177">
        <f t="shared" si="311"/>
        <v>0</v>
      </c>
      <c r="BZ177">
        <f t="shared" si="311"/>
        <v>0</v>
      </c>
      <c r="CA177">
        <f t="shared" si="311"/>
        <v>0</v>
      </c>
      <c r="CB177">
        <f t="shared" si="130"/>
        <v>31</v>
      </c>
      <c r="CC177">
        <v>22</v>
      </c>
      <c r="CD177">
        <v>0</v>
      </c>
      <c r="CE177">
        <f t="shared" si="264"/>
        <v>0</v>
      </c>
      <c r="CF177">
        <f t="shared" si="265"/>
        <v>0.25</v>
      </c>
      <c r="CG177">
        <v>0</v>
      </c>
      <c r="CH177" s="64">
        <f t="shared" si="277"/>
        <v>0</v>
      </c>
      <c r="CI177" s="64">
        <f>AB177*$CD177</f>
        <v>0</v>
      </c>
      <c r="CJ177" s="64">
        <f t="shared" si="279"/>
        <v>0</v>
      </c>
      <c r="CK177" s="64">
        <f t="shared" si="280"/>
        <v>0</v>
      </c>
      <c r="CL177" s="64">
        <f t="shared" si="281"/>
        <v>0</v>
      </c>
      <c r="CM177" s="64">
        <f t="shared" si="282"/>
        <v>0</v>
      </c>
      <c r="CN177" s="64">
        <f t="shared" si="283"/>
        <v>0</v>
      </c>
      <c r="CO177" s="64">
        <f t="shared" si="284"/>
        <v>0</v>
      </c>
      <c r="CP177" s="64">
        <f t="shared" si="285"/>
        <v>0</v>
      </c>
      <c r="CQ177" s="64">
        <f t="shared" si="286"/>
        <v>0</v>
      </c>
      <c r="CR177" s="64">
        <f t="shared" si="287"/>
        <v>0</v>
      </c>
      <c r="CS177" s="64">
        <f t="shared" si="288"/>
        <v>0</v>
      </c>
      <c r="CT177" s="64">
        <f t="shared" si="289"/>
        <v>0</v>
      </c>
      <c r="CU177" s="64">
        <f t="shared" si="290"/>
        <v>0</v>
      </c>
      <c r="CV177" s="69">
        <f t="shared" si="291"/>
        <v>33.260108240050144</v>
      </c>
      <c r="CW177" s="69">
        <f t="shared" si="292"/>
        <v>1006.8466461483761</v>
      </c>
      <c r="CX177" s="69">
        <f t="shared" si="293"/>
        <v>3780.2701020026711</v>
      </c>
      <c r="CY177" s="69">
        <f t="shared" si="294"/>
        <v>37349.393295454545</v>
      </c>
      <c r="CZ177" s="64">
        <f t="shared" si="295"/>
        <v>2682.7723304535084</v>
      </c>
      <c r="DA177" s="64">
        <f t="shared" si="296"/>
        <v>26506.021048387094</v>
      </c>
      <c r="DB177">
        <f t="shared" si="297"/>
        <v>6.3427614957049032</v>
      </c>
      <c r="DC177">
        <f t="shared" si="298"/>
        <v>9.746715512885288</v>
      </c>
      <c r="DD177">
        <f t="shared" si="299"/>
        <v>2.142761495704903</v>
      </c>
      <c r="DE177">
        <f t="shared" si="300"/>
        <v>21.046715512885289</v>
      </c>
      <c r="DF177">
        <f t="shared" si="301"/>
        <v>0.59999999999999964</v>
      </c>
      <c r="DG177">
        <f t="shared" si="302"/>
        <v>35.003954017180376</v>
      </c>
      <c r="DH177">
        <f t="shared" si="303"/>
        <v>0</v>
      </c>
      <c r="DI177">
        <f t="shared" si="304"/>
        <v>49.903954017180389</v>
      </c>
      <c r="DJ177">
        <f t="shared" si="305"/>
        <v>0</v>
      </c>
      <c r="DK177">
        <f t="shared" si="306"/>
        <v>65.403954017180382</v>
      </c>
      <c r="DL177">
        <f t="shared" si="307"/>
        <v>0</v>
      </c>
      <c r="DM177">
        <f t="shared" si="308"/>
        <v>80.903954017180425</v>
      </c>
      <c r="DN177">
        <f t="shared" si="309"/>
        <v>0</v>
      </c>
      <c r="DO177">
        <f t="shared" si="310"/>
        <v>96.403954017180425</v>
      </c>
      <c r="DP177" s="2">
        <f t="shared" si="258"/>
        <v>92</v>
      </c>
      <c r="DQ177" s="2">
        <f t="shared" si="259"/>
        <v>80</v>
      </c>
      <c r="DR177" s="2">
        <f t="shared" si="260"/>
        <v>68</v>
      </c>
      <c r="DS177" s="2">
        <f t="shared" si="261"/>
        <v>56</v>
      </c>
      <c r="DT177" s="2">
        <f t="shared" si="262"/>
        <v>44</v>
      </c>
    </row>
    <row r="178" spans="1:124">
      <c r="A178" s="3">
        <v>45170</v>
      </c>
      <c r="B178">
        <f t="shared" si="268"/>
        <v>2023</v>
      </c>
      <c r="C178" s="6">
        <v>23099477.534333855</v>
      </c>
      <c r="D178" s="225">
        <f>VLOOKUP(B178,'Historic CDM'!$B$135:$H$147,2,FALSE)/12</f>
        <v>1180139.3153653573</v>
      </c>
      <c r="E178" s="2">
        <f t="shared" si="271"/>
        <v>24279616.849699214</v>
      </c>
      <c r="F178" s="5">
        <v>28907</v>
      </c>
      <c r="G178" s="6">
        <v>5362028.9451080002</v>
      </c>
      <c r="H178" s="2">
        <f>VLOOKUP(B178,'Historic CDM'!$B$135:$H$147,3,FALSE)/12</f>
        <v>1197125.69573412</v>
      </c>
      <c r="I178" s="2">
        <f t="shared" si="272"/>
        <v>6559154.6408421202</v>
      </c>
      <c r="J178" s="220">
        <v>2059</v>
      </c>
      <c r="K178" s="6">
        <v>16923728.340000004</v>
      </c>
      <c r="L178" s="225">
        <f>VLOOKUP(B178,'Historic CDM'!$B$135:$H$147,4,FALSE)/12</f>
        <v>1499293.7806216448</v>
      </c>
      <c r="M178" s="225">
        <f t="shared" si="273"/>
        <v>18423022.120621648</v>
      </c>
      <c r="N178" s="6">
        <v>42254</v>
      </c>
      <c r="O178" s="5">
        <v>233</v>
      </c>
      <c r="P178" s="6">
        <v>191085.42</v>
      </c>
      <c r="Q178" s="6">
        <v>609.5</v>
      </c>
      <c r="R178" s="5">
        <v>2809</v>
      </c>
      <c r="S178" s="6">
        <v>21791.405118300336</v>
      </c>
      <c r="T178" s="6">
        <v>59.45</v>
      </c>
      <c r="U178" s="5">
        <v>222</v>
      </c>
      <c r="V178" s="6">
        <v>117391.59826170931</v>
      </c>
      <c r="W178" s="1">
        <v>125</v>
      </c>
      <c r="X178" s="6">
        <v>2966546.81</v>
      </c>
      <c r="Y178" s="6">
        <v>8567</v>
      </c>
      <c r="Z178" s="5">
        <v>4</v>
      </c>
      <c r="AA178" s="100">
        <f>'Weather Data'!D274</f>
        <v>69.071045982819612</v>
      </c>
      <c r="AB178" s="100">
        <f>'Weather Data'!E274</f>
        <v>17.7</v>
      </c>
      <c r="AC178" s="100">
        <f>'Weather Data'!F274</f>
        <v>26.171045982819621</v>
      </c>
      <c r="AD178" s="100">
        <f>'Weather Data'!G274</f>
        <v>34.799999999999997</v>
      </c>
      <c r="AE178" s="100">
        <f>'Weather Data'!H274</f>
        <v>5.4355229914098082</v>
      </c>
      <c r="AF178" s="100">
        <f>'Weather Data'!I274</f>
        <v>74.064477008590188</v>
      </c>
      <c r="AG178" s="100">
        <f>'Weather Data'!J274</f>
        <v>0</v>
      </c>
      <c r="AH178" s="100">
        <f>'Weather Data'!K274</f>
        <v>128.6289540171804</v>
      </c>
      <c r="AI178" s="100">
        <f>'Weather Data'!L274</f>
        <v>0</v>
      </c>
      <c r="AJ178" s="100">
        <f>'Weather Data'!M274</f>
        <v>188.62895401718038</v>
      </c>
      <c r="AK178" s="100">
        <f>'Weather Data'!N274</f>
        <v>0</v>
      </c>
      <c r="AL178" s="100">
        <f>'Weather Data'!O274</f>
        <v>248.62895401718038</v>
      </c>
      <c r="AM178" s="100">
        <f>'Weather Data'!P274</f>
        <v>0</v>
      </c>
      <c r="AN178" s="100">
        <f>'Weather Data'!Q274</f>
        <v>308.62895401718038</v>
      </c>
      <c r="AO178" s="100">
        <f>'Weather Data'!R274</f>
        <v>18.287631800572683</v>
      </c>
      <c r="AP178" s="5">
        <f>'Economic Data'!D144</f>
        <v>7950</v>
      </c>
      <c r="AQ178" s="5">
        <f>'Economic Data'!E144</f>
        <v>7968.4</v>
      </c>
      <c r="AR178" s="5">
        <f>'Economic Data'!F144</f>
        <v>188.1</v>
      </c>
      <c r="AS178" s="5">
        <f>'Economic Data'!G144</f>
        <v>189.7</v>
      </c>
      <c r="AT178" s="5">
        <f>'Economic Data'!H144</f>
        <v>849571.36880000005</v>
      </c>
      <c r="AU178" s="5">
        <f>'Economic Data'!I144</f>
        <v>8894.3667999999998</v>
      </c>
      <c r="AV178" s="5">
        <f>'Economic Data'!J144</f>
        <v>7875.2828</v>
      </c>
      <c r="AW178" s="5">
        <f>'Economic Data'!K144</f>
        <v>5986.6884</v>
      </c>
      <c r="AX178" s="5">
        <f>'Economic Data'!L144</f>
        <v>1245.1648</v>
      </c>
      <c r="AY178" s="5">
        <f>'Economic Data'!M144</f>
        <v>2143.0111999999999</v>
      </c>
      <c r="AZ178" s="5">
        <f>'Economic Data'!N144</f>
        <v>6942.6235999999999</v>
      </c>
      <c r="BA178" s="5">
        <f>'Economic Data'!O144</f>
        <v>110.81400000000001</v>
      </c>
      <c r="BB178" s="5">
        <f>'Economic Data'!P144</f>
        <v>120.934</v>
      </c>
      <c r="BC178" s="5">
        <f>'Economic Data'!Q144</f>
        <v>852629</v>
      </c>
      <c r="BD178" s="5">
        <f>'Economic Data'!R144</f>
        <v>7512</v>
      </c>
      <c r="BE178" s="5">
        <f>'Economic Data'!S144</f>
        <v>4225</v>
      </c>
      <c r="BF178" s="5">
        <f>'Economic Data'!T144</f>
        <v>15442</v>
      </c>
      <c r="BG178" s="5">
        <f>'EV Data'!V83</f>
        <v>139423.99999999994</v>
      </c>
      <c r="BH178" s="5">
        <f>'EV Data'!AB83</f>
        <v>708.99999999999977</v>
      </c>
      <c r="BI178" s="5">
        <f>'EV Data'!W83</f>
        <v>2064.0000000000014</v>
      </c>
      <c r="BJ178" s="5">
        <f t="shared" si="149"/>
        <v>129</v>
      </c>
      <c r="BK178" s="70">
        <f t="shared" si="274"/>
        <v>2.1105897102992488</v>
      </c>
      <c r="BL178" s="5">
        <f t="shared" si="275"/>
        <v>16641</v>
      </c>
      <c r="BM178">
        <f t="shared" ref="BM178:CA178" si="312">BM166</f>
        <v>0</v>
      </c>
      <c r="BN178">
        <f t="shared" si="312"/>
        <v>0</v>
      </c>
      <c r="BO178">
        <f t="shared" si="312"/>
        <v>0</v>
      </c>
      <c r="BP178">
        <f t="shared" si="312"/>
        <v>0</v>
      </c>
      <c r="BQ178">
        <f t="shared" si="312"/>
        <v>0</v>
      </c>
      <c r="BR178">
        <f t="shared" si="312"/>
        <v>0</v>
      </c>
      <c r="BS178">
        <f t="shared" si="312"/>
        <v>0</v>
      </c>
      <c r="BT178">
        <f t="shared" si="312"/>
        <v>0</v>
      </c>
      <c r="BU178">
        <f t="shared" si="312"/>
        <v>1</v>
      </c>
      <c r="BV178">
        <f t="shared" si="312"/>
        <v>0</v>
      </c>
      <c r="BW178">
        <f t="shared" si="312"/>
        <v>0</v>
      </c>
      <c r="BX178">
        <f t="shared" si="312"/>
        <v>0</v>
      </c>
      <c r="BY178">
        <f t="shared" si="312"/>
        <v>0</v>
      </c>
      <c r="BZ178">
        <f t="shared" si="312"/>
        <v>0</v>
      </c>
      <c r="CA178">
        <f t="shared" si="312"/>
        <v>0</v>
      </c>
      <c r="CB178">
        <f t="shared" si="130"/>
        <v>30</v>
      </c>
      <c r="CC178">
        <v>20</v>
      </c>
      <c r="CD178">
        <v>0</v>
      </c>
      <c r="CE178">
        <f t="shared" si="264"/>
        <v>0</v>
      </c>
      <c r="CF178">
        <f t="shared" si="265"/>
        <v>0.25</v>
      </c>
      <c r="CG178">
        <v>0</v>
      </c>
      <c r="CH178" s="64">
        <f t="shared" si="277"/>
        <v>0</v>
      </c>
      <c r="CI178" s="64">
        <f t="shared" si="278"/>
        <v>0</v>
      </c>
      <c r="CJ178" s="64">
        <f t="shared" si="279"/>
        <v>0</v>
      </c>
      <c r="CK178" s="64">
        <f t="shared" si="280"/>
        <v>0</v>
      </c>
      <c r="CL178" s="64">
        <f t="shared" si="281"/>
        <v>0</v>
      </c>
      <c r="CM178" s="64">
        <f t="shared" si="282"/>
        <v>0</v>
      </c>
      <c r="CN178" s="64">
        <f t="shared" si="283"/>
        <v>0</v>
      </c>
      <c r="CO178" s="64">
        <f t="shared" si="284"/>
        <v>0</v>
      </c>
      <c r="CP178" s="64">
        <f t="shared" si="285"/>
        <v>0</v>
      </c>
      <c r="CQ178" s="64">
        <f t="shared" si="286"/>
        <v>0</v>
      </c>
      <c r="CR178" s="64">
        <f t="shared" si="287"/>
        <v>0</v>
      </c>
      <c r="CS178" s="64">
        <f t="shared" si="288"/>
        <v>0</v>
      </c>
      <c r="CT178" s="64">
        <f t="shared" si="289"/>
        <v>0</v>
      </c>
      <c r="CU178" s="64">
        <f t="shared" si="290"/>
        <v>0</v>
      </c>
      <c r="CV178" s="69">
        <f t="shared" si="291"/>
        <v>27.997390308805496</v>
      </c>
      <c r="CW178" s="69">
        <f t="shared" si="292"/>
        <v>938.36260956253511</v>
      </c>
      <c r="CX178" s="69">
        <f t="shared" si="293"/>
        <v>3953.4382233093661</v>
      </c>
      <c r="CY178" s="69">
        <f t="shared" si="294"/>
        <v>37081.835124999998</v>
      </c>
      <c r="CZ178" s="64">
        <f t="shared" si="295"/>
        <v>2635.6254822062442</v>
      </c>
      <c r="DA178" s="64">
        <f t="shared" si="296"/>
        <v>24721.223416666668</v>
      </c>
      <c r="DB178">
        <f t="shared" si="297"/>
        <v>17.267761495704903</v>
      </c>
      <c r="DC178">
        <f t="shared" si="298"/>
        <v>4.4249999999999998</v>
      </c>
      <c r="DD178">
        <f t="shared" si="299"/>
        <v>6.5427614957049052</v>
      </c>
      <c r="DE178">
        <f t="shared" si="300"/>
        <v>8.6999999999999993</v>
      </c>
      <c r="DF178">
        <f t="shared" si="301"/>
        <v>1.3588807478524521</v>
      </c>
      <c r="DG178">
        <f t="shared" si="302"/>
        <v>18.516119252147547</v>
      </c>
      <c r="DH178">
        <f t="shared" si="303"/>
        <v>0</v>
      </c>
      <c r="DI178">
        <f t="shared" si="304"/>
        <v>32.157238504295101</v>
      </c>
      <c r="DJ178">
        <f t="shared" si="305"/>
        <v>0</v>
      </c>
      <c r="DK178">
        <f t="shared" si="306"/>
        <v>47.157238504295094</v>
      </c>
      <c r="DL178">
        <f t="shared" si="307"/>
        <v>0</v>
      </c>
      <c r="DM178">
        <f t="shared" si="308"/>
        <v>62.157238504295094</v>
      </c>
      <c r="DN178">
        <f t="shared" si="309"/>
        <v>0</v>
      </c>
      <c r="DO178">
        <f t="shared" si="310"/>
        <v>77.157238504295094</v>
      </c>
      <c r="DP178" s="2">
        <f t="shared" si="258"/>
        <v>93</v>
      </c>
      <c r="DQ178" s="2">
        <f t="shared" si="259"/>
        <v>81</v>
      </c>
      <c r="DR178" s="2">
        <f t="shared" si="260"/>
        <v>69</v>
      </c>
      <c r="DS178" s="2">
        <f t="shared" si="261"/>
        <v>57</v>
      </c>
      <c r="DT178" s="2">
        <f t="shared" si="262"/>
        <v>45</v>
      </c>
    </row>
    <row r="179" spans="1:124">
      <c r="A179" s="3">
        <v>45200</v>
      </c>
      <c r="B179">
        <f t="shared" si="268"/>
        <v>2023</v>
      </c>
      <c r="C179" s="6">
        <v>18482132.450139821</v>
      </c>
      <c r="D179" s="225">
        <f>VLOOKUP(B179,'Historic CDM'!$B$135:$H$147,2,FALSE)/12</f>
        <v>1180139.3153653573</v>
      </c>
      <c r="E179" s="2">
        <f t="shared" si="271"/>
        <v>19662271.76550518</v>
      </c>
      <c r="F179" s="5">
        <v>28980</v>
      </c>
      <c r="G179" s="6">
        <v>4859280.9082360035</v>
      </c>
      <c r="H179" s="2">
        <f>VLOOKUP(B179,'Historic CDM'!$B$135:$H$147,3,FALSE)/12</f>
        <v>1197125.69573412</v>
      </c>
      <c r="I179" s="2">
        <f t="shared" si="272"/>
        <v>6056406.6039701235</v>
      </c>
      <c r="J179" s="220">
        <v>2062</v>
      </c>
      <c r="K179" s="6">
        <v>15749655.390000006</v>
      </c>
      <c r="L179" s="225">
        <f>VLOOKUP(B179,'Historic CDM'!$B$135:$H$147,4,FALSE)/12</f>
        <v>1499293.7806216448</v>
      </c>
      <c r="M179" s="225">
        <f t="shared" si="273"/>
        <v>17248949.170621652</v>
      </c>
      <c r="N179" s="6">
        <v>50983</v>
      </c>
      <c r="O179" s="5">
        <v>234</v>
      </c>
      <c r="P179" s="6">
        <v>225828.38999999996</v>
      </c>
      <c r="Q179" s="6">
        <v>609.5</v>
      </c>
      <c r="R179" s="5">
        <v>2809</v>
      </c>
      <c r="S179" s="6">
        <v>22977.305649444712</v>
      </c>
      <c r="T179" s="6">
        <v>62.68</v>
      </c>
      <c r="U179" s="5">
        <v>222</v>
      </c>
      <c r="V179" s="6">
        <v>117391.59826170931</v>
      </c>
      <c r="W179" s="1">
        <v>125</v>
      </c>
      <c r="X179" s="6">
        <v>2745572.4499999997</v>
      </c>
      <c r="Y179" s="6">
        <v>7276</v>
      </c>
      <c r="Z179" s="5">
        <v>4</v>
      </c>
      <c r="AA179" s="100">
        <f>'Weather Data'!D275</f>
        <v>243</v>
      </c>
      <c r="AB179" s="100">
        <f>'Weather Data'!E275</f>
        <v>3.3999999999999986</v>
      </c>
      <c r="AC179" s="100">
        <f>'Weather Data'!F275</f>
        <v>191.00000000000003</v>
      </c>
      <c r="AD179" s="100">
        <f>'Weather Data'!G275</f>
        <v>13.399999999999995</v>
      </c>
      <c r="AE179" s="100">
        <f>'Weather Data'!H275</f>
        <v>144.19999999999999</v>
      </c>
      <c r="AF179" s="100">
        <f>'Weather Data'!I275</f>
        <v>28.599999999999994</v>
      </c>
      <c r="AG179" s="100">
        <f>'Weather Data'!J275</f>
        <v>100.29999999999998</v>
      </c>
      <c r="AH179" s="100">
        <f>'Weather Data'!K275</f>
        <v>46.699999999999996</v>
      </c>
      <c r="AI179" s="100">
        <f>'Weather Data'!L275</f>
        <v>60.400000000000006</v>
      </c>
      <c r="AJ179" s="100">
        <f>'Weather Data'!M275</f>
        <v>68.799999999999983</v>
      </c>
      <c r="AK179" s="100">
        <f>'Weather Data'!N275</f>
        <v>31</v>
      </c>
      <c r="AL179" s="100">
        <f>'Weather Data'!O275</f>
        <v>101.4</v>
      </c>
      <c r="AM179" s="100">
        <f>'Weather Data'!P275</f>
        <v>16</v>
      </c>
      <c r="AN179" s="100">
        <f>'Weather Data'!Q275</f>
        <v>148.4</v>
      </c>
      <c r="AO179" s="100">
        <f>'Weather Data'!R275</f>
        <v>12.270967741935481</v>
      </c>
      <c r="AP179" s="5">
        <f>'Economic Data'!D145</f>
        <v>7948.8</v>
      </c>
      <c r="AQ179" s="5">
        <f>'Economic Data'!E145</f>
        <v>7947.2</v>
      </c>
      <c r="AR179" s="5">
        <f>'Economic Data'!F145</f>
        <v>185.2</v>
      </c>
      <c r="AS179" s="5">
        <f>'Economic Data'!G145</f>
        <v>186.5</v>
      </c>
      <c r="AT179" s="5">
        <f>'Economic Data'!H145</f>
        <v>849571.36880000005</v>
      </c>
      <c r="AU179" s="5">
        <f>'Economic Data'!I145</f>
        <v>8894.3667999999998</v>
      </c>
      <c r="AV179" s="5">
        <f>'Economic Data'!J145</f>
        <v>7875.2828</v>
      </c>
      <c r="AW179" s="5">
        <f>'Economic Data'!K145</f>
        <v>5986.6884</v>
      </c>
      <c r="AX179" s="5">
        <f>'Economic Data'!L145</f>
        <v>1245.1648</v>
      </c>
      <c r="AY179" s="5">
        <f>'Economic Data'!M145</f>
        <v>2143.0111999999999</v>
      </c>
      <c r="AZ179" s="5">
        <f>'Economic Data'!N145</f>
        <v>6942.6235999999999</v>
      </c>
      <c r="BA179" s="5">
        <f>'Economic Data'!O145</f>
        <v>110.81400000000001</v>
      </c>
      <c r="BB179" s="5">
        <f>'Economic Data'!P145</f>
        <v>120.934</v>
      </c>
      <c r="BC179" s="5">
        <f>'Economic Data'!Q145</f>
        <v>852090.84400000004</v>
      </c>
      <c r="BD179" s="5">
        <f>'Economic Data'!R145</f>
        <v>8845.8919999999998</v>
      </c>
      <c r="BE179" s="5">
        <f>'Economic Data'!S145</f>
        <v>4101.6360000000004</v>
      </c>
      <c r="BF179" s="5">
        <f>'Economic Data'!T145</f>
        <v>15840.835999999999</v>
      </c>
      <c r="BG179" s="5">
        <f>'EV Data'!V84</f>
        <v>144082.33333333328</v>
      </c>
      <c r="BH179" s="5">
        <f>'EV Data'!AB84</f>
        <v>741.33333333333314</v>
      </c>
      <c r="BI179" s="5">
        <f>'EV Data'!W84</f>
        <v>2140.6666666666679</v>
      </c>
      <c r="BJ179" s="5">
        <f t="shared" si="149"/>
        <v>130</v>
      </c>
      <c r="BK179" s="70">
        <f t="shared" si="274"/>
        <v>2.1139433523068369</v>
      </c>
      <c r="BL179" s="5">
        <f t="shared" si="275"/>
        <v>16900</v>
      </c>
      <c r="BM179">
        <f t="shared" ref="BM179:CA179" si="313">BM167</f>
        <v>0</v>
      </c>
      <c r="BN179">
        <f t="shared" si="313"/>
        <v>0</v>
      </c>
      <c r="BO179">
        <f t="shared" si="313"/>
        <v>0</v>
      </c>
      <c r="BP179">
        <f t="shared" si="313"/>
        <v>0</v>
      </c>
      <c r="BQ179">
        <f t="shared" si="313"/>
        <v>0</v>
      </c>
      <c r="BR179">
        <f t="shared" si="313"/>
        <v>0</v>
      </c>
      <c r="BS179">
        <f t="shared" si="313"/>
        <v>0</v>
      </c>
      <c r="BT179">
        <f t="shared" si="313"/>
        <v>0</v>
      </c>
      <c r="BU179">
        <f t="shared" si="313"/>
        <v>0</v>
      </c>
      <c r="BV179">
        <f t="shared" si="313"/>
        <v>1</v>
      </c>
      <c r="BW179">
        <f t="shared" si="313"/>
        <v>0</v>
      </c>
      <c r="BX179">
        <f t="shared" si="313"/>
        <v>0</v>
      </c>
      <c r="BY179">
        <f t="shared" si="313"/>
        <v>0</v>
      </c>
      <c r="BZ179">
        <f t="shared" si="313"/>
        <v>1</v>
      </c>
      <c r="CA179">
        <f t="shared" si="313"/>
        <v>1</v>
      </c>
      <c r="CB179">
        <f t="shared" si="130"/>
        <v>31</v>
      </c>
      <c r="CC179">
        <v>21</v>
      </c>
      <c r="CD179">
        <v>0</v>
      </c>
      <c r="CE179">
        <f t="shared" si="264"/>
        <v>0</v>
      </c>
      <c r="CF179">
        <f t="shared" si="265"/>
        <v>0.25</v>
      </c>
      <c r="CG179">
        <v>0</v>
      </c>
      <c r="CH179" s="64">
        <f t="shared" si="277"/>
        <v>0</v>
      </c>
      <c r="CI179" s="64">
        <f t="shared" si="278"/>
        <v>0</v>
      </c>
      <c r="CJ179" s="64">
        <f t="shared" si="279"/>
        <v>0</v>
      </c>
      <c r="CK179" s="64">
        <f t="shared" si="280"/>
        <v>0</v>
      </c>
      <c r="CL179" s="64">
        <f t="shared" si="281"/>
        <v>0</v>
      </c>
      <c r="CM179" s="64">
        <f t="shared" si="282"/>
        <v>0</v>
      </c>
      <c r="CN179" s="64">
        <f t="shared" si="283"/>
        <v>0</v>
      </c>
      <c r="CO179" s="64">
        <f t="shared" si="284"/>
        <v>0</v>
      </c>
      <c r="CP179" s="64">
        <f t="shared" si="285"/>
        <v>0</v>
      </c>
      <c r="CQ179" s="64">
        <f t="shared" si="286"/>
        <v>0</v>
      </c>
      <c r="CR179" s="64">
        <f t="shared" si="287"/>
        <v>0</v>
      </c>
      <c r="CS179" s="64">
        <f t="shared" si="288"/>
        <v>0</v>
      </c>
      <c r="CT179" s="64">
        <f t="shared" si="289"/>
        <v>0</v>
      </c>
      <c r="CU179" s="64">
        <f t="shared" si="290"/>
        <v>0</v>
      </c>
      <c r="CV179" s="69">
        <f t="shared" si="291"/>
        <v>21.886364083689728</v>
      </c>
      <c r="CW179" s="69">
        <f t="shared" si="292"/>
        <v>834.90579045631694</v>
      </c>
      <c r="CX179" s="69">
        <f t="shared" si="293"/>
        <v>3510.1646663861725</v>
      </c>
      <c r="CY179" s="69">
        <f t="shared" si="294"/>
        <v>32685.386309523805</v>
      </c>
      <c r="CZ179" s="64">
        <f t="shared" si="295"/>
        <v>2377.8534836809554</v>
      </c>
      <c r="DA179" s="64">
        <f t="shared" si="296"/>
        <v>22141.713306451609</v>
      </c>
      <c r="DB179">
        <f t="shared" si="297"/>
        <v>60.75</v>
      </c>
      <c r="DC179">
        <f t="shared" si="298"/>
        <v>0.84999999999999964</v>
      </c>
      <c r="DD179">
        <f t="shared" si="299"/>
        <v>47.750000000000007</v>
      </c>
      <c r="DE179">
        <f t="shared" si="300"/>
        <v>3.3499999999999988</v>
      </c>
      <c r="DF179">
        <f t="shared" si="301"/>
        <v>36.049999999999997</v>
      </c>
      <c r="DG179">
        <f t="shared" si="302"/>
        <v>7.1499999999999986</v>
      </c>
      <c r="DH179">
        <f t="shared" si="303"/>
        <v>25.074999999999996</v>
      </c>
      <c r="DI179">
        <f t="shared" si="304"/>
        <v>11.674999999999999</v>
      </c>
      <c r="DJ179">
        <f t="shared" si="305"/>
        <v>15.100000000000001</v>
      </c>
      <c r="DK179">
        <f t="shared" si="306"/>
        <v>17.199999999999996</v>
      </c>
      <c r="DL179">
        <f t="shared" si="307"/>
        <v>7.75</v>
      </c>
      <c r="DM179">
        <f t="shared" si="308"/>
        <v>25.35</v>
      </c>
      <c r="DN179">
        <f t="shared" si="309"/>
        <v>4</v>
      </c>
      <c r="DO179">
        <f t="shared" si="310"/>
        <v>37.1</v>
      </c>
      <c r="DP179" s="2">
        <f t="shared" si="258"/>
        <v>94</v>
      </c>
      <c r="DQ179" s="2">
        <f t="shared" si="259"/>
        <v>82</v>
      </c>
      <c r="DR179" s="2">
        <f t="shared" si="260"/>
        <v>70</v>
      </c>
      <c r="DS179" s="2">
        <f t="shared" si="261"/>
        <v>58</v>
      </c>
      <c r="DT179" s="2">
        <f t="shared" si="262"/>
        <v>46</v>
      </c>
    </row>
    <row r="180" spans="1:124">
      <c r="A180" s="3">
        <v>45231</v>
      </c>
      <c r="B180">
        <f t="shared" si="268"/>
        <v>2023</v>
      </c>
      <c r="C180" s="6">
        <v>18318230.712452941</v>
      </c>
      <c r="D180" s="225">
        <f>VLOOKUP(B180,'Historic CDM'!$B$135:$H$147,2,FALSE)/12</f>
        <v>1180139.3153653573</v>
      </c>
      <c r="E180" s="2">
        <f t="shared" si="271"/>
        <v>19498370.0278183</v>
      </c>
      <c r="F180" s="5">
        <v>29025</v>
      </c>
      <c r="G180" s="6">
        <v>4862462.3811229998</v>
      </c>
      <c r="H180" s="2">
        <f>VLOOKUP(B180,'Historic CDM'!$B$135:$H$147,3,FALSE)/12</f>
        <v>1197125.69573412</v>
      </c>
      <c r="I180" s="2">
        <f t="shared" si="272"/>
        <v>6059588.0768571198</v>
      </c>
      <c r="J180" s="220">
        <v>2080</v>
      </c>
      <c r="K180" s="6">
        <v>14974843.080000008</v>
      </c>
      <c r="L180" s="225">
        <f>VLOOKUP(B180,'Historic CDM'!$B$135:$H$147,4,FALSE)/12</f>
        <v>1499293.7806216448</v>
      </c>
      <c r="M180" s="225">
        <f t="shared" si="273"/>
        <v>16474136.860621652</v>
      </c>
      <c r="N180" s="6">
        <v>42002</v>
      </c>
      <c r="O180" s="5">
        <v>234</v>
      </c>
      <c r="P180" s="6">
        <v>237104.77</v>
      </c>
      <c r="Q180" s="6">
        <v>609.5</v>
      </c>
      <c r="R180" s="5">
        <v>2809</v>
      </c>
      <c r="S180" s="6">
        <v>22383.389666827617</v>
      </c>
      <c r="T180" s="6">
        <v>61.06</v>
      </c>
      <c r="U180" s="5">
        <v>222</v>
      </c>
      <c r="V180" s="6">
        <v>117391.59826170931</v>
      </c>
      <c r="W180" s="1">
        <v>125</v>
      </c>
      <c r="X180" s="6">
        <v>2746667.53</v>
      </c>
      <c r="Y180" s="6">
        <v>6837</v>
      </c>
      <c r="Z180" s="5">
        <v>4</v>
      </c>
      <c r="AA180" s="100">
        <f>'Weather Data'!D276</f>
        <v>462.39999999999992</v>
      </c>
      <c r="AB180" s="100">
        <f>'Weather Data'!E276</f>
        <v>0</v>
      </c>
      <c r="AC180" s="100">
        <f>'Weather Data'!F276</f>
        <v>402.39999999999992</v>
      </c>
      <c r="AD180" s="100">
        <f>'Weather Data'!G276</f>
        <v>0</v>
      </c>
      <c r="AE180" s="100">
        <f>'Weather Data'!H276</f>
        <v>342.39999999999992</v>
      </c>
      <c r="AF180" s="100">
        <f>'Weather Data'!I276</f>
        <v>0</v>
      </c>
      <c r="AG180" s="100">
        <f>'Weather Data'!J276</f>
        <v>282.40000000000003</v>
      </c>
      <c r="AH180" s="100">
        <f>'Weather Data'!K276</f>
        <v>0</v>
      </c>
      <c r="AI180" s="100">
        <f>'Weather Data'!L276</f>
        <v>222.40000000000003</v>
      </c>
      <c r="AJ180" s="100">
        <f>'Weather Data'!M276</f>
        <v>0</v>
      </c>
      <c r="AK180" s="100">
        <f>'Weather Data'!N276</f>
        <v>164.3</v>
      </c>
      <c r="AL180" s="100">
        <f>'Weather Data'!O276</f>
        <v>1.9000000000000004</v>
      </c>
      <c r="AM180" s="100">
        <f>'Weather Data'!P276</f>
        <v>113.20000000000002</v>
      </c>
      <c r="AN180" s="100">
        <f>'Weather Data'!Q276</f>
        <v>10.8</v>
      </c>
      <c r="AO180" s="100">
        <f>'Weather Data'!R276</f>
        <v>4.5866666666666642</v>
      </c>
      <c r="AP180" s="5">
        <f>'Economic Data'!D146</f>
        <v>7952.8</v>
      </c>
      <c r="AQ180" s="5">
        <f>'Economic Data'!E146</f>
        <v>7939.3</v>
      </c>
      <c r="AR180" s="5">
        <f>'Economic Data'!F146</f>
        <v>184.2</v>
      </c>
      <c r="AS180" s="5">
        <f>'Economic Data'!G146</f>
        <v>185.3</v>
      </c>
      <c r="AT180" s="5">
        <f>'Economic Data'!H146</f>
        <v>849571.36880000005</v>
      </c>
      <c r="AU180" s="5">
        <f>'Economic Data'!I146</f>
        <v>8894.3667999999998</v>
      </c>
      <c r="AV180" s="5">
        <f>'Economic Data'!J146</f>
        <v>7875.2828</v>
      </c>
      <c r="AW180" s="5">
        <f>'Economic Data'!K146</f>
        <v>5986.6884</v>
      </c>
      <c r="AX180" s="5">
        <f>'Economic Data'!L146</f>
        <v>1245.1648</v>
      </c>
      <c r="AY180" s="5">
        <f>'Economic Data'!M146</f>
        <v>2143.0111999999999</v>
      </c>
      <c r="AZ180" s="5">
        <f>'Economic Data'!N146</f>
        <v>6942.6235999999999</v>
      </c>
      <c r="BA180" s="5">
        <f>'Economic Data'!O146</f>
        <v>110.81400000000001</v>
      </c>
      <c r="BB180" s="5">
        <f>'Economic Data'!P146</f>
        <v>120.934</v>
      </c>
      <c r="BC180" s="5">
        <f>'Economic Data'!Q146</f>
        <v>852090.84400000004</v>
      </c>
      <c r="BD180" s="5">
        <f>'Economic Data'!R146</f>
        <v>8845.8919999999998</v>
      </c>
      <c r="BE180" s="5">
        <f>'Economic Data'!S146</f>
        <v>4101.6360000000004</v>
      </c>
      <c r="BF180" s="5">
        <f>'Economic Data'!T146</f>
        <v>15840.835999999999</v>
      </c>
      <c r="BG180" s="5">
        <f>'EV Data'!V85</f>
        <v>148740.66666666663</v>
      </c>
      <c r="BH180" s="5">
        <f>'EV Data'!AB85</f>
        <v>773.66666666666652</v>
      </c>
      <c r="BI180" s="5">
        <f>'EV Data'!W85</f>
        <v>2217.3333333333344</v>
      </c>
      <c r="BJ180" s="5">
        <f t="shared" si="149"/>
        <v>131</v>
      </c>
      <c r="BK180" s="70">
        <f t="shared" si="274"/>
        <v>2.1172712956557644</v>
      </c>
      <c r="BL180" s="5">
        <f t="shared" si="275"/>
        <v>17161</v>
      </c>
      <c r="BM180">
        <f t="shared" ref="BM180:CA180" si="314">BM168</f>
        <v>0</v>
      </c>
      <c r="BN180">
        <f t="shared" si="314"/>
        <v>0</v>
      </c>
      <c r="BO180">
        <f t="shared" si="314"/>
        <v>0</v>
      </c>
      <c r="BP180">
        <f t="shared" si="314"/>
        <v>0</v>
      </c>
      <c r="BQ180">
        <f t="shared" si="314"/>
        <v>0</v>
      </c>
      <c r="BR180">
        <f t="shared" si="314"/>
        <v>0</v>
      </c>
      <c r="BS180">
        <f t="shared" si="314"/>
        <v>0</v>
      </c>
      <c r="BT180">
        <f t="shared" si="314"/>
        <v>0</v>
      </c>
      <c r="BU180">
        <f t="shared" si="314"/>
        <v>0</v>
      </c>
      <c r="BV180">
        <f t="shared" si="314"/>
        <v>0</v>
      </c>
      <c r="BW180">
        <f t="shared" si="314"/>
        <v>1</v>
      </c>
      <c r="BX180">
        <f t="shared" si="314"/>
        <v>0</v>
      </c>
      <c r="BY180">
        <f t="shared" si="314"/>
        <v>0</v>
      </c>
      <c r="BZ180">
        <f t="shared" si="314"/>
        <v>1</v>
      </c>
      <c r="CA180">
        <f t="shared" si="314"/>
        <v>1</v>
      </c>
      <c r="CB180">
        <f t="shared" si="130"/>
        <v>30</v>
      </c>
      <c r="CC180">
        <v>22</v>
      </c>
      <c r="CD180">
        <v>0</v>
      </c>
      <c r="CE180">
        <f t="shared" si="264"/>
        <v>0</v>
      </c>
      <c r="CF180">
        <f t="shared" si="265"/>
        <v>0.25</v>
      </c>
      <c r="CG180">
        <v>0</v>
      </c>
      <c r="CH180" s="64">
        <f t="shared" si="277"/>
        <v>0</v>
      </c>
      <c r="CI180" s="64">
        <f t="shared" si="278"/>
        <v>0</v>
      </c>
      <c r="CJ180" s="64">
        <f t="shared" si="279"/>
        <v>0</v>
      </c>
      <c r="CK180" s="64">
        <f t="shared" si="280"/>
        <v>0</v>
      </c>
      <c r="CL180" s="64">
        <f t="shared" si="281"/>
        <v>0</v>
      </c>
      <c r="CM180" s="64">
        <f t="shared" si="282"/>
        <v>0</v>
      </c>
      <c r="CN180" s="64">
        <f t="shared" si="283"/>
        <v>0</v>
      </c>
      <c r="CO180" s="64">
        <f t="shared" si="284"/>
        <v>0</v>
      </c>
      <c r="CP180" s="64">
        <f t="shared" si="285"/>
        <v>0</v>
      </c>
      <c r="CQ180" s="64">
        <f t="shared" si="286"/>
        <v>0</v>
      </c>
      <c r="CR180" s="64">
        <f t="shared" si="287"/>
        <v>0</v>
      </c>
      <c r="CS180" s="64">
        <f t="shared" si="288"/>
        <v>0</v>
      </c>
      <c r="CT180" s="64">
        <f t="shared" si="289"/>
        <v>0</v>
      </c>
      <c r="CU180" s="64">
        <f t="shared" si="290"/>
        <v>0</v>
      </c>
      <c r="CV180" s="69">
        <f t="shared" si="291"/>
        <v>22.392615593245246</v>
      </c>
      <c r="CW180" s="69">
        <f t="shared" si="292"/>
        <v>863.18918473748147</v>
      </c>
      <c r="CX180" s="69">
        <f t="shared" si="293"/>
        <v>3200.104285280041</v>
      </c>
      <c r="CY180" s="69">
        <f t="shared" si="294"/>
        <v>31212.13102272727</v>
      </c>
      <c r="CZ180" s="64">
        <f t="shared" si="295"/>
        <v>2346.7431425386972</v>
      </c>
      <c r="DA180" s="64">
        <f t="shared" si="296"/>
        <v>22888.896083333333</v>
      </c>
      <c r="DB180">
        <f t="shared" si="297"/>
        <v>115.59999999999998</v>
      </c>
      <c r="DC180">
        <f t="shared" si="298"/>
        <v>0</v>
      </c>
      <c r="DD180">
        <f t="shared" si="299"/>
        <v>100.59999999999998</v>
      </c>
      <c r="DE180">
        <f t="shared" si="300"/>
        <v>0</v>
      </c>
      <c r="DF180">
        <f t="shared" si="301"/>
        <v>85.59999999999998</v>
      </c>
      <c r="DG180">
        <f t="shared" si="302"/>
        <v>0</v>
      </c>
      <c r="DH180">
        <f t="shared" si="303"/>
        <v>70.600000000000009</v>
      </c>
      <c r="DI180">
        <f t="shared" si="304"/>
        <v>0</v>
      </c>
      <c r="DJ180">
        <f t="shared" si="305"/>
        <v>55.600000000000009</v>
      </c>
      <c r="DK180">
        <f t="shared" si="306"/>
        <v>0</v>
      </c>
      <c r="DL180">
        <f t="shared" si="307"/>
        <v>41.075000000000003</v>
      </c>
      <c r="DM180">
        <f t="shared" si="308"/>
        <v>0.47500000000000009</v>
      </c>
      <c r="DN180">
        <f t="shared" si="309"/>
        <v>28.300000000000004</v>
      </c>
      <c r="DO180">
        <f t="shared" si="310"/>
        <v>2.7</v>
      </c>
      <c r="DP180" s="2">
        <f t="shared" si="258"/>
        <v>95</v>
      </c>
      <c r="DQ180" s="2">
        <f t="shared" si="259"/>
        <v>83</v>
      </c>
      <c r="DR180" s="2">
        <f t="shared" si="260"/>
        <v>71</v>
      </c>
      <c r="DS180" s="2">
        <f t="shared" si="261"/>
        <v>59</v>
      </c>
      <c r="DT180" s="2">
        <f t="shared" si="262"/>
        <v>47</v>
      </c>
    </row>
    <row r="181" spans="1:124">
      <c r="A181" s="3">
        <v>45261</v>
      </c>
      <c r="B181">
        <f t="shared" si="268"/>
        <v>2023</v>
      </c>
      <c r="C181" s="6">
        <v>20769593.879999999</v>
      </c>
      <c r="D181" s="225">
        <f>VLOOKUP(B181,'Historic CDM'!$B$135:$H$147,2,FALSE)/12</f>
        <v>1180139.3153653573</v>
      </c>
      <c r="E181" s="2">
        <f t="shared" si="271"/>
        <v>21949733.195365354</v>
      </c>
      <c r="F181" s="5">
        <v>29030</v>
      </c>
      <c r="G181" s="6">
        <v>5052978.8</v>
      </c>
      <c r="H181" s="2">
        <f>VLOOKUP(B181,'Historic CDM'!$B$135:$H$147,3,FALSE)/12</f>
        <v>1197125.69573412</v>
      </c>
      <c r="I181" s="2">
        <f t="shared" si="272"/>
        <v>6250104.4957341198</v>
      </c>
      <c r="J181" s="220">
        <v>2084</v>
      </c>
      <c r="K181" s="6">
        <v>13894456.609999999</v>
      </c>
      <c r="L181" s="225">
        <f>VLOOKUP(B181,'Historic CDM'!$B$135:$H$147,4,FALSE)/12</f>
        <v>1499293.7806216448</v>
      </c>
      <c r="M181" s="225">
        <f t="shared" si="273"/>
        <v>15393750.390621644</v>
      </c>
      <c r="N181" s="310">
        <v>41496.550000000003</v>
      </c>
      <c r="O181" s="5">
        <v>235</v>
      </c>
      <c r="P181" s="6">
        <v>259352.31</v>
      </c>
      <c r="Q181" s="6">
        <v>609.5</v>
      </c>
      <c r="R181" s="5">
        <v>2809</v>
      </c>
      <c r="S181" s="6">
        <v>22436.504104297437</v>
      </c>
      <c r="T181" s="297">
        <f>T180</f>
        <v>61.06</v>
      </c>
      <c r="U181" s="5">
        <v>222</v>
      </c>
      <c r="V181" s="6">
        <v>117391.59826170931</v>
      </c>
      <c r="W181" s="1">
        <v>125</v>
      </c>
      <c r="X181" s="6">
        <v>2567239.4</v>
      </c>
      <c r="Y181" s="297">
        <f>Y180</f>
        <v>6837</v>
      </c>
      <c r="Z181" s="5">
        <v>4</v>
      </c>
      <c r="AA181" s="100">
        <f>'Weather Data'!D277</f>
        <v>493.4</v>
      </c>
      <c r="AB181" s="100">
        <f>'Weather Data'!E277</f>
        <v>0</v>
      </c>
      <c r="AC181" s="100">
        <f>'Weather Data'!F277</f>
        <v>431.4</v>
      </c>
      <c r="AD181" s="100">
        <f>'Weather Data'!G277</f>
        <v>0</v>
      </c>
      <c r="AE181" s="100">
        <f>'Weather Data'!H277</f>
        <v>369.40000000000003</v>
      </c>
      <c r="AF181" s="100">
        <f>'Weather Data'!I277</f>
        <v>0</v>
      </c>
      <c r="AG181" s="100">
        <f>'Weather Data'!J277</f>
        <v>307.40000000000009</v>
      </c>
      <c r="AH181" s="100">
        <f>'Weather Data'!K277</f>
        <v>0</v>
      </c>
      <c r="AI181" s="100">
        <f>'Weather Data'!L277</f>
        <v>245.40000000000006</v>
      </c>
      <c r="AJ181" s="100">
        <f>'Weather Data'!M277</f>
        <v>0</v>
      </c>
      <c r="AK181" s="100">
        <f>'Weather Data'!N277</f>
        <v>183.90000000000006</v>
      </c>
      <c r="AL181" s="100">
        <f>'Weather Data'!O277</f>
        <v>0.5</v>
      </c>
      <c r="AM181" s="100">
        <f>'Weather Data'!P277</f>
        <v>126.10000000000001</v>
      </c>
      <c r="AN181" s="100">
        <f>'Weather Data'!Q277</f>
        <v>4.6999999999999993</v>
      </c>
      <c r="AO181" s="100">
        <f>'Weather Data'!R277</f>
        <v>4.0838709677419356</v>
      </c>
      <c r="AP181" s="5">
        <f>'Economic Data'!D147</f>
        <v>7934.2</v>
      </c>
      <c r="AQ181" s="5">
        <f>'Economic Data'!E147</f>
        <v>7938.2</v>
      </c>
      <c r="AR181" s="5">
        <f>'Economic Data'!F147</f>
        <v>184</v>
      </c>
      <c r="AS181" s="5">
        <f>'Economic Data'!G147</f>
        <v>185.1</v>
      </c>
      <c r="AT181" s="5">
        <f>'Economic Data'!H147</f>
        <v>849571.36880000005</v>
      </c>
      <c r="AU181" s="5">
        <f>'Economic Data'!I147</f>
        <v>8894.3667999999998</v>
      </c>
      <c r="AV181" s="5">
        <f>'Economic Data'!J147</f>
        <v>7875.2828</v>
      </c>
      <c r="AW181" s="5">
        <f>'Economic Data'!K147</f>
        <v>5986.6884</v>
      </c>
      <c r="AX181" s="5">
        <f>'Economic Data'!L147</f>
        <v>1245.1648</v>
      </c>
      <c r="AY181" s="5">
        <f>'Economic Data'!M147</f>
        <v>2143.0111999999999</v>
      </c>
      <c r="AZ181" s="5">
        <f>'Economic Data'!N147</f>
        <v>6942.6235999999999</v>
      </c>
      <c r="BA181" s="5">
        <f>'Economic Data'!O147</f>
        <v>110.81400000000001</v>
      </c>
      <c r="BB181" s="5">
        <f>'Economic Data'!P147</f>
        <v>120.934</v>
      </c>
      <c r="BC181" s="5">
        <f>'Economic Data'!Q147</f>
        <v>852090.84400000004</v>
      </c>
      <c r="BD181" s="5">
        <f>'Economic Data'!R147</f>
        <v>8845.8919999999998</v>
      </c>
      <c r="BE181" s="5">
        <f>'Economic Data'!S147</f>
        <v>4101.6360000000004</v>
      </c>
      <c r="BF181" s="5">
        <f>'Economic Data'!T147</f>
        <v>15840.835999999999</v>
      </c>
      <c r="BG181" s="5">
        <f>'EV Data'!V86</f>
        <v>153398.99999999997</v>
      </c>
      <c r="BH181" s="5">
        <f>'EV Data'!AB86</f>
        <v>805.99999999999989</v>
      </c>
      <c r="BI181" s="5">
        <f>'EV Data'!W86</f>
        <v>2294.0000000000009</v>
      </c>
      <c r="BJ181" s="5">
        <f t="shared" si="149"/>
        <v>132</v>
      </c>
      <c r="BK181" s="70">
        <f t="shared" si="274"/>
        <v>2.12057393120585</v>
      </c>
      <c r="BL181" s="5">
        <f t="shared" si="275"/>
        <v>17424</v>
      </c>
      <c r="BM181">
        <f t="shared" ref="BM181:CA181" si="315">BM169</f>
        <v>0</v>
      </c>
      <c r="BN181">
        <f t="shared" si="315"/>
        <v>0</v>
      </c>
      <c r="BO181">
        <f t="shared" si="315"/>
        <v>0</v>
      </c>
      <c r="BP181">
        <f t="shared" si="315"/>
        <v>0</v>
      </c>
      <c r="BQ181">
        <f t="shared" si="315"/>
        <v>0</v>
      </c>
      <c r="BR181">
        <f t="shared" si="315"/>
        <v>0</v>
      </c>
      <c r="BS181">
        <f t="shared" si="315"/>
        <v>0</v>
      </c>
      <c r="BT181">
        <f t="shared" si="315"/>
        <v>0</v>
      </c>
      <c r="BU181">
        <f t="shared" si="315"/>
        <v>0</v>
      </c>
      <c r="BV181">
        <f t="shared" si="315"/>
        <v>0</v>
      </c>
      <c r="BW181">
        <f t="shared" si="315"/>
        <v>0</v>
      </c>
      <c r="BX181">
        <f t="shared" si="315"/>
        <v>1</v>
      </c>
      <c r="BY181">
        <f t="shared" si="315"/>
        <v>0</v>
      </c>
      <c r="BZ181">
        <f t="shared" si="315"/>
        <v>0</v>
      </c>
      <c r="CA181">
        <f t="shared" si="315"/>
        <v>0</v>
      </c>
      <c r="CB181">
        <f t="shared" si="130"/>
        <v>31</v>
      </c>
      <c r="CC181">
        <v>19</v>
      </c>
      <c r="CD181">
        <v>0</v>
      </c>
      <c r="CE181">
        <f t="shared" si="264"/>
        <v>0</v>
      </c>
      <c r="CF181">
        <f t="shared" si="265"/>
        <v>0.25</v>
      </c>
      <c r="CG181">
        <v>0</v>
      </c>
      <c r="CH181" s="64">
        <f t="shared" si="277"/>
        <v>0</v>
      </c>
      <c r="CI181" s="64">
        <f t="shared" si="278"/>
        <v>0</v>
      </c>
      <c r="CJ181" s="64">
        <f t="shared" si="279"/>
        <v>0</v>
      </c>
      <c r="CK181" s="64">
        <f t="shared" si="280"/>
        <v>0</v>
      </c>
      <c r="CL181" s="64">
        <f t="shared" si="281"/>
        <v>0</v>
      </c>
      <c r="CM181" s="64">
        <f t="shared" si="282"/>
        <v>0</v>
      </c>
      <c r="CN181" s="64">
        <f t="shared" si="283"/>
        <v>0</v>
      </c>
      <c r="CO181" s="64">
        <f t="shared" si="284"/>
        <v>0</v>
      </c>
      <c r="CP181" s="64">
        <f t="shared" si="285"/>
        <v>0</v>
      </c>
      <c r="CQ181" s="64">
        <f t="shared" si="286"/>
        <v>0</v>
      </c>
      <c r="CR181" s="64">
        <f t="shared" si="287"/>
        <v>0</v>
      </c>
      <c r="CS181" s="64">
        <f t="shared" si="288"/>
        <v>0</v>
      </c>
      <c r="CT181" s="64">
        <f t="shared" si="289"/>
        <v>0</v>
      </c>
      <c r="CU181" s="64">
        <f t="shared" si="290"/>
        <v>0</v>
      </c>
      <c r="CV181" s="69">
        <f t="shared" si="291"/>
        <v>24.390489477365303</v>
      </c>
      <c r="CW181" s="69">
        <f t="shared" si="292"/>
        <v>857.94159172740149</v>
      </c>
      <c r="CX181" s="69">
        <f t="shared" si="293"/>
        <v>3447.648463745049</v>
      </c>
      <c r="CY181" s="69">
        <f t="shared" si="294"/>
        <v>33779.465789473681</v>
      </c>
      <c r="CZ181" s="64">
        <f t="shared" si="295"/>
        <v>2113.0748648759977</v>
      </c>
      <c r="DA181" s="64">
        <f t="shared" si="296"/>
        <v>20703.543548387097</v>
      </c>
      <c r="DB181">
        <f t="shared" si="297"/>
        <v>123.35</v>
      </c>
      <c r="DC181">
        <f t="shared" si="298"/>
        <v>0</v>
      </c>
      <c r="DD181">
        <f t="shared" si="299"/>
        <v>107.85</v>
      </c>
      <c r="DE181">
        <f t="shared" si="300"/>
        <v>0</v>
      </c>
      <c r="DF181">
        <f t="shared" si="301"/>
        <v>92.350000000000009</v>
      </c>
      <c r="DG181">
        <f t="shared" si="302"/>
        <v>0</v>
      </c>
      <c r="DH181">
        <f t="shared" si="303"/>
        <v>76.850000000000023</v>
      </c>
      <c r="DI181">
        <f t="shared" si="304"/>
        <v>0</v>
      </c>
      <c r="DJ181">
        <f t="shared" si="305"/>
        <v>61.350000000000016</v>
      </c>
      <c r="DK181">
        <f t="shared" si="306"/>
        <v>0</v>
      </c>
      <c r="DL181">
        <f t="shared" si="307"/>
        <v>45.975000000000016</v>
      </c>
      <c r="DM181">
        <f t="shared" si="308"/>
        <v>0.125</v>
      </c>
      <c r="DN181">
        <f t="shared" si="309"/>
        <v>31.525000000000002</v>
      </c>
      <c r="DO181">
        <f t="shared" si="310"/>
        <v>1.1749999999999998</v>
      </c>
      <c r="DP181" s="2">
        <f t="shared" si="258"/>
        <v>96</v>
      </c>
      <c r="DQ181" s="2">
        <f t="shared" si="259"/>
        <v>84</v>
      </c>
      <c r="DR181" s="2">
        <f t="shared" si="260"/>
        <v>72</v>
      </c>
      <c r="DS181" s="2">
        <f t="shared" si="261"/>
        <v>60</v>
      </c>
      <c r="DT181" s="2">
        <f t="shared" si="262"/>
        <v>48</v>
      </c>
    </row>
  </sheetData>
  <phoneticPr fontId="29" type="noConversion"/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D257C-15E6-4B5B-AD21-AEBAC188AECA}">
  <sheetPr>
    <tabColor theme="3" tint="0.79998168889431442"/>
  </sheetPr>
  <dimension ref="B1:W56"/>
  <sheetViews>
    <sheetView topLeftCell="A16" workbookViewId="0">
      <selection activeCell="C31" sqref="C31"/>
    </sheetView>
  </sheetViews>
  <sheetFormatPr defaultRowHeight="14.45"/>
  <cols>
    <col min="2" max="3" width="24.5703125" customWidth="1"/>
    <col min="4" max="4" width="12.5703125" bestFit="1" customWidth="1"/>
    <col min="5" max="5" width="19.85546875" customWidth="1"/>
    <col min="6" max="6" width="12.140625" customWidth="1"/>
    <col min="7" max="7" width="13.42578125" bestFit="1" customWidth="1"/>
    <col min="8" max="8" width="10.42578125" customWidth="1"/>
    <col min="9" max="9" width="13.42578125" customWidth="1"/>
    <col min="10" max="10" width="13.28515625" bestFit="1" customWidth="1"/>
    <col min="15" max="15" width="13.85546875" customWidth="1"/>
    <col min="16" max="17" width="10.5703125" customWidth="1"/>
    <col min="18" max="18" width="12.42578125" customWidth="1"/>
    <col min="21" max="21" width="12.42578125" customWidth="1"/>
    <col min="22" max="22" width="9.5703125" bestFit="1" customWidth="1"/>
  </cols>
  <sheetData>
    <row r="1" spans="2:23">
      <c r="F1" s="8" t="s">
        <v>133</v>
      </c>
      <c r="G1" s="8" t="s">
        <v>134</v>
      </c>
      <c r="T1" t="s">
        <v>133</v>
      </c>
      <c r="V1" t="s">
        <v>424</v>
      </c>
    </row>
    <row r="2" spans="2:23">
      <c r="E2" t="s">
        <v>425</v>
      </c>
      <c r="F2" s="6">
        <f>U15</f>
        <v>1788</v>
      </c>
      <c r="G2" s="16">
        <f>W15</f>
        <v>6955</v>
      </c>
      <c r="H2" t="s">
        <v>426</v>
      </c>
      <c r="I2" t="s">
        <v>427</v>
      </c>
      <c r="O2" s="514" t="s">
        <v>428</v>
      </c>
      <c r="P2" s="514"/>
      <c r="Q2" s="514"/>
      <c r="T2" s="370" t="s">
        <v>429</v>
      </c>
      <c r="U2" t="s">
        <v>430</v>
      </c>
      <c r="V2" s="370" t="s">
        <v>429</v>
      </c>
      <c r="W2" t="s">
        <v>430</v>
      </c>
    </row>
    <row r="3" spans="2:23">
      <c r="E3" t="s">
        <v>431</v>
      </c>
      <c r="F3">
        <v>3.4299999999999997E-2</v>
      </c>
      <c r="G3">
        <f>F3</f>
        <v>3.4299999999999997E-2</v>
      </c>
      <c r="H3" t="s">
        <v>432</v>
      </c>
      <c r="I3" t="s">
        <v>433</v>
      </c>
      <c r="O3" t="s">
        <v>158</v>
      </c>
      <c r="P3" s="100">
        <f ca="1">'Weather Data'!BB38</f>
        <v>608.99999999999989</v>
      </c>
      <c r="Q3" s="14">
        <f ca="1">P3/$P$15</f>
        <v>0.21146181161656399</v>
      </c>
      <c r="R3" s="532">
        <f ca="1">SUM(Q3:Q9)</f>
        <v>0.66034218444356574</v>
      </c>
      <c r="T3" s="369">
        <v>419</v>
      </c>
      <c r="U3" s="16">
        <f t="shared" ref="U3:U14" si="0">MAX(T3-$T$9,0)</f>
        <v>368</v>
      </c>
      <c r="V3" s="6">
        <v>1640</v>
      </c>
      <c r="W3" s="16">
        <f>MAX(V3-$V$9,0)</f>
        <v>1491</v>
      </c>
    </row>
    <row r="4" spans="2:23">
      <c r="E4" t="s">
        <v>434</v>
      </c>
      <c r="F4">
        <v>277</v>
      </c>
      <c r="G4">
        <f>F4</f>
        <v>277</v>
      </c>
      <c r="H4" t="s">
        <v>435</v>
      </c>
      <c r="I4" t="s">
        <v>433</v>
      </c>
      <c r="O4" t="s">
        <v>159</v>
      </c>
      <c r="P4" s="100">
        <f ca="1">'Weather Data'!BB39</f>
        <v>539.11355229914102</v>
      </c>
      <c r="Q4" s="14">
        <f t="shared" ref="Q4:Q14" ca="1" si="1">P4/$P$15</f>
        <v>0.18719528478853464</v>
      </c>
      <c r="R4" s="532"/>
      <c r="T4" s="369">
        <v>404</v>
      </c>
      <c r="U4" s="16">
        <f t="shared" si="0"/>
        <v>353</v>
      </c>
      <c r="V4" s="6">
        <v>1463</v>
      </c>
      <c r="W4" s="16">
        <f t="shared" ref="W4:W14" si="2">MAX(V4-$V$9,0)</f>
        <v>1314</v>
      </c>
    </row>
    <row r="5" spans="2:23">
      <c r="E5" t="s">
        <v>436</v>
      </c>
      <c r="F5">
        <f>F3*F4</f>
        <v>9.5010999999999992</v>
      </c>
      <c r="G5">
        <f>G3*G4</f>
        <v>9.5010999999999992</v>
      </c>
      <c r="H5" t="s">
        <v>437</v>
      </c>
      <c r="O5" t="s">
        <v>160</v>
      </c>
      <c r="P5" s="100">
        <f ca="1">'Weather Data'!BB40</f>
        <v>434.46355229914104</v>
      </c>
      <c r="Q5" s="14">
        <f t="shared" ca="1" si="1"/>
        <v>0.15085788152798715</v>
      </c>
      <c r="R5" s="532"/>
      <c r="T5" s="369">
        <v>354</v>
      </c>
      <c r="U5" s="16">
        <f t="shared" si="0"/>
        <v>303</v>
      </c>
      <c r="V5" s="6">
        <v>1262</v>
      </c>
      <c r="W5" s="16">
        <f t="shared" si="2"/>
        <v>1113</v>
      </c>
    </row>
    <row r="6" spans="2:23">
      <c r="E6" t="s">
        <v>438</v>
      </c>
      <c r="F6" s="367">
        <f>F2*F5</f>
        <v>16987.966799999998</v>
      </c>
      <c r="G6" s="367">
        <f>G2*G5</f>
        <v>66080.150499999989</v>
      </c>
      <c r="H6" t="s">
        <v>439</v>
      </c>
      <c r="J6" s="16"/>
      <c r="O6" t="s">
        <v>161</v>
      </c>
      <c r="P6" s="100">
        <f ca="1">'Weather Data'!BB41</f>
        <v>238.61000000000004</v>
      </c>
      <c r="Q6" s="14">
        <f t="shared" ca="1" si="1"/>
        <v>8.2852057257517819E-2</v>
      </c>
      <c r="R6" s="532"/>
      <c r="T6" s="369">
        <v>252</v>
      </c>
      <c r="U6" s="16">
        <f t="shared" si="0"/>
        <v>201</v>
      </c>
      <c r="V6" s="6">
        <v>679</v>
      </c>
      <c r="W6" s="16">
        <f t="shared" si="2"/>
        <v>530</v>
      </c>
    </row>
    <row r="7" spans="2:23">
      <c r="O7" t="s">
        <v>68</v>
      </c>
      <c r="P7" s="100">
        <f ca="1">'Weather Data'!BB42</f>
        <v>77.693552299140975</v>
      </c>
      <c r="Q7" s="14">
        <f t="shared" ca="1" si="1"/>
        <v>2.6977371625784258E-2</v>
      </c>
      <c r="R7" s="532"/>
      <c r="T7" s="369">
        <v>158</v>
      </c>
      <c r="U7" s="16">
        <f t="shared" si="0"/>
        <v>107</v>
      </c>
      <c r="V7" s="6">
        <v>331</v>
      </c>
      <c r="W7" s="16">
        <f t="shared" si="2"/>
        <v>182</v>
      </c>
    </row>
    <row r="8" spans="2:23">
      <c r="O8" t="s">
        <v>153</v>
      </c>
      <c r="P8" s="100">
        <f ca="1">'Weather Data'!BB43</f>
        <v>2.8535522991409801</v>
      </c>
      <c r="Q8" s="14">
        <f t="shared" ca="1" si="1"/>
        <v>9.9083306850404444E-4</v>
      </c>
      <c r="R8" s="532"/>
      <c r="T8" s="369">
        <v>69</v>
      </c>
      <c r="U8" s="16">
        <f t="shared" si="0"/>
        <v>18</v>
      </c>
      <c r="V8" s="6">
        <v>82</v>
      </c>
      <c r="W8" s="16">
        <f t="shared" si="2"/>
        <v>0</v>
      </c>
    </row>
    <row r="9" spans="2:23">
      <c r="B9" s="224" t="s">
        <v>133</v>
      </c>
      <c r="C9" s="224"/>
      <c r="D9">
        <v>2022</v>
      </c>
      <c r="E9">
        <v>2023</v>
      </c>
      <c r="F9">
        <v>2024</v>
      </c>
      <c r="G9">
        <v>2025</v>
      </c>
      <c r="O9" t="s">
        <v>154</v>
      </c>
      <c r="P9" s="100">
        <f ca="1">'Weather Data'!BB44</f>
        <v>1.9999999999999928E-2</v>
      </c>
      <c r="Q9" s="14">
        <f t="shared" ca="1" si="1"/>
        <v>6.9445586737787603E-6</v>
      </c>
      <c r="R9" s="532"/>
      <c r="T9" s="369">
        <v>51</v>
      </c>
      <c r="U9" s="16">
        <f t="shared" si="0"/>
        <v>0</v>
      </c>
      <c r="V9" s="6">
        <v>149</v>
      </c>
      <c r="W9" s="16">
        <f t="shared" si="2"/>
        <v>0</v>
      </c>
    </row>
    <row r="10" spans="2:23">
      <c r="B10" t="s">
        <v>440</v>
      </c>
      <c r="C10" s="4">
        <f>'Connection Count'!C11</f>
        <v>28511.916666666668</v>
      </c>
      <c r="D10" s="6">
        <f>'Connection Count'!C12</f>
        <v>28745.333333333332</v>
      </c>
      <c r="E10" s="6">
        <f>'Connection Count'!C13</f>
        <v>28911.5</v>
      </c>
      <c r="F10" s="6">
        <f>'Connection Count'!C14</f>
        <v>29181.624519563167</v>
      </c>
      <c r="G10" s="6">
        <f>'Connection Count'!C15</f>
        <v>29454.272853389488</v>
      </c>
      <c r="O10" t="s">
        <v>155</v>
      </c>
      <c r="P10" s="100">
        <f ca="1">'Weather Data'!BB45</f>
        <v>0.49999999999999983</v>
      </c>
      <c r="Q10" s="14">
        <f t="shared" ca="1" si="1"/>
        <v>1.7361396684446959E-4</v>
      </c>
      <c r="R10" s="532">
        <f ca="1">SUM(Q10:Q14)</f>
        <v>0.33965781555643426</v>
      </c>
      <c r="T10" s="369">
        <v>54</v>
      </c>
      <c r="U10" s="16">
        <f t="shared" si="0"/>
        <v>3</v>
      </c>
      <c r="V10" s="6">
        <v>166</v>
      </c>
      <c r="W10" s="16">
        <f t="shared" si="2"/>
        <v>17</v>
      </c>
    </row>
    <row r="11" spans="2:23">
      <c r="B11" t="s">
        <v>441</v>
      </c>
      <c r="D11" s="6">
        <f>D10-C10</f>
        <v>233.41666666666424</v>
      </c>
      <c r="E11" s="6">
        <f>E10-D10</f>
        <v>166.16666666666788</v>
      </c>
      <c r="F11" s="6">
        <f>F10-E10</f>
        <v>270.12451956316727</v>
      </c>
      <c r="G11" s="6">
        <f>G10-F10</f>
        <v>272.6483338263206</v>
      </c>
      <c r="H11" s="6"/>
      <c r="O11" t="s">
        <v>162</v>
      </c>
      <c r="P11" s="100">
        <f ca="1">'Weather Data'!BB46</f>
        <v>17.56355229914098</v>
      </c>
      <c r="Q11" s="14">
        <f t="shared" ca="1" si="1"/>
        <v>6.0985559730683415E-3</v>
      </c>
      <c r="R11" s="532"/>
      <c r="T11" s="369">
        <v>58</v>
      </c>
      <c r="U11" s="16">
        <f t="shared" si="0"/>
        <v>7</v>
      </c>
      <c r="V11" s="6">
        <v>193</v>
      </c>
      <c r="W11" s="16">
        <f t="shared" si="2"/>
        <v>44</v>
      </c>
    </row>
    <row r="12" spans="2:23">
      <c r="B12" t="s">
        <v>442</v>
      </c>
      <c r="D12" s="15">
        <v>5.0000000000000001E-3</v>
      </c>
      <c r="E12" s="15">
        <v>5.0000000000000001E-3</v>
      </c>
      <c r="F12" s="15">
        <f>E12</f>
        <v>5.0000000000000001E-3</v>
      </c>
      <c r="G12" s="15">
        <f>F12</f>
        <v>5.0000000000000001E-3</v>
      </c>
      <c r="O12" t="s">
        <v>163</v>
      </c>
      <c r="P12" s="100">
        <f ca="1">'Weather Data'!BB47</f>
        <v>143.81420919656392</v>
      </c>
      <c r="Q12" s="14">
        <f t="shared" ca="1" si="1"/>
        <v>4.9936310694431739E-2</v>
      </c>
      <c r="R12" s="532"/>
      <c r="T12" s="369">
        <v>91</v>
      </c>
      <c r="U12" s="16">
        <f t="shared" si="0"/>
        <v>40</v>
      </c>
      <c r="V12" s="6">
        <v>407</v>
      </c>
      <c r="W12" s="16">
        <f t="shared" si="2"/>
        <v>258</v>
      </c>
    </row>
    <row r="13" spans="2:23">
      <c r="B13" t="s">
        <v>443</v>
      </c>
      <c r="D13" s="304">
        <v>0.15</v>
      </c>
      <c r="E13" s="304">
        <v>0.15</v>
      </c>
      <c r="F13" s="304">
        <f>E13</f>
        <v>0.15</v>
      </c>
      <c r="G13" s="304">
        <f>F13</f>
        <v>0.15</v>
      </c>
      <c r="O13" t="s">
        <v>164</v>
      </c>
      <c r="P13" s="100">
        <f ca="1">'Weather Data'!BB48</f>
        <v>344.55065689742298</v>
      </c>
      <c r="Q13" s="14">
        <f t="shared" ca="1" si="1"/>
        <v>0.11963761264565886</v>
      </c>
      <c r="R13" s="532"/>
      <c r="T13" s="369">
        <v>174</v>
      </c>
      <c r="U13" s="16">
        <f t="shared" si="0"/>
        <v>123</v>
      </c>
      <c r="V13" s="6">
        <v>919</v>
      </c>
      <c r="W13" s="16">
        <f t="shared" si="2"/>
        <v>770</v>
      </c>
    </row>
    <row r="14" spans="2:23">
      <c r="B14" t="s">
        <v>444</v>
      </c>
      <c r="D14" s="6">
        <f>D12*(D10-D11)</f>
        <v>142.55958333333334</v>
      </c>
      <c r="E14" s="6">
        <f t="shared" ref="E14:G14" si="3">E12*(E10-E11)</f>
        <v>143.72666666666666</v>
      </c>
      <c r="F14" s="6">
        <f t="shared" si="3"/>
        <v>144.5575</v>
      </c>
      <c r="G14" s="6">
        <f t="shared" si="3"/>
        <v>145.90812259781583</v>
      </c>
      <c r="O14" t="s">
        <v>165</v>
      </c>
      <c r="P14" s="100">
        <f ca="1">'Weather Data'!BB49</f>
        <v>471.77</v>
      </c>
      <c r="Q14" s="14">
        <f t="shared" ca="1" si="1"/>
        <v>0.16381172227643087</v>
      </c>
      <c r="R14" s="532"/>
      <c r="T14" s="369">
        <v>316</v>
      </c>
      <c r="U14" s="16">
        <f t="shared" si="0"/>
        <v>265</v>
      </c>
      <c r="V14" s="6">
        <v>1385</v>
      </c>
      <c r="W14" s="16">
        <f t="shared" si="2"/>
        <v>1236</v>
      </c>
    </row>
    <row r="15" spans="2:23">
      <c r="B15" t="s">
        <v>445</v>
      </c>
      <c r="D15" s="6">
        <f>D13*D11</f>
        <v>35.012499999999633</v>
      </c>
      <c r="E15" s="6">
        <f>E13*E11</f>
        <v>24.925000000000182</v>
      </c>
      <c r="F15" s="6">
        <f t="shared" ref="F15:G15" si="4">F13*F11</f>
        <v>40.518677934475086</v>
      </c>
      <c r="G15" s="6">
        <f t="shared" si="4"/>
        <v>40.897250073948086</v>
      </c>
      <c r="O15" t="s">
        <v>140</v>
      </c>
      <c r="P15" s="500">
        <f ca="1">SUM(P3:P14)</f>
        <v>2879.9526275896919</v>
      </c>
      <c r="Q15" s="368">
        <f ca="1">SUM(Q3:Q14)</f>
        <v>1</v>
      </c>
      <c r="T15" s="6">
        <f>SUM(T3:T14)</f>
        <v>2400</v>
      </c>
      <c r="U15" s="6">
        <f>SUM(U3:U14)</f>
        <v>1788</v>
      </c>
      <c r="V15" s="6">
        <f>SUM(V3:V14)</f>
        <v>8676</v>
      </c>
      <c r="W15" s="6">
        <f>SUM(W3:W14)</f>
        <v>6955</v>
      </c>
    </row>
    <row r="16" spans="2:23">
      <c r="B16" t="s">
        <v>446</v>
      </c>
      <c r="D16" s="6">
        <f>D14+D15</f>
        <v>177.57208333333296</v>
      </c>
      <c r="E16" s="6">
        <f>E14+E15</f>
        <v>168.65166666666684</v>
      </c>
      <c r="F16" s="6">
        <f>F14+F15</f>
        <v>185.07617793447508</v>
      </c>
      <c r="G16" s="6">
        <f>G14+G15</f>
        <v>186.80537267176391</v>
      </c>
      <c r="I16" t="s">
        <v>447</v>
      </c>
    </row>
    <row r="17" spans="2:13">
      <c r="B17" t="s">
        <v>439</v>
      </c>
      <c r="D17" s="6">
        <f>$F$6</f>
        <v>16987.966799999998</v>
      </c>
      <c r="E17" s="6">
        <f>$F$6</f>
        <v>16987.966799999998</v>
      </c>
      <c r="F17" s="6">
        <f>$F$6</f>
        <v>16987.966799999998</v>
      </c>
      <c r="G17" s="6">
        <f>$F$6</f>
        <v>16987.966799999998</v>
      </c>
      <c r="I17">
        <v>2024</v>
      </c>
      <c r="J17">
        <v>2025</v>
      </c>
    </row>
    <row r="18" spans="2:13">
      <c r="B18" t="s">
        <v>448</v>
      </c>
      <c r="D18" s="6">
        <f>D16*D17</f>
        <v>3016588.6562734931</v>
      </c>
      <c r="E18" s="6">
        <f>E16*E17</f>
        <v>2865048.9140980025</v>
      </c>
      <c r="F18" s="6">
        <f>F16*F17</f>
        <v>3144067.9662217549</v>
      </c>
      <c r="G18" s="6">
        <f>G16*G17</f>
        <v>3173443.4690095522</v>
      </c>
      <c r="I18" s="6">
        <f ca="1">E18*$R$3+F18*$R$10</f>
        <v>2959819.9158409829</v>
      </c>
      <c r="J18" s="6">
        <f ca="1">F18*$R$3+G18*$R$10</f>
        <v>3154045.5853295298</v>
      </c>
    </row>
    <row r="19" spans="2:13">
      <c r="D19" s="6"/>
      <c r="E19" s="6"/>
      <c r="F19" s="6"/>
      <c r="G19" s="6"/>
    </row>
    <row r="20" spans="2:13">
      <c r="B20" s="224" t="s">
        <v>134</v>
      </c>
      <c r="C20" s="224"/>
      <c r="D20" s="6"/>
      <c r="E20" s="6"/>
      <c r="F20" s="6"/>
      <c r="G20" s="6"/>
    </row>
    <row r="21" spans="2:13">
      <c r="B21" t="s">
        <v>440</v>
      </c>
      <c r="C21" s="6">
        <f>'Connection Count'!G11</f>
        <v>2039.5833333333333</v>
      </c>
      <c r="D21" s="6">
        <f>'Connection Count'!G12</f>
        <v>2065.0833333333335</v>
      </c>
      <c r="E21" s="6">
        <f>'Connection Count'!G13</f>
        <v>2062.25</v>
      </c>
      <c r="F21" s="6">
        <f>'Connection Count'!G14</f>
        <v>2079.9290063577705</v>
      </c>
      <c r="G21" s="6">
        <f>'Connection Count'!G15</f>
        <v>2097.7595691542842</v>
      </c>
    </row>
    <row r="22" spans="2:13">
      <c r="B22" t="s">
        <v>441</v>
      </c>
      <c r="D22" s="6">
        <f>D21-C21</f>
        <v>25.500000000000227</v>
      </c>
      <c r="E22" s="6">
        <f>E21-D21</f>
        <v>-2.8333333333334849</v>
      </c>
      <c r="F22" s="6">
        <f>F21-E21</f>
        <v>17.679006357770504</v>
      </c>
      <c r="G22" s="6">
        <f>G21-F21</f>
        <v>17.830562796513732</v>
      </c>
    </row>
    <row r="23" spans="2:13">
      <c r="B23" t="s">
        <v>442</v>
      </c>
      <c r="D23" s="74">
        <v>5.0000000000000001E-3</v>
      </c>
      <c r="E23" s="74">
        <v>5.0000000000000001E-3</v>
      </c>
      <c r="F23" s="74">
        <f>E23</f>
        <v>5.0000000000000001E-3</v>
      </c>
      <c r="G23" s="74">
        <f>F23</f>
        <v>5.0000000000000001E-3</v>
      </c>
    </row>
    <row r="24" spans="2:13">
      <c r="B24" t="s">
        <v>443</v>
      </c>
      <c r="D24" s="304">
        <v>0.15</v>
      </c>
      <c r="E24" s="304">
        <f>D24</f>
        <v>0.15</v>
      </c>
      <c r="F24" s="304">
        <f>E24</f>
        <v>0.15</v>
      </c>
      <c r="G24" s="304">
        <f>F24</f>
        <v>0.15</v>
      </c>
    </row>
    <row r="25" spans="2:13">
      <c r="B25" t="s">
        <v>444</v>
      </c>
      <c r="D25" s="6">
        <f>D23*(D21-D22)</f>
        <v>10.197916666666666</v>
      </c>
      <c r="E25" s="6">
        <f t="shared" ref="E25:G25" si="5">E23*(E21-E22)</f>
        <v>10.325416666666667</v>
      </c>
      <c r="F25" s="6">
        <f t="shared" si="5"/>
        <v>10.311249999999999</v>
      </c>
      <c r="G25" s="6">
        <f t="shared" si="5"/>
        <v>10.399645031788852</v>
      </c>
    </row>
    <row r="26" spans="2:13">
      <c r="B26" t="s">
        <v>445</v>
      </c>
      <c r="D26" s="6">
        <f>MAX(D24*D22,0)</f>
        <v>3.8250000000000339</v>
      </c>
      <c r="E26" s="6">
        <f t="shared" ref="E26:G26" si="6">MAX(E24*E22,0)</f>
        <v>0</v>
      </c>
      <c r="F26" s="6">
        <f t="shared" si="6"/>
        <v>2.6518509536655754</v>
      </c>
      <c r="G26" s="6">
        <f t="shared" si="6"/>
        <v>2.6745844194770596</v>
      </c>
    </row>
    <row r="27" spans="2:13">
      <c r="B27" t="s">
        <v>446</v>
      </c>
      <c r="D27" s="6">
        <f>D25+D26</f>
        <v>14.022916666666699</v>
      </c>
      <c r="E27" s="6">
        <f>E25+E26</f>
        <v>10.325416666666667</v>
      </c>
      <c r="F27" s="6">
        <f>F25+F26</f>
        <v>12.963100953665574</v>
      </c>
      <c r="G27" s="6">
        <f>G25+G26</f>
        <v>13.074229451265911</v>
      </c>
      <c r="I27" t="s">
        <v>447</v>
      </c>
    </row>
    <row r="28" spans="2:13">
      <c r="B28" t="s">
        <v>439</v>
      </c>
      <c r="D28" s="6">
        <f>F6</f>
        <v>16987.966799999998</v>
      </c>
      <c r="E28" s="6">
        <f>G6</f>
        <v>66080.150499999989</v>
      </c>
      <c r="F28" s="6">
        <f>E28</f>
        <v>66080.150499999989</v>
      </c>
      <c r="G28" s="6">
        <f>F28</f>
        <v>66080.150499999989</v>
      </c>
      <c r="I28">
        <v>2024</v>
      </c>
      <c r="J28">
        <v>2025</v>
      </c>
    </row>
    <row r="29" spans="2:13">
      <c r="B29" t="s">
        <v>448</v>
      </c>
      <c r="D29" s="6">
        <f>D27*D28</f>
        <v>238220.84277250053</v>
      </c>
      <c r="E29" s="6">
        <f>E27*E28</f>
        <v>682305.08730854164</v>
      </c>
      <c r="F29" s="6">
        <f>F27*F28</f>
        <v>856603.66196491453</v>
      </c>
      <c r="G29" s="6">
        <f>G27*G28</f>
        <v>863947.04981118371</v>
      </c>
      <c r="I29" s="6">
        <f ca="1">E29*$R$3+F29*$R$10</f>
        <v>741506.96043092525</v>
      </c>
      <c r="J29" s="6">
        <f ca="1">F29*$R$3+G29*$R$10</f>
        <v>859097.90103956196</v>
      </c>
    </row>
    <row r="30" spans="2:13">
      <c r="D30" s="6"/>
      <c r="E30" s="304"/>
      <c r="F30" s="304"/>
      <c r="G30" s="304"/>
    </row>
    <row r="32" spans="2:13">
      <c r="D32" t="s">
        <v>449</v>
      </c>
      <c r="E32" t="s">
        <v>450</v>
      </c>
      <c r="F32" t="s">
        <v>451</v>
      </c>
      <c r="G32" t="s">
        <v>368</v>
      </c>
      <c r="H32" t="s">
        <v>452</v>
      </c>
      <c r="M32" s="8" t="s">
        <v>453</v>
      </c>
    </row>
    <row r="33" spans="2:14">
      <c r="B33" s="224" t="s">
        <v>454</v>
      </c>
      <c r="C33" s="224"/>
      <c r="I33">
        <v>2025</v>
      </c>
      <c r="K33" t="str">
        <f t="shared" ref="K33:K44" si="7">O3</f>
        <v>January</v>
      </c>
      <c r="L33" s="15">
        <f t="shared" ref="L33:L44" ca="1" si="8">Q3</f>
        <v>0.21146181161656399</v>
      </c>
      <c r="M33" s="371">
        <f>E34</f>
        <v>1800</v>
      </c>
    </row>
    <row r="34" spans="2:14">
      <c r="B34" t="s">
        <v>455</v>
      </c>
      <c r="D34" s="6">
        <v>2000</v>
      </c>
      <c r="E34" s="294">
        <f>D34*0.9</f>
        <v>1800</v>
      </c>
      <c r="F34" t="s">
        <v>456</v>
      </c>
      <c r="G34" s="15">
        <f ca="1">Q3</f>
        <v>0.21146181161656399</v>
      </c>
      <c r="H34" s="369">
        <f ca="1">E34*G34*8760</f>
        <v>3334329.8455699808</v>
      </c>
      <c r="I34" s="16">
        <f ca="1">H34*R10</f>
        <v>1132531.1916909225</v>
      </c>
      <c r="K34" t="str">
        <f t="shared" si="7"/>
        <v>February</v>
      </c>
      <c r="L34" s="15">
        <f t="shared" ca="1" si="8"/>
        <v>0.18719528478853464</v>
      </c>
      <c r="M34" s="371">
        <f t="shared" ref="M34:M44" ca="1" si="9">$E$34*L34/$L$33</f>
        <v>1593.4390708348999</v>
      </c>
    </row>
    <row r="35" spans="2:14">
      <c r="K35" t="str">
        <f t="shared" si="7"/>
        <v>March</v>
      </c>
      <c r="L35" s="15">
        <f t="shared" ca="1" si="8"/>
        <v>0.15085788152798715</v>
      </c>
      <c r="M35" s="371">
        <f t="shared" ca="1" si="9"/>
        <v>1284.1287260073136</v>
      </c>
    </row>
    <row r="36" spans="2:14">
      <c r="E36" s="501"/>
      <c r="H36" s="465">
        <f ca="1">H34/8760</f>
        <v>380.63126090981518</v>
      </c>
      <c r="K36" t="str">
        <f t="shared" si="7"/>
        <v>April</v>
      </c>
      <c r="L36" s="15">
        <f t="shared" ca="1" si="8"/>
        <v>8.2852057257517819E-2</v>
      </c>
      <c r="M36" s="371">
        <f t="shared" ca="1" si="9"/>
        <v>705.25123152709375</v>
      </c>
    </row>
    <row r="37" spans="2:14">
      <c r="K37" t="str">
        <f t="shared" si="7"/>
        <v>May</v>
      </c>
      <c r="L37" s="15">
        <f t="shared" ca="1" si="8"/>
        <v>2.6977371625784258E-2</v>
      </c>
      <c r="M37" s="371">
        <f t="shared" ca="1" si="9"/>
        <v>229.63611516987481</v>
      </c>
    </row>
    <row r="38" spans="2:14">
      <c r="K38" t="str">
        <f t="shared" si="7"/>
        <v>June</v>
      </c>
      <c r="L38" s="15">
        <f t="shared" ca="1" si="8"/>
        <v>9.9083306850404444E-4</v>
      </c>
      <c r="M38" s="371">
        <f t="shared" ca="1" si="9"/>
        <v>8.434144726525064</v>
      </c>
    </row>
    <row r="39" spans="2:14">
      <c r="K39" t="str">
        <f t="shared" si="7"/>
        <v>July</v>
      </c>
      <c r="L39" s="15">
        <f t="shared" ca="1" si="8"/>
        <v>6.9445586737787603E-6</v>
      </c>
      <c r="M39" s="371">
        <f t="shared" ca="1" si="9"/>
        <v>5.9113300492610626E-2</v>
      </c>
    </row>
    <row r="40" spans="2:14">
      <c r="K40" t="str">
        <f t="shared" si="7"/>
        <v>August</v>
      </c>
      <c r="L40" s="15">
        <f t="shared" ca="1" si="8"/>
        <v>1.7361396684446959E-4</v>
      </c>
      <c r="M40" s="371">
        <f t="shared" ca="1" si="9"/>
        <v>1.4778325123152709</v>
      </c>
    </row>
    <row r="41" spans="2:14">
      <c r="D41">
        <v>2022</v>
      </c>
      <c r="E41">
        <v>2023</v>
      </c>
      <c r="F41">
        <v>2024</v>
      </c>
      <c r="G41">
        <v>2025</v>
      </c>
      <c r="H41">
        <v>2026</v>
      </c>
      <c r="K41" t="str">
        <f t="shared" si="7"/>
        <v>September</v>
      </c>
      <c r="L41" s="15">
        <f t="shared" ca="1" si="8"/>
        <v>6.0985559730683415E-3</v>
      </c>
      <c r="M41" s="372">
        <f t="shared" ca="1" si="9"/>
        <v>51.911977238840343</v>
      </c>
      <c r="N41" s="533" t="str">
        <f>F34</f>
        <v>Fall 2025</v>
      </c>
    </row>
    <row r="42" spans="2:14">
      <c r="B42" t="s">
        <v>457</v>
      </c>
      <c r="D42" s="16">
        <f t="shared" ref="D42:E42" si="10">D18</f>
        <v>3016588.6562734931</v>
      </c>
      <c r="E42" s="16">
        <f t="shared" si="10"/>
        <v>2865048.9140980025</v>
      </c>
      <c r="F42" s="16">
        <f>F18</f>
        <v>3144067.9662217549</v>
      </c>
      <c r="G42" s="16">
        <f>G18</f>
        <v>3173443.4690095522</v>
      </c>
      <c r="K42" t="str">
        <f t="shared" si="7"/>
        <v>October</v>
      </c>
      <c r="L42" s="15">
        <f t="shared" ca="1" si="8"/>
        <v>4.9936310694431739E-2</v>
      </c>
      <c r="M42" s="372">
        <f t="shared" ca="1" si="9"/>
        <v>425.06662816718404</v>
      </c>
      <c r="N42" s="533"/>
    </row>
    <row r="43" spans="2:14">
      <c r="B43" t="s">
        <v>458</v>
      </c>
      <c r="D43" s="6">
        <f ca="1">C42*$R$3</f>
        <v>0</v>
      </c>
      <c r="E43" s="6">
        <f ca="1">D42*$R$3</f>
        <v>1991980.742851319</v>
      </c>
      <c r="F43" s="6">
        <f ca="1">E42*$R$3</f>
        <v>1891912.6584731408</v>
      </c>
      <c r="G43" s="6">
        <f ca="1">F42*$R$3</f>
        <v>2076160.7088539128</v>
      </c>
      <c r="H43" s="6">
        <f ca="1">G42*$R$3</f>
        <v>2095558.5925339349</v>
      </c>
      <c r="K43" t="str">
        <f t="shared" si="7"/>
        <v>November</v>
      </c>
      <c r="L43" s="15">
        <f t="shared" ca="1" si="8"/>
        <v>0.11963761264565886</v>
      </c>
      <c r="M43" s="372">
        <f t="shared" ca="1" si="9"/>
        <v>1018.3763258051912</v>
      </c>
      <c r="N43" s="533"/>
    </row>
    <row r="44" spans="2:14">
      <c r="B44" t="s">
        <v>459</v>
      </c>
      <c r="D44" s="6">
        <f t="shared" ref="D44" ca="1" si="11">D42*$R$10</f>
        <v>1024607.9134221739</v>
      </c>
      <c r="E44" s="6">
        <f t="shared" ref="E44" ca="1" si="12">E42*$R$10</f>
        <v>973136.25562486157</v>
      </c>
      <c r="F44" s="6">
        <f ca="1">F42*$R$10</f>
        <v>1067907.2573678421</v>
      </c>
      <c r="G44" s="6">
        <f ca="1">G42*$R$10</f>
        <v>1077884.8764756173</v>
      </c>
      <c r="K44" t="str">
        <f t="shared" si="7"/>
        <v>December</v>
      </c>
      <c r="L44" s="15">
        <f t="shared" ca="1" si="8"/>
        <v>0.16381172227643087</v>
      </c>
      <c r="M44" s="372">
        <f t="shared" ca="1" si="9"/>
        <v>1394.3940886699509</v>
      </c>
      <c r="N44" s="533"/>
    </row>
    <row r="45" spans="2:14">
      <c r="B45" s="224" t="s">
        <v>460</v>
      </c>
      <c r="C45" s="224"/>
      <c r="D45" s="261">
        <f t="shared" ref="D45:E45" ca="1" si="13">D43+D44</f>
        <v>1024607.9134221739</v>
      </c>
      <c r="E45" s="261">
        <f t="shared" ca="1" si="13"/>
        <v>2965116.9984761807</v>
      </c>
      <c r="F45" s="261">
        <f ca="1">F43+F44</f>
        <v>2959819.9158409829</v>
      </c>
      <c r="G45" s="261">
        <f ca="1">G43+G44</f>
        <v>3154045.5853295298</v>
      </c>
      <c r="H45" s="16"/>
      <c r="K45" t="s">
        <v>140</v>
      </c>
      <c r="M45" s="372">
        <f ca="1">SUM(M41:M44)</f>
        <v>2889.7490198811665</v>
      </c>
    </row>
    <row r="46" spans="2:14">
      <c r="B46" t="s">
        <v>270</v>
      </c>
      <c r="D46" s="16">
        <f t="shared" ref="D46" si="14">D29</f>
        <v>238220.84277250053</v>
      </c>
      <c r="E46" s="16">
        <f t="shared" ref="E46" si="15">E29</f>
        <v>682305.08730854164</v>
      </c>
      <c r="F46" s="16">
        <f>F29</f>
        <v>856603.66196491453</v>
      </c>
      <c r="G46" s="16">
        <f>G29</f>
        <v>863947.04981118371</v>
      </c>
    </row>
    <row r="47" spans="2:14">
      <c r="B47" t="s">
        <v>458</v>
      </c>
      <c r="D47" s="6">
        <f ca="1">C46*$R$3</f>
        <v>0</v>
      </c>
      <c r="E47" s="6">
        <f ca="1">D46*$R$3</f>
        <v>157307.27169638022</v>
      </c>
      <c r="F47" s="6">
        <f ca="1">E46*$R$3</f>
        <v>450554.83181028021</v>
      </c>
      <c r="G47" s="6">
        <f ca="1">F46*$R$3</f>
        <v>565651.53334426938</v>
      </c>
      <c r="H47" s="6">
        <f ca="1">G46*$R$3</f>
        <v>570500.68211589113</v>
      </c>
    </row>
    <row r="48" spans="2:14">
      <c r="B48" t="s">
        <v>459</v>
      </c>
      <c r="D48" s="6">
        <f t="shared" ref="D48" ca="1" si="16">D46*$R$10</f>
        <v>80913.571076120308</v>
      </c>
      <c r="E48" s="6">
        <f t="shared" ref="E48" ca="1" si="17">E46*$R$10</f>
        <v>231750.25549826142</v>
      </c>
      <c r="F48" s="6">
        <f t="shared" ref="F48:G48" ca="1" si="18">F46*$R$10</f>
        <v>290952.12862064509</v>
      </c>
      <c r="G48" s="6">
        <f t="shared" ca="1" si="18"/>
        <v>293446.36769529257</v>
      </c>
    </row>
    <row r="49" spans="2:7">
      <c r="B49" s="224" t="s">
        <v>460</v>
      </c>
      <c r="C49" s="224"/>
      <c r="D49" s="261">
        <f t="shared" ref="D49:E49" ca="1" si="19">D47+D48</f>
        <v>80913.571076120308</v>
      </c>
      <c r="E49" s="261">
        <f t="shared" ca="1" si="19"/>
        <v>389057.52719464165</v>
      </c>
      <c r="F49" s="261">
        <f ca="1">F47+F48</f>
        <v>741506.96043092525</v>
      </c>
      <c r="G49" s="261">
        <f ca="1">G47+G48</f>
        <v>859097.90103956196</v>
      </c>
    </row>
    <row r="53" spans="2:7">
      <c r="D53" t="s">
        <v>421</v>
      </c>
      <c r="E53" t="s">
        <v>422</v>
      </c>
      <c r="F53" s="8" t="s">
        <v>423</v>
      </c>
    </row>
    <row r="54" spans="2:7">
      <c r="C54" t="s">
        <v>133</v>
      </c>
      <c r="D54" s="497">
        <f ca="1">F45</f>
        <v>2959819.9158409829</v>
      </c>
      <c r="E54" s="497">
        <f ca="1">G45</f>
        <v>3154045.5853295298</v>
      </c>
      <c r="F54" s="497">
        <f ca="1">D54+E54</f>
        <v>6113865.5011705123</v>
      </c>
    </row>
    <row r="55" spans="2:7">
      <c r="C55" t="s">
        <v>461</v>
      </c>
      <c r="D55" s="497">
        <f ca="1">F49</f>
        <v>741506.96043092525</v>
      </c>
      <c r="E55" s="497">
        <f ca="1">G49</f>
        <v>859097.90103956196</v>
      </c>
      <c r="F55" s="497">
        <f t="shared" ref="F55" ca="1" si="20">D55+E55</f>
        <v>1600604.8614704872</v>
      </c>
    </row>
    <row r="56" spans="2:7">
      <c r="C56" t="s">
        <v>140</v>
      </c>
      <c r="D56" s="498">
        <f ca="1">SUM(D54:D55)</f>
        <v>3701326.8762719082</v>
      </c>
      <c r="E56" s="498">
        <f ca="1">SUM(E54:E55)</f>
        <v>4013143.486369092</v>
      </c>
      <c r="F56" s="498">
        <f t="shared" ref="F56" ca="1" si="21">D56*2+E56</f>
        <v>11415797.238912908</v>
      </c>
    </row>
  </sheetData>
  <mergeCells count="4">
    <mergeCell ref="O2:Q2"/>
    <mergeCell ref="R3:R9"/>
    <mergeCell ref="R10:R14"/>
    <mergeCell ref="N41:N44"/>
  </mergeCells>
  <phoneticPr fontId="29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97397-92AE-4E14-B92F-5F2A6C7AF724}">
  <sheetPr>
    <tabColor theme="3" tint="0.79998168889431442"/>
  </sheetPr>
  <dimension ref="B1:K21"/>
  <sheetViews>
    <sheetView workbookViewId="0">
      <selection activeCell="C17" sqref="C17:I21"/>
    </sheetView>
  </sheetViews>
  <sheetFormatPr defaultRowHeight="14.45"/>
  <cols>
    <col min="2" max="2" width="6.85546875" customWidth="1"/>
    <col min="3" max="3" width="12.85546875" customWidth="1"/>
    <col min="4" max="5" width="15.7109375" customWidth="1"/>
    <col min="6" max="7" width="14.140625" style="8" customWidth="1"/>
    <col min="8" max="8" width="12.5703125" customWidth="1"/>
    <col min="9" max="9" width="11.5703125" bestFit="1" customWidth="1"/>
    <col min="11" max="11" width="12.5703125" customWidth="1"/>
    <col min="13" max="13" width="16.28515625" bestFit="1" customWidth="1"/>
  </cols>
  <sheetData>
    <row r="1" spans="2:9" ht="15" thickBot="1"/>
    <row r="2" spans="2:9">
      <c r="B2" s="352"/>
      <c r="C2" s="353"/>
      <c r="D2" s="542" t="s">
        <v>462</v>
      </c>
      <c r="E2" s="543"/>
      <c r="F2" s="534" t="s">
        <v>463</v>
      </c>
      <c r="G2" s="535"/>
      <c r="H2" s="544" t="s">
        <v>464</v>
      </c>
    </row>
    <row r="3" spans="2:9" ht="29.1">
      <c r="B3" s="354"/>
      <c r="C3" s="322"/>
      <c r="D3" s="323" t="s">
        <v>465</v>
      </c>
      <c r="E3" s="324" t="s">
        <v>466</v>
      </c>
      <c r="F3" s="340" t="s">
        <v>467</v>
      </c>
      <c r="G3" s="331" t="s">
        <v>468</v>
      </c>
      <c r="H3" s="545"/>
    </row>
    <row r="4" spans="2:9">
      <c r="B4" s="355" t="s">
        <v>469</v>
      </c>
      <c r="C4" s="152"/>
      <c r="D4" s="325"/>
      <c r="E4" s="326"/>
      <c r="F4" s="332"/>
      <c r="G4" s="333"/>
      <c r="H4" s="349"/>
    </row>
    <row r="5" spans="2:9">
      <c r="B5" s="342"/>
      <c r="C5" t="s">
        <v>176</v>
      </c>
      <c r="D5" s="327">
        <v>300</v>
      </c>
      <c r="E5" s="328">
        <v>4000</v>
      </c>
      <c r="F5" s="334">
        <v>0.75</v>
      </c>
      <c r="G5" s="335">
        <f>E5*F5</f>
        <v>3000</v>
      </c>
      <c r="H5" s="350">
        <v>2024</v>
      </c>
    </row>
    <row r="6" spans="2:9">
      <c r="B6" s="342"/>
      <c r="C6" t="s">
        <v>176</v>
      </c>
      <c r="D6" s="327">
        <v>500</v>
      </c>
      <c r="E6" s="328">
        <v>2000</v>
      </c>
      <c r="F6" s="334">
        <f>F5</f>
        <v>0.75</v>
      </c>
      <c r="G6" s="335">
        <f>E6*F6</f>
        <v>1500</v>
      </c>
      <c r="H6" s="350">
        <v>2024</v>
      </c>
    </row>
    <row r="7" spans="2:9">
      <c r="B7" s="342"/>
      <c r="D7" s="327"/>
      <c r="E7" s="328"/>
      <c r="F7" s="336"/>
      <c r="G7" s="337"/>
      <c r="H7" s="350"/>
    </row>
    <row r="8" spans="2:9">
      <c r="B8" s="356" t="s">
        <v>284</v>
      </c>
      <c r="C8" s="155"/>
      <c r="D8" s="327"/>
      <c r="E8" s="328"/>
      <c r="F8" s="336"/>
      <c r="G8" s="337"/>
      <c r="H8" s="350"/>
    </row>
    <row r="9" spans="2:9" ht="15" thickBot="1">
      <c r="B9" s="357"/>
      <c r="C9" s="358" t="s">
        <v>176</v>
      </c>
      <c r="D9" s="329">
        <v>400</v>
      </c>
      <c r="E9" s="330">
        <v>14000</v>
      </c>
      <c r="F9" s="338">
        <f>F6</f>
        <v>0.75</v>
      </c>
      <c r="G9" s="339">
        <f>E9*F9</f>
        <v>10500</v>
      </c>
      <c r="H9" s="351">
        <v>2025</v>
      </c>
    </row>
    <row r="10" spans="2:9" ht="15" thickBot="1">
      <c r="E10" s="6"/>
    </row>
    <row r="11" spans="2:9">
      <c r="D11" s="536" t="s">
        <v>470</v>
      </c>
      <c r="E11" s="537"/>
      <c r="F11" s="537"/>
      <c r="G11" s="538"/>
      <c r="H11" s="534" t="s">
        <v>471</v>
      </c>
      <c r="I11" s="535"/>
    </row>
    <row r="12" spans="2:9" ht="43.5">
      <c r="D12" s="346" t="s">
        <v>465</v>
      </c>
      <c r="E12" s="347" t="s">
        <v>466</v>
      </c>
      <c r="F12" s="347" t="s">
        <v>472</v>
      </c>
      <c r="G12" s="348" t="s">
        <v>473</v>
      </c>
      <c r="H12" s="346">
        <v>2024</v>
      </c>
      <c r="I12" s="348">
        <v>2025</v>
      </c>
    </row>
    <row r="13" spans="2:9">
      <c r="C13" s="8">
        <v>2024</v>
      </c>
      <c r="D13" s="341">
        <f>D5+D6</f>
        <v>800</v>
      </c>
      <c r="E13" s="16">
        <f>G5+G6</f>
        <v>4500</v>
      </c>
      <c r="F13" s="16">
        <f>E13-D13</f>
        <v>3700</v>
      </c>
      <c r="G13" s="335">
        <f>F13*12</f>
        <v>44400</v>
      </c>
      <c r="H13" s="341">
        <f>G13/2</f>
        <v>22200</v>
      </c>
      <c r="I13" s="335">
        <f>G13</f>
        <v>44400</v>
      </c>
    </row>
    <row r="14" spans="2:9">
      <c r="C14" s="8">
        <v>2025</v>
      </c>
      <c r="D14" s="341">
        <f>D9</f>
        <v>400</v>
      </c>
      <c r="E14" s="16">
        <f>G9</f>
        <v>10500</v>
      </c>
      <c r="F14" s="16">
        <f>E14-D14</f>
        <v>10100</v>
      </c>
      <c r="G14" s="335">
        <f>F14*12</f>
        <v>121200</v>
      </c>
      <c r="H14" s="342"/>
      <c r="I14" s="335">
        <f>G14/2</f>
        <v>60600</v>
      </c>
    </row>
    <row r="15" spans="2:9" ht="15" thickBot="1">
      <c r="C15" s="78" t="s">
        <v>140</v>
      </c>
      <c r="D15" s="343">
        <f>SUM(D5:D9)</f>
        <v>1200</v>
      </c>
      <c r="E15" s="345">
        <f>SUM(G5:G9)</f>
        <v>15000</v>
      </c>
      <c r="F15" s="345">
        <f>E15-D15</f>
        <v>13800</v>
      </c>
      <c r="G15" s="344">
        <f>F15*12</f>
        <v>165600</v>
      </c>
      <c r="H15" s="343">
        <f>H13+H14</f>
        <v>22200</v>
      </c>
      <c r="I15" s="344">
        <f>I13+I14</f>
        <v>105000</v>
      </c>
    </row>
    <row r="16" spans="2:9" ht="15" thickBot="1">
      <c r="E16" s="8"/>
    </row>
    <row r="17" spans="3:11" ht="15" thickBot="1">
      <c r="D17" s="539" t="s">
        <v>474</v>
      </c>
      <c r="E17" s="540"/>
      <c r="F17" s="540"/>
      <c r="G17" s="541"/>
      <c r="H17" s="534" t="s">
        <v>471</v>
      </c>
      <c r="I17" s="535"/>
    </row>
    <row r="18" spans="3:11" ht="43.5">
      <c r="D18" s="365" t="s">
        <v>473</v>
      </c>
      <c r="E18" s="365" t="s">
        <v>368</v>
      </c>
      <c r="F18" s="359" t="s">
        <v>475</v>
      </c>
      <c r="H18" s="346">
        <v>2024</v>
      </c>
      <c r="I18" s="348">
        <v>2025</v>
      </c>
    </row>
    <row r="19" spans="3:11">
      <c r="C19" s="8">
        <v>2024</v>
      </c>
      <c r="D19" s="360">
        <f>G13</f>
        <v>44400</v>
      </c>
      <c r="E19" s="366">
        <v>0.2</v>
      </c>
      <c r="F19" s="360">
        <f>D19/12*E19*8760</f>
        <v>6482400</v>
      </c>
      <c r="H19" s="341">
        <f>F19/2</f>
        <v>3241200</v>
      </c>
      <c r="I19" s="335">
        <f>F19</f>
        <v>6482400</v>
      </c>
      <c r="K19" s="14"/>
    </row>
    <row r="20" spans="3:11">
      <c r="C20" s="8">
        <v>2025</v>
      </c>
      <c r="D20" s="360">
        <f>G14</f>
        <v>121200</v>
      </c>
      <c r="E20" s="366">
        <v>0.2</v>
      </c>
      <c r="F20" s="360">
        <f>D20/12*E20*8760</f>
        <v>17695200</v>
      </c>
      <c r="H20" s="342"/>
      <c r="I20" s="335">
        <f>F20/2</f>
        <v>8847600</v>
      </c>
      <c r="K20" s="14"/>
    </row>
    <row r="21" spans="3:11" ht="15" thickBot="1">
      <c r="C21" s="78" t="s">
        <v>140</v>
      </c>
      <c r="D21" s="361">
        <f>G15</f>
        <v>165600</v>
      </c>
      <c r="E21" s="361"/>
      <c r="F21" s="361">
        <f>F19+F20</f>
        <v>24177600</v>
      </c>
      <c r="G21" s="364"/>
      <c r="H21" s="343">
        <f>H19+H20</f>
        <v>3241200</v>
      </c>
      <c r="I21" s="344">
        <f>I19+I20</f>
        <v>15330000</v>
      </c>
    </row>
  </sheetData>
  <mergeCells count="7">
    <mergeCell ref="H11:I11"/>
    <mergeCell ref="D11:G11"/>
    <mergeCell ref="D17:G17"/>
    <mergeCell ref="H17:I17"/>
    <mergeCell ref="D2:E2"/>
    <mergeCell ref="H2:H3"/>
    <mergeCell ref="F2:G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0C1EA-E5C0-4D21-A0AA-CC0F7C7DE7FD}">
  <sheetPr>
    <tabColor theme="3" tint="0.79998168889431442"/>
  </sheetPr>
  <dimension ref="B2:J19"/>
  <sheetViews>
    <sheetView topLeftCell="A3" workbookViewId="0">
      <selection activeCell="D4" sqref="D4:H19"/>
    </sheetView>
  </sheetViews>
  <sheetFormatPr defaultColWidth="9.140625" defaultRowHeight="14.45"/>
  <cols>
    <col min="1" max="1" width="9.140625" style="373"/>
    <col min="2" max="2" width="14.7109375" style="373" customWidth="1"/>
    <col min="3" max="3" width="12.140625" style="373" customWidth="1"/>
    <col min="4" max="4" width="13.42578125" style="373" bestFit="1" customWidth="1"/>
    <col min="5" max="5" width="14.28515625" style="373" bestFit="1" customWidth="1"/>
    <col min="6" max="6" width="1.28515625" style="373" customWidth="1"/>
    <col min="7" max="7" width="10.7109375" style="373" bestFit="1" customWidth="1"/>
    <col min="8" max="8" width="13.28515625" style="373" bestFit="1" customWidth="1"/>
    <col min="9" max="16384" width="9.140625" style="373"/>
  </cols>
  <sheetData>
    <row r="2" spans="2:10">
      <c r="D2" s="546" t="s">
        <v>452</v>
      </c>
      <c r="E2" s="547"/>
      <c r="G2" s="546" t="s">
        <v>453</v>
      </c>
      <c r="H2" s="547"/>
    </row>
    <row r="3" spans="2:10">
      <c r="D3" s="374">
        <v>2024</v>
      </c>
      <c r="E3" s="375">
        <v>2025</v>
      </c>
      <c r="G3" s="374">
        <v>2024</v>
      </c>
      <c r="H3" s="375">
        <v>2025</v>
      </c>
    </row>
    <row r="4" spans="2:10">
      <c r="B4" s="376"/>
      <c r="C4" s="377" t="s">
        <v>133</v>
      </c>
      <c r="D4" s="378">
        <f>'EV Forecast'!M53</f>
        <v>1113174.8958795378</v>
      </c>
      <c r="E4" s="379">
        <f>'EV Forecast'!N53+D4*2</f>
        <v>4048705.4110204531</v>
      </c>
      <c r="F4" s="380"/>
      <c r="G4" s="378"/>
      <c r="H4" s="379"/>
    </row>
    <row r="5" spans="2:10">
      <c r="B5" s="374" t="s">
        <v>347</v>
      </c>
      <c r="C5" s="373" t="s">
        <v>134</v>
      </c>
      <c r="D5" s="381">
        <f>'EV Forecast'!M54</f>
        <v>279743.28344165999</v>
      </c>
      <c r="E5" s="382">
        <f>'EV Forecast'!N54+D5*2</f>
        <v>1017448.5155560328</v>
      </c>
      <c r="F5" s="380"/>
      <c r="G5" s="381"/>
      <c r="H5" s="382"/>
    </row>
    <row r="6" spans="2:10">
      <c r="B6" s="374"/>
      <c r="C6" s="373" t="s">
        <v>135</v>
      </c>
      <c r="D6" s="381">
        <f>'EV Forecast'!M55</f>
        <v>272914.03439021279</v>
      </c>
      <c r="E6" s="382">
        <f>'EV Forecast'!N55+D6*2</f>
        <v>992609.9949514569</v>
      </c>
      <c r="F6" s="380"/>
      <c r="G6" s="381">
        <f>'EV Forecast'!M60</f>
        <v>1869.2742081521424</v>
      </c>
      <c r="H6" s="382">
        <f>'EV Forecast'!N60+G6*2</f>
        <v>6798.6985955579239</v>
      </c>
    </row>
    <row r="7" spans="2:10">
      <c r="B7" s="383"/>
      <c r="C7" s="384" t="s">
        <v>140</v>
      </c>
      <c r="D7" s="385">
        <f>SUM(D4:D6)</f>
        <v>1665832.2137114105</v>
      </c>
      <c r="E7" s="386">
        <f>SUM(E4:E6)</f>
        <v>6058763.9215279426</v>
      </c>
      <c r="F7" s="387"/>
      <c r="G7" s="385">
        <f>SUM(G4:G6)</f>
        <v>1869.2742081521424</v>
      </c>
      <c r="H7" s="386">
        <f>SUM(H4:H6)</f>
        <v>6798.6985955579239</v>
      </c>
    </row>
    <row r="8" spans="2:10">
      <c r="B8" s="376"/>
      <c r="C8" s="377" t="s">
        <v>133</v>
      </c>
      <c r="D8" s="378">
        <f ca="1">+Heating!I18</f>
        <v>2959819.9158409829</v>
      </c>
      <c r="E8" s="379">
        <f ca="1">+Heating!J18+D8</f>
        <v>6113865.5011705123</v>
      </c>
      <c r="F8" s="380"/>
      <c r="G8" s="378"/>
      <c r="H8" s="379"/>
    </row>
    <row r="9" spans="2:10">
      <c r="B9" s="374" t="s">
        <v>476</v>
      </c>
      <c r="C9" s="373" t="s">
        <v>134</v>
      </c>
      <c r="D9" s="381">
        <f ca="1">+Heating!I29</f>
        <v>741506.96043092525</v>
      </c>
      <c r="E9" s="382">
        <f ca="1">+Heating!J29+D9</f>
        <v>1600604.8614704872</v>
      </c>
      <c r="F9" s="380"/>
      <c r="G9" s="381"/>
      <c r="H9" s="382"/>
    </row>
    <row r="10" spans="2:10">
      <c r="B10" s="374"/>
      <c r="C10" s="373" t="s">
        <v>135</v>
      </c>
      <c r="D10" s="381"/>
      <c r="E10" s="382">
        <f ca="1">Heating!I34</f>
        <v>1132531.1916909225</v>
      </c>
      <c r="F10" s="380"/>
      <c r="G10" s="381"/>
      <c r="H10" s="382">
        <f ca="1">Heating!M45</f>
        <v>2889.7490198811665</v>
      </c>
      <c r="J10" s="373" t="s">
        <v>477</v>
      </c>
    </row>
    <row r="11" spans="2:10">
      <c r="B11" s="383"/>
      <c r="C11" s="384" t="s">
        <v>140</v>
      </c>
      <c r="D11" s="385">
        <f ca="1">SUM(D8:D10)</f>
        <v>3701326.8762719082</v>
      </c>
      <c r="E11" s="386">
        <f ca="1">SUM(E8:E10)</f>
        <v>8847001.554331921</v>
      </c>
      <c r="F11" s="387"/>
      <c r="G11" s="385">
        <f>SUM(G8:G10)</f>
        <v>0</v>
      </c>
      <c r="H11" s="386">
        <f ca="1">SUM(H8:H10)</f>
        <v>2889.7490198811665</v>
      </c>
      <c r="J11" s="373" t="s">
        <v>478</v>
      </c>
    </row>
    <row r="12" spans="2:10">
      <c r="B12" s="376"/>
      <c r="C12" s="377" t="s">
        <v>133</v>
      </c>
      <c r="D12" s="378"/>
      <c r="E12" s="379"/>
      <c r="F12" s="380"/>
      <c r="G12" s="378"/>
      <c r="H12" s="379"/>
    </row>
    <row r="13" spans="2:10">
      <c r="B13" s="374" t="s">
        <v>479</v>
      </c>
      <c r="C13" s="373" t="s">
        <v>134</v>
      </c>
      <c r="D13" s="381"/>
      <c r="E13" s="382"/>
      <c r="F13" s="380"/>
      <c r="G13" s="381"/>
      <c r="H13" s="382"/>
    </row>
    <row r="14" spans="2:10">
      <c r="B14" s="374" t="s">
        <v>480</v>
      </c>
      <c r="C14" s="373" t="s">
        <v>135</v>
      </c>
      <c r="D14" s="381">
        <f>+'Customer Expansions'!H21</f>
        <v>3241200</v>
      </c>
      <c r="E14" s="382">
        <f>+'Customer Expansions'!I21</f>
        <v>15330000</v>
      </c>
      <c r="F14" s="380"/>
      <c r="G14" s="381">
        <f>'Customer Expansions'!H15</f>
        <v>22200</v>
      </c>
      <c r="H14" s="382">
        <f>+'Customer Expansions'!I15</f>
        <v>105000</v>
      </c>
      <c r="I14" s="388"/>
    </row>
    <row r="15" spans="2:10">
      <c r="B15" s="383"/>
      <c r="C15" s="384" t="s">
        <v>140</v>
      </c>
      <c r="D15" s="385">
        <f>SUM(D12:D14)</f>
        <v>3241200</v>
      </c>
      <c r="E15" s="386">
        <f>SUM(E12:E14)</f>
        <v>15330000</v>
      </c>
      <c r="F15" s="387"/>
      <c r="G15" s="385">
        <f>SUM(G12:G14)</f>
        <v>22200</v>
      </c>
      <c r="H15" s="386">
        <f>SUM(H12:H14)</f>
        <v>105000</v>
      </c>
    </row>
    <row r="16" spans="2:10">
      <c r="B16" s="376"/>
      <c r="C16" s="377" t="s">
        <v>133</v>
      </c>
      <c r="D16" s="378">
        <f t="shared" ref="D16:E18" ca="1" si="0">D4+D8+D12</f>
        <v>4072994.8117205207</v>
      </c>
      <c r="E16" s="379">
        <f t="shared" ca="1" si="0"/>
        <v>10162570.912190966</v>
      </c>
      <c r="F16" s="380"/>
      <c r="G16" s="378"/>
      <c r="H16" s="379"/>
    </row>
    <row r="17" spans="2:8">
      <c r="B17" s="389" t="s">
        <v>140</v>
      </c>
      <c r="C17" s="373" t="s">
        <v>134</v>
      </c>
      <c r="D17" s="381">
        <f t="shared" ca="1" si="0"/>
        <v>1021250.2438725852</v>
      </c>
      <c r="E17" s="382">
        <f t="shared" ca="1" si="0"/>
        <v>2618053.3770265197</v>
      </c>
      <c r="F17" s="380"/>
      <c r="G17" s="381"/>
      <c r="H17" s="382"/>
    </row>
    <row r="18" spans="2:8">
      <c r="B18" s="374"/>
      <c r="C18" s="373" t="s">
        <v>135</v>
      </c>
      <c r="D18" s="381">
        <f t="shared" si="0"/>
        <v>3514114.034390213</v>
      </c>
      <c r="E18" s="382">
        <f t="shared" ca="1" si="0"/>
        <v>17455141.186642379</v>
      </c>
      <c r="F18" s="380"/>
      <c r="G18" s="381">
        <f>G6+G10+G14</f>
        <v>24069.274208152143</v>
      </c>
      <c r="H18" s="382">
        <f ca="1">H6+H10+H14</f>
        <v>114688.44761543909</v>
      </c>
    </row>
    <row r="19" spans="2:8">
      <c r="B19" s="383"/>
      <c r="C19" s="384" t="s">
        <v>140</v>
      </c>
      <c r="D19" s="385">
        <f ca="1">SUM(D16:D18)</f>
        <v>8608359.089983318</v>
      </c>
      <c r="E19" s="386">
        <f ca="1">SUM(E16:E18)</f>
        <v>30235765.475859866</v>
      </c>
      <c r="F19" s="387"/>
      <c r="G19" s="385">
        <f>SUM(G16:G18)</f>
        <v>24069.274208152143</v>
      </c>
      <c r="H19" s="386">
        <f ca="1">SUM(H16:H18)</f>
        <v>114688.44761543909</v>
      </c>
    </row>
  </sheetData>
  <mergeCells count="2">
    <mergeCell ref="D2:E2"/>
    <mergeCell ref="G2:H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E4C0-BBE0-4FAE-936E-F36C58047730}">
  <sheetPr codeName="Sheet26">
    <tabColor rgb="FFFF0000"/>
  </sheetPr>
  <dimension ref="B2:BE79"/>
  <sheetViews>
    <sheetView topLeftCell="V1" workbookViewId="0">
      <selection activeCell="AF19" sqref="AF19"/>
    </sheetView>
  </sheetViews>
  <sheetFormatPr defaultRowHeight="14.45"/>
  <cols>
    <col min="2" max="2" width="8.85546875" customWidth="1"/>
    <col min="3" max="3" width="12.7109375" bestFit="1" customWidth="1"/>
    <col min="4" max="4" width="15.85546875" customWidth="1"/>
    <col min="5" max="5" width="14" bestFit="1" customWidth="1"/>
    <col min="6" max="6" width="2.140625" customWidth="1"/>
    <col min="7" max="7" width="14" customWidth="1"/>
    <col min="8" max="8" width="14.42578125" customWidth="1"/>
    <col min="9" max="11" width="12.7109375" customWidth="1"/>
    <col min="14" max="14" width="11.28515625" customWidth="1"/>
    <col min="15" max="15" width="14.140625" bestFit="1" customWidth="1"/>
    <col min="16" max="16" width="11.140625" bestFit="1" customWidth="1"/>
    <col min="17" max="17" width="2" customWidth="1"/>
    <col min="18" max="18" width="12" customWidth="1"/>
    <col min="19" max="19" width="14.7109375" customWidth="1"/>
    <col min="20" max="21" width="12.28515625" customWidth="1"/>
    <col min="22" max="22" width="14.140625" customWidth="1"/>
    <col min="23" max="23" width="3.7109375" customWidth="1"/>
    <col min="25" max="25" width="11.140625" bestFit="1" customWidth="1"/>
    <col min="26" max="26" width="14.140625" bestFit="1" customWidth="1"/>
    <col min="27" max="27" width="11.140625" bestFit="1" customWidth="1"/>
    <col min="28" max="28" width="3" customWidth="1"/>
    <col min="29" max="29" width="14.7109375" customWidth="1"/>
    <col min="30" max="30" width="14.140625" bestFit="1" customWidth="1"/>
    <col min="31" max="33" width="14.140625" customWidth="1"/>
    <col min="36" max="36" width="11.140625" bestFit="1" customWidth="1"/>
    <col min="37" max="37" width="11" customWidth="1"/>
    <col min="38" max="38" width="2.28515625" customWidth="1"/>
    <col min="39" max="39" width="13.5703125" customWidth="1"/>
    <col min="42" max="42" width="12.85546875" customWidth="1"/>
    <col min="43" max="43" width="12.28515625" customWidth="1"/>
    <col min="44" max="44" width="11.7109375" customWidth="1"/>
    <col min="45" max="45" width="10.140625" customWidth="1"/>
    <col min="48" max="48" width="10.5703125" bestFit="1" customWidth="1"/>
    <col min="49" max="49" width="9.28515625" bestFit="1" customWidth="1"/>
    <col min="50" max="50" width="12.85546875" customWidth="1"/>
    <col min="51" max="51" width="11.140625" customWidth="1"/>
    <col min="54" max="54" width="10.5703125" bestFit="1" customWidth="1"/>
    <col min="56" max="56" width="12.42578125" customWidth="1"/>
    <col min="58" max="58" width="14.7109375" customWidth="1"/>
  </cols>
  <sheetData>
    <row r="2" spans="2:57">
      <c r="B2" s="548" t="s">
        <v>457</v>
      </c>
      <c r="C2" s="548"/>
      <c r="D2" s="548"/>
      <c r="E2" s="548"/>
      <c r="F2" s="548"/>
      <c r="G2" s="548"/>
      <c r="H2" s="548"/>
      <c r="I2" s="548"/>
      <c r="J2" s="252"/>
      <c r="K2" s="252"/>
      <c r="M2" s="548" t="s">
        <v>481</v>
      </c>
      <c r="N2" s="548"/>
      <c r="O2" s="548"/>
      <c r="P2" s="548"/>
      <c r="Q2" s="548"/>
      <c r="R2" s="548"/>
      <c r="S2" s="548"/>
      <c r="T2" s="548"/>
      <c r="U2" s="252"/>
      <c r="V2" s="252"/>
      <c r="X2" s="548" t="s">
        <v>482</v>
      </c>
      <c r="Y2" s="548"/>
      <c r="Z2" s="548"/>
      <c r="AA2" s="548"/>
      <c r="AB2" s="548"/>
      <c r="AC2" s="548"/>
      <c r="AD2" s="548"/>
      <c r="AE2" s="548"/>
      <c r="AF2" s="252"/>
      <c r="AG2" s="252"/>
      <c r="AI2" s="548" t="s">
        <v>483</v>
      </c>
      <c r="AJ2" s="548"/>
      <c r="AK2" s="548"/>
      <c r="AL2" s="548"/>
      <c r="AM2" s="548"/>
      <c r="AO2" s="548" t="s">
        <v>138</v>
      </c>
      <c r="AP2" s="548"/>
      <c r="AQ2" s="548"/>
      <c r="AR2" s="548"/>
      <c r="AS2" s="548"/>
      <c r="AU2" s="548" t="s">
        <v>137</v>
      </c>
      <c r="AV2" s="548"/>
      <c r="AW2" s="548"/>
      <c r="AX2" s="548"/>
      <c r="AY2" s="548"/>
      <c r="BA2" s="548" t="s">
        <v>139</v>
      </c>
      <c r="BB2" s="548"/>
      <c r="BC2" s="548"/>
      <c r="BD2" s="548"/>
      <c r="BE2" s="548"/>
    </row>
    <row r="3" spans="2:57" s="43" customFormat="1" ht="27.75" customHeight="1">
      <c r="B3" s="42" t="s">
        <v>1</v>
      </c>
      <c r="C3" s="42" t="s">
        <v>484</v>
      </c>
      <c r="D3" s="42" t="s">
        <v>485</v>
      </c>
      <c r="E3" s="42" t="s">
        <v>486</v>
      </c>
      <c r="F3" s="42"/>
      <c r="G3" s="42" t="s">
        <v>487</v>
      </c>
      <c r="H3" s="42" t="s">
        <v>485</v>
      </c>
      <c r="I3" s="42" t="s">
        <v>488</v>
      </c>
      <c r="J3" s="42" t="s">
        <v>489</v>
      </c>
      <c r="K3" s="42" t="s">
        <v>490</v>
      </c>
      <c r="M3" s="42" t="s">
        <v>1</v>
      </c>
      <c r="N3" s="42" t="s">
        <v>484</v>
      </c>
      <c r="O3" s="42" t="s">
        <v>485</v>
      </c>
      <c r="P3" s="42" t="s">
        <v>486</v>
      </c>
      <c r="Q3" s="42"/>
      <c r="R3" s="42" t="s">
        <v>487</v>
      </c>
      <c r="S3" s="42" t="s">
        <v>485</v>
      </c>
      <c r="T3" s="42" t="s">
        <v>488</v>
      </c>
      <c r="U3" s="42" t="s">
        <v>489</v>
      </c>
      <c r="V3" s="42" t="s">
        <v>490</v>
      </c>
      <c r="X3" s="42" t="s">
        <v>1</v>
      </c>
      <c r="Y3" s="42" t="s">
        <v>484</v>
      </c>
      <c r="Z3" s="42" t="s">
        <v>485</v>
      </c>
      <c r="AA3" s="42" t="s">
        <v>486</v>
      </c>
      <c r="AB3" s="42"/>
      <c r="AC3" s="42" t="s">
        <v>487</v>
      </c>
      <c r="AD3" s="42" t="s">
        <v>485</v>
      </c>
      <c r="AE3" s="42" t="s">
        <v>488</v>
      </c>
      <c r="AF3" s="42" t="s">
        <v>489</v>
      </c>
      <c r="AG3" s="42" t="s">
        <v>490</v>
      </c>
      <c r="AI3" s="42" t="s">
        <v>1</v>
      </c>
      <c r="AJ3" s="42" t="s">
        <v>484</v>
      </c>
      <c r="AK3" s="42" t="s">
        <v>486</v>
      </c>
      <c r="AL3" s="42"/>
      <c r="AM3" s="42" t="s">
        <v>488</v>
      </c>
      <c r="AO3" s="37" t="s">
        <v>1</v>
      </c>
      <c r="AP3" s="37" t="s">
        <v>484</v>
      </c>
      <c r="AQ3" s="42" t="s">
        <v>491</v>
      </c>
      <c r="AR3" s="42" t="s">
        <v>492</v>
      </c>
      <c r="AS3" s="42" t="s">
        <v>493</v>
      </c>
      <c r="AU3" s="37" t="s">
        <v>1</v>
      </c>
      <c r="AV3" s="37" t="s">
        <v>484</v>
      </c>
      <c r="AW3" s="42" t="s">
        <v>491</v>
      </c>
      <c r="AX3" s="42" t="s">
        <v>492</v>
      </c>
      <c r="AY3" s="42" t="s">
        <v>493</v>
      </c>
      <c r="BA3" s="37" t="s">
        <v>1</v>
      </c>
      <c r="BB3" s="37" t="s">
        <v>484</v>
      </c>
      <c r="BC3" s="42" t="s">
        <v>491</v>
      </c>
      <c r="BD3" s="42" t="s">
        <v>492</v>
      </c>
      <c r="BE3" s="42" t="s">
        <v>493</v>
      </c>
    </row>
    <row r="4" spans="2:57">
      <c r="B4" s="37"/>
      <c r="C4" s="37" t="s">
        <v>370</v>
      </c>
      <c r="D4" s="37" t="s">
        <v>372</v>
      </c>
      <c r="E4" s="37" t="s">
        <v>494</v>
      </c>
      <c r="F4" s="37"/>
      <c r="G4" s="37" t="s">
        <v>375</v>
      </c>
      <c r="H4" s="37" t="s">
        <v>495</v>
      </c>
      <c r="I4" s="37" t="s">
        <v>496</v>
      </c>
      <c r="J4" s="252" t="s">
        <v>497</v>
      </c>
      <c r="K4" s="252" t="s">
        <v>498</v>
      </c>
      <c r="M4" s="37"/>
      <c r="N4" s="37" t="s">
        <v>370</v>
      </c>
      <c r="O4" s="37" t="s">
        <v>372</v>
      </c>
      <c r="P4" s="37" t="s">
        <v>494</v>
      </c>
      <c r="Q4" s="37"/>
      <c r="R4" s="37" t="s">
        <v>375</v>
      </c>
      <c r="S4" s="37" t="s">
        <v>495</v>
      </c>
      <c r="T4" s="37" t="s">
        <v>496</v>
      </c>
      <c r="U4" s="252" t="s">
        <v>497</v>
      </c>
      <c r="V4" s="252" t="s">
        <v>498</v>
      </c>
      <c r="X4" s="37"/>
      <c r="Y4" s="37" t="s">
        <v>370</v>
      </c>
      <c r="Z4" s="37" t="s">
        <v>372</v>
      </c>
      <c r="AA4" s="37" t="s">
        <v>494</v>
      </c>
      <c r="AB4" s="37"/>
      <c r="AC4" s="37" t="s">
        <v>375</v>
      </c>
      <c r="AD4" s="37" t="s">
        <v>495</v>
      </c>
      <c r="AE4" s="37" t="s">
        <v>496</v>
      </c>
      <c r="AF4" s="252" t="s">
        <v>497</v>
      </c>
      <c r="AG4" s="252" t="s">
        <v>498</v>
      </c>
      <c r="AI4" s="37"/>
      <c r="AJ4" s="37" t="s">
        <v>370</v>
      </c>
      <c r="AK4" s="37" t="s">
        <v>494</v>
      </c>
      <c r="AL4" s="37"/>
      <c r="AM4" s="37" t="s">
        <v>375</v>
      </c>
      <c r="AO4" s="37"/>
      <c r="AP4" s="37"/>
      <c r="AQ4" s="37"/>
      <c r="AR4" s="37"/>
      <c r="AS4" s="37"/>
      <c r="AU4" s="37"/>
      <c r="AV4" s="37"/>
      <c r="AW4" s="37"/>
      <c r="AX4" s="37"/>
      <c r="AY4" s="37"/>
      <c r="BA4" s="37"/>
      <c r="BB4" s="37"/>
      <c r="BC4" s="37"/>
      <c r="BD4" s="37"/>
      <c r="BE4" s="37"/>
    </row>
    <row r="5" spans="2:57">
      <c r="B5" s="38">
        <v>2014</v>
      </c>
      <c r="C5" s="39">
        <f>SUMIF('Monthly Data (longer 09-23)'!$B:$B,B5,'Monthly Data (longer 09-23)'!C:C)</f>
        <v>245551953</v>
      </c>
      <c r="D5" s="39">
        <f>SUMIF('Monthly Data (longer 09-23)'!$B:$B,B5,'Monthly Data (longer 09-23)'!D:D)</f>
        <v>2791930.0401800401</v>
      </c>
      <c r="E5" s="39">
        <f>SUMIF('Monthly Data (longer 09-23)'!$B:$B,B5,'Monthly Data (longer 09-23)'!E:E)</f>
        <v>248343883.04018</v>
      </c>
      <c r="F5" s="39"/>
      <c r="G5" s="39">
        <f ca="1">SUMIF('Res Normalized Monthly'!$C:$C,B5,'Res Normalized Monthly'!$V:$V)</f>
        <v>250216784.83302873</v>
      </c>
      <c r="H5" s="39">
        <f t="shared" ref="H5:H13" si="0">D5</f>
        <v>2791930.0401800401</v>
      </c>
      <c r="I5" s="39">
        <f t="shared" ref="I5:I15" ca="1" si="1">G5-H5</f>
        <v>247424854.79284871</v>
      </c>
      <c r="J5" s="39"/>
      <c r="K5" s="39">
        <f t="shared" ref="K5:K14" ca="1" si="2">I5+J5</f>
        <v>247424854.79284871</v>
      </c>
      <c r="M5" s="38">
        <v>2014</v>
      </c>
      <c r="N5" s="39">
        <f>SUMIF('Monthly Data (longer 09-23)'!$B:$B,M5,'Monthly Data (longer 09-23)'!G:G)</f>
        <v>65242009</v>
      </c>
      <c r="O5" s="39">
        <f>SUMIF('Monthly Data (longer 09-23)'!$B:$B,M5,'Monthly Data (longer 09-23)'!H:H)</f>
        <v>2619588.9542953172</v>
      </c>
      <c r="P5" s="39">
        <f>SUMIF('Monthly Data (longer 09-23)'!$B:$B,M5,'Monthly Data (longer 09-23)'!I:I)</f>
        <v>67861597.954295307</v>
      </c>
      <c r="Q5" s="39"/>
      <c r="R5" s="39">
        <f ca="1">SUMIF('GS&lt;50 Normalized Monthly'!$C:$C,M5,'GS&lt;50 Normalized Monthly'!$Q:$Q)</f>
        <v>70939391.75658831</v>
      </c>
      <c r="S5" s="39">
        <f t="shared" ref="S5:S13" si="3">O5</f>
        <v>2619588.9542953172</v>
      </c>
      <c r="T5" s="39">
        <f ca="1">R5-S5</f>
        <v>68319802.802292988</v>
      </c>
      <c r="U5" s="39"/>
      <c r="V5" s="39">
        <f t="shared" ref="V5:V14" ca="1" si="4">T5+U5</f>
        <v>68319802.802292988</v>
      </c>
      <c r="X5" s="38">
        <v>2014</v>
      </c>
      <c r="Y5" s="39">
        <f>SUMIF('Monthly Data (longer 09-23)'!$B:$B,$X5,'Monthly Data (longer 09-23)'!K:K)</f>
        <v>167236927</v>
      </c>
      <c r="Z5" s="39">
        <f>SUMIF('Monthly Data (longer 09-23)'!$B:$B,$X5,'Monthly Data (longer 09-23)'!L:L)</f>
        <v>2877071.9525224143</v>
      </c>
      <c r="AA5" s="39">
        <f>SUMIF('Monthly Data (longer 09-23)'!$B:$B,$X5,'Monthly Data (longer 09-23)'!M:M)</f>
        <v>170113998.95252243</v>
      </c>
      <c r="AB5" s="39"/>
      <c r="AC5" s="39">
        <f ca="1">SUMIF('GS&gt;50 Normalized Monthly'!$C:$C,X5,'GS&gt;50 Normalized Monthly'!$S:$S)</f>
        <v>174824576.21244729</v>
      </c>
      <c r="AD5" s="39">
        <f t="shared" ref="AD5:AD13" si="5">Z5</f>
        <v>2877071.9525224143</v>
      </c>
      <c r="AE5" s="39">
        <f t="shared" ref="AE5:AE15" ca="1" si="6">AC5-AD5</f>
        <v>171947504.25992486</v>
      </c>
      <c r="AF5" s="39"/>
      <c r="AG5" s="39">
        <f t="shared" ref="AG5:AG14" ca="1" si="7">AE5+AF5</f>
        <v>171947504.25992486</v>
      </c>
      <c r="AI5" s="38">
        <v>2014</v>
      </c>
      <c r="AJ5" s="39">
        <f>SUMIF('Monthly Data (14-23) Used'!$B:$B,$AI5,'Monthly Data (14-23) Used'!$X:$X)</f>
        <v>38058829</v>
      </c>
      <c r="AK5" s="39">
        <f>SUMIF('Monthly Data (14-23) Used'!$B:$B,$AI5,'Monthly Data (14-23) Used'!X:X)</f>
        <v>38058829</v>
      </c>
      <c r="AL5" s="39"/>
      <c r="AO5" s="38">
        <v>2014</v>
      </c>
      <c r="AP5" s="39">
        <f>SUMIF('Monthly Data (longer 09-23)'!$B:$B,$AO5,'Monthly Data (longer 09-23)'!P:P)</f>
        <v>6286758</v>
      </c>
      <c r="AQ5" s="39">
        <f>'Connection Count'!O4</f>
        <v>2712.8333333333335</v>
      </c>
      <c r="AR5" s="39">
        <f t="shared" ref="AR5:AR14" si="8">AP5/AQ5</f>
        <v>2317.414019782515</v>
      </c>
      <c r="AS5" s="39">
        <f t="shared" ref="AS5:AS15" si="9">AR5*AQ5</f>
        <v>6286758</v>
      </c>
      <c r="AU5" s="38">
        <v>2014</v>
      </c>
      <c r="AV5" s="39">
        <f>SUMIF('Monthly Data (longer 09-23)'!$B:$B,$AU5,'Monthly Data (longer 09-23)'!S:S)</f>
        <v>350518</v>
      </c>
      <c r="AW5" s="39">
        <f>'Connection Count'!S4</f>
        <v>172.33333333333334</v>
      </c>
      <c r="AX5" s="39">
        <f t="shared" ref="AX5:AX14" si="10">AV5/AW5</f>
        <v>2033.953578336557</v>
      </c>
      <c r="AY5" s="39">
        <f t="shared" ref="AY5:AY15" si="11">AX5*AW5</f>
        <v>350518</v>
      </c>
      <c r="BA5" s="38">
        <v>2014</v>
      </c>
      <c r="BB5" s="39">
        <f>SUMIF('Monthly Data (longer 09-23)'!$B:$B,$BA5,'Monthly Data (longer 09-23)'!V:V)</f>
        <v>1555546</v>
      </c>
      <c r="BC5" s="39">
        <f>'Connection Count'!W4</f>
        <v>139.83333333333334</v>
      </c>
      <c r="BD5" s="39">
        <f t="shared" ref="BD5:BD14" si="12">BB5/BC5</f>
        <v>11124.286054827175</v>
      </c>
      <c r="BE5" s="39">
        <f t="shared" ref="BE5:BE13" si="13">BD5*BC5</f>
        <v>1555546</v>
      </c>
    </row>
    <row r="6" spans="2:57">
      <c r="B6" s="38">
        <f t="shared" ref="B6:B16" si="14">B5+1</f>
        <v>2015</v>
      </c>
      <c r="C6" s="39">
        <f>SUMIF('Monthly Data (longer 09-23)'!$B:$B,B6,'Monthly Data (longer 09-23)'!C:C)</f>
        <v>244757238</v>
      </c>
      <c r="D6" s="39">
        <f>SUMIF('Monthly Data (longer 09-23)'!$B:$B,B6,'Monthly Data (longer 09-23)'!D:D)</f>
        <v>4020536.6808440927</v>
      </c>
      <c r="E6" s="39">
        <f>SUMIF('Monthly Data (longer 09-23)'!$B:$B,B6,'Monthly Data (longer 09-23)'!E:E)</f>
        <v>248777774.68084404</v>
      </c>
      <c r="F6" s="39"/>
      <c r="G6" s="39">
        <f ca="1">SUMIF('Res Normalized Monthly'!$C:$C,B6,'Res Normalized Monthly'!$V:$V)</f>
        <v>253333321.91602558</v>
      </c>
      <c r="H6" s="39">
        <f t="shared" si="0"/>
        <v>4020536.6808440927</v>
      </c>
      <c r="I6" s="39">
        <f t="shared" ca="1" si="1"/>
        <v>249312785.23518148</v>
      </c>
      <c r="J6" s="39"/>
      <c r="K6" s="39">
        <f t="shared" ca="1" si="2"/>
        <v>249312785.23518148</v>
      </c>
      <c r="M6" s="38">
        <f t="shared" ref="M6:M14" si="15">M5+1</f>
        <v>2015</v>
      </c>
      <c r="N6" s="39">
        <f>SUMIF('Monthly Data (longer 09-23)'!$B:$B,M6,'Monthly Data (longer 09-23)'!G:G)</f>
        <v>65329578</v>
      </c>
      <c r="O6" s="39">
        <f>SUMIF('Monthly Data (longer 09-23)'!$B:$B,M6,'Monthly Data (longer 09-23)'!H:H)</f>
        <v>6650379.3254646538</v>
      </c>
      <c r="P6" s="39">
        <f>SUMIF('Monthly Data (longer 09-23)'!$B:$B,M6,'Monthly Data (longer 09-23)'!I:I)</f>
        <v>71979957.325464636</v>
      </c>
      <c r="Q6" s="39"/>
      <c r="R6" s="39">
        <f ca="1">SUMIF('GS&lt;50 Normalized Monthly'!$C:$C,M6,'GS&lt;50 Normalized Monthly'!$Q:$Q)</f>
        <v>72288132.653476238</v>
      </c>
      <c r="S6" s="39">
        <f t="shared" si="3"/>
        <v>6650379.3254646538</v>
      </c>
      <c r="T6" s="39">
        <f ca="1">R6-S6</f>
        <v>65637753.328011587</v>
      </c>
      <c r="U6" s="39"/>
      <c r="V6" s="39">
        <f t="shared" ca="1" si="4"/>
        <v>65637753.328011587</v>
      </c>
      <c r="X6" s="38">
        <f t="shared" ref="X6:X16" si="16">X5+1</f>
        <v>2015</v>
      </c>
      <c r="Y6" s="39">
        <f>SUMIF('Monthly Data (longer 09-23)'!$B:$B,$X6,'Monthly Data (longer 09-23)'!K:K)</f>
        <v>171977957</v>
      </c>
      <c r="Z6" s="39">
        <f>SUMIF('Monthly Data (longer 09-23)'!$B:$B,$X6,'Monthly Data (longer 09-23)'!L:L)</f>
        <v>7268299.0409629522</v>
      </c>
      <c r="AA6" s="39">
        <f>SUMIF('Monthly Data (longer 09-23)'!$B:$B,$X6,'Monthly Data (longer 09-23)'!M:M)</f>
        <v>179246256.04096293</v>
      </c>
      <c r="AB6" s="39"/>
      <c r="AC6" s="39">
        <f ca="1">SUMIF('GS&gt;50 Normalized Monthly'!$C:$C,X6,'GS&gt;50 Normalized Monthly'!$S:$S)</f>
        <v>178271632.3493866</v>
      </c>
      <c r="AD6" s="39">
        <f t="shared" si="5"/>
        <v>7268299.0409629522</v>
      </c>
      <c r="AE6" s="39">
        <f t="shared" ca="1" si="6"/>
        <v>171003333.30842364</v>
      </c>
      <c r="AF6" s="39"/>
      <c r="AG6" s="39">
        <f t="shared" ca="1" si="7"/>
        <v>171003333.30842364</v>
      </c>
      <c r="AI6" s="38">
        <f t="shared" ref="AI6:AI16" si="17">AI5+1</f>
        <v>2015</v>
      </c>
      <c r="AJ6" s="39">
        <f>SUMIF('Monthly Data (14-23) Used'!$B:$B,$AI6,'Monthly Data (14-23) Used'!$X:$X)</f>
        <v>38655618</v>
      </c>
      <c r="AK6" s="39">
        <f>SUMIF('Monthly Data (14-23) Used'!$B:$B,$AI6,'Monthly Data (14-23) Used'!X:X)</f>
        <v>38655618</v>
      </c>
      <c r="AL6" s="39"/>
      <c r="AO6" s="38">
        <f t="shared" ref="AO6:AO16" si="18">AO5+1</f>
        <v>2015</v>
      </c>
      <c r="AP6" s="39">
        <f>SUMIF('Monthly Data (longer 09-23)'!$B:$B,$AO6,'Monthly Data (longer 09-23)'!P:P)</f>
        <v>6227064</v>
      </c>
      <c r="AQ6" s="39">
        <f>'Connection Count'!O5</f>
        <v>2700.5833333333335</v>
      </c>
      <c r="AR6" s="39">
        <f t="shared" si="8"/>
        <v>2305.8218286172737</v>
      </c>
      <c r="AS6" s="39">
        <f t="shared" si="9"/>
        <v>6227063.9999999991</v>
      </c>
      <c r="AU6" s="38">
        <f t="shared" ref="AU6:AU16" si="19">AU5+1</f>
        <v>2015</v>
      </c>
      <c r="AV6" s="39">
        <f>SUMIF('Monthly Data (longer 09-23)'!$B:$B,$AU6,'Monthly Data (longer 09-23)'!S:S)</f>
        <v>341134</v>
      </c>
      <c r="AW6" s="39">
        <f>'Connection Count'!S5</f>
        <v>174</v>
      </c>
      <c r="AX6" s="39">
        <f t="shared" si="10"/>
        <v>1960.5402298850574</v>
      </c>
      <c r="AY6" s="39">
        <f t="shared" si="11"/>
        <v>341134</v>
      </c>
      <c r="BA6" s="38">
        <f t="shared" ref="BA6:BA14" si="20">BA5+1</f>
        <v>2015</v>
      </c>
      <c r="BB6" s="39">
        <f>SUMIF('Monthly Data (longer 09-23)'!$B:$B,$BA6,'Monthly Data (longer 09-23)'!V:V)</f>
        <v>1558152</v>
      </c>
      <c r="BC6" s="39">
        <f>'Connection Count'!W5</f>
        <v>141</v>
      </c>
      <c r="BD6" s="39">
        <f t="shared" si="12"/>
        <v>11050.723404255319</v>
      </c>
      <c r="BE6" s="39">
        <f t="shared" si="13"/>
        <v>1558152</v>
      </c>
    </row>
    <row r="7" spans="2:57">
      <c r="B7" s="38">
        <f t="shared" si="14"/>
        <v>2016</v>
      </c>
      <c r="C7" s="39">
        <f>SUMIF('Monthly Data (longer 09-23)'!$B:$B,B7,'Monthly Data (longer 09-23)'!C:C)</f>
        <v>255390423</v>
      </c>
      <c r="D7" s="39">
        <f>SUMIF('Monthly Data (longer 09-23)'!$B:$B,B7,'Monthly Data (longer 09-23)'!D:D)</f>
        <v>6339606.3638785919</v>
      </c>
      <c r="E7" s="39">
        <f>SUMIF('Monthly Data (longer 09-23)'!$B:$B,B7,'Monthly Data (longer 09-23)'!E:E)</f>
        <v>261730029.36387852</v>
      </c>
      <c r="F7" s="39"/>
      <c r="G7" s="39">
        <f ca="1">SUMIF('Res Normalized Monthly'!$C:$C,B7,'Res Normalized Monthly'!$V:$V)</f>
        <v>257195576.28398353</v>
      </c>
      <c r="H7" s="39">
        <f t="shared" si="0"/>
        <v>6339606.3638785919</v>
      </c>
      <c r="I7" s="39">
        <f t="shared" ca="1" si="1"/>
        <v>250855969.92010495</v>
      </c>
      <c r="J7" s="39"/>
      <c r="K7" s="39">
        <f t="shared" ca="1" si="2"/>
        <v>250855969.92010495</v>
      </c>
      <c r="M7" s="38">
        <f t="shared" si="15"/>
        <v>2016</v>
      </c>
      <c r="N7" s="39">
        <f>SUMIF('Monthly Data (longer 09-23)'!$B:$B,M7,'Monthly Data (longer 09-23)'!G:G)</f>
        <v>66808994</v>
      </c>
      <c r="O7" s="39">
        <f>SUMIF('Monthly Data (longer 09-23)'!$B:$B,M7,'Monthly Data (longer 09-23)'!H:H)</f>
        <v>10890075.425516121</v>
      </c>
      <c r="P7" s="39">
        <f>SUMIF('Monthly Data (longer 09-23)'!$B:$B,M7,'Monthly Data (longer 09-23)'!I:I)</f>
        <v>77699069.425516114</v>
      </c>
      <c r="Q7" s="39"/>
      <c r="R7" s="39">
        <f ca="1">SUMIF('GS&lt;50 Normalized Monthly'!$C:$C,M7,'GS&lt;50 Normalized Monthly'!$Q:$Q)</f>
        <v>73585519.213521868</v>
      </c>
      <c r="S7" s="39">
        <f t="shared" si="3"/>
        <v>10890075.425516121</v>
      </c>
      <c r="T7" s="39">
        <f ca="1">R7-S7</f>
        <v>62695443.788005747</v>
      </c>
      <c r="U7" s="39"/>
      <c r="V7" s="39">
        <f t="shared" ca="1" si="4"/>
        <v>62695443.788005747</v>
      </c>
      <c r="X7" s="38">
        <f t="shared" si="16"/>
        <v>2016</v>
      </c>
      <c r="Y7" s="39">
        <f>SUMIF('Monthly Data (longer 09-23)'!$B:$B,$X7,'Monthly Data (longer 09-23)'!K:K)</f>
        <v>187031606</v>
      </c>
      <c r="Z7" s="39">
        <f>SUMIF('Monthly Data (longer 09-23)'!$B:$B,$X7,'Monthly Data (longer 09-23)'!L:L)</f>
        <v>11671355.882812349</v>
      </c>
      <c r="AA7" s="39">
        <f>SUMIF('Monthly Data (longer 09-23)'!$B:$B,$X7,'Monthly Data (longer 09-23)'!M:M)</f>
        <v>198702961.88281238</v>
      </c>
      <c r="AB7" s="39"/>
      <c r="AC7" s="39">
        <f ca="1">SUMIF('GS&gt;50 Normalized Monthly'!$C:$C,X7,'GS&gt;50 Normalized Monthly'!$S:$S)</f>
        <v>181468050.86841804</v>
      </c>
      <c r="AD7" s="39">
        <f t="shared" si="5"/>
        <v>11671355.882812349</v>
      </c>
      <c r="AE7" s="39">
        <f t="shared" ca="1" si="6"/>
        <v>169796694.98560569</v>
      </c>
      <c r="AF7" s="39"/>
      <c r="AG7" s="39">
        <f t="shared" ca="1" si="7"/>
        <v>169796694.98560569</v>
      </c>
      <c r="AI7" s="38">
        <f t="shared" si="17"/>
        <v>2016</v>
      </c>
      <c r="AJ7" s="39">
        <f>SUMIF('Monthly Data (14-23) Used'!$B:$B,$AI7,'Monthly Data (14-23) Used'!$X:$X)</f>
        <v>32586842</v>
      </c>
      <c r="AK7" s="39">
        <f>SUMIF('Monthly Data (14-23) Used'!$B:$B,$AI7,'Monthly Data (14-23) Used'!X:X)</f>
        <v>32586842</v>
      </c>
      <c r="AL7" s="39"/>
      <c r="AM7" s="39">
        <f ca="1">SUMIF('ED Normalized Monthly'!$C:$C,AI7,'ED Normalized Monthly'!$O:$O)</f>
        <v>31170375.78137815</v>
      </c>
      <c r="AO7" s="38">
        <f t="shared" si="18"/>
        <v>2016</v>
      </c>
      <c r="AP7" s="39">
        <f>SUMIF('Monthly Data (longer 09-23)'!$B:$B,$AO7,'Monthly Data (longer 09-23)'!P:P)</f>
        <v>4268689</v>
      </c>
      <c r="AQ7" s="39">
        <f>'Connection Count'!O6</f>
        <v>2719.8333333333335</v>
      </c>
      <c r="AR7" s="39">
        <f t="shared" si="8"/>
        <v>1569.4671242110423</v>
      </c>
      <c r="AS7" s="39">
        <f t="shared" si="9"/>
        <v>4268689</v>
      </c>
      <c r="AU7" s="38">
        <f t="shared" si="19"/>
        <v>2016</v>
      </c>
      <c r="AV7" s="39">
        <f>SUMIF('Monthly Data (longer 09-23)'!$B:$B,$AU7,'Monthly Data (longer 09-23)'!S:S)</f>
        <v>335758</v>
      </c>
      <c r="AW7" s="39">
        <f>'Connection Count'!S6</f>
        <v>181</v>
      </c>
      <c r="AX7" s="39">
        <f t="shared" si="10"/>
        <v>1855.0165745856355</v>
      </c>
      <c r="AY7" s="39">
        <f t="shared" si="11"/>
        <v>335758</v>
      </c>
      <c r="BA7" s="38">
        <f t="shared" si="20"/>
        <v>2016</v>
      </c>
      <c r="BB7" s="39">
        <f>SUMIF('Monthly Data (longer 09-23)'!$B:$B,$BA7,'Monthly Data (longer 09-23)'!V:V)</f>
        <v>1554368</v>
      </c>
      <c r="BC7" s="39">
        <f>'Connection Count'!W6</f>
        <v>139.08333333333334</v>
      </c>
      <c r="BD7" s="39">
        <f t="shared" si="12"/>
        <v>11175.803475134811</v>
      </c>
      <c r="BE7" s="39">
        <f t="shared" si="13"/>
        <v>1554368.0000000002</v>
      </c>
    </row>
    <row r="8" spans="2:57">
      <c r="B8" s="38">
        <f t="shared" si="14"/>
        <v>2017</v>
      </c>
      <c r="C8" s="39">
        <f>SUMIF('Monthly Data (longer 09-23)'!$B:$B,B8,'Monthly Data (longer 09-23)'!C:C)</f>
        <v>240232071</v>
      </c>
      <c r="D8" s="39">
        <f>SUMIF('Monthly Data (longer 09-23)'!$B:$B,B8,'Monthly Data (longer 09-23)'!D:D)</f>
        <v>11183452.554194836</v>
      </c>
      <c r="E8" s="39">
        <f>SUMIF('Monthly Data (longer 09-23)'!$B:$B,B8,'Monthly Data (longer 09-23)'!E:E)</f>
        <v>251415523.5541949</v>
      </c>
      <c r="F8" s="39"/>
      <c r="G8" s="39">
        <f ca="1">SUMIF('Res Normalized Monthly'!$C:$C,B8,'Res Normalized Monthly'!$V:$V)</f>
        <v>259566396.08201909</v>
      </c>
      <c r="H8" s="39">
        <f t="shared" si="0"/>
        <v>11183452.554194836</v>
      </c>
      <c r="I8" s="39">
        <f t="shared" ca="1" si="1"/>
        <v>248382943.52782425</v>
      </c>
      <c r="J8" s="39"/>
      <c r="K8" s="39">
        <f t="shared" ca="1" si="2"/>
        <v>248382943.52782425</v>
      </c>
      <c r="M8" s="38">
        <f t="shared" si="15"/>
        <v>2017</v>
      </c>
      <c r="N8" s="39">
        <f>SUMIF('Monthly Data (longer 09-23)'!$B:$B,M8,'Monthly Data (longer 09-23)'!G:G)</f>
        <v>65115315</v>
      </c>
      <c r="O8" s="39">
        <f>SUMIF('Monthly Data (longer 09-23)'!$B:$B,M8,'Monthly Data (longer 09-23)'!H:H)</f>
        <v>12101008.470702926</v>
      </c>
      <c r="P8" s="39">
        <f>SUMIF('Monthly Data (longer 09-23)'!$B:$B,M8,'Monthly Data (longer 09-23)'!I:I)</f>
        <v>77216323.470702931</v>
      </c>
      <c r="Q8" s="39"/>
      <c r="R8" s="39">
        <f ca="1">SUMIF('GS&lt;50 Normalized Monthly'!$C:$C,M8,'GS&lt;50 Normalized Monthly'!$Q:$Q)</f>
        <v>74929129.52890113</v>
      </c>
      <c r="S8" s="39">
        <f t="shared" si="3"/>
        <v>12101008.470702926</v>
      </c>
      <c r="T8" s="39">
        <f ca="1">R8-S8</f>
        <v>62828121.058198206</v>
      </c>
      <c r="U8" s="39"/>
      <c r="V8" s="39">
        <f t="shared" ca="1" si="4"/>
        <v>62828121.058198206</v>
      </c>
      <c r="X8" s="38">
        <f t="shared" si="16"/>
        <v>2017</v>
      </c>
      <c r="Y8" s="39">
        <f>SUMIF('Monthly Data (longer 09-23)'!$B:$B,$X8,'Monthly Data (longer 09-23)'!K:K)</f>
        <v>166511229</v>
      </c>
      <c r="Z8" s="39">
        <f>SUMIF('Monthly Data (longer 09-23)'!$B:$B,$X8,'Monthly Data (longer 09-23)'!L:L)</f>
        <v>12992237.542644275</v>
      </c>
      <c r="AA8" s="39">
        <f>SUMIF('Monthly Data (longer 09-23)'!$B:$B,$X8,'Monthly Data (longer 09-23)'!M:M)</f>
        <v>179503466.54264432</v>
      </c>
      <c r="AB8" s="39"/>
      <c r="AC8" s="39">
        <f ca="1">SUMIF('GS&gt;50 Normalized Monthly'!$C:$C,X8,'GS&gt;50 Normalized Monthly'!$S:$S)</f>
        <v>185698267.92791393</v>
      </c>
      <c r="AD8" s="39">
        <f t="shared" si="5"/>
        <v>12992237.542644275</v>
      </c>
      <c r="AE8" s="39">
        <f t="shared" ca="1" si="6"/>
        <v>172706030.38526967</v>
      </c>
      <c r="AF8" s="39"/>
      <c r="AG8" s="39">
        <f t="shared" ca="1" si="7"/>
        <v>172706030.38526967</v>
      </c>
      <c r="AI8" s="38">
        <f t="shared" si="17"/>
        <v>2017</v>
      </c>
      <c r="AJ8" s="39">
        <f>SUMIF('Monthly Data (14-23) Used'!$B:$B,$AI8,'Monthly Data (14-23) Used'!$X:$X)</f>
        <v>33420007</v>
      </c>
      <c r="AK8" s="39">
        <f>SUMIF('Monthly Data (14-23) Used'!$B:$B,$AI8,'Monthly Data (14-23) Used'!X:X)</f>
        <v>33420007</v>
      </c>
      <c r="AL8" s="39"/>
      <c r="AM8" s="39">
        <f ca="1">SUMIF('ED Normalized Monthly'!$C:$C,AI8,'ED Normalized Monthly'!$O:$O)</f>
        <v>31026546.169323888</v>
      </c>
      <c r="AO8" s="38">
        <f t="shared" si="18"/>
        <v>2017</v>
      </c>
      <c r="AP8" s="39">
        <f>SUMIF('Monthly Data (longer 09-23)'!$B:$B,$AO8,'Monthly Data (longer 09-23)'!P:P)</f>
        <v>2875901</v>
      </c>
      <c r="AQ8" s="39">
        <f>'Connection Count'!O7</f>
        <v>2753.3333333333335</v>
      </c>
      <c r="AR8" s="39">
        <f t="shared" si="8"/>
        <v>1044.5161016949153</v>
      </c>
      <c r="AS8" s="39">
        <f t="shared" si="9"/>
        <v>2875901</v>
      </c>
      <c r="AU8" s="38">
        <f t="shared" si="19"/>
        <v>2017</v>
      </c>
      <c r="AV8" s="39">
        <f>SUMIF('Monthly Data (longer 09-23)'!$B:$B,$AU8,'Monthly Data (longer 09-23)'!S:S)</f>
        <v>304470</v>
      </c>
      <c r="AW8" s="39">
        <f>'Connection Count'!S7</f>
        <v>253.41666666666666</v>
      </c>
      <c r="AX8" s="39">
        <f t="shared" si="10"/>
        <v>1201.4600460374877</v>
      </c>
      <c r="AY8" s="39">
        <f t="shared" si="11"/>
        <v>304470</v>
      </c>
      <c r="BA8" s="38">
        <f t="shared" si="20"/>
        <v>2017</v>
      </c>
      <c r="BB8" s="39">
        <f>SUMIF('Monthly Data (longer 09-23)'!$B:$B,$BA8,'Monthly Data (longer 09-23)'!V:V)</f>
        <v>1549260</v>
      </c>
      <c r="BC8" s="39">
        <f>'Connection Count'!W7</f>
        <v>132</v>
      </c>
      <c r="BD8" s="39">
        <f t="shared" si="12"/>
        <v>11736.818181818182</v>
      </c>
      <c r="BE8" s="39">
        <f t="shared" si="13"/>
        <v>1549260</v>
      </c>
    </row>
    <row r="9" spans="2:57">
      <c r="B9" s="38">
        <f t="shared" si="14"/>
        <v>2018</v>
      </c>
      <c r="C9" s="39">
        <f>SUMIF('Monthly Data (longer 09-23)'!$B:$B,B9,'Monthly Data (longer 09-23)'!C:C)</f>
        <v>259974120</v>
      </c>
      <c r="D9" s="39">
        <f>SUMIF('Monthly Data (longer 09-23)'!$B:$B,B9,'Monthly Data (longer 09-23)'!D:D)</f>
        <v>13682006.95021414</v>
      </c>
      <c r="E9" s="39">
        <f>SUMIF('Monthly Data (longer 09-23)'!$B:$B,B9,'Monthly Data (longer 09-23)'!E:E)</f>
        <v>273656126.95021415</v>
      </c>
      <c r="F9" s="39"/>
      <c r="G9" s="39">
        <f ca="1">SUMIF('Res Normalized Monthly'!$C:$C,B9,'Res Normalized Monthly'!$V:$V)</f>
        <v>262682933.16501585</v>
      </c>
      <c r="H9" s="39">
        <f t="shared" si="0"/>
        <v>13682006.95021414</v>
      </c>
      <c r="I9" s="39">
        <f t="shared" ca="1" si="1"/>
        <v>249000926.2148017</v>
      </c>
      <c r="J9" s="39"/>
      <c r="K9" s="39">
        <f t="shared" ca="1" si="2"/>
        <v>249000926.2148017</v>
      </c>
      <c r="M9" s="38">
        <f t="shared" si="15"/>
        <v>2018</v>
      </c>
      <c r="N9" s="39">
        <f>SUMIF('Monthly Data (longer 09-23)'!$B:$B,M9,'Monthly Data (longer 09-23)'!G:G)</f>
        <v>66321666</v>
      </c>
      <c r="O9" s="39">
        <f>SUMIF('Monthly Data (longer 09-23)'!$B:$B,M9,'Monthly Data (longer 09-23)'!H:H)</f>
        <v>13307244.786709165</v>
      </c>
      <c r="P9" s="39">
        <f>SUMIF('Monthly Data (longer 09-23)'!$B:$B,M9,'Monthly Data (longer 09-23)'!I:I)</f>
        <v>79628910.786709189</v>
      </c>
      <c r="Q9" s="39"/>
      <c r="R9" s="39">
        <f ca="1">SUMIF('GS&lt;50 Normalized Monthly'!$C:$C,M9,'GS&lt;50 Normalized Monthly'!$Q:$Q)</f>
        <v>76725396.510573372</v>
      </c>
      <c r="S9" s="39">
        <f t="shared" si="3"/>
        <v>13307244.786709165</v>
      </c>
      <c r="T9" s="39">
        <f t="shared" ref="T9:T15" ca="1" si="21">R9-S9</f>
        <v>63418151.723864205</v>
      </c>
      <c r="U9" s="39"/>
      <c r="V9" s="39">
        <f t="shared" ca="1" si="4"/>
        <v>63418151.723864205</v>
      </c>
      <c r="X9" s="38">
        <f t="shared" si="16"/>
        <v>2018</v>
      </c>
      <c r="Y9" s="39">
        <f>SUMIF('Monthly Data (longer 09-23)'!$B:$B,$X9,'Monthly Data (longer 09-23)'!K:K)</f>
        <v>171089785</v>
      </c>
      <c r="Z9" s="39">
        <f>SUMIF('Monthly Data (longer 09-23)'!$B:$B,$X9,'Monthly Data (longer 09-23)'!L:L)</f>
        <v>14215346.095885234</v>
      </c>
      <c r="AA9" s="39">
        <f>SUMIF('Monthly Data (longer 09-23)'!$B:$B,$X9,'Monthly Data (longer 09-23)'!M:M)</f>
        <v>185305131.09588525</v>
      </c>
      <c r="AB9" s="39"/>
      <c r="AC9" s="39">
        <f ca="1">SUMIF('GS&gt;50 Normalized Monthly'!$C:$C,X9,'GS&gt;50 Normalized Monthly'!$S:$S)</f>
        <v>190593841.14902142</v>
      </c>
      <c r="AD9" s="39">
        <f t="shared" si="5"/>
        <v>14215346.095885234</v>
      </c>
      <c r="AE9" s="39">
        <f t="shared" ca="1" si="6"/>
        <v>176378495.05313617</v>
      </c>
      <c r="AF9" s="39"/>
      <c r="AG9" s="39">
        <f t="shared" ca="1" si="7"/>
        <v>176378495.05313617</v>
      </c>
      <c r="AI9" s="38">
        <f t="shared" si="17"/>
        <v>2018</v>
      </c>
      <c r="AJ9" s="39">
        <f>SUMIF('Monthly Data (14-23) Used'!$B:$B,$AI9,'Monthly Data (14-23) Used'!$X:$X)</f>
        <v>31923241</v>
      </c>
      <c r="AK9" s="39">
        <f>SUMIF('Monthly Data (14-23) Used'!$B:$B,$AI9,'Monthly Data (14-23) Used'!X:X)</f>
        <v>31923241</v>
      </c>
      <c r="AL9" s="39"/>
      <c r="AM9" s="39">
        <f ca="1">SUMIF('ED Normalized Monthly'!$C:$C,AI9,'ED Normalized Monthly'!$O:$O)</f>
        <v>31403887.386830956</v>
      </c>
      <c r="AO9" s="38">
        <f t="shared" si="18"/>
        <v>2018</v>
      </c>
      <c r="AP9" s="39">
        <f>SUMIF('Monthly Data (longer 09-23)'!$B:$B,$AO9,'Monthly Data (longer 09-23)'!P:P)</f>
        <v>2887551</v>
      </c>
      <c r="AQ9" s="39">
        <f>'Connection Count'!O8</f>
        <v>2760.8333333333335</v>
      </c>
      <c r="AR9" s="39">
        <f t="shared" si="8"/>
        <v>1045.8983398732266</v>
      </c>
      <c r="AS9" s="39">
        <f t="shared" si="9"/>
        <v>2887551</v>
      </c>
      <c r="AU9" s="38">
        <f t="shared" si="19"/>
        <v>2018</v>
      </c>
      <c r="AV9" s="39">
        <f>SUMIF('Monthly Data (longer 09-23)'!$B:$B,$AU9,'Monthly Data (longer 09-23)'!S:S)</f>
        <v>293755</v>
      </c>
      <c r="AW9" s="39">
        <f>'Connection Count'!S8</f>
        <v>242.58333333333334</v>
      </c>
      <c r="AX9" s="39">
        <f t="shared" si="10"/>
        <v>1210.944692545517</v>
      </c>
      <c r="AY9" s="39">
        <f t="shared" si="11"/>
        <v>293755</v>
      </c>
      <c r="BA9" s="38">
        <f t="shared" si="20"/>
        <v>2018</v>
      </c>
      <c r="BB9" s="39">
        <f>SUMIF('Monthly Data (longer 09-23)'!$B:$B,$BA9,'Monthly Data (longer 09-23)'!V:V)</f>
        <v>1547236</v>
      </c>
      <c r="BC9" s="39">
        <f>'Connection Count'!W8</f>
        <v>131.08333333333334</v>
      </c>
      <c r="BD9" s="39">
        <f t="shared" si="12"/>
        <v>11803.453273998728</v>
      </c>
      <c r="BE9" s="39">
        <f t="shared" si="13"/>
        <v>1547236</v>
      </c>
    </row>
    <row r="10" spans="2:57">
      <c r="B10" s="38">
        <f t="shared" si="14"/>
        <v>2019</v>
      </c>
      <c r="C10" s="39">
        <f>SUMIF('Monthly Data (longer 09-23)'!$B:$B,B10,'Monthly Data (longer 09-23)'!C:C)</f>
        <v>252809094</v>
      </c>
      <c r="D10" s="39">
        <f>SUMIF('Monthly Data (longer 09-23)'!$B:$B,B10,'Monthly Data (longer 09-23)'!D:D)</f>
        <v>14436309.819562547</v>
      </c>
      <c r="E10" s="39">
        <f>SUMIF('Monthly Data (longer 09-23)'!$B:$B,B10,'Monthly Data (longer 09-23)'!E:E)</f>
        <v>267245403.81956255</v>
      </c>
      <c r="F10" s="39"/>
      <c r="G10" s="39">
        <f ca="1">SUMIF('Res Normalized Monthly'!$C:$C,B10,'Res Normalized Monthly'!$V:$V)</f>
        <v>265799470.2480126</v>
      </c>
      <c r="H10" s="39">
        <f t="shared" si="0"/>
        <v>14436309.819562547</v>
      </c>
      <c r="I10" s="39">
        <f t="shared" ca="1" si="1"/>
        <v>251363160.42845005</v>
      </c>
      <c r="J10" s="39"/>
      <c r="K10" s="39">
        <f t="shared" ca="1" si="2"/>
        <v>251363160.42845005</v>
      </c>
      <c r="M10" s="38">
        <f t="shared" si="15"/>
        <v>2019</v>
      </c>
      <c r="N10" s="39">
        <f>SUMIF('Monthly Data (longer 09-23)'!$B:$B,M10,'Monthly Data (longer 09-23)'!G:G)</f>
        <v>65058987</v>
      </c>
      <c r="O10" s="39">
        <f>SUMIF('Monthly Data (longer 09-23)'!$B:$B,M10,'Monthly Data (longer 09-23)'!H:H)</f>
        <v>13653732.179599324</v>
      </c>
      <c r="P10" s="39">
        <f>SUMIF('Monthly Data (longer 09-23)'!$B:$B,M10,'Monthly Data (longer 09-23)'!I:I)</f>
        <v>78712719.1795993</v>
      </c>
      <c r="Q10" s="39"/>
      <c r="R10" s="39">
        <f ca="1">SUMIF('GS&lt;50 Normalized Monthly'!$C:$C,M10,'GS&lt;50 Normalized Monthly'!$Q:$Q)</f>
        <v>77996817.741237804</v>
      </c>
      <c r="S10" s="39">
        <f t="shared" si="3"/>
        <v>13653732.179599324</v>
      </c>
      <c r="T10" s="39">
        <f t="shared" ca="1" si="21"/>
        <v>64343085.561638482</v>
      </c>
      <c r="U10" s="39"/>
      <c r="V10" s="39">
        <f t="shared" ca="1" si="4"/>
        <v>64343085.561638482</v>
      </c>
      <c r="X10" s="38">
        <f t="shared" si="16"/>
        <v>2019</v>
      </c>
      <c r="Y10" s="39">
        <f>SUMIF('Monthly Data (longer 09-23)'!$B:$B,$X10,'Monthly Data (longer 09-23)'!K:K)</f>
        <v>180918659</v>
      </c>
      <c r="Z10" s="39">
        <f>SUMIF('Monthly Data (longer 09-23)'!$B:$B,$X10,'Monthly Data (longer 09-23)'!L:L)</f>
        <v>14481712.493671617</v>
      </c>
      <c r="AA10" s="39">
        <f>SUMIF('Monthly Data (longer 09-23)'!$B:$B,$X10,'Monthly Data (longer 09-23)'!M:M)</f>
        <v>195400371.49367166</v>
      </c>
      <c r="AB10" s="39"/>
      <c r="AC10" s="39">
        <f ca="1">SUMIF('GS&gt;50 Normalized Monthly'!$C:$C,X10,'GS&gt;50 Normalized Monthly'!$S:$S)</f>
        <v>194287814.53468895</v>
      </c>
      <c r="AD10" s="39">
        <f t="shared" si="5"/>
        <v>14481712.493671617</v>
      </c>
      <c r="AE10" s="39">
        <f t="shared" ca="1" si="6"/>
        <v>179806102.04101732</v>
      </c>
      <c r="AF10" s="39"/>
      <c r="AG10" s="39">
        <f t="shared" ca="1" si="7"/>
        <v>179806102.04101732</v>
      </c>
      <c r="AI10" s="38">
        <f t="shared" si="17"/>
        <v>2019</v>
      </c>
      <c r="AJ10" s="39">
        <f>SUMIF('Monthly Data (14-23) Used'!$B:$B,$AI10,'Monthly Data (14-23) Used'!$X:$X)</f>
        <v>34526385</v>
      </c>
      <c r="AK10" s="39">
        <f>SUMIF('Monthly Data (14-23) Used'!$B:$B,$AI10,'Monthly Data (14-23) Used'!X:X)</f>
        <v>34526385</v>
      </c>
      <c r="AL10" s="39"/>
      <c r="AM10" s="39">
        <f ca="1">SUMIF('ED Normalized Monthly'!$C:$C,AI10,'ED Normalized Monthly'!$O:$O)</f>
        <v>32022354.7186643</v>
      </c>
      <c r="AO10" s="38">
        <f t="shared" si="18"/>
        <v>2019</v>
      </c>
      <c r="AP10" s="39">
        <f>SUMIF('Monthly Data (longer 09-23)'!$B:$B,$AO10,'Monthly Data (longer 09-23)'!P:P)</f>
        <v>2576355</v>
      </c>
      <c r="AQ10" s="39">
        <f>'Connection Count'!O9</f>
        <v>2770</v>
      </c>
      <c r="AR10" s="39">
        <f t="shared" si="8"/>
        <v>930.0920577617328</v>
      </c>
      <c r="AS10" s="39">
        <f t="shared" si="9"/>
        <v>2576355</v>
      </c>
      <c r="AU10" s="38">
        <f t="shared" si="19"/>
        <v>2019</v>
      </c>
      <c r="AV10" s="39">
        <f>SUMIF('Monthly Data (longer 09-23)'!$B:$B,$AU10,'Monthly Data (longer 09-23)'!S:S)</f>
        <v>285985</v>
      </c>
      <c r="AW10" s="39">
        <f>'Connection Count'!S9</f>
        <v>235.41666666666666</v>
      </c>
      <c r="AX10" s="39">
        <f t="shared" si="10"/>
        <v>1214.8035398230088</v>
      </c>
      <c r="AY10" s="39">
        <f t="shared" si="11"/>
        <v>285985</v>
      </c>
      <c r="BA10" s="38">
        <f t="shared" si="20"/>
        <v>2019</v>
      </c>
      <c r="BB10" s="39">
        <f>SUMIF('Monthly Data (longer 09-23)'!$B:$B,$BA10,'Monthly Data (longer 09-23)'!V:V)</f>
        <v>1541978</v>
      </c>
      <c r="BC10" s="39">
        <f>'Connection Count'!W9</f>
        <v>129.58333333333334</v>
      </c>
      <c r="BD10" s="39">
        <f t="shared" si="12"/>
        <v>11899.508681672025</v>
      </c>
      <c r="BE10" s="39">
        <f t="shared" si="13"/>
        <v>1541978</v>
      </c>
    </row>
    <row r="11" spans="2:57">
      <c r="B11" s="38">
        <f t="shared" si="14"/>
        <v>2020</v>
      </c>
      <c r="C11" s="39">
        <f>SUMIF('Monthly Data (longer 09-23)'!$B:$B,B11,'Monthly Data (longer 09-23)'!C:C)</f>
        <v>271898869</v>
      </c>
      <c r="D11" s="39">
        <f>SUMIF('Monthly Data (longer 09-23)'!$B:$B,B11,'Monthly Data (longer 09-23)'!D:D)</f>
        <v>14206748.767520793</v>
      </c>
      <c r="E11" s="39">
        <f>SUMIF('Monthly Data (longer 09-23)'!$B:$B,B11,'Monthly Data (longer 09-23)'!E:E)</f>
        <v>286105617.76752079</v>
      </c>
      <c r="F11" s="39"/>
      <c r="G11" s="39">
        <f ca="1">SUMIF('Res Normalized Monthly'!$C:$C,B11,'Res Normalized Monthly'!$V:$V)</f>
        <v>285005283.75518382</v>
      </c>
      <c r="H11" s="39">
        <f t="shared" si="0"/>
        <v>14206748.767520793</v>
      </c>
      <c r="I11" s="39">
        <f t="shared" ca="1" si="1"/>
        <v>270798534.98766303</v>
      </c>
      <c r="J11" s="39"/>
      <c r="K11" s="39">
        <f t="shared" ca="1" si="2"/>
        <v>270798534.98766303</v>
      </c>
      <c r="M11" s="38">
        <f t="shared" si="15"/>
        <v>2020</v>
      </c>
      <c r="N11" s="39">
        <f>SUMIF('Monthly Data (longer 09-23)'!$B:$B,M11,'Monthly Data (longer 09-23)'!G:G)</f>
        <v>60802781</v>
      </c>
      <c r="O11" s="39">
        <f>SUMIF('Monthly Data (longer 09-23)'!$B:$B,M11,'Monthly Data (longer 09-23)'!H:H)</f>
        <v>13601690.531776832</v>
      </c>
      <c r="P11" s="39">
        <f>SUMIF('Monthly Data (longer 09-23)'!$B:$B,M11,'Monthly Data (longer 09-23)'!I:I)</f>
        <v>74404471.531776816</v>
      </c>
      <c r="Q11" s="39"/>
      <c r="R11" s="39">
        <f ca="1">SUMIF('GS&lt;50 Normalized Monthly'!$C:$C,M11,'GS&lt;50 Normalized Monthly'!$Q:$Q)</f>
        <v>75446207.307274655</v>
      </c>
      <c r="S11" s="39">
        <f t="shared" si="3"/>
        <v>13601690.531776832</v>
      </c>
      <c r="T11" s="39">
        <f t="shared" ca="1" si="21"/>
        <v>61844516.775497824</v>
      </c>
      <c r="U11" s="39"/>
      <c r="V11" s="39">
        <f t="shared" ca="1" si="4"/>
        <v>61844516.775497824</v>
      </c>
      <c r="X11" s="38">
        <f t="shared" si="16"/>
        <v>2020</v>
      </c>
      <c r="Y11" s="39">
        <f>SUMIF('Monthly Data (longer 09-23)'!$B:$B,$X11,'Monthly Data (longer 09-23)'!K:K)</f>
        <v>171481742</v>
      </c>
      <c r="Z11" s="39">
        <f>SUMIF('Monthly Data (longer 09-23)'!$B:$B,$X11,'Monthly Data (longer 09-23)'!L:L)</f>
        <v>14426620.511432825</v>
      </c>
      <c r="AA11" s="39">
        <f>SUMIF('Monthly Data (longer 09-23)'!$B:$B,$X11,'Monthly Data (longer 09-23)'!M:M)</f>
        <v>185908362.51143277</v>
      </c>
      <c r="AB11" s="39"/>
      <c r="AC11" s="39">
        <f ca="1">SUMIF('GS&gt;50 Normalized Monthly'!$C:$C,X11,'GS&gt;50 Normalized Monthly'!$S:$S)</f>
        <v>186996843.80090782</v>
      </c>
      <c r="AD11" s="39">
        <f t="shared" si="5"/>
        <v>14426620.511432825</v>
      </c>
      <c r="AE11" s="39">
        <f t="shared" ca="1" si="6"/>
        <v>172570223.28947499</v>
      </c>
      <c r="AF11" s="39"/>
      <c r="AG11" s="39">
        <f t="shared" ca="1" si="7"/>
        <v>172570223.28947499</v>
      </c>
      <c r="AI11" s="38">
        <f t="shared" si="17"/>
        <v>2020</v>
      </c>
      <c r="AJ11" s="39">
        <f>SUMIF('Monthly Data (14-23) Used'!$B:$B,$AI11,'Monthly Data (14-23) Used'!$X:$X)</f>
        <v>29188687</v>
      </c>
      <c r="AK11" s="39">
        <f>SUMIF('Monthly Data (14-23) Used'!$B:$B,$AI11,'Monthly Data (14-23) Used'!X:X)</f>
        <v>29188687</v>
      </c>
      <c r="AL11" s="39"/>
      <c r="AM11" s="39">
        <f ca="1">SUMIF('ED Normalized Monthly'!$C:$C,AI11,'ED Normalized Monthly'!$O:$O)</f>
        <v>30175413.288579233</v>
      </c>
      <c r="AO11" s="38">
        <f t="shared" si="18"/>
        <v>2020</v>
      </c>
      <c r="AP11" s="39">
        <f>SUMIF('Monthly Data (longer 09-23)'!$B:$B,$AO11,'Monthly Data (longer 09-23)'!P:P)</f>
        <v>2455697</v>
      </c>
      <c r="AQ11" s="39">
        <f>'Connection Count'!O10</f>
        <v>2777.3333333333335</v>
      </c>
      <c r="AR11" s="39">
        <f t="shared" si="8"/>
        <v>884.19239078252519</v>
      </c>
      <c r="AS11" s="39">
        <f t="shared" si="9"/>
        <v>2455697</v>
      </c>
      <c r="AU11" s="38">
        <f t="shared" si="19"/>
        <v>2020</v>
      </c>
      <c r="AV11" s="39">
        <f>SUMIF('Monthly Data (longer 09-23)'!$B:$B,$AU11,'Monthly Data (longer 09-23)'!S:S)</f>
        <v>281018</v>
      </c>
      <c r="AW11" s="39">
        <f>'Connection Count'!S10</f>
        <v>228.08333333333334</v>
      </c>
      <c r="AX11" s="39">
        <f t="shared" si="10"/>
        <v>1232.0847643405189</v>
      </c>
      <c r="AY11" s="39">
        <f t="shared" si="11"/>
        <v>281018</v>
      </c>
      <c r="BA11" s="38">
        <f t="shared" si="20"/>
        <v>2020</v>
      </c>
      <c r="BB11" s="39">
        <f>SUMIF('Monthly Data (longer 09-23)'!$B:$B,$BA11,'Monthly Data (longer 09-23)'!V:V)</f>
        <v>1442699</v>
      </c>
      <c r="BC11" s="39">
        <f>'Connection Count'!W10</f>
        <v>125.83333333333333</v>
      </c>
      <c r="BD11" s="39">
        <f t="shared" si="12"/>
        <v>11465.157615894041</v>
      </c>
      <c r="BE11" s="39">
        <f t="shared" si="13"/>
        <v>1442699</v>
      </c>
    </row>
    <row r="12" spans="2:57">
      <c r="B12" s="38">
        <f t="shared" si="14"/>
        <v>2021</v>
      </c>
      <c r="C12" s="39">
        <f>SUMIF('Monthly Data (longer 09-23)'!$B:$B,B12,'Monthly Data (longer 09-23)'!C:C)</f>
        <v>277378582</v>
      </c>
      <c r="D12" s="39">
        <f>SUMIF('Monthly Data (longer 09-23)'!$B:$B,B12,'Monthly Data (longer 09-23)'!D:D)</f>
        <v>13975131.768337958</v>
      </c>
      <c r="E12" s="39">
        <f>SUMIF('Monthly Data (longer 09-23)'!$B:$B,B12,'Monthly Data (longer 09-23)'!E:E)</f>
        <v>291353713.76833797</v>
      </c>
      <c r="F12" s="39"/>
      <c r="G12" s="39">
        <f ca="1">SUMIF('Res Normalized Monthly'!$C:$C,B12,'Res Normalized Monthly'!$V:$V)</f>
        <v>286276124.66212428</v>
      </c>
      <c r="H12" s="39">
        <f t="shared" si="0"/>
        <v>13975131.768337958</v>
      </c>
      <c r="I12" s="39">
        <f t="shared" ca="1" si="1"/>
        <v>272300992.89378631</v>
      </c>
      <c r="J12" s="39"/>
      <c r="K12" s="39">
        <f t="shared" ca="1" si="2"/>
        <v>272300992.89378631</v>
      </c>
      <c r="M12" s="38">
        <f t="shared" si="15"/>
        <v>2021</v>
      </c>
      <c r="N12" s="39">
        <f>SUMIF('Monthly Data (longer 09-23)'!$B:$B,M12,'Monthly Data (longer 09-23)'!G:G)</f>
        <v>62043606</v>
      </c>
      <c r="O12" s="39">
        <f>SUMIF('Monthly Data (longer 09-23)'!$B:$B,M12,'Monthly Data (longer 09-23)'!H:H)</f>
        <v>13632263.206079831</v>
      </c>
      <c r="P12" s="39">
        <f>SUMIF('Monthly Data (longer 09-23)'!$B:$B,M12,'Monthly Data (longer 09-23)'!I:I)</f>
        <v>75675869.206079826</v>
      </c>
      <c r="Q12" s="39"/>
      <c r="R12" s="39">
        <f ca="1">SUMIF('GS&lt;50 Normalized Monthly'!$C:$C,M12,'GS&lt;50 Normalized Monthly'!$Q:$Q)</f>
        <v>78167669.839656129</v>
      </c>
      <c r="S12" s="39">
        <f t="shared" si="3"/>
        <v>13632263.206079831</v>
      </c>
      <c r="T12" s="39">
        <f t="shared" ca="1" si="21"/>
        <v>64535406.633576296</v>
      </c>
      <c r="U12" s="39"/>
      <c r="V12" s="39">
        <f t="shared" ca="1" si="4"/>
        <v>64535406.633576296</v>
      </c>
      <c r="X12" s="38">
        <f t="shared" si="16"/>
        <v>2021</v>
      </c>
      <c r="Y12" s="39">
        <f>SUMIF('Monthly Data (longer 09-23)'!$B:$B,$X12,'Monthly Data (longer 09-23)'!K:K)</f>
        <v>178461520</v>
      </c>
      <c r="Z12" s="39">
        <f>SUMIF('Monthly Data (longer 09-23)'!$B:$B,$X12,'Monthly Data (longer 09-23)'!L:L)</f>
        <v>14781463.887884511</v>
      </c>
      <c r="AA12" s="39">
        <f>SUMIF('Monthly Data (longer 09-23)'!$B:$B,$X12,'Monthly Data (longer 09-23)'!M:M)</f>
        <v>193242983.88788456</v>
      </c>
      <c r="AB12" s="39"/>
      <c r="AC12" s="39">
        <f ca="1">SUMIF('GS&gt;50 Normalized Monthly'!$C:$C,X12,'GS&gt;50 Normalized Monthly'!$S:$S)</f>
        <v>194066989.2737186</v>
      </c>
      <c r="AD12" s="39">
        <f t="shared" si="5"/>
        <v>14781463.887884511</v>
      </c>
      <c r="AE12" s="39">
        <f t="shared" ca="1" si="6"/>
        <v>179285525.3858341</v>
      </c>
      <c r="AF12" s="39"/>
      <c r="AG12" s="39">
        <f t="shared" ca="1" si="7"/>
        <v>179285525.3858341</v>
      </c>
      <c r="AI12" s="38">
        <f t="shared" si="17"/>
        <v>2021</v>
      </c>
      <c r="AJ12" s="39">
        <f>SUMIF('Monthly Data (14-23) Used'!$B:$B,$AI12,'Monthly Data (14-23) Used'!$X:$X)</f>
        <v>28075683</v>
      </c>
      <c r="AK12" s="39">
        <f>SUMIF('Monthly Data (14-23) Used'!$B:$B,$AI12,'Monthly Data (14-23) Used'!X:X)</f>
        <v>28075683</v>
      </c>
      <c r="AL12" s="39"/>
      <c r="AM12" s="39">
        <f ca="1">SUMIF('ED Normalized Monthly'!$C:$C,AI12,'ED Normalized Monthly'!$O:$O)</f>
        <v>31296438.206061002</v>
      </c>
      <c r="AO12" s="38">
        <f t="shared" si="18"/>
        <v>2021</v>
      </c>
      <c r="AP12" s="39">
        <f>SUMIF('Monthly Data (longer 09-23)'!$B:$B,$AO12,'Monthly Data (longer 09-23)'!P:P)</f>
        <v>2444025</v>
      </c>
      <c r="AQ12" s="39">
        <f>'Connection Count'!O11</f>
        <v>2784.6666666666665</v>
      </c>
      <c r="AR12" s="39">
        <f t="shared" si="8"/>
        <v>877.67237251615995</v>
      </c>
      <c r="AS12" s="39">
        <f t="shared" si="9"/>
        <v>2444025</v>
      </c>
      <c r="AU12" s="38">
        <f t="shared" si="19"/>
        <v>2021</v>
      </c>
      <c r="AV12" s="39">
        <f>SUMIF('Monthly Data (longer 09-23)'!$B:$B,$AU12,'Monthly Data (longer 09-23)'!S:S)</f>
        <v>278297</v>
      </c>
      <c r="AW12" s="39">
        <f>'Connection Count'!S11</f>
        <v>228</v>
      </c>
      <c r="AX12" s="39">
        <f t="shared" si="10"/>
        <v>1220.6008771929824</v>
      </c>
      <c r="AY12" s="39">
        <f t="shared" si="11"/>
        <v>278297</v>
      </c>
      <c r="BA12" s="38">
        <f t="shared" si="20"/>
        <v>2021</v>
      </c>
      <c r="BB12" s="39">
        <f>SUMIF('Monthly Data (longer 09-23)'!$B:$B,$BA12,'Monthly Data (longer 09-23)'!V:V)</f>
        <v>1408704</v>
      </c>
      <c r="BC12" s="39">
        <f>'Connection Count'!W11</f>
        <v>125</v>
      </c>
      <c r="BD12" s="39">
        <f t="shared" si="12"/>
        <v>11269.632</v>
      </c>
      <c r="BE12" s="39">
        <f t="shared" si="13"/>
        <v>1408704</v>
      </c>
    </row>
    <row r="13" spans="2:57">
      <c r="B13" s="38">
        <f t="shared" si="14"/>
        <v>2022</v>
      </c>
      <c r="C13" s="39">
        <f>SUMIF('Monthly Data (longer 09-23)'!$B:$B,B13,'Monthly Data (longer 09-23)'!C:C)</f>
        <v>272607146</v>
      </c>
      <c r="D13" s="39">
        <f>SUMIF('Monthly Data (longer 09-23)'!$B:$B,B13,'Monthly Data (longer 09-23)'!D:D)</f>
        <v>14027344.740924463</v>
      </c>
      <c r="E13" s="39">
        <f>SUMIF('Monthly Data (longer 09-23)'!$B:$B,B13,'Monthly Data (longer 09-23)'!E:E)</f>
        <v>286634490.74092448</v>
      </c>
      <c r="F13" s="39"/>
      <c r="G13" s="39">
        <f ca="1">SUMIF('Res Normalized Monthly'!$C:$C,B13,'Res Normalized Monthly'!$V:$V)</f>
        <v>284644801.66241497</v>
      </c>
      <c r="H13" s="39">
        <f t="shared" si="0"/>
        <v>14027344.740924463</v>
      </c>
      <c r="I13" s="39">
        <f t="shared" ca="1" si="1"/>
        <v>270617456.92149049</v>
      </c>
      <c r="J13" s="39"/>
      <c r="K13" s="39">
        <f t="shared" ca="1" si="2"/>
        <v>270617456.92149049</v>
      </c>
      <c r="M13" s="38">
        <f t="shared" si="15"/>
        <v>2022</v>
      </c>
      <c r="N13" s="39">
        <f>SUMIF('Monthly Data (longer 09-23)'!$B:$B,M13,'Monthly Data (longer 09-23)'!G:G)</f>
        <v>67628825</v>
      </c>
      <c r="O13" s="39">
        <f>SUMIF('Monthly Data (longer 09-23)'!$B:$B,M13,'Monthly Data (longer 09-23)'!H:H)</f>
        <v>14012908.228185333</v>
      </c>
      <c r="P13" s="39">
        <f>SUMIF('Monthly Data (longer 09-23)'!$B:$B,M13,'Monthly Data (longer 09-23)'!I:I)</f>
        <v>81641733.228185311</v>
      </c>
      <c r="Q13" s="39"/>
      <c r="R13" s="39">
        <f ca="1">SUMIF('GS&lt;50 Normalized Monthly'!$C:$C,M13,'GS&lt;50 Normalized Monthly'!$Q:$Q)</f>
        <v>80305873.908725917</v>
      </c>
      <c r="S13" s="39">
        <f t="shared" si="3"/>
        <v>14012908.228185333</v>
      </c>
      <c r="T13" s="39">
        <f ca="1">R13-S13</f>
        <v>66292965.680540584</v>
      </c>
      <c r="U13" s="39"/>
      <c r="V13" s="39">
        <f t="shared" ca="1" si="4"/>
        <v>66292965.680540584</v>
      </c>
      <c r="X13" s="38">
        <f t="shared" si="16"/>
        <v>2022</v>
      </c>
      <c r="Y13" s="39">
        <f>SUMIF('Monthly Data (longer 09-23)'!$B:$B,$X13,'Monthly Data (longer 09-23)'!K:K)</f>
        <v>183800048</v>
      </c>
      <c r="Z13" s="39">
        <f>SUMIF('Monthly Data (longer 09-23)'!$B:$B,$X13,'Monthly Data (longer 09-23)'!L:L)</f>
        <v>15480346.591853924</v>
      </c>
      <c r="AA13" s="39">
        <f>SUMIF('Monthly Data (longer 09-23)'!$B:$B,$X13,'Monthly Data (longer 09-23)'!M:M)</f>
        <v>199280394.59185389</v>
      </c>
      <c r="AB13" s="39"/>
      <c r="AC13" s="39">
        <f ca="1">SUMIF('GS&gt;50 Normalized Monthly'!$C:$C,X13,'GS&gt;50 Normalized Monthly'!$S:$S)</f>
        <v>199894483.00856209</v>
      </c>
      <c r="AD13" s="39">
        <f t="shared" si="5"/>
        <v>15480346.591853924</v>
      </c>
      <c r="AE13" s="39">
        <f t="shared" ca="1" si="6"/>
        <v>184414136.41670817</v>
      </c>
      <c r="AF13" s="39"/>
      <c r="AG13" s="39">
        <f t="shared" ca="1" si="7"/>
        <v>184414136.41670817</v>
      </c>
      <c r="AI13" s="38">
        <f t="shared" si="17"/>
        <v>2022</v>
      </c>
      <c r="AJ13" s="39">
        <f>SUMIF('Monthly Data (14-23) Used'!$B:$B,$AI13,'Monthly Data (14-23) Used'!$X:$X)</f>
        <v>28792570</v>
      </c>
      <c r="AK13" s="39">
        <f>SUMIF('Monthly Data (14-23) Used'!$B:$B,$AI13,'Monthly Data (14-23) Used'!X:X)</f>
        <v>28792570</v>
      </c>
      <c r="AL13" s="39"/>
      <c r="AM13" s="39">
        <f ca="1">SUMIF('ED Normalized Monthly'!$C:$C,AI13,'ED Normalized Monthly'!$O:$O)</f>
        <v>32315090.282021798</v>
      </c>
      <c r="AO13" s="38">
        <f t="shared" si="18"/>
        <v>2022</v>
      </c>
      <c r="AP13" s="39">
        <f>SUMIF('Monthly Data (longer 09-23)'!$B:$B,$AO13,'Monthly Data (longer 09-23)'!P:P)</f>
        <v>2406027</v>
      </c>
      <c r="AQ13" s="39">
        <f>'Connection Count'!O12</f>
        <v>2793.3333333333335</v>
      </c>
      <c r="AR13" s="39">
        <f t="shared" si="8"/>
        <v>861.34618138424821</v>
      </c>
      <c r="AS13" s="39">
        <f t="shared" si="9"/>
        <v>2406027</v>
      </c>
      <c r="AU13" s="38">
        <f t="shared" si="19"/>
        <v>2022</v>
      </c>
      <c r="AV13" s="39">
        <f>SUMIF('Monthly Data (longer 09-23)'!$B:$B,$AU13,'Monthly Data (longer 09-23)'!S:S)</f>
        <v>271670</v>
      </c>
      <c r="AW13" s="39">
        <f>'Connection Count'!S12</f>
        <v>226.66666666666666</v>
      </c>
      <c r="AX13" s="39">
        <f t="shared" si="10"/>
        <v>1198.5441176470588</v>
      </c>
      <c r="AY13" s="39">
        <f t="shared" si="11"/>
        <v>271670</v>
      </c>
      <c r="BA13" s="38">
        <f t="shared" si="20"/>
        <v>2022</v>
      </c>
      <c r="BB13" s="39">
        <f>SUMIF('Monthly Data (longer 09-23)'!$B:$B,$BA13,'Monthly Data (longer 09-23)'!V:V)</f>
        <v>1408704</v>
      </c>
      <c r="BC13" s="39">
        <f>'Connection Count'!W12</f>
        <v>125</v>
      </c>
      <c r="BD13" s="39">
        <f t="shared" si="12"/>
        <v>11269.632</v>
      </c>
      <c r="BE13" s="39">
        <f t="shared" si="13"/>
        <v>1408704</v>
      </c>
    </row>
    <row r="14" spans="2:57">
      <c r="B14" s="38">
        <f t="shared" si="14"/>
        <v>2023</v>
      </c>
      <c r="C14" s="39">
        <f>SUMIF('Monthly Data (longer 09-23)'!$B:$B,B14,'Monthly Data (longer 09-23)'!C:C)</f>
        <v>259000633.64553002</v>
      </c>
      <c r="D14" s="39">
        <f>SUMIF('Monthly Data (longer 09-23)'!$B:$B,B14,'Monthly Data (longer 09-23)'!D:D)</f>
        <v>14161671.784384288</v>
      </c>
      <c r="E14" s="39">
        <f>SUMIF('Monthly Data (longer 09-23)'!$B:$B,B14,'Monthly Data (longer 09-23)'!E:E)</f>
        <v>273162305.4299143</v>
      </c>
      <c r="F14" s="39"/>
      <c r="G14" s="39">
        <f ca="1">SUMIF('Res Normalized Monthly'!$C:$C,B14,'Res Normalized Monthly'!$V:$V)</f>
        <v>283013478.66270572</v>
      </c>
      <c r="H14" s="39">
        <f>D14</f>
        <v>14161671.784384288</v>
      </c>
      <c r="I14" s="39">
        <f ca="1">G14-H14</f>
        <v>268851806.87832141</v>
      </c>
      <c r="J14" s="39"/>
      <c r="K14" s="39">
        <f t="shared" ca="1" si="2"/>
        <v>268851806.87832141</v>
      </c>
      <c r="M14" s="38">
        <f t="shared" si="15"/>
        <v>2023</v>
      </c>
      <c r="N14" s="39">
        <f>SUMIF('Monthly Data (longer 09-23)'!$B:$B,M14,'Monthly Data (longer 09-23)'!G:G)</f>
        <v>63293408.089218006</v>
      </c>
      <c r="O14" s="39">
        <f>SUMIF('Monthly Data (longer 09-23)'!$B:$B,M14,'Monthly Data (longer 09-23)'!H:H)</f>
        <v>14365508.348809443</v>
      </c>
      <c r="P14" s="39">
        <f>SUMIF('Monthly Data (longer 09-23)'!$B:$B,M14,'Monthly Data (longer 09-23)'!I:I)</f>
        <v>77658916.438027456</v>
      </c>
      <c r="Q14" s="39"/>
      <c r="R14" s="39">
        <f ca="1">SUMIF('GS&lt;50 Normalized Monthly'!$C:$C,M14,'GS&lt;50 Normalized Monthly'!$Q:$Q)</f>
        <v>81169160.594030857</v>
      </c>
      <c r="S14" s="39">
        <f>O14</f>
        <v>14365508.348809443</v>
      </c>
      <c r="T14" s="39">
        <f ca="1">R14-S14</f>
        <v>66803652.245221414</v>
      </c>
      <c r="U14" s="39"/>
      <c r="V14" s="39">
        <f t="shared" ca="1" si="4"/>
        <v>66803652.245221414</v>
      </c>
      <c r="X14" s="38">
        <f t="shared" si="16"/>
        <v>2023</v>
      </c>
      <c r="Y14" s="39">
        <f>SUMIF('Monthly Data (longer 09-23)'!$B:$B,$X14,'Monthly Data (longer 09-23)'!K:K)</f>
        <v>183420702.72663307</v>
      </c>
      <c r="Z14" s="39">
        <f>SUMIF('Monthly Data (longer 09-23)'!$B:$B,$X14,'Monthly Data (longer 09-23)'!L:L)</f>
        <v>17991525.367459733</v>
      </c>
      <c r="AA14" s="39">
        <f>SUMIF('Monthly Data (longer 09-23)'!$B:$B,$X14,'Monthly Data (longer 09-23)'!M:M)</f>
        <v>201412228.09409276</v>
      </c>
      <c r="AB14" s="39"/>
      <c r="AC14" s="39">
        <f ca="1">SUMIF('GS&gt;50 Normalized Monthly'!$C:$C,X14,'GS&gt;50 Normalized Monthly'!$S:$S)</f>
        <v>202476120.32656401</v>
      </c>
      <c r="AD14" s="39">
        <f>Z14</f>
        <v>17991525.367459733</v>
      </c>
      <c r="AE14" s="39">
        <f ca="1">AC14-AD14</f>
        <v>184484594.95910427</v>
      </c>
      <c r="AF14" s="39"/>
      <c r="AG14" s="39">
        <f t="shared" ca="1" si="7"/>
        <v>184484594.95910427</v>
      </c>
      <c r="AI14" s="38">
        <f t="shared" si="17"/>
        <v>2023</v>
      </c>
      <c r="AJ14" s="39">
        <f>SUMIF('Monthly Data (14-23) Used'!$B:$B,$AI14,'Monthly Data (14-23) Used'!$X:$X)</f>
        <v>34284228</v>
      </c>
      <c r="AK14" s="39">
        <f>SUMIF('Monthly Data (14-23) Used'!$B:$B,$AI14,'Monthly Data (14-23) Used'!X:X)</f>
        <v>34284228</v>
      </c>
      <c r="AL14" s="39"/>
      <c r="AM14" s="39">
        <f ca="1">SUMIF('ED Normalized Monthly'!$C:$C,AI14,'ED Normalized Monthly'!$O:$O)</f>
        <v>33738157.384817533</v>
      </c>
      <c r="AO14" s="38">
        <f t="shared" si="18"/>
        <v>2023</v>
      </c>
      <c r="AP14" s="39">
        <f>SUMIF('Monthly Data (longer 09-23)'!$B:$B,$AO14,'Monthly Data (longer 09-23)'!P:P)</f>
        <v>2415232.6883003376</v>
      </c>
      <c r="AQ14" s="39">
        <f>'Connection Count'!O13</f>
        <v>2806.9166666666665</v>
      </c>
      <c r="AR14" s="39">
        <f t="shared" si="8"/>
        <v>860.45756790084181</v>
      </c>
      <c r="AS14" s="39">
        <f>AR14*AQ14</f>
        <v>2415232.6883003376</v>
      </c>
      <c r="AU14" s="38">
        <f t="shared" si="19"/>
        <v>2023</v>
      </c>
      <c r="AV14" s="39">
        <f>SUMIF('Monthly Data (longer 09-23)'!$B:$B,$AU14,'Monthly Data (longer 09-23)'!S:S)</f>
        <v>269986.47996137134</v>
      </c>
      <c r="AW14" s="39">
        <f>'Connection Count'!S13</f>
        <v>222.25</v>
      </c>
      <c r="AX14" s="39">
        <f t="shared" si="10"/>
        <v>1214.7873114122444</v>
      </c>
      <c r="AY14" s="39">
        <f>AX14*AW14</f>
        <v>269986.47996137134</v>
      </c>
      <c r="BA14" s="38">
        <f t="shared" si="20"/>
        <v>2023</v>
      </c>
      <c r="BB14" s="39">
        <f>SUMIF('Monthly Data (longer 09-23)'!$B:$B,$BA14,'Monthly Data (longer 09-23)'!V:V)</f>
        <v>1408699.1791405117</v>
      </c>
      <c r="BC14" s="39">
        <f>'Connection Count'!W13</f>
        <v>125</v>
      </c>
      <c r="BD14" s="39">
        <f t="shared" si="12"/>
        <v>11269.593433124093</v>
      </c>
      <c r="BE14" s="39">
        <f>BD14*BC14</f>
        <v>1408699.1791405117</v>
      </c>
    </row>
    <row r="15" spans="2:57" s="11" customFormat="1">
      <c r="B15" s="41">
        <f t="shared" si="14"/>
        <v>2024</v>
      </c>
      <c r="C15" s="41"/>
      <c r="D15" s="41"/>
      <c r="E15" s="41"/>
      <c r="F15" s="41"/>
      <c r="G15" s="40">
        <f ca="1">SUMIF('Res Normalized Monthly'!$C:$C,B15,'Res Normalized Monthly'!$V:$V)</f>
        <v>286875733.03066367</v>
      </c>
      <c r="H15" s="40">
        <f>'Historic CDM'!C150</f>
        <v>14080908.970873253</v>
      </c>
      <c r="I15" s="40">
        <f t="shared" ca="1" si="1"/>
        <v>272794824.05979043</v>
      </c>
      <c r="J15" s="40">
        <f ca="1">'Total Additional Loads'!D16</f>
        <v>4072994.8117205207</v>
      </c>
      <c r="K15" s="40">
        <f ca="1">I15+J15</f>
        <v>276867818.87151098</v>
      </c>
      <c r="M15" s="41">
        <f>B15</f>
        <v>2024</v>
      </c>
      <c r="N15" s="41"/>
      <c r="O15" s="41"/>
      <c r="P15" s="41"/>
      <c r="Q15" s="41"/>
      <c r="R15" s="40">
        <f ca="1">SUMIF('GS&lt;50 Normalized Monthly'!$C:$C,M15,'GS&lt;50 Normalized Monthly'!$Q:$Q)</f>
        <v>81659851.389303565</v>
      </c>
      <c r="S15" s="40">
        <f>'Historic CDM'!D150</f>
        <v>13227924.0714256</v>
      </c>
      <c r="T15" s="40">
        <f t="shared" ca="1" si="21"/>
        <v>68431927.317877963</v>
      </c>
      <c r="U15" s="40">
        <f ca="1">'Total Additional Loads'!D17</f>
        <v>1021250.2438725852</v>
      </c>
      <c r="V15" s="40">
        <f ca="1">T15+U15</f>
        <v>69453177.561750546</v>
      </c>
      <c r="X15" s="41">
        <f t="shared" si="16"/>
        <v>2024</v>
      </c>
      <c r="Y15" s="41"/>
      <c r="Z15" s="41"/>
      <c r="AA15" s="41"/>
      <c r="AB15" s="41"/>
      <c r="AC15" s="40">
        <f ca="1">SUMIF('GS&gt;50 Normalized Monthly'!$C:$C,X15,'GS&gt;50 Normalized Monthly'!$S:$S)</f>
        <v>203702780.71640754</v>
      </c>
      <c r="AD15" s="40">
        <f>'Historic CDM'!E150</f>
        <v>16934708.787240501</v>
      </c>
      <c r="AE15" s="40">
        <f t="shared" ca="1" si="6"/>
        <v>186768071.92916703</v>
      </c>
      <c r="AF15" s="40">
        <f>'Total Additional Loads'!D18</f>
        <v>3514114.034390213</v>
      </c>
      <c r="AG15" s="40">
        <f ca="1">AE15+AF15</f>
        <v>190282185.96355724</v>
      </c>
      <c r="AI15" s="41">
        <f t="shared" si="17"/>
        <v>2024</v>
      </c>
      <c r="AJ15" s="41"/>
      <c r="AK15" s="41"/>
      <c r="AL15" s="41"/>
      <c r="AM15" s="40">
        <f ca="1">SUMIF('ED Normalized Monthly'!$C:$C,AI15,'ED Normalized Monthly'!$O:$O)</f>
        <v>33920392.464488193</v>
      </c>
      <c r="AO15" s="41">
        <f t="shared" si="18"/>
        <v>2024</v>
      </c>
      <c r="AP15" s="41"/>
      <c r="AQ15" s="40">
        <f>'Connection Count'!O14</f>
        <v>2817.5697468134185</v>
      </c>
      <c r="AR15" s="40">
        <f>AR14</f>
        <v>860.45756790084181</v>
      </c>
      <c r="AS15" s="40">
        <f t="shared" si="9"/>
        <v>2424399.2117340649</v>
      </c>
      <c r="AU15" s="41">
        <f t="shared" si="19"/>
        <v>2024</v>
      </c>
      <c r="AV15" s="41"/>
      <c r="AW15" s="40">
        <f>'Connection Count'!S14</f>
        <v>219.07504548051534</v>
      </c>
      <c r="AX15" s="40">
        <f>AX14</f>
        <v>1214.7873114122444</v>
      </c>
      <c r="AY15" s="40">
        <f t="shared" si="11"/>
        <v>266129.58549679042</v>
      </c>
      <c r="BA15" s="41">
        <f>BA14+1</f>
        <v>2024</v>
      </c>
      <c r="BB15" s="41"/>
      <c r="BC15" s="40">
        <f>'Connection Count'!W14</f>
        <v>123.87972409682031</v>
      </c>
      <c r="BD15" s="40">
        <f>BD14</f>
        <v>11269.593433124093</v>
      </c>
      <c r="BE15" s="40">
        <f>BD15*BC15</f>
        <v>1396074.1251787506</v>
      </c>
    </row>
    <row r="16" spans="2:57" s="11" customFormat="1">
      <c r="B16" s="41">
        <f t="shared" si="14"/>
        <v>2025</v>
      </c>
      <c r="C16" s="41"/>
      <c r="D16" s="41"/>
      <c r="E16" s="41"/>
      <c r="F16" s="41"/>
      <c r="G16" s="40">
        <f ca="1">SUMIF('Res Normalized Monthly'!$C:$C,B16,'Res Normalized Monthly'!$V:$V)</f>
        <v>289246552.82869923</v>
      </c>
      <c r="H16" s="40">
        <f>'Historic CDM'!C151</f>
        <v>13876355.908445757</v>
      </c>
      <c r="I16" s="40">
        <f ca="1">G16-H16</f>
        <v>275370196.92025346</v>
      </c>
      <c r="J16" s="40">
        <f ca="1">'Total Additional Loads'!E16</f>
        <v>10162570.912190966</v>
      </c>
      <c r="K16" s="40">
        <f ca="1">I16+J16</f>
        <v>285532767.83244443</v>
      </c>
      <c r="M16" s="41">
        <f>B16</f>
        <v>2025</v>
      </c>
      <c r="N16" s="41"/>
      <c r="O16" s="41"/>
      <c r="P16" s="41"/>
      <c r="Q16" s="41"/>
      <c r="R16" s="40">
        <f ca="1">SUMIF('GS&lt;50 Normalized Monthly'!$C:$C,M16,'GS&lt;50 Normalized Monthly'!$Q:$Q)</f>
        <v>82793710.187880591</v>
      </c>
      <c r="S16" s="40">
        <f>'Historic CDM'!D151</f>
        <v>12219319.189610001</v>
      </c>
      <c r="T16" s="40">
        <f ca="1">R16-S16</f>
        <v>70574390.998270586</v>
      </c>
      <c r="U16" s="40">
        <f ca="1">'Total Additional Loads'!E17</f>
        <v>2618053.3770265197</v>
      </c>
      <c r="V16" s="40">
        <f ca="1">T16+U16</f>
        <v>73192444.375297099</v>
      </c>
      <c r="X16" s="41">
        <f t="shared" si="16"/>
        <v>2025</v>
      </c>
      <c r="Y16" s="41"/>
      <c r="Z16" s="41"/>
      <c r="AA16" s="41"/>
      <c r="AB16" s="41"/>
      <c r="AC16" s="40">
        <f ca="1">SUMIF('GS&gt;50 Normalized Monthly'!$C:$C,X16,'GS&gt;50 Normalized Monthly'!$S:$S)</f>
        <v>207132515.0983966</v>
      </c>
      <c r="AD16" s="40">
        <f>'Historic CDM'!E151</f>
        <v>15480379.972327283</v>
      </c>
      <c r="AE16" s="40">
        <f ca="1">AC16-AD16</f>
        <v>191652135.12606931</v>
      </c>
      <c r="AF16" s="40">
        <f ca="1">'Total Additional Loads'!E18</f>
        <v>17455141.186642379</v>
      </c>
      <c r="AG16" s="40">
        <f ca="1">AE16+AF16</f>
        <v>209107276.31271169</v>
      </c>
      <c r="AI16" s="41">
        <f t="shared" si="17"/>
        <v>2025</v>
      </c>
      <c r="AJ16" s="41"/>
      <c r="AK16" s="41"/>
      <c r="AL16" s="41"/>
      <c r="AM16" s="40">
        <f ca="1">SUMIF('ED Normalized Monthly'!$C:$C,AI16,'ED Normalized Monthly'!$O:$O)</f>
        <v>34244754.121491976</v>
      </c>
      <c r="AO16" s="41">
        <f t="shared" si="18"/>
        <v>2025</v>
      </c>
      <c r="AP16" s="41"/>
      <c r="AQ16" s="40">
        <f>'Connection Count'!O15</f>
        <v>2828.2632585547244</v>
      </c>
      <c r="AR16" s="40">
        <f>AR15</f>
        <v>860.45756790084181</v>
      </c>
      <c r="AS16" s="40">
        <f>AR16*AQ16</f>
        <v>2433600.5248393081</v>
      </c>
      <c r="AU16" s="41">
        <f t="shared" si="19"/>
        <v>2025</v>
      </c>
      <c r="AV16" s="41"/>
      <c r="AW16" s="40">
        <f>'Connection Count'!S15</f>
        <v>215.94544680445384</v>
      </c>
      <c r="AX16" s="40">
        <f>AX15</f>
        <v>1214.7873114122444</v>
      </c>
      <c r="AY16" s="40">
        <f>AX16*AW16</f>
        <v>262327.78873529832</v>
      </c>
      <c r="BA16" s="41">
        <f>BA15+1</f>
        <v>2025</v>
      </c>
      <c r="BB16" s="41"/>
      <c r="BC16" s="40">
        <f>'Connection Count'!W15</f>
        <v>122.76948833843458</v>
      </c>
      <c r="BD16" s="40">
        <f>BD15</f>
        <v>11269.593433124093</v>
      </c>
      <c r="BE16" s="40">
        <f>BD16*BC16</f>
        <v>1383562.2195668274</v>
      </c>
    </row>
    <row r="20" spans="44:46">
      <c r="AR20" s="4"/>
    </row>
    <row r="21" spans="44:46">
      <c r="AR21" s="4"/>
      <c r="AS21" s="4"/>
    </row>
    <row r="22" spans="44:46">
      <c r="AR22" s="4"/>
      <c r="AS22" s="4"/>
      <c r="AT22" s="4"/>
    </row>
    <row r="23" spans="44:46">
      <c r="AR23" s="4"/>
      <c r="AS23" s="4"/>
      <c r="AT23" s="4"/>
    </row>
    <row r="24" spans="44:46">
      <c r="AR24" s="4"/>
      <c r="AS24" s="4"/>
      <c r="AT24" s="4"/>
    </row>
    <row r="25" spans="44:46">
      <c r="AR25" s="4"/>
      <c r="AS25" s="4"/>
      <c r="AT25" s="4"/>
    </row>
    <row r="26" spans="44:46">
      <c r="AR26" s="4"/>
      <c r="AS26" s="4"/>
      <c r="AT26" s="4"/>
    </row>
    <row r="27" spans="44:46">
      <c r="AR27" s="4"/>
      <c r="AS27" s="4"/>
    </row>
    <row r="54" spans="42:56">
      <c r="AP54" s="6"/>
      <c r="AQ54" s="6"/>
      <c r="AR54" s="105"/>
      <c r="AV54" s="6"/>
      <c r="AW54" s="6"/>
      <c r="AX54" s="75"/>
      <c r="AY54" s="6"/>
      <c r="BB54" s="6"/>
      <c r="BC54" s="6"/>
      <c r="BD54" s="75"/>
    </row>
    <row r="55" spans="42:56">
      <c r="AP55" s="6"/>
      <c r="AQ55" s="6"/>
      <c r="AR55" s="105"/>
      <c r="AV55" s="6"/>
      <c r="AW55" s="6"/>
      <c r="AX55" s="75"/>
      <c r="AY55" s="6"/>
      <c r="BB55" s="6"/>
      <c r="BC55" s="6"/>
      <c r="BD55" s="75"/>
    </row>
    <row r="56" spans="42:56">
      <c r="AP56" s="6"/>
      <c r="AQ56" s="6"/>
      <c r="AR56" s="105"/>
      <c r="AV56" s="6"/>
      <c r="AW56" s="6"/>
      <c r="AX56" s="75"/>
      <c r="AY56" s="6"/>
      <c r="BB56" s="6"/>
      <c r="BC56" s="6"/>
      <c r="BD56" s="75"/>
    </row>
    <row r="57" spans="42:56">
      <c r="AP57" s="6"/>
      <c r="AQ57" s="6"/>
      <c r="AR57" s="105"/>
      <c r="AV57" s="6"/>
      <c r="AW57" s="6"/>
      <c r="AX57" s="75"/>
      <c r="AY57" s="6"/>
      <c r="BB57" s="6"/>
      <c r="BC57" s="6"/>
      <c r="BD57" s="75"/>
    </row>
    <row r="58" spans="42:56">
      <c r="AP58" s="6"/>
      <c r="AQ58" s="6"/>
      <c r="AR58" s="105"/>
      <c r="AV58" s="6"/>
      <c r="AW58" s="6"/>
      <c r="AX58" s="75"/>
      <c r="AY58" s="6"/>
      <c r="BB58" s="6"/>
      <c r="BC58" s="6"/>
      <c r="BD58" s="75"/>
    </row>
    <row r="59" spans="42:56">
      <c r="AP59" s="6"/>
      <c r="AQ59" s="6"/>
      <c r="AR59" s="105"/>
      <c r="AV59" s="6"/>
      <c r="AW59" s="6"/>
      <c r="AX59" s="75"/>
      <c r="AY59" s="6"/>
      <c r="BB59" s="6"/>
      <c r="BC59" s="6"/>
      <c r="BD59" s="75"/>
    </row>
    <row r="60" spans="42:56">
      <c r="AP60" s="6"/>
      <c r="AQ60" s="6"/>
      <c r="AR60" s="105"/>
      <c r="AV60" s="6"/>
      <c r="AW60" s="6"/>
      <c r="AX60" s="75"/>
      <c r="AY60" s="6"/>
      <c r="BB60" s="6"/>
      <c r="BC60" s="6"/>
      <c r="BD60" s="75"/>
    </row>
    <row r="61" spans="42:56">
      <c r="AP61" s="6"/>
      <c r="AQ61" s="6"/>
      <c r="AR61" s="105"/>
      <c r="AV61" s="6"/>
      <c r="AW61" s="6"/>
      <c r="AX61" s="75"/>
      <c r="AY61" s="6"/>
      <c r="BB61" s="6"/>
      <c r="BC61" s="6"/>
      <c r="BD61" s="75"/>
    </row>
    <row r="62" spans="42:56">
      <c r="AP62" s="6"/>
      <c r="AQ62" s="6"/>
      <c r="AR62" s="105"/>
      <c r="AV62" s="6"/>
      <c r="AW62" s="6"/>
      <c r="AX62" s="75"/>
      <c r="AY62" s="6"/>
      <c r="BB62" s="6"/>
      <c r="BC62" s="6"/>
      <c r="BD62" s="75"/>
    </row>
    <row r="63" spans="42:56">
      <c r="AP63" s="6"/>
      <c r="AQ63" s="6"/>
      <c r="AR63" s="105"/>
      <c r="AV63" s="6"/>
      <c r="AW63" s="6"/>
      <c r="AX63" s="75"/>
      <c r="AY63" s="6"/>
      <c r="BB63" s="6"/>
      <c r="BC63" s="6"/>
      <c r="BD63" s="75"/>
    </row>
    <row r="64" spans="42:56">
      <c r="AP64" s="6"/>
      <c r="AQ64" s="6"/>
      <c r="AR64" s="105"/>
      <c r="AV64" s="6"/>
      <c r="AW64" s="6"/>
      <c r="AX64" s="75"/>
      <c r="AY64" s="6"/>
      <c r="BB64" s="6"/>
      <c r="BC64" s="6"/>
      <c r="BD64" s="75"/>
    </row>
    <row r="65" spans="42:56">
      <c r="AP65" s="6"/>
      <c r="AQ65" s="6"/>
      <c r="AR65" s="105"/>
      <c r="AV65" s="6"/>
      <c r="AW65" s="6"/>
      <c r="AX65" s="75"/>
      <c r="AY65" s="6"/>
      <c r="BB65" s="6"/>
      <c r="BC65" s="6"/>
      <c r="BD65" s="75"/>
    </row>
    <row r="66" spans="42:56">
      <c r="AP66" s="6"/>
      <c r="AQ66" s="6"/>
      <c r="AR66" s="105"/>
      <c r="AV66" s="6"/>
      <c r="AW66" s="6"/>
      <c r="AX66" s="75"/>
      <c r="BB66" s="6"/>
      <c r="BC66" s="6"/>
      <c r="BD66" s="75"/>
    </row>
    <row r="67" spans="42:56">
      <c r="AP67" s="6"/>
      <c r="AQ67" s="6"/>
      <c r="AR67" s="105"/>
      <c r="AV67" s="6"/>
      <c r="AW67" s="6"/>
      <c r="AX67" s="75"/>
      <c r="AY67" s="16"/>
      <c r="BB67" s="6"/>
      <c r="BC67" s="6"/>
      <c r="BD67" s="75"/>
    </row>
    <row r="68" spans="42:56">
      <c r="AP68" s="6"/>
      <c r="AQ68" s="6"/>
      <c r="AR68" s="105"/>
      <c r="AV68" s="6"/>
      <c r="AW68" s="6"/>
      <c r="AX68" s="75"/>
      <c r="BB68" s="6"/>
      <c r="BC68" s="6"/>
      <c r="BD68" s="75"/>
    </row>
    <row r="69" spans="42:56">
      <c r="AP69" s="6"/>
      <c r="AQ69" s="6"/>
      <c r="AR69" s="105"/>
      <c r="AV69" s="6"/>
      <c r="AW69" s="6"/>
      <c r="AX69" s="75"/>
      <c r="BB69" s="6"/>
      <c r="BC69" s="6"/>
      <c r="BD69" s="75"/>
    </row>
    <row r="70" spans="42:56">
      <c r="AP70" s="6"/>
      <c r="AQ70" s="6"/>
      <c r="AR70" s="105"/>
      <c r="AV70" s="6"/>
      <c r="AW70" s="6"/>
      <c r="AX70" s="75"/>
      <c r="BB70" s="6"/>
      <c r="BC70" s="6"/>
      <c r="BD70" s="75"/>
    </row>
    <row r="71" spans="42:56">
      <c r="AP71" s="6"/>
      <c r="AQ71" s="6"/>
      <c r="AR71" s="105"/>
      <c r="AV71" s="6"/>
      <c r="AW71" s="6"/>
      <c r="AX71" s="75"/>
      <c r="BB71" s="6"/>
      <c r="BC71" s="6"/>
      <c r="BD71" s="75"/>
    </row>
    <row r="72" spans="42:56">
      <c r="AP72" s="6"/>
      <c r="AQ72" s="6"/>
      <c r="AR72" s="105"/>
      <c r="AV72" s="6"/>
      <c r="AW72" s="6"/>
      <c r="AX72" s="75"/>
      <c r="BB72" s="6"/>
      <c r="BC72" s="6"/>
      <c r="BD72" s="75"/>
    </row>
    <row r="73" spans="42:56">
      <c r="AP73" s="6"/>
      <c r="AQ73" s="6"/>
      <c r="AR73" s="105"/>
      <c r="AV73" s="6"/>
      <c r="AW73" s="6"/>
      <c r="AX73" s="75"/>
      <c r="BB73" s="6"/>
      <c r="BC73" s="6"/>
      <c r="BD73" s="75"/>
    </row>
    <row r="74" spans="42:56">
      <c r="AP74" s="6"/>
      <c r="AQ74" s="6"/>
      <c r="AR74" s="105"/>
      <c r="AV74" s="6"/>
      <c r="AW74" s="6"/>
      <c r="AX74" s="75"/>
      <c r="BB74" s="6"/>
      <c r="BC74" s="6"/>
      <c r="BD74" s="75"/>
    </row>
    <row r="75" spans="42:56">
      <c r="AP75" s="6"/>
      <c r="AQ75" s="6"/>
      <c r="AR75" s="105"/>
      <c r="AV75" s="6"/>
      <c r="AW75" s="6"/>
      <c r="AX75" s="75"/>
      <c r="BB75" s="6"/>
      <c r="BC75" s="6"/>
      <c r="BD75" s="75"/>
    </row>
    <row r="76" spans="42:56">
      <c r="AP76" s="6"/>
      <c r="AQ76" s="6"/>
      <c r="AR76" s="105"/>
      <c r="AV76" s="6"/>
      <c r="AW76" s="6"/>
      <c r="AX76" s="75"/>
      <c r="BB76" s="6"/>
      <c r="BC76" s="6"/>
      <c r="BD76" s="75"/>
    </row>
    <row r="77" spans="42:56">
      <c r="AP77" s="6"/>
      <c r="AQ77" s="6"/>
      <c r="AR77" s="105"/>
      <c r="AV77" s="6"/>
      <c r="AW77" s="6"/>
      <c r="AX77" s="75"/>
      <c r="BB77" s="6"/>
      <c r="BC77" s="6"/>
      <c r="BD77" s="75"/>
    </row>
    <row r="78" spans="42:56">
      <c r="AP78" s="6"/>
      <c r="AQ78" s="6"/>
      <c r="AR78" s="105"/>
      <c r="AX78" s="104"/>
      <c r="BD78" s="104"/>
    </row>
    <row r="79" spans="42:56">
      <c r="AR79" s="101"/>
      <c r="AX79" s="101"/>
    </row>
  </sheetData>
  <mergeCells count="7">
    <mergeCell ref="AU2:AY2"/>
    <mergeCell ref="BA2:BE2"/>
    <mergeCell ref="B2:I2"/>
    <mergeCell ref="M2:T2"/>
    <mergeCell ref="X2:AE2"/>
    <mergeCell ref="AI2:AM2"/>
    <mergeCell ref="AO2:AS2"/>
  </mergeCells>
  <phoneticPr fontId="29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5644-0000-4A45-989F-DE5A563EC00A}">
  <sheetPr codeName="Sheet25">
    <tabColor theme="0" tint="-0.14999847407452621"/>
  </sheetPr>
  <dimension ref="A2:AE104"/>
  <sheetViews>
    <sheetView workbookViewId="0">
      <selection activeCell="V4" sqref="V4:X15"/>
    </sheetView>
  </sheetViews>
  <sheetFormatPr defaultRowHeight="14.45"/>
  <cols>
    <col min="1" max="1" width="5.5703125" customWidth="1"/>
    <col min="2" max="2" width="5" bestFit="1" customWidth="1"/>
    <col min="3" max="3" width="10.5703125" bestFit="1" customWidth="1"/>
    <col min="4" max="4" width="12.5703125" customWidth="1"/>
    <col min="5" max="5" width="2" customWidth="1"/>
    <col min="6" max="6" width="5" customWidth="1"/>
    <col min="7" max="7" width="9.42578125" bestFit="1" customWidth="1"/>
    <col min="8" max="8" width="10" customWidth="1"/>
    <col min="9" max="9" width="1.85546875" customWidth="1"/>
    <col min="10" max="10" width="8.5703125" bestFit="1" customWidth="1"/>
    <col min="11" max="11" width="10" bestFit="1" customWidth="1"/>
    <col min="12" max="12" width="10.85546875" customWidth="1"/>
    <col min="13" max="13" width="2" customWidth="1"/>
    <col min="14" max="14" width="5" bestFit="1" customWidth="1"/>
    <col min="15" max="15" width="11.140625" bestFit="1" customWidth="1"/>
    <col min="16" max="16" width="10.42578125" customWidth="1"/>
    <col min="17" max="17" width="2.5703125" customWidth="1"/>
    <col min="18" max="18" width="5" bestFit="1" customWidth="1"/>
    <col min="19" max="19" width="10" bestFit="1" customWidth="1"/>
    <col min="20" max="20" width="9.85546875" customWidth="1"/>
    <col min="21" max="21" width="2.140625" customWidth="1"/>
    <col min="22" max="22" width="5" bestFit="1" customWidth="1"/>
    <col min="23" max="23" width="10" bestFit="1" customWidth="1"/>
    <col min="25" max="25" width="2.140625" customWidth="1"/>
    <col min="26" max="26" width="5" bestFit="1" customWidth="1"/>
    <col min="27" max="27" width="10" bestFit="1" customWidth="1"/>
    <col min="29" max="29" width="2.7109375" customWidth="1"/>
    <col min="30" max="30" width="11.85546875" customWidth="1"/>
  </cols>
  <sheetData>
    <row r="2" spans="2:30" ht="15" customHeight="1">
      <c r="B2" s="550" t="s">
        <v>133</v>
      </c>
      <c r="C2" s="550"/>
      <c r="D2" s="549" t="s">
        <v>499</v>
      </c>
      <c r="E2" s="19"/>
      <c r="F2" s="550" t="s">
        <v>461</v>
      </c>
      <c r="G2" s="550"/>
      <c r="H2" s="549" t="s">
        <v>499</v>
      </c>
      <c r="I2" s="19"/>
      <c r="J2" s="550" t="s">
        <v>500</v>
      </c>
      <c r="K2" s="550"/>
      <c r="L2" s="549" t="s">
        <v>499</v>
      </c>
      <c r="M2" s="19"/>
      <c r="N2" s="550" t="s">
        <v>501</v>
      </c>
      <c r="O2" s="550"/>
      <c r="P2" s="549" t="s">
        <v>499</v>
      </c>
      <c r="Q2" s="19"/>
      <c r="R2" s="550" t="s">
        <v>502</v>
      </c>
      <c r="S2" s="550"/>
      <c r="T2" s="549" t="s">
        <v>499</v>
      </c>
      <c r="U2" s="19"/>
      <c r="V2" s="550" t="s">
        <v>139</v>
      </c>
      <c r="W2" s="550"/>
      <c r="X2" s="549" t="s">
        <v>499</v>
      </c>
      <c r="Y2" s="35"/>
      <c r="Z2" s="550" t="s">
        <v>503</v>
      </c>
      <c r="AA2" s="550"/>
      <c r="AB2" s="549" t="s">
        <v>499</v>
      </c>
      <c r="AC2" s="19"/>
      <c r="AD2" s="35"/>
    </row>
    <row r="3" spans="2:30">
      <c r="B3" s="27" t="s">
        <v>1</v>
      </c>
      <c r="C3" s="27" t="s">
        <v>504</v>
      </c>
      <c r="D3" s="549"/>
      <c r="E3" s="19"/>
      <c r="F3" s="27" t="s">
        <v>1</v>
      </c>
      <c r="G3" s="27" t="s">
        <v>504</v>
      </c>
      <c r="H3" s="549"/>
      <c r="I3" s="19"/>
      <c r="J3" s="27" t="s">
        <v>1</v>
      </c>
      <c r="K3" s="27" t="s">
        <v>504</v>
      </c>
      <c r="L3" s="549"/>
      <c r="M3" s="19"/>
      <c r="N3" s="27" t="s">
        <v>1</v>
      </c>
      <c r="O3" s="27" t="s">
        <v>504</v>
      </c>
      <c r="P3" s="549"/>
      <c r="Q3" s="19"/>
      <c r="R3" s="27" t="s">
        <v>1</v>
      </c>
      <c r="S3" s="27" t="s">
        <v>504</v>
      </c>
      <c r="T3" s="549"/>
      <c r="U3" s="19"/>
      <c r="V3" s="27" t="s">
        <v>1</v>
      </c>
      <c r="W3" s="27" t="s">
        <v>504</v>
      </c>
      <c r="X3" s="549"/>
      <c r="Y3" s="35"/>
      <c r="Z3" s="27" t="s">
        <v>1</v>
      </c>
      <c r="AA3" s="27" t="s">
        <v>504</v>
      </c>
      <c r="AB3" s="549"/>
      <c r="AC3" s="19"/>
      <c r="AD3" s="35"/>
    </row>
    <row r="4" spans="2:30">
      <c r="B4" s="19">
        <v>2014</v>
      </c>
      <c r="C4" s="28">
        <f>AVERAGEIFS('Monthly Data (14-23) Used'!F:F,'Monthly Data (14-23) Used'!B:B,'Connection Count'!B4)</f>
        <v>26590.166666666668</v>
      </c>
      <c r="D4" s="29"/>
      <c r="E4" s="30"/>
      <c r="F4" s="19">
        <v>2014</v>
      </c>
      <c r="G4" s="28">
        <f>AVERAGEIFS('Monthly Data (14-23) Used'!J:J,'Monthly Data (14-23) Used'!B:B,'Connection Count'!F4)</f>
        <v>1909.75</v>
      </c>
      <c r="H4" s="29"/>
      <c r="I4" s="30"/>
      <c r="J4" s="19">
        <v>2014</v>
      </c>
      <c r="K4" s="28">
        <f>AVERAGEIFS('Monthly Data (14-23) Used'!O:O,'Monthly Data (14-23) Used'!B:B,'Connection Count'!J4)</f>
        <v>212.41666666666666</v>
      </c>
      <c r="L4" s="29"/>
      <c r="M4" s="30"/>
      <c r="N4" s="19">
        <v>2014</v>
      </c>
      <c r="O4" s="28">
        <f>AVERAGEIFS('Monthly Data (14-23) Used'!R:R,'Monthly Data (14-23) Used'!B:B,'Connection Count'!B4)</f>
        <v>2712.8333333333335</v>
      </c>
      <c r="P4" s="29"/>
      <c r="Q4" s="30"/>
      <c r="R4" s="19">
        <v>2014</v>
      </c>
      <c r="S4" s="28">
        <f>AVERAGEIFS('Monthly Data (14-23) Used'!U:U,'Monthly Data (14-23) Used'!B:B,'Connection Count'!B4)</f>
        <v>172.33333333333334</v>
      </c>
      <c r="T4" s="29"/>
      <c r="U4" s="30"/>
      <c r="V4" s="19">
        <v>2014</v>
      </c>
      <c r="W4" s="28">
        <f>AVERAGEIFS('Monthly Data (14-23) Used'!W:W,'Monthly Data (14-23) Used'!B:B,'Connection Count'!B4)</f>
        <v>139.83333333333334</v>
      </c>
      <c r="X4" s="29"/>
      <c r="Y4" s="266"/>
      <c r="Z4" s="19">
        <v>2014</v>
      </c>
      <c r="AA4" s="453">
        <f>AVERAGEIFS('Monthly Data (14-23) Used'!Z:Z,'Monthly Data (14-23) Used'!B:B,'Connection Count'!B4)</f>
        <v>6</v>
      </c>
      <c r="AB4" s="29"/>
      <c r="AC4" s="30"/>
      <c r="AD4" s="30"/>
    </row>
    <row r="5" spans="2:30">
      <c r="B5" s="19">
        <f t="shared" ref="B5:B15" si="0">B4+1</f>
        <v>2015</v>
      </c>
      <c r="C5" s="28">
        <f>AVERAGEIFS('Monthly Data (14-23) Used'!F:F,'Monthly Data (14-23) Used'!B:B,'Connection Count'!B5)</f>
        <v>26815.083333333332</v>
      </c>
      <c r="D5" s="29">
        <f t="shared" ref="D5:D11" si="1">C5/C4</f>
        <v>1.0084586407255813</v>
      </c>
      <c r="E5" s="30"/>
      <c r="F5" s="19">
        <f t="shared" ref="F5:F15" si="2">F4+1</f>
        <v>2015</v>
      </c>
      <c r="G5" s="28">
        <f>AVERAGEIFS('Monthly Data (14-23) Used'!J:J,'Monthly Data (14-23) Used'!B:B,'Connection Count'!F5)</f>
        <v>1935.6666666666667</v>
      </c>
      <c r="H5" s="29">
        <f t="shared" ref="H5:H11" si="3">G5/G4</f>
        <v>1.0135707116987389</v>
      </c>
      <c r="I5" s="30"/>
      <c r="J5" s="19">
        <f t="shared" ref="J5:J15" si="4">J4+1</f>
        <v>2015</v>
      </c>
      <c r="K5" s="28">
        <f>AVERAGEIFS('Monthly Data (14-23) Used'!O:O,'Monthly Data (14-23) Used'!B:B,'Connection Count'!J5)</f>
        <v>212.08333333333334</v>
      </c>
      <c r="L5" s="29">
        <f t="shared" ref="L5:L11" si="5">K5/K4</f>
        <v>0.99843075715967056</v>
      </c>
      <c r="M5" s="30"/>
      <c r="N5" s="19">
        <f t="shared" ref="N5:N15" si="6">N4+1</f>
        <v>2015</v>
      </c>
      <c r="O5" s="28">
        <f>AVERAGEIFS('Monthly Data (14-23) Used'!R:R,'Monthly Data (14-23) Used'!B:B,'Connection Count'!B5)</f>
        <v>2700.5833333333335</v>
      </c>
      <c r="P5" s="29">
        <f t="shared" ref="P5:P11" si="7">O5/O4</f>
        <v>0.99548442587700436</v>
      </c>
      <c r="Q5" s="30"/>
      <c r="R5" s="19">
        <f t="shared" ref="R5:R15" si="8">R4+1</f>
        <v>2015</v>
      </c>
      <c r="S5" s="28">
        <f>AVERAGEIFS('Monthly Data (14-23) Used'!U:U,'Monthly Data (14-23) Used'!B:B,'Connection Count'!B5)</f>
        <v>174</v>
      </c>
      <c r="T5" s="29">
        <f t="shared" ref="T5:T11" si="9">S5/S4</f>
        <v>1.0096711798839457</v>
      </c>
      <c r="U5" s="30"/>
      <c r="V5" s="19">
        <f t="shared" ref="V5:V15" si="10">V4+1</f>
        <v>2015</v>
      </c>
      <c r="W5" s="28">
        <f>AVERAGEIFS('Monthly Data (14-23) Used'!W:W,'Monthly Data (14-23) Used'!B:B,'Connection Count'!B5)</f>
        <v>141</v>
      </c>
      <c r="X5" s="29">
        <f t="shared" ref="X5:X11" si="11">W5/W4</f>
        <v>1.0083432657926101</v>
      </c>
      <c r="Y5" s="266"/>
      <c r="Z5" s="19">
        <f t="shared" ref="Z5:Z15" si="12">Z4+1</f>
        <v>2015</v>
      </c>
      <c r="AA5" s="453">
        <f>AVERAGEIFS('Monthly Data (14-23) Used'!Z:Z,'Monthly Data (14-23) Used'!B:B,'Connection Count'!B5)</f>
        <v>5.666666666666667</v>
      </c>
      <c r="AB5" s="29">
        <f t="shared" ref="AB5:AB11" si="13">AA5/AA4</f>
        <v>0.94444444444444453</v>
      </c>
      <c r="AC5" s="30"/>
      <c r="AD5" s="29"/>
    </row>
    <row r="6" spans="2:30">
      <c r="B6" s="19">
        <f t="shared" si="0"/>
        <v>2016</v>
      </c>
      <c r="C6" s="28">
        <f>AVERAGEIFS('Monthly Data (14-23) Used'!F:F,'Monthly Data (14-23) Used'!B:B,'Connection Count'!B6)</f>
        <v>26920.416666666668</v>
      </c>
      <c r="D6" s="29">
        <f t="shared" si="1"/>
        <v>1.0039281374599496</v>
      </c>
      <c r="E6" s="30"/>
      <c r="F6" s="19">
        <f t="shared" si="2"/>
        <v>2016</v>
      </c>
      <c r="G6" s="28">
        <f>AVERAGEIFS('Monthly Data (14-23) Used'!J:J,'Monthly Data (14-23) Used'!B:B,'Connection Count'!F6)</f>
        <v>1933.5</v>
      </c>
      <c r="H6" s="29">
        <f t="shared" si="3"/>
        <v>0.99888066127087993</v>
      </c>
      <c r="I6" s="30"/>
      <c r="J6" s="19">
        <f t="shared" si="4"/>
        <v>2016</v>
      </c>
      <c r="K6" s="28">
        <f>AVERAGEIFS('Monthly Data (14-23) Used'!O:O,'Monthly Data (14-23) Used'!B:B,'Connection Count'!J6)</f>
        <v>254.5</v>
      </c>
      <c r="L6" s="29">
        <f t="shared" si="5"/>
        <v>1.2</v>
      </c>
      <c r="M6" s="30"/>
      <c r="N6" s="19">
        <f t="shared" si="6"/>
        <v>2016</v>
      </c>
      <c r="O6" s="28">
        <f>AVERAGEIFS('Monthly Data (14-23) Used'!R:R,'Monthly Data (14-23) Used'!B:B,'Connection Count'!B6)</f>
        <v>2719.8333333333335</v>
      </c>
      <c r="P6" s="29">
        <f t="shared" si="7"/>
        <v>1.0071280896102695</v>
      </c>
      <c r="Q6" s="30"/>
      <c r="R6" s="19">
        <f t="shared" si="8"/>
        <v>2016</v>
      </c>
      <c r="S6" s="28">
        <f>AVERAGEIFS('Monthly Data (14-23) Used'!U:U,'Monthly Data (14-23) Used'!B:B,'Connection Count'!B6)</f>
        <v>181</v>
      </c>
      <c r="T6" s="29">
        <f t="shared" si="9"/>
        <v>1.0402298850574712</v>
      </c>
      <c r="U6" s="30"/>
      <c r="V6" s="19">
        <f t="shared" si="10"/>
        <v>2016</v>
      </c>
      <c r="W6" s="28">
        <f>AVERAGEIFS('Monthly Data (14-23) Used'!W:W,'Monthly Data (14-23) Used'!B:B,'Connection Count'!B6)</f>
        <v>139.08333333333334</v>
      </c>
      <c r="X6" s="29">
        <f t="shared" si="11"/>
        <v>0.98640661938534291</v>
      </c>
      <c r="Y6" s="266"/>
      <c r="Z6" s="19">
        <f t="shared" si="12"/>
        <v>2016</v>
      </c>
      <c r="AA6" s="453">
        <f>AVERAGEIFS('Monthly Data (14-23) Used'!Z:Z,'Monthly Data (14-23) Used'!B:B,'Connection Count'!B6)</f>
        <v>3</v>
      </c>
      <c r="AB6" s="29">
        <f t="shared" si="13"/>
        <v>0.52941176470588236</v>
      </c>
      <c r="AC6" s="30"/>
      <c r="AD6" s="29"/>
    </row>
    <row r="7" spans="2:30">
      <c r="B7" s="19">
        <f t="shared" si="0"/>
        <v>2017</v>
      </c>
      <c r="C7" s="28">
        <f>AVERAGEIFS('Monthly Data (14-23) Used'!F:F,'Monthly Data (14-23) Used'!B:B,'Connection Count'!B7)</f>
        <v>27320.666666666668</v>
      </c>
      <c r="D7" s="29">
        <f t="shared" si="1"/>
        <v>1.0148678976613166</v>
      </c>
      <c r="E7" s="31"/>
      <c r="F7" s="19">
        <f t="shared" si="2"/>
        <v>2017</v>
      </c>
      <c r="G7" s="28">
        <f>AVERAGEIFS('Monthly Data (14-23) Used'!J:J,'Monthly Data (14-23) Used'!B:B,'Connection Count'!F7)</f>
        <v>1965.6666666666667</v>
      </c>
      <c r="H7" s="29">
        <f t="shared" si="3"/>
        <v>1.0166364968537196</v>
      </c>
      <c r="I7" s="31"/>
      <c r="J7" s="19">
        <f t="shared" si="4"/>
        <v>2017</v>
      </c>
      <c r="K7" s="28">
        <f>AVERAGEIFS('Monthly Data (14-23) Used'!O:O,'Monthly Data (14-23) Used'!B:B,'Connection Count'!J7)</f>
        <v>250</v>
      </c>
      <c r="L7" s="29">
        <f t="shared" si="5"/>
        <v>0.98231827111984282</v>
      </c>
      <c r="M7" s="31"/>
      <c r="N7" s="19">
        <f t="shared" si="6"/>
        <v>2017</v>
      </c>
      <c r="O7" s="28">
        <f>AVERAGEIFS('Monthly Data (14-23) Used'!R:R,'Monthly Data (14-23) Used'!B:B,'Connection Count'!B7)</f>
        <v>2753.3333333333335</v>
      </c>
      <c r="P7" s="29">
        <f t="shared" si="7"/>
        <v>1.0123169311845088</v>
      </c>
      <c r="Q7" s="31"/>
      <c r="R7" s="19">
        <f t="shared" si="8"/>
        <v>2017</v>
      </c>
      <c r="S7" s="28">
        <f>AVERAGEIFS('Monthly Data (14-23) Used'!U:U,'Monthly Data (14-23) Used'!B:B,'Connection Count'!B7)</f>
        <v>253.41666666666666</v>
      </c>
      <c r="T7" s="29">
        <f t="shared" si="9"/>
        <v>1.4000920810313076</v>
      </c>
      <c r="U7" s="31"/>
      <c r="V7" s="19">
        <f t="shared" si="10"/>
        <v>2017</v>
      </c>
      <c r="W7" s="28">
        <f>AVERAGEIFS('Monthly Data (14-23) Used'!W:W,'Monthly Data (14-23) Used'!B:B,'Connection Count'!B7)</f>
        <v>132</v>
      </c>
      <c r="X7" s="29">
        <f t="shared" si="11"/>
        <v>0.94907130017974828</v>
      </c>
      <c r="Y7" s="266"/>
      <c r="Z7" s="19">
        <f t="shared" si="12"/>
        <v>2017</v>
      </c>
      <c r="AA7" s="453">
        <f>AVERAGEIFS('Monthly Data (14-23) Used'!Z:Z,'Monthly Data (14-23) Used'!B:B,'Connection Count'!B7)</f>
        <v>4.083333333333333</v>
      </c>
      <c r="AB7" s="29">
        <f t="shared" si="13"/>
        <v>1.3611111111111109</v>
      </c>
      <c r="AC7" s="31"/>
      <c r="AD7" s="29"/>
    </row>
    <row r="8" spans="2:30">
      <c r="B8" s="19">
        <f t="shared" si="0"/>
        <v>2018</v>
      </c>
      <c r="C8" s="28">
        <f>AVERAGEIFS('Monthly Data (14-23) Used'!F:F,'Monthly Data (14-23) Used'!B:B,'Connection Count'!B8)</f>
        <v>27640.416666666668</v>
      </c>
      <c r="D8" s="29">
        <f t="shared" si="1"/>
        <v>1.0117035943486006</v>
      </c>
      <c r="E8" s="31"/>
      <c r="F8" s="19">
        <f t="shared" si="2"/>
        <v>2018</v>
      </c>
      <c r="G8" s="28">
        <f>AVERAGEIFS('Monthly Data (14-23) Used'!J:J,'Monthly Data (14-23) Used'!B:B,'Connection Count'!F8)</f>
        <v>1978.8333333333333</v>
      </c>
      <c r="H8" s="29">
        <f t="shared" si="3"/>
        <v>1.0066983211802611</v>
      </c>
      <c r="I8" s="31"/>
      <c r="J8" s="19">
        <f t="shared" si="4"/>
        <v>2018</v>
      </c>
      <c r="K8" s="28">
        <f>AVERAGEIFS('Monthly Data (14-23) Used'!O:O,'Monthly Data (14-23) Used'!B:B,'Connection Count'!J8)</f>
        <v>249.25</v>
      </c>
      <c r="L8" s="29">
        <f t="shared" si="5"/>
        <v>0.997</v>
      </c>
      <c r="M8" s="31"/>
      <c r="N8" s="19">
        <f t="shared" si="6"/>
        <v>2018</v>
      </c>
      <c r="O8" s="28">
        <f>AVERAGEIFS('Monthly Data (14-23) Used'!R:R,'Monthly Data (14-23) Used'!B:B,'Connection Count'!B8)</f>
        <v>2760.8333333333335</v>
      </c>
      <c r="P8" s="29">
        <f t="shared" si="7"/>
        <v>1.0027239709443099</v>
      </c>
      <c r="Q8" s="31"/>
      <c r="R8" s="19">
        <f t="shared" si="8"/>
        <v>2018</v>
      </c>
      <c r="S8" s="28">
        <f>AVERAGEIFS('Monthly Data (14-23) Used'!U:U,'Monthly Data (14-23) Used'!B:B,'Connection Count'!B8)</f>
        <v>242.58333333333334</v>
      </c>
      <c r="T8" s="29">
        <f t="shared" si="9"/>
        <v>0.95725090430779358</v>
      </c>
      <c r="U8" s="31"/>
      <c r="V8" s="19">
        <f t="shared" si="10"/>
        <v>2018</v>
      </c>
      <c r="W8" s="28">
        <f>AVERAGEIFS('Monthly Data (14-23) Used'!W:W,'Monthly Data (14-23) Used'!B:B,'Connection Count'!B8)</f>
        <v>131.08333333333334</v>
      </c>
      <c r="X8" s="29">
        <f t="shared" si="11"/>
        <v>0.99305555555555558</v>
      </c>
      <c r="Y8" s="266"/>
      <c r="Z8" s="19">
        <f t="shared" si="12"/>
        <v>2018</v>
      </c>
      <c r="AA8" s="453">
        <f>AVERAGEIFS('Monthly Data (14-23) Used'!Z:Z,'Monthly Data (14-23) Used'!B:B,'Connection Count'!B8)</f>
        <v>4.75</v>
      </c>
      <c r="AB8" s="29">
        <f t="shared" si="13"/>
        <v>1.1632653061224492</v>
      </c>
      <c r="AC8" s="31"/>
      <c r="AD8" s="29"/>
    </row>
    <row r="9" spans="2:30">
      <c r="B9" s="19">
        <f t="shared" si="0"/>
        <v>2019</v>
      </c>
      <c r="C9" s="28">
        <f>AVERAGEIFS('Monthly Data (14-23) Used'!F:F,'Monthly Data (14-23) Used'!B:B,'Connection Count'!B9)</f>
        <v>27931.833333333332</v>
      </c>
      <c r="D9" s="29">
        <f t="shared" si="1"/>
        <v>1.0105431358065633</v>
      </c>
      <c r="E9" s="31"/>
      <c r="F9" s="19">
        <f t="shared" si="2"/>
        <v>2019</v>
      </c>
      <c r="G9" s="28">
        <f>AVERAGEIFS('Monthly Data (14-23) Used'!J:J,'Monthly Data (14-23) Used'!B:B,'Connection Count'!F9)</f>
        <v>1996.25</v>
      </c>
      <c r="H9" s="29">
        <f t="shared" si="3"/>
        <v>1.008801482354923</v>
      </c>
      <c r="I9" s="31"/>
      <c r="J9" s="19">
        <f t="shared" si="4"/>
        <v>2019</v>
      </c>
      <c r="K9" s="28">
        <f>AVERAGEIFS('Monthly Data (14-23) Used'!O:O,'Monthly Data (14-23) Used'!B:B,'Connection Count'!J9)</f>
        <v>261.5</v>
      </c>
      <c r="L9" s="29">
        <f t="shared" si="5"/>
        <v>1.0491474423269809</v>
      </c>
      <c r="M9" s="31"/>
      <c r="N9" s="19">
        <f t="shared" si="6"/>
        <v>2019</v>
      </c>
      <c r="O9" s="28">
        <f>AVERAGEIFS('Monthly Data (14-23) Used'!R:R,'Monthly Data (14-23) Used'!B:B,'Connection Count'!B9)</f>
        <v>2770</v>
      </c>
      <c r="P9" s="29">
        <f t="shared" si="7"/>
        <v>1.0033202535466343</v>
      </c>
      <c r="Q9" s="31"/>
      <c r="R9" s="19">
        <f t="shared" si="8"/>
        <v>2019</v>
      </c>
      <c r="S9" s="28">
        <f>AVERAGEIFS('Monthly Data (14-23) Used'!U:U,'Monthly Data (14-23) Used'!B:B,'Connection Count'!B9)</f>
        <v>235.41666666666666</v>
      </c>
      <c r="T9" s="29">
        <f t="shared" si="9"/>
        <v>0.97045688766746818</v>
      </c>
      <c r="U9" s="31"/>
      <c r="V9" s="19">
        <f t="shared" si="10"/>
        <v>2019</v>
      </c>
      <c r="W9" s="28">
        <f>AVERAGEIFS('Monthly Data (14-23) Used'!W:W,'Monthly Data (14-23) Used'!B:B,'Connection Count'!B9)</f>
        <v>129.58333333333334</v>
      </c>
      <c r="X9" s="29">
        <f t="shared" si="11"/>
        <v>0.98855689764780674</v>
      </c>
      <c r="Y9" s="266"/>
      <c r="Z9" s="19">
        <f t="shared" si="12"/>
        <v>2019</v>
      </c>
      <c r="AA9" s="453">
        <f>AVERAGEIFS('Monthly Data (14-23) Used'!Z:Z,'Monthly Data (14-23) Used'!B:B,'Connection Count'!B9)</f>
        <v>4</v>
      </c>
      <c r="AB9" s="29">
        <f t="shared" si="13"/>
        <v>0.84210526315789469</v>
      </c>
      <c r="AC9" s="31"/>
      <c r="AD9" s="29"/>
    </row>
    <row r="10" spans="2:30">
      <c r="B10" s="19">
        <f t="shared" si="0"/>
        <v>2020</v>
      </c>
      <c r="C10" s="28">
        <f>AVERAGEIFS('Monthly Data (14-23) Used'!F:F,'Monthly Data (14-23) Used'!B:B,'Connection Count'!B10)</f>
        <v>28265.333333333332</v>
      </c>
      <c r="D10" s="29">
        <f t="shared" si="1"/>
        <v>1.0119397819691989</v>
      </c>
      <c r="E10" s="31"/>
      <c r="F10" s="19">
        <f t="shared" si="2"/>
        <v>2020</v>
      </c>
      <c r="G10" s="28">
        <f>AVERAGEIFS('Monthly Data (14-23) Used'!J:J,'Monthly Data (14-23) Used'!B:B,'Connection Count'!F10)</f>
        <v>2017.75</v>
      </c>
      <c r="H10" s="29">
        <f t="shared" si="3"/>
        <v>1.0107701941139637</v>
      </c>
      <c r="I10" s="31"/>
      <c r="J10" s="19">
        <f t="shared" si="4"/>
        <v>2020</v>
      </c>
      <c r="K10" s="28">
        <f>AVERAGEIFS('Monthly Data (14-23) Used'!O:O,'Monthly Data (14-23) Used'!B:B,'Connection Count'!J10)</f>
        <v>256.33333333333331</v>
      </c>
      <c r="L10" s="29">
        <f t="shared" si="5"/>
        <v>0.98024219247928612</v>
      </c>
      <c r="M10" s="31"/>
      <c r="N10" s="19">
        <f t="shared" si="6"/>
        <v>2020</v>
      </c>
      <c r="O10" s="28">
        <f>AVERAGEIFS('Monthly Data (14-23) Used'!R:R,'Monthly Data (14-23) Used'!B:B,'Connection Count'!B10)</f>
        <v>2777.3333333333335</v>
      </c>
      <c r="P10" s="29">
        <f t="shared" si="7"/>
        <v>1.0026474127557161</v>
      </c>
      <c r="Q10" s="31"/>
      <c r="R10" s="19">
        <f t="shared" si="8"/>
        <v>2020</v>
      </c>
      <c r="S10" s="28">
        <f>AVERAGEIFS('Monthly Data (14-23) Used'!U:U,'Monthly Data (14-23) Used'!B:B,'Connection Count'!B10)</f>
        <v>228.08333333333334</v>
      </c>
      <c r="T10" s="29">
        <f t="shared" si="9"/>
        <v>0.96884955752212398</v>
      </c>
      <c r="U10" s="31"/>
      <c r="V10" s="19">
        <f t="shared" si="10"/>
        <v>2020</v>
      </c>
      <c r="W10" s="28">
        <f>AVERAGEIFS('Monthly Data (14-23) Used'!W:W,'Monthly Data (14-23) Used'!B:B,'Connection Count'!B10)</f>
        <v>125.83333333333333</v>
      </c>
      <c r="X10" s="29">
        <f t="shared" si="11"/>
        <v>0.97106109324758827</v>
      </c>
      <c r="Y10" s="266"/>
      <c r="Z10" s="19">
        <f t="shared" si="12"/>
        <v>2020</v>
      </c>
      <c r="AA10" s="453">
        <f>AVERAGEIFS('Monthly Data (14-23) Used'!Z:Z,'Monthly Data (14-23) Used'!B:B,'Connection Count'!B10)</f>
        <v>4</v>
      </c>
      <c r="AB10" s="29">
        <f t="shared" si="13"/>
        <v>1</v>
      </c>
      <c r="AC10" s="31"/>
      <c r="AD10" s="29"/>
    </row>
    <row r="11" spans="2:30">
      <c r="B11" s="19">
        <f t="shared" si="0"/>
        <v>2021</v>
      </c>
      <c r="C11" s="28">
        <f>AVERAGEIFS('Monthly Data (14-23) Used'!F:F,'Monthly Data (14-23) Used'!B:B,'Connection Count'!B11)</f>
        <v>28511.916666666668</v>
      </c>
      <c r="D11" s="29">
        <f t="shared" si="1"/>
        <v>1.0087238784848342</v>
      </c>
      <c r="E11" s="31"/>
      <c r="F11" s="19">
        <f t="shared" si="2"/>
        <v>2021</v>
      </c>
      <c r="G11" s="28">
        <f>AVERAGEIFS('Monthly Data (14-23) Used'!J:J,'Monthly Data (14-23) Used'!B:B,'Connection Count'!F11)</f>
        <v>2039.5833333333333</v>
      </c>
      <c r="H11" s="29">
        <f t="shared" si="3"/>
        <v>1.010820633543964</v>
      </c>
      <c r="I11" s="31"/>
      <c r="J11" s="19">
        <f t="shared" si="4"/>
        <v>2021</v>
      </c>
      <c r="K11" s="28">
        <f>AVERAGEIFS('Monthly Data (14-23) Used'!O:O,'Monthly Data (14-23) Used'!B:B,'Connection Count'!J11)</f>
        <v>234.25</v>
      </c>
      <c r="L11" s="29">
        <f t="shared" si="5"/>
        <v>0.91384915474642403</v>
      </c>
      <c r="M11" s="31"/>
      <c r="N11" s="19">
        <f t="shared" si="6"/>
        <v>2021</v>
      </c>
      <c r="O11" s="28">
        <f>AVERAGEIFS('Monthly Data (14-23) Used'!R:R,'Monthly Data (14-23) Used'!B:B,'Connection Count'!B11)</f>
        <v>2784.6666666666665</v>
      </c>
      <c r="P11" s="29">
        <f t="shared" si="7"/>
        <v>1.0026404224675947</v>
      </c>
      <c r="Q11" s="31"/>
      <c r="R11" s="19">
        <f t="shared" si="8"/>
        <v>2021</v>
      </c>
      <c r="S11" s="28">
        <f>AVERAGEIFS('Monthly Data (14-23) Used'!U:U,'Monthly Data (14-23) Used'!B:B,'Connection Count'!B11)</f>
        <v>228</v>
      </c>
      <c r="T11" s="29">
        <f t="shared" si="9"/>
        <v>0.99963463646328088</v>
      </c>
      <c r="U11" s="31"/>
      <c r="V11" s="19">
        <f t="shared" si="10"/>
        <v>2021</v>
      </c>
      <c r="W11" s="28">
        <f>AVERAGEIFS('Monthly Data (14-23) Used'!W:W,'Monthly Data (14-23) Used'!B:B,'Connection Count'!B11)</f>
        <v>125</v>
      </c>
      <c r="X11" s="29">
        <f t="shared" si="11"/>
        <v>0.99337748344370869</v>
      </c>
      <c r="Y11" s="266"/>
      <c r="Z11" s="19">
        <f t="shared" si="12"/>
        <v>2021</v>
      </c>
      <c r="AA11" s="453">
        <f>AVERAGEIFS('Monthly Data (14-23) Used'!Z:Z,'Monthly Data (14-23) Used'!B:B,'Connection Count'!B11)</f>
        <v>4</v>
      </c>
      <c r="AB11" s="29">
        <f t="shared" si="13"/>
        <v>1</v>
      </c>
      <c r="AC11" s="31"/>
      <c r="AD11" s="29"/>
    </row>
    <row r="12" spans="2:30" s="11" customFormat="1">
      <c r="B12" s="19">
        <f t="shared" si="0"/>
        <v>2022</v>
      </c>
      <c r="C12" s="28">
        <f>AVERAGEIFS('Monthly Data (14-23) Used'!F:F,'Monthly Data (14-23) Used'!B:B,'Connection Count'!B12)</f>
        <v>28745.333333333332</v>
      </c>
      <c r="D12" s="29">
        <f>C12/C11</f>
        <v>1.0081866354126783</v>
      </c>
      <c r="E12" s="31"/>
      <c r="F12" s="19">
        <f t="shared" si="2"/>
        <v>2022</v>
      </c>
      <c r="G12" s="28">
        <f>AVERAGEIFS('Monthly Data (14-23) Used'!J:J,'Monthly Data (14-23) Used'!B:B,'Connection Count'!F12)</f>
        <v>2065.0833333333335</v>
      </c>
      <c r="H12" s="29">
        <f>G12/G11</f>
        <v>1.0125025536261492</v>
      </c>
      <c r="I12" s="31"/>
      <c r="J12" s="19">
        <f t="shared" si="4"/>
        <v>2022</v>
      </c>
      <c r="K12" s="28">
        <f>AVERAGEIFS('Monthly Data (14-23) Used'!O:O,'Monthly Data (14-23) Used'!B:B,'Connection Count'!J12)</f>
        <v>210.08333333333334</v>
      </c>
      <c r="L12" s="29">
        <f>K12/K11</f>
        <v>0.89683386695126288</v>
      </c>
      <c r="M12" s="31"/>
      <c r="N12" s="19">
        <f t="shared" si="6"/>
        <v>2022</v>
      </c>
      <c r="O12" s="28">
        <f>AVERAGEIFS('Monthly Data (14-23) Used'!R:R,'Monthly Data (14-23) Used'!B:B,'Connection Count'!B12)</f>
        <v>2793.3333333333335</v>
      </c>
      <c r="P12" s="29">
        <f>O12/O11</f>
        <v>1.0031122815417766</v>
      </c>
      <c r="Q12" s="31"/>
      <c r="R12" s="19">
        <f t="shared" si="8"/>
        <v>2022</v>
      </c>
      <c r="S12" s="28">
        <f>AVERAGEIFS('Monthly Data (14-23) Used'!U:U,'Monthly Data (14-23) Used'!B:B,'Connection Count'!B12)</f>
        <v>226.66666666666666</v>
      </c>
      <c r="T12" s="29">
        <f>S12/S11</f>
        <v>0.99415204678362568</v>
      </c>
      <c r="U12" s="31"/>
      <c r="V12" s="19">
        <f t="shared" si="10"/>
        <v>2022</v>
      </c>
      <c r="W12" s="28">
        <f>AVERAGEIFS('Monthly Data (14-23) Used'!W:W,'Monthly Data (14-23) Used'!B:B,'Connection Count'!B12)</f>
        <v>125</v>
      </c>
      <c r="X12" s="29">
        <f>W12/W11</f>
        <v>1</v>
      </c>
      <c r="Y12" s="266"/>
      <c r="Z12" s="19">
        <f t="shared" si="12"/>
        <v>2022</v>
      </c>
      <c r="AA12" s="453">
        <f>AVERAGEIFS('Monthly Data (14-23) Used'!Z:Z,'Monthly Data (14-23) Used'!B:B,'Connection Count'!B12)</f>
        <v>4</v>
      </c>
      <c r="AB12" s="29">
        <f>AA12/AA11</f>
        <v>1</v>
      </c>
      <c r="AC12" s="31"/>
      <c r="AD12" s="29"/>
    </row>
    <row r="13" spans="2:30">
      <c r="B13" s="19">
        <f t="shared" si="0"/>
        <v>2023</v>
      </c>
      <c r="C13" s="28">
        <f>AVERAGEIFS('Monthly Data (14-23) Used'!F:F,'Monthly Data (14-23) Used'!B:B,'Connection Count'!B13)</f>
        <v>28911.5</v>
      </c>
      <c r="D13" s="29">
        <f>C13/C12</f>
        <v>1.0057806484530822</v>
      </c>
      <c r="E13" s="31"/>
      <c r="F13" s="19">
        <f t="shared" si="2"/>
        <v>2023</v>
      </c>
      <c r="G13" s="28">
        <f>AVERAGEIFS('Monthly Data (14-23) Used'!J:J,'Monthly Data (14-23) Used'!B:B,'Connection Count'!F13)</f>
        <v>2062.25</v>
      </c>
      <c r="H13" s="29">
        <f>G13/G12</f>
        <v>0.99862798111456352</v>
      </c>
      <c r="I13" s="31"/>
      <c r="J13" s="19">
        <f t="shared" si="4"/>
        <v>2023</v>
      </c>
      <c r="K13" s="28">
        <f>AVERAGEIFS('Monthly Data (14-23) Used'!O:O,'Monthly Data (14-23) Used'!B:B,'Connection Count'!J13)</f>
        <v>230.33333333333334</v>
      </c>
      <c r="L13" s="29">
        <f>K13/K12</f>
        <v>1.0963903213010711</v>
      </c>
      <c r="M13" s="31"/>
      <c r="N13" s="19">
        <f t="shared" si="6"/>
        <v>2023</v>
      </c>
      <c r="O13" s="28">
        <f>AVERAGEIFS('Monthly Data (14-23) Used'!R:R,'Monthly Data (14-23) Used'!B:B,'Connection Count'!B13)</f>
        <v>2806.9166666666665</v>
      </c>
      <c r="P13" s="29">
        <f>O13/O12</f>
        <v>1.00486276849642</v>
      </c>
      <c r="Q13" s="31"/>
      <c r="R13" s="19">
        <f t="shared" si="8"/>
        <v>2023</v>
      </c>
      <c r="S13" s="28">
        <f>AVERAGEIFS('Monthly Data (14-23) Used'!U:U,'Monthly Data (14-23) Used'!B:B,'Connection Count'!B13)</f>
        <v>222.25</v>
      </c>
      <c r="T13" s="29">
        <f>S13/S12</f>
        <v>0.98051470588235301</v>
      </c>
      <c r="U13" s="31"/>
      <c r="V13" s="19">
        <f t="shared" si="10"/>
        <v>2023</v>
      </c>
      <c r="W13" s="28">
        <f>AVERAGEIFS('Monthly Data (14-23) Used'!W:W,'Monthly Data (14-23) Used'!B:B,'Connection Count'!B13)</f>
        <v>125</v>
      </c>
      <c r="X13" s="29">
        <f>W13/W12</f>
        <v>1</v>
      </c>
      <c r="Y13" s="266"/>
      <c r="Z13" s="19">
        <f t="shared" si="12"/>
        <v>2023</v>
      </c>
      <c r="AA13" s="453">
        <f>AVERAGEIFS('Monthly Data (14-23) Used'!Z:Z,'Monthly Data (14-23) Used'!B:B,'Connection Count'!B13)</f>
        <v>4</v>
      </c>
      <c r="AB13" s="29">
        <f>AA13/AA12</f>
        <v>1</v>
      </c>
      <c r="AC13" s="31"/>
      <c r="AD13" s="33"/>
    </row>
    <row r="14" spans="2:30">
      <c r="B14" s="31">
        <f t="shared" si="0"/>
        <v>2024</v>
      </c>
      <c r="C14" s="191">
        <f>C13*D14</f>
        <v>29181.624519563167</v>
      </c>
      <c r="D14" s="33">
        <f>GEOMEAN(D5:D13)</f>
        <v>1.0093431513260525</v>
      </c>
      <c r="E14" s="31"/>
      <c r="F14" s="31">
        <f t="shared" si="2"/>
        <v>2024</v>
      </c>
      <c r="G14" s="191">
        <f>G13*H14</f>
        <v>2079.9290063577705</v>
      </c>
      <c r="H14" s="33">
        <f>GEOMEAN(H5:H13)</f>
        <v>1.0085726785587443</v>
      </c>
      <c r="I14" s="31"/>
      <c r="J14" s="31">
        <f t="shared" si="4"/>
        <v>2024</v>
      </c>
      <c r="K14" s="191">
        <f>K13*L14</f>
        <v>232.41511608731571</v>
      </c>
      <c r="L14" s="33">
        <f>GEOMEAN(L5:L13)</f>
        <v>1.0090381306251044</v>
      </c>
      <c r="M14" s="31"/>
      <c r="N14" s="31">
        <f t="shared" si="6"/>
        <v>2024</v>
      </c>
      <c r="O14" s="191">
        <f>O13*P14</f>
        <v>2817.5697468134185</v>
      </c>
      <c r="P14" s="33">
        <f>GEOMEAN(P5:P13)</f>
        <v>1.0037952961957375</v>
      </c>
      <c r="Q14" s="31"/>
      <c r="R14" s="31">
        <f t="shared" si="8"/>
        <v>2024</v>
      </c>
      <c r="S14" s="191">
        <f>S13*T14</f>
        <v>219.07504548051534</v>
      </c>
      <c r="T14" s="232">
        <f>GEOMEAN(T10:T13)</f>
        <v>0.98571449035102521</v>
      </c>
      <c r="U14" s="31"/>
      <c r="V14" s="31">
        <f t="shared" si="10"/>
        <v>2024</v>
      </c>
      <c r="W14" s="191">
        <f>W13*X14</f>
        <v>123.87972409682031</v>
      </c>
      <c r="X14" s="232">
        <f>GEOMEAN(X10:X13)</f>
        <v>0.9910377927745625</v>
      </c>
      <c r="Y14" s="265"/>
      <c r="Z14" s="31">
        <f t="shared" si="12"/>
        <v>2024</v>
      </c>
      <c r="AA14" s="233">
        <f>AA13</f>
        <v>4</v>
      </c>
      <c r="AB14" s="33">
        <f>GEOMEAN(AB5:AB13)</f>
        <v>0.95594807842297513</v>
      </c>
      <c r="AC14" s="31"/>
      <c r="AD14" s="33"/>
    </row>
    <row r="15" spans="2:30">
      <c r="B15" s="31">
        <f t="shared" si="0"/>
        <v>2025</v>
      </c>
      <c r="C15" s="191">
        <f>C14*D15</f>
        <v>29454.272853389488</v>
      </c>
      <c r="D15" s="33">
        <f>D14</f>
        <v>1.0093431513260525</v>
      </c>
      <c r="E15" s="31"/>
      <c r="F15" s="31">
        <f t="shared" si="2"/>
        <v>2025</v>
      </c>
      <c r="G15" s="191">
        <f>G14*H15</f>
        <v>2097.7595691542842</v>
      </c>
      <c r="H15" s="33">
        <f>H14</f>
        <v>1.0085726785587443</v>
      </c>
      <c r="I15" s="31"/>
      <c r="J15" s="31">
        <f t="shared" si="4"/>
        <v>2025</v>
      </c>
      <c r="K15" s="191">
        <f>K14*L15</f>
        <v>234.51571426576166</v>
      </c>
      <c r="L15" s="33">
        <f>L14</f>
        <v>1.0090381306251044</v>
      </c>
      <c r="M15" s="31"/>
      <c r="N15" s="31">
        <f t="shared" si="6"/>
        <v>2025</v>
      </c>
      <c r="O15" s="191">
        <f>O14*P15</f>
        <v>2828.2632585547244</v>
      </c>
      <c r="P15" s="33">
        <f>P14</f>
        <v>1.0037952961957375</v>
      </c>
      <c r="Q15" s="31"/>
      <c r="R15" s="31">
        <f t="shared" si="8"/>
        <v>2025</v>
      </c>
      <c r="S15" s="191">
        <f>S14*T15</f>
        <v>215.94544680445384</v>
      </c>
      <c r="T15" s="33">
        <f>T14</f>
        <v>0.98571449035102521</v>
      </c>
      <c r="U15" s="31"/>
      <c r="V15" s="31">
        <f t="shared" si="10"/>
        <v>2025</v>
      </c>
      <c r="W15" s="191">
        <f>W14*X15</f>
        <v>122.76948833843458</v>
      </c>
      <c r="X15" s="33">
        <f>X14</f>
        <v>0.9910377927745625</v>
      </c>
      <c r="Y15" s="265"/>
      <c r="Z15" s="31">
        <f t="shared" si="12"/>
        <v>2025</v>
      </c>
      <c r="AA15" s="233">
        <f>AA14</f>
        <v>4</v>
      </c>
      <c r="AB15" s="33">
        <f>AB14</f>
        <v>0.95594807842297513</v>
      </c>
      <c r="AC15" s="31"/>
      <c r="AD15" s="33"/>
    </row>
    <row r="16" spans="2:30">
      <c r="B16" s="31"/>
      <c r="C16" s="191"/>
      <c r="D16" s="33"/>
      <c r="E16" s="31"/>
      <c r="F16" s="31"/>
      <c r="G16" s="191"/>
      <c r="H16" s="33"/>
      <c r="I16" s="31"/>
      <c r="J16" s="31"/>
      <c r="K16" s="191"/>
      <c r="L16" s="33"/>
      <c r="M16" s="31"/>
      <c r="N16" s="31"/>
      <c r="O16" s="191"/>
      <c r="P16" s="33"/>
      <c r="Q16" s="31"/>
      <c r="R16" s="31"/>
      <c r="S16" s="191"/>
      <c r="T16" s="33"/>
      <c r="U16" s="31"/>
      <c r="V16" s="31"/>
      <c r="W16" s="191"/>
      <c r="X16" s="33"/>
      <c r="Y16" s="265"/>
      <c r="Z16" s="31"/>
      <c r="AA16" s="191"/>
      <c r="AB16" s="29"/>
      <c r="AC16" s="31"/>
      <c r="AD16" s="33"/>
    </row>
    <row r="17" spans="1:31">
      <c r="B17" s="31"/>
      <c r="C17" s="316"/>
      <c r="D17" s="312"/>
      <c r="E17" s="31"/>
      <c r="F17" s="31"/>
      <c r="G17" s="315"/>
      <c r="H17" s="312"/>
      <c r="I17" s="31"/>
      <c r="J17" s="191"/>
      <c r="L17" s="33"/>
      <c r="M17" s="31"/>
      <c r="N17" s="31"/>
      <c r="O17" s="191"/>
      <c r="P17" s="33"/>
      <c r="Q17" s="31"/>
      <c r="R17" s="31"/>
      <c r="S17" s="33" t="s">
        <v>505</v>
      </c>
      <c r="T17" s="33"/>
      <c r="U17" s="31"/>
      <c r="V17" s="31"/>
      <c r="W17" s="33" t="s">
        <v>505</v>
      </c>
      <c r="X17" s="33"/>
      <c r="Y17" s="265"/>
      <c r="Z17" s="191" t="s">
        <v>506</v>
      </c>
      <c r="AB17" s="29"/>
      <c r="AC17" s="31"/>
    </row>
    <row r="18" spans="1:31">
      <c r="A18" t="s">
        <v>507</v>
      </c>
      <c r="C18" s="227"/>
      <c r="D18" s="313"/>
      <c r="G18" s="314"/>
      <c r="K18" s="227"/>
      <c r="O18" s="227"/>
      <c r="S18" s="227"/>
      <c r="W18" s="227"/>
      <c r="AA18" s="227"/>
    </row>
    <row r="19" spans="1:31">
      <c r="B19" s="11">
        <v>2023</v>
      </c>
      <c r="C19" s="191">
        <f>AVERAGE(C25:C36)</f>
        <v>28911.5</v>
      </c>
      <c r="D19" s="103"/>
      <c r="F19" s="11">
        <v>2022</v>
      </c>
      <c r="G19" s="191">
        <f>AVERAGE(G25:G36)</f>
        <v>2062.25</v>
      </c>
      <c r="H19" s="103"/>
      <c r="J19" s="11">
        <v>2022</v>
      </c>
      <c r="K19" s="191">
        <f>AVERAGE(K25:K36)</f>
        <v>230.33333333333334</v>
      </c>
      <c r="L19" s="103"/>
      <c r="N19" s="11">
        <v>2022</v>
      </c>
      <c r="O19" s="191">
        <f>AVERAGE(O25:O36)</f>
        <v>2806.9166666666665</v>
      </c>
      <c r="P19" s="103"/>
      <c r="R19" s="11">
        <v>2022</v>
      </c>
      <c r="S19" s="191">
        <f>AVERAGE(S25:S36)</f>
        <v>222.25</v>
      </c>
      <c r="T19" s="103"/>
      <c r="V19" s="11">
        <v>2022</v>
      </c>
      <c r="W19" s="191">
        <f>AVERAGE(W25:W36)</f>
        <v>125</v>
      </c>
      <c r="X19" s="103"/>
      <c r="Y19" s="264"/>
      <c r="Z19" s="11">
        <v>2022</v>
      </c>
      <c r="AA19" s="191">
        <f>AVERAGE(AA25:AA36)</f>
        <v>4</v>
      </c>
      <c r="AB19" s="103"/>
    </row>
    <row r="20" spans="1:31">
      <c r="B20" s="11">
        <v>2024</v>
      </c>
      <c r="C20" s="191">
        <f>AVERAGE(C37:C48)</f>
        <v>29181.62448321599</v>
      </c>
      <c r="D20" s="103">
        <f>C20/C19</f>
        <v>1.009343150068865</v>
      </c>
      <c r="F20" s="11">
        <v>2023</v>
      </c>
      <c r="G20" s="191">
        <f>AVERAGE(G37:G48)</f>
        <v>2079.9284429890017</v>
      </c>
      <c r="H20" s="103">
        <f>G20/G19</f>
        <v>1.0085724053771374</v>
      </c>
      <c r="J20" s="11">
        <v>2023</v>
      </c>
      <c r="K20" s="191">
        <f>AVERAGE(K37:K48)</f>
        <v>232.41508965522181</v>
      </c>
      <c r="L20" s="103">
        <f>K20/K19</f>
        <v>1.0090380158692698</v>
      </c>
      <c r="N20" s="11">
        <v>2023</v>
      </c>
      <c r="O20" s="191">
        <f>AVERAGE(O37:O48)</f>
        <v>2817.5673112655272</v>
      </c>
      <c r="P20" s="103">
        <f>O20/O19</f>
        <v>1.0037944285006184</v>
      </c>
      <c r="R20" s="11">
        <v>2023</v>
      </c>
      <c r="S20" s="191">
        <f>AVERAGE(S37:S48)</f>
        <v>219.07813554415273</v>
      </c>
      <c r="T20" s="103">
        <f>S20/S19</f>
        <v>0.98572839389944988</v>
      </c>
      <c r="V20" s="11">
        <v>2023</v>
      </c>
      <c r="W20" s="191">
        <f>AVERAGE(W37:W48)</f>
        <v>123.88056882418958</v>
      </c>
      <c r="X20" s="103">
        <f>W20/W19</f>
        <v>0.99104455059351659</v>
      </c>
      <c r="Y20" s="264"/>
      <c r="Z20" s="11">
        <v>2023</v>
      </c>
      <c r="AA20" s="191">
        <f>AVERAGE(AA37:AA48)</f>
        <v>4</v>
      </c>
      <c r="AB20" s="103">
        <f>AA20/AA14</f>
        <v>1</v>
      </c>
    </row>
    <row r="21" spans="1:31">
      <c r="B21" s="11">
        <v>2025</v>
      </c>
      <c r="C21" s="191">
        <f>AVERAGE(C49:C60)</f>
        <v>29454.272816702713</v>
      </c>
      <c r="D21" s="103">
        <f>C21/C20</f>
        <v>1.0093431513260525</v>
      </c>
      <c r="F21" s="11">
        <v>2024</v>
      </c>
      <c r="G21" s="191">
        <f>AVERAGE(G49:G60)</f>
        <v>2097.7590009559394</v>
      </c>
      <c r="H21" s="103">
        <f>G21/G20</f>
        <v>1.0085726785587459</v>
      </c>
      <c r="J21" s="11">
        <v>2024</v>
      </c>
      <c r="K21" s="191">
        <f>AVERAGE(K49:K60)</f>
        <v>234.51568759477107</v>
      </c>
      <c r="L21" s="103">
        <f>K21/K20</f>
        <v>1.0090381306251044</v>
      </c>
      <c r="N21" s="11">
        <v>2024</v>
      </c>
      <c r="O21" s="191">
        <f>AVERAGE(O49:O60)</f>
        <v>2828.2608137632083</v>
      </c>
      <c r="P21" s="103">
        <f>O21/O20</f>
        <v>1.0037952961957377</v>
      </c>
      <c r="R21" s="11">
        <v>2024</v>
      </c>
      <c r="S21" s="191">
        <f>AVERAGE(S49:S60)</f>
        <v>215.94849272495739</v>
      </c>
      <c r="T21" s="103">
        <f>S21/S20</f>
        <v>0.98571449035102554</v>
      </c>
      <c r="V21" s="11">
        <v>2024</v>
      </c>
      <c r="W21" s="191">
        <f>AVERAGE(W49:W60)</f>
        <v>122.77032549518202</v>
      </c>
      <c r="X21" s="103">
        <f>W21/W20</f>
        <v>0.99103779277456172</v>
      </c>
      <c r="Y21" s="264"/>
      <c r="Z21" s="11">
        <v>2024</v>
      </c>
      <c r="AA21" s="191">
        <f>AVERAGE(AA49:AA60)</f>
        <v>4</v>
      </c>
      <c r="AB21" s="103">
        <f>AA21/AA20</f>
        <v>1</v>
      </c>
    </row>
    <row r="22" spans="1:31">
      <c r="A22" s="11" t="s">
        <v>508</v>
      </c>
      <c r="C22" s="120" t="str">
        <f>IF(ROUND(C20,1)=ROUND(C14,1),IF(ROUND(C21,1)=ROUND(C15,1),"Match","Check"),"Check")</f>
        <v>Match</v>
      </c>
      <c r="G22" s="120" t="str">
        <f>IF(ROUND(G20,1)=ROUND(G14,1),IF(ROUND(G21,1)=ROUND(G15,1),"Match","Check"),"Check")</f>
        <v>Match</v>
      </c>
      <c r="K22" s="120" t="str">
        <f>IF(ROUND(K20,1)=ROUND(K14,1),IF(ROUND(K21,1)=ROUND(K15,1),"Match","Check"),"Check")</f>
        <v>Match</v>
      </c>
      <c r="O22" s="120" t="str">
        <f>IF(ROUND(O20,1)=ROUND(O14,1),IF(ROUND(O21,1)=ROUND(O15,1),"Match","Check"),"Check")</f>
        <v>Match</v>
      </c>
      <c r="S22" s="120" t="str">
        <f>IF(ROUND(S20,1)=ROUND(S14,1),IF(ROUND(S21,1)=ROUND(S15,1),"Match","Check"),"Check")</f>
        <v>Match</v>
      </c>
      <c r="W22" s="120" t="str">
        <f>IF(ROUND(W20,1)=ROUND(W14,1),IF(ROUND(W21,1)=ROUND(W15,1),"Match","Check"),"Check")</f>
        <v>Match</v>
      </c>
      <c r="AA22" s="120" t="str">
        <f>IF(ROUND(AA20,1)=ROUND(AA14,1),IF(ROUND(AA21,1)=ROUND(AA15,1),"Match","Check"),"Check")</f>
        <v>Match</v>
      </c>
    </row>
    <row r="23" spans="1:31">
      <c r="C23" s="121"/>
      <c r="G23" s="119"/>
      <c r="K23" s="119"/>
      <c r="L23" s="121"/>
      <c r="O23" s="119"/>
      <c r="S23" s="119"/>
      <c r="W23" s="119"/>
      <c r="AA23" s="119"/>
    </row>
    <row r="24" spans="1:31">
      <c r="A24">
        <v>2022</v>
      </c>
      <c r="B24" t="s">
        <v>75</v>
      </c>
      <c r="C24" s="28">
        <f>'Monthly Data (14-23) Used'!F109</f>
        <v>28847</v>
      </c>
      <c r="F24" t="s">
        <v>75</v>
      </c>
      <c r="G24" s="28">
        <f>'Monthly Data (14-23) Used'!J109</f>
        <v>2064</v>
      </c>
      <c r="J24" t="s">
        <v>75</v>
      </c>
      <c r="K24" s="28">
        <f>'Monthly Data (14-23) Used'!O109</f>
        <v>224</v>
      </c>
      <c r="N24" t="s">
        <v>75</v>
      </c>
      <c r="O24" s="28">
        <f>'Monthly Data (14-23) Used'!R109</f>
        <v>2799</v>
      </c>
      <c r="R24" t="s">
        <v>75</v>
      </c>
      <c r="S24" s="28">
        <f>'Monthly Data (14-23) Used'!U109</f>
        <v>223</v>
      </c>
      <c r="V24" t="s">
        <v>75</v>
      </c>
      <c r="W24" s="28">
        <f>'Monthly Data (14-23) Used'!W109</f>
        <v>125</v>
      </c>
      <c r="Z24" t="s">
        <v>75</v>
      </c>
      <c r="AA24" s="28">
        <f>'Monthly Data (14-23) Used'!Z109</f>
        <v>4</v>
      </c>
    </row>
    <row r="25" spans="1:31">
      <c r="A25">
        <v>2023</v>
      </c>
      <c r="B25" t="s">
        <v>64</v>
      </c>
      <c r="C25" s="28">
        <f>'Monthly Data (14-23) Used'!F110</f>
        <v>28855</v>
      </c>
      <c r="D25" s="311"/>
      <c r="F25" t="s">
        <v>64</v>
      </c>
      <c r="G25" s="28">
        <f>'Monthly Data (14-23) Used'!J110</f>
        <v>2063</v>
      </c>
      <c r="H25" s="14"/>
      <c r="J25" t="s">
        <v>64</v>
      </c>
      <c r="K25" s="28">
        <f>'Monthly Data (14-23) Used'!O110</f>
        <v>225</v>
      </c>
      <c r="L25" s="14"/>
      <c r="N25" t="s">
        <v>64</v>
      </c>
      <c r="O25" s="28">
        <f>'Monthly Data (14-23) Used'!R110</f>
        <v>2799</v>
      </c>
      <c r="R25" t="s">
        <v>64</v>
      </c>
      <c r="S25" s="28">
        <f>'Monthly Data (14-23) Used'!U110</f>
        <v>223</v>
      </c>
      <c r="V25" t="s">
        <v>64</v>
      </c>
      <c r="W25" s="28">
        <f>'Monthly Data (14-23) Used'!W110</f>
        <v>125</v>
      </c>
      <c r="Z25" t="s">
        <v>64</v>
      </c>
      <c r="AA25" s="28">
        <f>'Monthly Data (14-23) Used'!Z110</f>
        <v>4</v>
      </c>
    </row>
    <row r="26" spans="1:31">
      <c r="A26">
        <f>A25</f>
        <v>2023</v>
      </c>
      <c r="B26" t="s">
        <v>65</v>
      </c>
      <c r="C26" s="28">
        <f>'Monthly Data (14-23) Used'!F111</f>
        <v>28868</v>
      </c>
      <c r="D26" s="311"/>
      <c r="F26" t="s">
        <v>65</v>
      </c>
      <c r="G26" s="28">
        <f>'Monthly Data (14-23) Used'!J111</f>
        <v>2063</v>
      </c>
      <c r="H26" s="14"/>
      <c r="J26" t="s">
        <v>65</v>
      </c>
      <c r="K26" s="28">
        <f>'Monthly Data (14-23) Used'!O111</f>
        <v>225</v>
      </c>
      <c r="L26" s="14"/>
      <c r="N26" t="s">
        <v>65</v>
      </c>
      <c r="O26" s="28">
        <f>'Monthly Data (14-23) Used'!R111</f>
        <v>2799</v>
      </c>
      <c r="R26" t="s">
        <v>65</v>
      </c>
      <c r="S26" s="28">
        <f>'Monthly Data (14-23) Used'!U111</f>
        <v>223</v>
      </c>
      <c r="V26" t="s">
        <v>65</v>
      </c>
      <c r="W26" s="28">
        <f>'Monthly Data (14-23) Used'!W111</f>
        <v>125</v>
      </c>
      <c r="Z26" t="s">
        <v>65</v>
      </c>
      <c r="AA26" s="28">
        <f>'Monthly Data (14-23) Used'!Z111</f>
        <v>4</v>
      </c>
    </row>
    <row r="27" spans="1:31">
      <c r="A27">
        <f t="shared" ref="A27:A36" si="14">A26</f>
        <v>2023</v>
      </c>
      <c r="B27" t="s">
        <v>66</v>
      </c>
      <c r="C27" s="28">
        <f>'Monthly Data (14-23) Used'!F112</f>
        <v>28871</v>
      </c>
      <c r="D27" s="311"/>
      <c r="F27" t="s">
        <v>66</v>
      </c>
      <c r="G27" s="28">
        <f>'Monthly Data (14-23) Used'!J112</f>
        <v>2061</v>
      </c>
      <c r="H27" s="14"/>
      <c r="J27" t="s">
        <v>66</v>
      </c>
      <c r="K27" s="28">
        <f>'Monthly Data (14-23) Used'!O112</f>
        <v>225</v>
      </c>
      <c r="L27" s="14"/>
      <c r="N27" t="s">
        <v>66</v>
      </c>
      <c r="O27" s="28">
        <f>'Monthly Data (14-23) Used'!R112</f>
        <v>2808</v>
      </c>
      <c r="R27" t="s">
        <v>66</v>
      </c>
      <c r="S27" s="28">
        <f>'Monthly Data (14-23) Used'!U112</f>
        <v>223</v>
      </c>
      <c r="V27" t="s">
        <v>66</v>
      </c>
      <c r="W27" s="28">
        <f>'Monthly Data (14-23) Used'!W112</f>
        <v>125</v>
      </c>
      <c r="Z27" t="s">
        <v>66</v>
      </c>
      <c r="AA27" s="28">
        <f>'Monthly Data (14-23) Used'!Z112</f>
        <v>4</v>
      </c>
      <c r="AE27" s="74"/>
    </row>
    <row r="28" spans="1:31">
      <c r="A28">
        <f t="shared" si="14"/>
        <v>2023</v>
      </c>
      <c r="B28" t="s">
        <v>67</v>
      </c>
      <c r="C28" s="28">
        <f>'Monthly Data (14-23) Used'!F113</f>
        <v>28872</v>
      </c>
      <c r="D28" s="311"/>
      <c r="F28" t="s">
        <v>67</v>
      </c>
      <c r="G28" s="28">
        <f>'Monthly Data (14-23) Used'!J113</f>
        <v>2059</v>
      </c>
      <c r="H28" s="14"/>
      <c r="J28" t="s">
        <v>67</v>
      </c>
      <c r="K28" s="28">
        <f>'Monthly Data (14-23) Used'!O113</f>
        <v>225</v>
      </c>
      <c r="L28" s="14"/>
      <c r="N28" t="s">
        <v>67</v>
      </c>
      <c r="O28" s="28">
        <f>'Monthly Data (14-23) Used'!R113</f>
        <v>2808</v>
      </c>
      <c r="R28" t="s">
        <v>67</v>
      </c>
      <c r="S28" s="28">
        <f>'Monthly Data (14-23) Used'!U113</f>
        <v>222</v>
      </c>
      <c r="V28" t="s">
        <v>67</v>
      </c>
      <c r="W28" s="28">
        <f>'Monthly Data (14-23) Used'!W113</f>
        <v>125</v>
      </c>
      <c r="Z28" t="s">
        <v>67</v>
      </c>
      <c r="AA28" s="28">
        <f>'Monthly Data (14-23) Used'!Z113</f>
        <v>4</v>
      </c>
    </row>
    <row r="29" spans="1:31">
      <c r="A29">
        <f t="shared" si="14"/>
        <v>2023</v>
      </c>
      <c r="B29" t="s">
        <v>68</v>
      </c>
      <c r="C29" s="28">
        <f>'Monthly Data (14-23) Used'!F114</f>
        <v>28872</v>
      </c>
      <c r="D29" s="311"/>
      <c r="F29" t="s">
        <v>68</v>
      </c>
      <c r="G29" s="28">
        <f>'Monthly Data (14-23) Used'!J114</f>
        <v>2050</v>
      </c>
      <c r="H29" s="14"/>
      <c r="J29" t="s">
        <v>68</v>
      </c>
      <c r="K29" s="28">
        <f>'Monthly Data (14-23) Used'!O114</f>
        <v>232</v>
      </c>
      <c r="L29" s="14"/>
      <c r="N29" t="s">
        <v>68</v>
      </c>
      <c r="O29" s="28">
        <f>'Monthly Data (14-23) Used'!R114</f>
        <v>2808</v>
      </c>
      <c r="R29" t="s">
        <v>68</v>
      </c>
      <c r="S29" s="28">
        <f>'Monthly Data (14-23) Used'!U114</f>
        <v>222</v>
      </c>
      <c r="V29" t="s">
        <v>68</v>
      </c>
      <c r="W29" s="28">
        <f>'Monthly Data (14-23) Used'!W114</f>
        <v>125</v>
      </c>
      <c r="Z29" t="s">
        <v>68</v>
      </c>
      <c r="AA29" s="28">
        <f>'Monthly Data (14-23) Used'!Z114</f>
        <v>4</v>
      </c>
      <c r="AE29">
        <f>6.5/12</f>
        <v>0.54166666666666663</v>
      </c>
    </row>
    <row r="30" spans="1:31">
      <c r="A30">
        <f t="shared" si="14"/>
        <v>2023</v>
      </c>
      <c r="B30" t="s">
        <v>69</v>
      </c>
      <c r="C30" s="28">
        <f>'Monthly Data (14-23) Used'!F115</f>
        <v>28873</v>
      </c>
      <c r="D30" s="311"/>
      <c r="F30" t="s">
        <v>69</v>
      </c>
      <c r="G30" s="28">
        <f>'Monthly Data (14-23) Used'!J115</f>
        <v>2052</v>
      </c>
      <c r="H30" s="14"/>
      <c r="J30" t="s">
        <v>69</v>
      </c>
      <c r="K30" s="28">
        <f>'Monthly Data (14-23) Used'!O115</f>
        <v>232</v>
      </c>
      <c r="L30" s="14"/>
      <c r="N30" t="s">
        <v>69</v>
      </c>
      <c r="O30" s="28">
        <f>'Monthly Data (14-23) Used'!R115</f>
        <v>2808</v>
      </c>
      <c r="R30" t="s">
        <v>69</v>
      </c>
      <c r="S30" s="28">
        <f>'Monthly Data (14-23) Used'!U115</f>
        <v>222</v>
      </c>
      <c r="V30" t="s">
        <v>69</v>
      </c>
      <c r="W30" s="28">
        <f>'Monthly Data (14-23) Used'!W115</f>
        <v>125</v>
      </c>
      <c r="Z30" t="s">
        <v>69</v>
      </c>
      <c r="AA30" s="28">
        <f>'Monthly Data (14-23) Used'!Z115</f>
        <v>4</v>
      </c>
      <c r="AE30">
        <f>1/12</f>
        <v>8.3333333333333329E-2</v>
      </c>
    </row>
    <row r="31" spans="1:31">
      <c r="A31">
        <f t="shared" si="14"/>
        <v>2023</v>
      </c>
      <c r="B31" t="s">
        <v>70</v>
      </c>
      <c r="C31" s="28">
        <f>'Monthly Data (14-23) Used'!F116</f>
        <v>28891</v>
      </c>
      <c r="D31" s="311"/>
      <c r="F31" t="s">
        <v>70</v>
      </c>
      <c r="G31" s="28">
        <f>'Monthly Data (14-23) Used'!J116</f>
        <v>2056</v>
      </c>
      <c r="H31" s="14"/>
      <c r="J31" t="s">
        <v>70</v>
      </c>
      <c r="K31" s="28">
        <f>'Monthly Data (14-23) Used'!O116</f>
        <v>232</v>
      </c>
      <c r="L31" s="14"/>
      <c r="N31" t="s">
        <v>70</v>
      </c>
      <c r="O31" s="28">
        <f>'Monthly Data (14-23) Used'!R116</f>
        <v>2808</v>
      </c>
      <c r="R31" t="s">
        <v>70</v>
      </c>
      <c r="S31" s="28">
        <f>'Monthly Data (14-23) Used'!U116</f>
        <v>222</v>
      </c>
      <c r="V31" t="s">
        <v>70</v>
      </c>
      <c r="W31" s="28">
        <f>'Monthly Data (14-23) Used'!W116</f>
        <v>125</v>
      </c>
      <c r="Z31" t="s">
        <v>70</v>
      </c>
      <c r="AA31" s="28">
        <f>'Monthly Data (14-23) Used'!Z116</f>
        <v>4</v>
      </c>
      <c r="AE31" s="74"/>
    </row>
    <row r="32" spans="1:31">
      <c r="A32">
        <f t="shared" si="14"/>
        <v>2023</v>
      </c>
      <c r="B32" t="s">
        <v>71</v>
      </c>
      <c r="C32" s="28">
        <f>'Monthly Data (14-23) Used'!F117</f>
        <v>28894</v>
      </c>
      <c r="D32" s="311"/>
      <c r="F32" t="s">
        <v>71</v>
      </c>
      <c r="G32" s="28">
        <f>'Monthly Data (14-23) Used'!J117</f>
        <v>2058</v>
      </c>
      <c r="H32" s="14"/>
      <c r="J32" t="s">
        <v>71</v>
      </c>
      <c r="K32" s="28">
        <f>'Monthly Data (14-23) Used'!O117</f>
        <v>232</v>
      </c>
      <c r="L32" s="14"/>
      <c r="N32" t="s">
        <v>71</v>
      </c>
      <c r="O32" s="28">
        <f>'Monthly Data (14-23) Used'!R117</f>
        <v>2809</v>
      </c>
      <c r="R32" t="s">
        <v>71</v>
      </c>
      <c r="S32" s="28">
        <f>'Monthly Data (14-23) Used'!U117</f>
        <v>222</v>
      </c>
      <c r="V32" t="s">
        <v>71</v>
      </c>
      <c r="W32" s="28">
        <f>'Monthly Data (14-23) Used'!W117</f>
        <v>125</v>
      </c>
      <c r="Z32" t="s">
        <v>71</v>
      </c>
      <c r="AA32" s="28">
        <f>'Monthly Data (14-23) Used'!Z117</f>
        <v>4</v>
      </c>
    </row>
    <row r="33" spans="1:31">
      <c r="A33">
        <f t="shared" si="14"/>
        <v>2023</v>
      </c>
      <c r="B33" t="s">
        <v>509</v>
      </c>
      <c r="C33" s="28">
        <f>'Monthly Data (14-23) Used'!F118</f>
        <v>28907</v>
      </c>
      <c r="D33" s="311"/>
      <c r="F33" t="s">
        <v>509</v>
      </c>
      <c r="G33" s="28">
        <f>'Monthly Data (14-23) Used'!J118</f>
        <v>2059</v>
      </c>
      <c r="H33" s="14"/>
      <c r="J33" t="s">
        <v>509</v>
      </c>
      <c r="K33" s="28">
        <f>'Monthly Data (14-23) Used'!O118</f>
        <v>233</v>
      </c>
      <c r="L33" s="14"/>
      <c r="N33" t="s">
        <v>509</v>
      </c>
      <c r="O33" s="28">
        <f>'Monthly Data (14-23) Used'!R118</f>
        <v>2809</v>
      </c>
      <c r="R33" t="s">
        <v>509</v>
      </c>
      <c r="S33" s="28">
        <f>'Monthly Data (14-23) Used'!U118</f>
        <v>222</v>
      </c>
      <c r="V33" t="s">
        <v>509</v>
      </c>
      <c r="W33" s="28">
        <f>'Monthly Data (14-23) Used'!W118</f>
        <v>125</v>
      </c>
      <c r="Z33" t="s">
        <v>509</v>
      </c>
      <c r="AA33" s="28">
        <f>'Monthly Data (14-23) Used'!Z118</f>
        <v>4</v>
      </c>
    </row>
    <row r="34" spans="1:31">
      <c r="A34">
        <f t="shared" si="14"/>
        <v>2023</v>
      </c>
      <c r="B34" t="s">
        <v>73</v>
      </c>
      <c r="C34" s="28">
        <f>'Monthly Data (14-23) Used'!F119</f>
        <v>28980</v>
      </c>
      <c r="D34" s="311"/>
      <c r="F34" t="s">
        <v>73</v>
      </c>
      <c r="G34" s="28">
        <f>'Monthly Data (14-23) Used'!J119</f>
        <v>2062</v>
      </c>
      <c r="H34" s="14"/>
      <c r="J34" t="s">
        <v>73</v>
      </c>
      <c r="K34" s="28">
        <f>'Monthly Data (14-23) Used'!O119</f>
        <v>234</v>
      </c>
      <c r="L34" s="14"/>
      <c r="N34" t="s">
        <v>73</v>
      </c>
      <c r="O34" s="28">
        <f>'Monthly Data (14-23) Used'!R119</f>
        <v>2809</v>
      </c>
      <c r="R34" t="s">
        <v>73</v>
      </c>
      <c r="S34" s="28">
        <f>'Monthly Data (14-23) Used'!U119</f>
        <v>222</v>
      </c>
      <c r="V34" t="s">
        <v>73</v>
      </c>
      <c r="W34" s="28">
        <f>'Monthly Data (14-23) Used'!W119</f>
        <v>125</v>
      </c>
      <c r="Z34" t="s">
        <v>73</v>
      </c>
      <c r="AA34" s="28">
        <f>'Monthly Data (14-23) Used'!Z119</f>
        <v>4</v>
      </c>
      <c r="AE34">
        <f>C14*(D14^(-5.5046192/12))</f>
        <v>29057.40155722234</v>
      </c>
    </row>
    <row r="35" spans="1:31">
      <c r="A35">
        <f t="shared" si="14"/>
        <v>2023</v>
      </c>
      <c r="B35" t="s">
        <v>74</v>
      </c>
      <c r="C35" s="28">
        <f>'Monthly Data (14-23) Used'!F120</f>
        <v>29025</v>
      </c>
      <c r="D35" s="311"/>
      <c r="F35" t="s">
        <v>74</v>
      </c>
      <c r="G35" s="28">
        <f>'Monthly Data (14-23) Used'!J120</f>
        <v>2080</v>
      </c>
      <c r="H35" s="14"/>
      <c r="J35" t="s">
        <v>74</v>
      </c>
      <c r="K35" s="28">
        <f>'Monthly Data (14-23) Used'!O120</f>
        <v>234</v>
      </c>
      <c r="L35" s="14"/>
      <c r="N35" t="s">
        <v>74</v>
      </c>
      <c r="O35" s="28">
        <f>'Monthly Data (14-23) Used'!R120</f>
        <v>2809</v>
      </c>
      <c r="R35" t="s">
        <v>74</v>
      </c>
      <c r="S35" s="28">
        <f>'Monthly Data (14-23) Used'!U120</f>
        <v>222</v>
      </c>
      <c r="V35" t="s">
        <v>74</v>
      </c>
      <c r="W35" s="28">
        <f>'Monthly Data (14-23) Used'!W120</f>
        <v>125</v>
      </c>
      <c r="Z35" t="s">
        <v>74</v>
      </c>
      <c r="AA35" s="28">
        <f>'Monthly Data (14-23) Used'!Z120</f>
        <v>4</v>
      </c>
      <c r="AE35">
        <f>C14*(D14^5.5046192)*(D14^-(1/12))</f>
        <v>30690.585539477637</v>
      </c>
    </row>
    <row r="36" spans="1:31" s="187" customFormat="1">
      <c r="A36" s="187">
        <f t="shared" si="14"/>
        <v>2023</v>
      </c>
      <c r="B36" s="187" t="s">
        <v>75</v>
      </c>
      <c r="C36" s="28">
        <f>'Monthly Data (14-23) Used'!F121</f>
        <v>29030</v>
      </c>
      <c r="D36" s="311">
        <f>C36/C35</f>
        <v>1.0001722652885443</v>
      </c>
      <c r="F36" s="187" t="s">
        <v>75</v>
      </c>
      <c r="G36" s="28">
        <f>'Monthly Data (14-23) Used'!J121</f>
        <v>2084</v>
      </c>
      <c r="H36" s="311">
        <f>G36/G35</f>
        <v>1.0019230769230769</v>
      </c>
      <c r="J36" s="187" t="s">
        <v>75</v>
      </c>
      <c r="K36" s="28">
        <f>'Monthly Data (14-23) Used'!O121</f>
        <v>235</v>
      </c>
      <c r="L36" s="311">
        <f>K36/K35</f>
        <v>1.0042735042735043</v>
      </c>
      <c r="N36" s="187" t="s">
        <v>75</v>
      </c>
      <c r="O36" s="28">
        <f>'Monthly Data (14-23) Used'!R121</f>
        <v>2809</v>
      </c>
      <c r="P36" s="311">
        <f>O36/O35</f>
        <v>1</v>
      </c>
      <c r="R36" s="187" t="s">
        <v>75</v>
      </c>
      <c r="S36" s="28">
        <f>'Monthly Data (14-23) Used'!U121</f>
        <v>222</v>
      </c>
      <c r="T36" s="311">
        <f>S36/S35</f>
        <v>1</v>
      </c>
      <c r="V36" s="187" t="s">
        <v>75</v>
      </c>
      <c r="W36" s="28">
        <f>'Monthly Data (14-23) Used'!W121</f>
        <v>125</v>
      </c>
      <c r="X36" s="311">
        <f>W36/W35</f>
        <v>1</v>
      </c>
      <c r="Z36" s="187" t="s">
        <v>75</v>
      </c>
      <c r="AA36" s="28">
        <f>'Monthly Data (14-23) Used'!Z121</f>
        <v>4</v>
      </c>
      <c r="AB36" s="311">
        <f>AA36/AA35</f>
        <v>1</v>
      </c>
      <c r="AE36" s="394"/>
    </row>
    <row r="37" spans="1:31" s="11" customFormat="1">
      <c r="A37" s="11">
        <f>A25+1</f>
        <v>2024</v>
      </c>
      <c r="B37" s="11" t="str">
        <f>B25</f>
        <v>Jan</v>
      </c>
      <c r="C37" s="118">
        <f>C14/D14^(5.5046192/12)</f>
        <v>29057.40155722234</v>
      </c>
      <c r="D37" s="102">
        <f>C37/C36</f>
        <v>1.0009439048302562</v>
      </c>
      <c r="F37" s="11" t="str">
        <f>F25</f>
        <v>Jan</v>
      </c>
      <c r="G37" s="118">
        <f>G14/H14^(5.5046192/12)</f>
        <v>2071.8005858087881</v>
      </c>
      <c r="H37" s="102">
        <f>G37/G36</f>
        <v>0.99414615441880427</v>
      </c>
      <c r="J37" s="11" t="str">
        <f>J25</f>
        <v>Jan</v>
      </c>
      <c r="K37" s="118">
        <f>K14/L14^(5.5046192/12)</f>
        <v>231.45783862409669</v>
      </c>
      <c r="L37" s="102">
        <f>K37/K36</f>
        <v>0.98492697286849662</v>
      </c>
      <c r="N37" s="11" t="str">
        <f>N25</f>
        <v>Jan</v>
      </c>
      <c r="O37" s="118">
        <f>O14/P14^(5.5046192/12)</f>
        <v>2812.6779740974498</v>
      </c>
      <c r="P37" s="102">
        <f>O37/O36</f>
        <v>1.001309353541278</v>
      </c>
      <c r="R37" s="11" t="str">
        <f>R25</f>
        <v>Jan</v>
      </c>
      <c r="S37" s="118">
        <f>S14/T14^(5.5046192/12)</f>
        <v>220.52578482165671</v>
      </c>
      <c r="T37" s="102">
        <f>S37/S36</f>
        <v>0.99335939108854376</v>
      </c>
      <c r="V37" s="11" t="str">
        <f>V25</f>
        <v>Jan</v>
      </c>
      <c r="W37" s="118">
        <f>W14/X14^(5.5046192/12)</f>
        <v>124.39236319241111</v>
      </c>
      <c r="X37" s="102">
        <f>W37/W36</f>
        <v>0.99513890553928885</v>
      </c>
      <c r="Y37" s="102"/>
      <c r="Z37" s="11" t="str">
        <f>Z25</f>
        <v>Jan</v>
      </c>
      <c r="AA37" s="390">
        <f>AA36</f>
        <v>4</v>
      </c>
      <c r="AB37" s="102">
        <f>AA37/AA36</f>
        <v>1</v>
      </c>
      <c r="AD37" s="102"/>
      <c r="AE37" s="393"/>
    </row>
    <row r="38" spans="1:31" s="11" customFormat="1">
      <c r="A38" s="11">
        <f t="shared" ref="A38:A60" si="15">A26+1</f>
        <v>2024</v>
      </c>
      <c r="B38" s="11" t="str">
        <f t="shared" ref="B38:B60" si="16">B26</f>
        <v>Feb</v>
      </c>
      <c r="C38" s="118">
        <f>C37*D38</f>
        <v>29079.929224470943</v>
      </c>
      <c r="D38" s="102">
        <f>D15^(1/12)</f>
        <v>1.000775281547603</v>
      </c>
      <c r="F38" s="11" t="str">
        <f t="shared" ref="F38:F60" si="17">F26</f>
        <v>Feb</v>
      </c>
      <c r="G38" s="118">
        <f>G37*H38</f>
        <v>2073.2748754117733</v>
      </c>
      <c r="H38" s="102">
        <f>H15^(1/12)</f>
        <v>1.0007115982170696</v>
      </c>
      <c r="I38" s="103"/>
      <c r="J38" s="11" t="str">
        <f t="shared" ref="J38:J60" si="18">J26</f>
        <v>Feb</v>
      </c>
      <c r="K38" s="118">
        <f>K37*L38</f>
        <v>231.63144946192534</v>
      </c>
      <c r="L38" s="102">
        <f>L15^(1/12)</f>
        <v>1.0007500754299818</v>
      </c>
      <c r="N38" s="11" t="str">
        <f t="shared" ref="N38:N60" si="19">N26</f>
        <v>Feb</v>
      </c>
      <c r="O38" s="118">
        <f>O37*P38</f>
        <v>2813.5660092418934</v>
      </c>
      <c r="P38" s="102">
        <f>P15^(1/12)</f>
        <v>1.000315725850105</v>
      </c>
      <c r="R38" s="11" t="str">
        <f t="shared" ref="R38:R60" si="20">R26</f>
        <v>Feb</v>
      </c>
      <c r="S38" s="118">
        <f>S37*T38</f>
        <v>220.2615231309087</v>
      </c>
      <c r="T38" s="102">
        <f>T15^(1/12)</f>
        <v>0.99880167441207957</v>
      </c>
      <c r="V38" s="11" t="str">
        <f t="shared" ref="V38:V60" si="21">V26</f>
        <v>Feb</v>
      </c>
      <c r="W38" s="118">
        <f>W37*X38</f>
        <v>124.29907686798636</v>
      </c>
      <c r="X38" s="102">
        <f>X15^(1/12)</f>
        <v>0.99925006389435289</v>
      </c>
      <c r="Y38" s="102"/>
      <c r="Z38" s="11" t="str">
        <f t="shared" ref="Z38:Z60" si="22">Z26</f>
        <v>Feb</v>
      </c>
      <c r="AA38" s="118">
        <f>AA37</f>
        <v>4</v>
      </c>
      <c r="AB38" s="102">
        <f>AB37</f>
        <v>1</v>
      </c>
      <c r="AD38" s="102"/>
    </row>
    <row r="39" spans="1:31" s="11" customFormat="1">
      <c r="A39" s="11">
        <f t="shared" si="15"/>
        <v>2024</v>
      </c>
      <c r="B39" s="11" t="str">
        <f t="shared" si="16"/>
        <v>Mar</v>
      </c>
      <c r="C39" s="118">
        <f t="shared" ref="C39:C60" si="23">C38*D39</f>
        <v>29102.474357004277</v>
      </c>
      <c r="D39" s="102">
        <f t="shared" ref="D39:D60" si="24">D38</f>
        <v>1.000775281547603</v>
      </c>
      <c r="F39" s="11" t="str">
        <f t="shared" si="17"/>
        <v>Mar</v>
      </c>
      <c r="G39" s="118">
        <f t="shared" ref="G39:G60" si="25">G38*H39</f>
        <v>2074.7502141166115</v>
      </c>
      <c r="H39" s="102">
        <f t="shared" ref="H39:H60" si="26">H38</f>
        <v>1.0007115982170696</v>
      </c>
      <c r="J39" s="11" t="str">
        <f t="shared" si="18"/>
        <v>Mar</v>
      </c>
      <c r="K39" s="118">
        <f t="shared" ref="K39:K60" si="27">K38*L39</f>
        <v>231.80519052097782</v>
      </c>
      <c r="L39" s="102">
        <f t="shared" ref="L39:L60" si="28">L38</f>
        <v>1.0007500754299818</v>
      </c>
      <c r="N39" s="11" t="str">
        <f t="shared" si="19"/>
        <v>Mar</v>
      </c>
      <c r="O39" s="118">
        <f t="shared" ref="O39:O60" si="29">O38*P39</f>
        <v>2814.4543247619877</v>
      </c>
      <c r="P39" s="102">
        <f t="shared" ref="P39:P60" si="30">P38</f>
        <v>1.000315725850105</v>
      </c>
      <c r="R39" s="11" t="str">
        <f t="shared" si="20"/>
        <v>Mar</v>
      </c>
      <c r="S39" s="118">
        <f t="shared" ref="S39:S60" si="31">S38*T39</f>
        <v>219.99757811170662</v>
      </c>
      <c r="T39" s="102">
        <f t="shared" ref="T39:T60" si="32">T38</f>
        <v>0.99880167441207957</v>
      </c>
      <c r="V39" s="11" t="str">
        <f t="shared" si="21"/>
        <v>Mar</v>
      </c>
      <c r="W39" s="118">
        <f t="shared" ref="W39:W46" si="33">W38*X39</f>
        <v>124.20586050234445</v>
      </c>
      <c r="X39" s="102">
        <f t="shared" ref="X39:X60" si="34">X38</f>
        <v>0.99925006389435289</v>
      </c>
      <c r="Y39" s="102"/>
      <c r="Z39" s="11" t="str">
        <f t="shared" si="22"/>
        <v>Mar</v>
      </c>
      <c r="AA39" s="118">
        <f t="shared" ref="AA39:AA60" si="35">AA38</f>
        <v>4</v>
      </c>
      <c r="AB39" s="102">
        <f>AB38</f>
        <v>1</v>
      </c>
      <c r="AD39" s="102"/>
    </row>
    <row r="40" spans="1:31" s="11" customFormat="1">
      <c r="A40" s="11">
        <f t="shared" si="15"/>
        <v>2024</v>
      </c>
      <c r="B40" s="11" t="str">
        <f t="shared" si="16"/>
        <v>Apr</v>
      </c>
      <c r="C40" s="118">
        <f t="shared" si="23"/>
        <v>29125.036968362852</v>
      </c>
      <c r="D40" s="102">
        <f t="shared" si="24"/>
        <v>1.000775281547603</v>
      </c>
      <c r="F40" s="11" t="str">
        <f t="shared" si="17"/>
        <v>Apr</v>
      </c>
      <c r="G40" s="118">
        <f t="shared" si="25"/>
        <v>2076.2266026698417</v>
      </c>
      <c r="H40" s="102">
        <f t="shared" si="26"/>
        <v>1.0007115982170696</v>
      </c>
      <c r="J40" s="11" t="str">
        <f t="shared" si="18"/>
        <v>Apr</v>
      </c>
      <c r="K40" s="118">
        <f t="shared" si="27"/>
        <v>231.97906189892987</v>
      </c>
      <c r="L40" s="102">
        <f t="shared" si="28"/>
        <v>1.0007500754299818</v>
      </c>
      <c r="N40" s="11" t="str">
        <f t="shared" si="19"/>
        <v>Apr</v>
      </c>
      <c r="O40" s="118">
        <f t="shared" si="29"/>
        <v>2815.3429207462545</v>
      </c>
      <c r="P40" s="102">
        <f t="shared" si="30"/>
        <v>1.000315725850105</v>
      </c>
      <c r="R40" s="11" t="str">
        <f t="shared" si="20"/>
        <v>Apr</v>
      </c>
      <c r="S40" s="118">
        <f t="shared" si="31"/>
        <v>219.73394938457483</v>
      </c>
      <c r="T40" s="102">
        <f t="shared" si="32"/>
        <v>0.99880167441207957</v>
      </c>
      <c r="V40" s="11" t="str">
        <f t="shared" si="21"/>
        <v>Apr</v>
      </c>
      <c r="W40" s="118">
        <f t="shared" si="33"/>
        <v>124.11271404302077</v>
      </c>
      <c r="X40" s="102">
        <f t="shared" si="34"/>
        <v>0.99925006389435289</v>
      </c>
      <c r="Y40" s="102"/>
      <c r="Z40" s="11" t="str">
        <f t="shared" si="22"/>
        <v>Apr</v>
      </c>
      <c r="AA40" s="118">
        <f t="shared" si="35"/>
        <v>4</v>
      </c>
      <c r="AB40" s="102">
        <f t="shared" ref="AB40:AB60" si="36">AB39</f>
        <v>1</v>
      </c>
      <c r="AD40" s="102"/>
    </row>
    <row r="41" spans="1:31" s="11" customFormat="1">
      <c r="A41" s="11">
        <f t="shared" si="15"/>
        <v>2024</v>
      </c>
      <c r="B41" s="11" t="str">
        <f t="shared" si="16"/>
        <v>May</v>
      </c>
      <c r="C41" s="118">
        <f t="shared" si="23"/>
        <v>29147.617072097677</v>
      </c>
      <c r="D41" s="102">
        <f t="shared" si="24"/>
        <v>1.000775281547603</v>
      </c>
      <c r="F41" s="11" t="str">
        <f t="shared" si="17"/>
        <v>May</v>
      </c>
      <c r="G41" s="118">
        <f t="shared" si="25"/>
        <v>2077.7040418185338</v>
      </c>
      <c r="H41" s="102">
        <f t="shared" si="26"/>
        <v>1.0007115982170696</v>
      </c>
      <c r="J41" s="11" t="str">
        <f t="shared" si="18"/>
        <v>May</v>
      </c>
      <c r="K41" s="118">
        <f t="shared" si="27"/>
        <v>232.1530636935305</v>
      </c>
      <c r="L41" s="102">
        <f t="shared" si="28"/>
        <v>1.0007500754299818</v>
      </c>
      <c r="N41" s="11" t="str">
        <f t="shared" si="19"/>
        <v>May</v>
      </c>
      <c r="O41" s="118">
        <f t="shared" si="29"/>
        <v>2816.2317972832443</v>
      </c>
      <c r="P41" s="102">
        <f t="shared" si="30"/>
        <v>1.000315725850105</v>
      </c>
      <c r="R41" s="11" t="str">
        <f t="shared" si="20"/>
        <v>May</v>
      </c>
      <c r="S41" s="118">
        <f t="shared" si="31"/>
        <v>219.47063657049247</v>
      </c>
      <c r="T41" s="102">
        <f t="shared" si="32"/>
        <v>0.99880167441207957</v>
      </c>
      <c r="V41" s="11" t="str">
        <f t="shared" si="21"/>
        <v>May</v>
      </c>
      <c r="W41" s="118">
        <f t="shared" si="33"/>
        <v>124.01963743759006</v>
      </c>
      <c r="X41" s="102">
        <f t="shared" si="34"/>
        <v>0.99925006389435289</v>
      </c>
      <c r="Y41" s="102"/>
      <c r="Z41" s="11" t="str">
        <f t="shared" si="22"/>
        <v>May</v>
      </c>
      <c r="AA41" s="118">
        <f t="shared" si="35"/>
        <v>4</v>
      </c>
      <c r="AB41" s="102">
        <f t="shared" si="36"/>
        <v>1</v>
      </c>
      <c r="AD41" s="102"/>
    </row>
    <row r="42" spans="1:31" s="11" customFormat="1">
      <c r="A42" s="11">
        <f t="shared" si="15"/>
        <v>2024</v>
      </c>
      <c r="B42" s="11" t="str">
        <f t="shared" si="16"/>
        <v>Jun</v>
      </c>
      <c r="C42" s="118">
        <f t="shared" si="23"/>
        <v>29170.214681770271</v>
      </c>
      <c r="D42" s="102">
        <f t="shared" si="24"/>
        <v>1.000775281547603</v>
      </c>
      <c r="F42" s="11" t="str">
        <f t="shared" si="17"/>
        <v>Jun</v>
      </c>
      <c r="G42" s="118">
        <f t="shared" si="25"/>
        <v>2079.1825323102903</v>
      </c>
      <c r="H42" s="102">
        <f t="shared" si="26"/>
        <v>1.0007115982170696</v>
      </c>
      <c r="J42" s="11" t="str">
        <f t="shared" si="18"/>
        <v>Jun</v>
      </c>
      <c r="K42" s="118">
        <f t="shared" si="27"/>
        <v>232.32719600260202</v>
      </c>
      <c r="L42" s="102">
        <f t="shared" si="28"/>
        <v>1.0007500754299818</v>
      </c>
      <c r="N42" s="11" t="str">
        <f t="shared" si="19"/>
        <v>Jun</v>
      </c>
      <c r="O42" s="118">
        <f t="shared" si="29"/>
        <v>2817.1209544615344</v>
      </c>
      <c r="P42" s="102">
        <f t="shared" si="30"/>
        <v>1.000315725850105</v>
      </c>
      <c r="R42" s="11" t="str">
        <f t="shared" si="20"/>
        <v>Jun</v>
      </c>
      <c r="S42" s="118">
        <f t="shared" si="31"/>
        <v>219.20763929089287</v>
      </c>
      <c r="T42" s="102">
        <f t="shared" si="32"/>
        <v>0.99880167441207957</v>
      </c>
      <c r="V42" s="11" t="str">
        <f t="shared" si="21"/>
        <v>Jun</v>
      </c>
      <c r="W42" s="118">
        <f t="shared" si="33"/>
        <v>123.92663063366635</v>
      </c>
      <c r="X42" s="102">
        <f t="shared" si="34"/>
        <v>0.99925006389435289</v>
      </c>
      <c r="Y42" s="102"/>
      <c r="Z42" s="11" t="str">
        <f t="shared" si="22"/>
        <v>Jun</v>
      </c>
      <c r="AA42" s="118">
        <f t="shared" si="35"/>
        <v>4</v>
      </c>
      <c r="AB42" s="102">
        <f t="shared" si="36"/>
        <v>1</v>
      </c>
      <c r="AD42" s="102"/>
      <c r="AE42" s="392"/>
    </row>
    <row r="43" spans="1:31" s="11" customFormat="1">
      <c r="A43" s="11">
        <f t="shared" si="15"/>
        <v>2024</v>
      </c>
      <c r="B43" s="11" t="str">
        <f t="shared" si="16"/>
        <v>Jul</v>
      </c>
      <c r="C43" s="118">
        <f t="shared" si="23"/>
        <v>29192.829810952666</v>
      </c>
      <c r="D43" s="102">
        <f t="shared" si="24"/>
        <v>1.000775281547603</v>
      </c>
      <c r="F43" s="11" t="str">
        <f t="shared" si="17"/>
        <v>Jul</v>
      </c>
      <c r="G43" s="118">
        <f t="shared" si="25"/>
        <v>2080.6620748932446</v>
      </c>
      <c r="H43" s="102">
        <f t="shared" si="26"/>
        <v>1.0007115982170696</v>
      </c>
      <c r="J43" s="11" t="str">
        <f t="shared" si="18"/>
        <v>Jul</v>
      </c>
      <c r="K43" s="118">
        <f t="shared" si="27"/>
        <v>232.50145892404015</v>
      </c>
      <c r="L43" s="102">
        <f t="shared" si="28"/>
        <v>1.0007500754299818</v>
      </c>
      <c r="N43" s="11" t="str">
        <f t="shared" si="19"/>
        <v>Jul</v>
      </c>
      <c r="O43" s="118">
        <f t="shared" si="29"/>
        <v>2818.0103923697302</v>
      </c>
      <c r="P43" s="102">
        <f t="shared" si="30"/>
        <v>1.000315725850105</v>
      </c>
      <c r="R43" s="11" t="str">
        <f t="shared" si="20"/>
        <v>Jul</v>
      </c>
      <c r="S43" s="118">
        <f t="shared" si="31"/>
        <v>218.94495716766295</v>
      </c>
      <c r="T43" s="102">
        <f t="shared" si="32"/>
        <v>0.99880167441207957</v>
      </c>
      <c r="V43" s="11" t="str">
        <f t="shared" si="21"/>
        <v>Jul</v>
      </c>
      <c r="W43" s="118">
        <f t="shared" si="33"/>
        <v>123.83369357890297</v>
      </c>
      <c r="X43" s="102">
        <f t="shared" si="34"/>
        <v>0.99925006389435289</v>
      </c>
      <c r="Y43" s="102"/>
      <c r="Z43" s="11" t="str">
        <f t="shared" si="22"/>
        <v>Jul</v>
      </c>
      <c r="AA43" s="118">
        <f t="shared" si="35"/>
        <v>4</v>
      </c>
      <c r="AB43" s="102">
        <f t="shared" si="36"/>
        <v>1</v>
      </c>
      <c r="AD43" s="102"/>
    </row>
    <row r="44" spans="1:31" s="11" customFormat="1">
      <c r="A44" s="11">
        <f t="shared" si="15"/>
        <v>2024</v>
      </c>
      <c r="B44" s="11" t="str">
        <f t="shared" si="16"/>
        <v>Aug</v>
      </c>
      <c r="C44" s="118">
        <f t="shared" si="23"/>
        <v>29215.462473227413</v>
      </c>
      <c r="D44" s="102">
        <f t="shared" si="24"/>
        <v>1.000775281547603</v>
      </c>
      <c r="F44" s="11" t="str">
        <f t="shared" si="17"/>
        <v>Aug</v>
      </c>
      <c r="G44" s="118">
        <f t="shared" si="25"/>
        <v>2082.1426703160628</v>
      </c>
      <c r="H44" s="102">
        <f t="shared" si="26"/>
        <v>1.0007115982170696</v>
      </c>
      <c r="J44" s="11" t="str">
        <f t="shared" si="18"/>
        <v>Aug</v>
      </c>
      <c r="K44" s="118">
        <f t="shared" si="27"/>
        <v>232.675852555814</v>
      </c>
      <c r="L44" s="102">
        <f t="shared" si="28"/>
        <v>1.0007500754299818</v>
      </c>
      <c r="N44" s="11" t="str">
        <f t="shared" si="19"/>
        <v>Aug</v>
      </c>
      <c r="O44" s="118">
        <f t="shared" si="29"/>
        <v>2818.9001110964659</v>
      </c>
      <c r="P44" s="102">
        <f t="shared" si="30"/>
        <v>1.000315725850105</v>
      </c>
      <c r="R44" s="11" t="str">
        <f t="shared" si="20"/>
        <v>Aug</v>
      </c>
      <c r="S44" s="118">
        <f t="shared" si="31"/>
        <v>218.68258982314279</v>
      </c>
      <c r="T44" s="102">
        <f t="shared" si="32"/>
        <v>0.99880167441207957</v>
      </c>
      <c r="V44" s="11" t="str">
        <f t="shared" si="21"/>
        <v>Aug</v>
      </c>
      <c r="W44" s="118">
        <f t="shared" si="33"/>
        <v>123.7408262209925</v>
      </c>
      <c r="X44" s="102">
        <f t="shared" si="34"/>
        <v>0.99925006389435289</v>
      </c>
      <c r="Y44" s="102"/>
      <c r="Z44" s="11" t="str">
        <f t="shared" si="22"/>
        <v>Aug</v>
      </c>
      <c r="AA44" s="118">
        <f t="shared" si="35"/>
        <v>4</v>
      </c>
      <c r="AB44" s="102">
        <f t="shared" si="36"/>
        <v>1</v>
      </c>
      <c r="AD44" s="102"/>
      <c r="AE44" s="396">
        <v>5.5046191999999996</v>
      </c>
    </row>
    <row r="45" spans="1:31" s="11" customFormat="1">
      <c r="A45" s="11">
        <f t="shared" si="15"/>
        <v>2024</v>
      </c>
      <c r="B45" s="11" t="str">
        <f t="shared" si="16"/>
        <v>Sep</v>
      </c>
      <c r="C45" s="118">
        <f t="shared" si="23"/>
        <v>29238.112682187595</v>
      </c>
      <c r="D45" s="102">
        <f t="shared" si="24"/>
        <v>1.000775281547603</v>
      </c>
      <c r="F45" s="11" t="str">
        <f t="shared" si="17"/>
        <v>Sep</v>
      </c>
      <c r="G45" s="118">
        <f t="shared" si="25"/>
        <v>2083.6243193279442</v>
      </c>
      <c r="H45" s="102">
        <f t="shared" si="26"/>
        <v>1.0007115982170696</v>
      </c>
      <c r="J45" s="11" t="str">
        <f t="shared" si="18"/>
        <v>Sep</v>
      </c>
      <c r="K45" s="118">
        <f t="shared" si="27"/>
        <v>232.8503769959662</v>
      </c>
      <c r="L45" s="102">
        <f t="shared" si="28"/>
        <v>1.0007500754299818</v>
      </c>
      <c r="N45" s="11" t="str">
        <f t="shared" si="19"/>
        <v>Sep</v>
      </c>
      <c r="O45" s="118">
        <f t="shared" si="29"/>
        <v>2819.7901107304028</v>
      </c>
      <c r="P45" s="102">
        <f t="shared" si="30"/>
        <v>1.000315725850105</v>
      </c>
      <c r="R45" s="11" t="str">
        <f t="shared" si="20"/>
        <v>Sep</v>
      </c>
      <c r="S45" s="118">
        <f t="shared" si="31"/>
        <v>218.42053688012501</v>
      </c>
      <c r="T45" s="102">
        <f t="shared" si="32"/>
        <v>0.99880167441207957</v>
      </c>
      <c r="V45" s="11" t="str">
        <f t="shared" si="21"/>
        <v>Sep</v>
      </c>
      <c r="W45" s="118">
        <f t="shared" si="33"/>
        <v>123.64802850766678</v>
      </c>
      <c r="X45" s="102">
        <f t="shared" si="34"/>
        <v>0.99925006389435289</v>
      </c>
      <c r="Y45" s="102"/>
      <c r="Z45" s="11" t="str">
        <f t="shared" si="22"/>
        <v>Sep</v>
      </c>
      <c r="AA45" s="118">
        <f t="shared" si="35"/>
        <v>4</v>
      </c>
      <c r="AB45" s="102">
        <f t="shared" si="36"/>
        <v>1</v>
      </c>
      <c r="AD45" s="102"/>
      <c r="AE45" s="303">
        <f>D14^(5.5046192/12)-1</f>
        <v>4.2750884691529212E-3</v>
      </c>
    </row>
    <row r="46" spans="1:31" s="11" customFormat="1">
      <c r="A46" s="11">
        <f t="shared" si="15"/>
        <v>2024</v>
      </c>
      <c r="B46" s="11" t="str">
        <f t="shared" si="16"/>
        <v>Oct</v>
      </c>
      <c r="C46" s="118">
        <f t="shared" si="23"/>
        <v>29260.780451436833</v>
      </c>
      <c r="D46" s="102">
        <f t="shared" si="24"/>
        <v>1.000775281547603</v>
      </c>
      <c r="F46" s="11" t="str">
        <f t="shared" si="17"/>
        <v>Oct</v>
      </c>
      <c r="G46" s="118">
        <f t="shared" si="25"/>
        <v>2085.107022678621</v>
      </c>
      <c r="H46" s="102">
        <f t="shared" si="26"/>
        <v>1.0007115982170696</v>
      </c>
      <c r="J46" s="11" t="str">
        <f t="shared" si="18"/>
        <v>Oct</v>
      </c>
      <c r="K46" s="118">
        <f t="shared" si="27"/>
        <v>233.02503234261289</v>
      </c>
      <c r="L46" s="102">
        <f t="shared" si="28"/>
        <v>1.0007500754299818</v>
      </c>
      <c r="N46" s="11" t="str">
        <f t="shared" si="19"/>
        <v>Oct</v>
      </c>
      <c r="O46" s="118">
        <f t="shared" si="29"/>
        <v>2820.6803913602307</v>
      </c>
      <c r="P46" s="102">
        <f t="shared" si="30"/>
        <v>1.000315725850105</v>
      </c>
      <c r="R46" s="11" t="str">
        <f t="shared" si="20"/>
        <v>Oct</v>
      </c>
      <c r="S46" s="118">
        <f t="shared" si="31"/>
        <v>218.15879796185425</v>
      </c>
      <c r="T46" s="102">
        <f t="shared" si="32"/>
        <v>0.99880167441207957</v>
      </c>
      <c r="V46" s="11" t="str">
        <f t="shared" si="21"/>
        <v>Oct</v>
      </c>
      <c r="W46" s="118">
        <f t="shared" si="33"/>
        <v>123.5553003866968</v>
      </c>
      <c r="X46" s="102">
        <f t="shared" si="34"/>
        <v>0.99925006389435289</v>
      </c>
      <c r="Y46" s="102"/>
      <c r="Z46" s="11" t="str">
        <f t="shared" si="22"/>
        <v>Oct</v>
      </c>
      <c r="AA46" s="118">
        <f t="shared" si="35"/>
        <v>4</v>
      </c>
      <c r="AB46" s="102">
        <f t="shared" si="36"/>
        <v>1</v>
      </c>
      <c r="AD46" s="102"/>
    </row>
    <row r="47" spans="1:31" s="11" customFormat="1">
      <c r="A47" s="11">
        <f t="shared" si="15"/>
        <v>2024</v>
      </c>
      <c r="B47" s="11" t="str">
        <f t="shared" si="16"/>
        <v>Nov</v>
      </c>
      <c r="C47" s="118">
        <f t="shared" si="23"/>
        <v>29283.465794589294</v>
      </c>
      <c r="D47" s="102">
        <f t="shared" si="24"/>
        <v>1.000775281547603</v>
      </c>
      <c r="F47" s="11" t="str">
        <f t="shared" si="17"/>
        <v>Nov</v>
      </c>
      <c r="G47" s="118">
        <f t="shared" si="25"/>
        <v>2086.5907811183583</v>
      </c>
      <c r="H47" s="102">
        <f t="shared" si="26"/>
        <v>1.0007115982170696</v>
      </c>
      <c r="J47" s="11" t="str">
        <f t="shared" si="18"/>
        <v>Nov</v>
      </c>
      <c r="K47" s="118">
        <f t="shared" si="27"/>
        <v>233.1998186939438</v>
      </c>
      <c r="L47" s="102">
        <f t="shared" si="28"/>
        <v>1.0007500754299818</v>
      </c>
      <c r="N47" s="11" t="str">
        <f t="shared" si="19"/>
        <v>Nov</v>
      </c>
      <c r="O47" s="118">
        <f t="shared" si="29"/>
        <v>2821.5709530746672</v>
      </c>
      <c r="P47" s="102">
        <f t="shared" si="30"/>
        <v>1.000315725850105</v>
      </c>
      <c r="R47" s="11" t="str">
        <f t="shared" si="20"/>
        <v>Nov</v>
      </c>
      <c r="S47" s="118">
        <f t="shared" si="31"/>
        <v>217.89737269202661</v>
      </c>
      <c r="T47" s="102">
        <f t="shared" si="32"/>
        <v>0.99880167441207957</v>
      </c>
      <c r="V47" s="11" t="str">
        <f t="shared" si="21"/>
        <v>Nov</v>
      </c>
      <c r="W47" s="118">
        <f>W46*X47</f>
        <v>123.46264180589274</v>
      </c>
      <c r="X47" s="102">
        <f t="shared" si="34"/>
        <v>0.99925006389435289</v>
      </c>
      <c r="Y47" s="102"/>
      <c r="Z47" s="11" t="str">
        <f t="shared" si="22"/>
        <v>Nov</v>
      </c>
      <c r="AA47" s="118">
        <f t="shared" si="35"/>
        <v>4</v>
      </c>
      <c r="AB47" s="102">
        <f t="shared" si="36"/>
        <v>1</v>
      </c>
      <c r="AD47" s="102"/>
    </row>
    <row r="48" spans="1:31" s="11" customFormat="1">
      <c r="A48" s="11">
        <f t="shared" si="15"/>
        <v>2024</v>
      </c>
      <c r="B48" s="11" t="str">
        <f t="shared" si="16"/>
        <v>Dec</v>
      </c>
      <c r="C48" s="118">
        <f t="shared" si="23"/>
        <v>29306.168725269701</v>
      </c>
      <c r="D48" s="102">
        <f t="shared" si="24"/>
        <v>1.000775281547603</v>
      </c>
      <c r="F48" s="11" t="str">
        <f t="shared" si="17"/>
        <v>Dec</v>
      </c>
      <c r="G48" s="118">
        <f t="shared" si="25"/>
        <v>2088.075595397956</v>
      </c>
      <c r="H48" s="102">
        <f t="shared" si="26"/>
        <v>1.0007115982170696</v>
      </c>
      <c r="J48" s="11" t="str">
        <f t="shared" si="18"/>
        <v>Dec</v>
      </c>
      <c r="K48" s="118">
        <f t="shared" si="27"/>
        <v>233.37473614822235</v>
      </c>
      <c r="L48" s="102">
        <f t="shared" si="28"/>
        <v>1.0007500754299818</v>
      </c>
      <c r="N48" s="11" t="str">
        <f t="shared" si="19"/>
        <v>Dec</v>
      </c>
      <c r="O48" s="118">
        <f t="shared" si="29"/>
        <v>2822.4617959624584</v>
      </c>
      <c r="P48" s="102">
        <f t="shared" si="30"/>
        <v>1.000315725850105</v>
      </c>
      <c r="R48" s="11" t="str">
        <f t="shared" si="20"/>
        <v>Dec</v>
      </c>
      <c r="S48" s="118">
        <f t="shared" si="31"/>
        <v>217.63626069478912</v>
      </c>
      <c r="T48" s="102">
        <f t="shared" si="32"/>
        <v>0.99880167441207957</v>
      </c>
      <c r="V48" s="11" t="str">
        <f t="shared" si="21"/>
        <v>Dec</v>
      </c>
      <c r="W48" s="118">
        <f>W47*X48</f>
        <v>123.37005271310393</v>
      </c>
      <c r="X48" s="102">
        <f t="shared" si="34"/>
        <v>0.99925006389435289</v>
      </c>
      <c r="Y48" s="102"/>
      <c r="Z48" s="11" t="str">
        <f t="shared" si="22"/>
        <v>Dec</v>
      </c>
      <c r="AA48" s="118">
        <f t="shared" si="35"/>
        <v>4</v>
      </c>
      <c r="AB48" s="102">
        <f t="shared" si="36"/>
        <v>1</v>
      </c>
      <c r="AD48" s="102"/>
    </row>
    <row r="49" spans="1:30" s="11" customFormat="1">
      <c r="A49" s="11">
        <f t="shared" si="15"/>
        <v>2025</v>
      </c>
      <c r="B49" s="11" t="str">
        <f t="shared" si="16"/>
        <v>Jan</v>
      </c>
      <c r="C49" s="118">
        <f>C48*D49</f>
        <v>29328.889257113344</v>
      </c>
      <c r="D49" s="102">
        <f t="shared" si="24"/>
        <v>1.000775281547603</v>
      </c>
      <c r="F49" s="11" t="str">
        <f t="shared" si="17"/>
        <v>Jan</v>
      </c>
      <c r="G49" s="118">
        <f>G48*H49</f>
        <v>2089.5614662687476</v>
      </c>
      <c r="H49" s="102">
        <f t="shared" si="26"/>
        <v>1.0007115982170696</v>
      </c>
      <c r="J49" s="11" t="str">
        <f t="shared" si="18"/>
        <v>Jan</v>
      </c>
      <c r="K49" s="118">
        <f t="shared" si="27"/>
        <v>233.54978480378563</v>
      </c>
      <c r="L49" s="102">
        <f>L48</f>
        <v>1.0007500754299818</v>
      </c>
      <c r="N49" s="11" t="str">
        <f t="shared" si="19"/>
        <v>Jan</v>
      </c>
      <c r="O49" s="118">
        <f>O48*P49</f>
        <v>2823.3529201123774</v>
      </c>
      <c r="P49" s="102">
        <f t="shared" si="30"/>
        <v>1.000315725850105</v>
      </c>
      <c r="R49" s="11" t="str">
        <f t="shared" si="20"/>
        <v>Jan</v>
      </c>
      <c r="S49" s="118">
        <f>S48*T49</f>
        <v>217.37546159473922</v>
      </c>
      <c r="T49" s="102">
        <f t="shared" si="32"/>
        <v>0.99880167441207957</v>
      </c>
      <c r="V49" s="11" t="str">
        <f t="shared" si="21"/>
        <v>Jan</v>
      </c>
      <c r="W49" s="118">
        <f>W48*X49</f>
        <v>123.27753305621879</v>
      </c>
      <c r="X49" s="102">
        <f t="shared" si="34"/>
        <v>0.99925006389435289</v>
      </c>
      <c r="Y49" s="102"/>
      <c r="Z49" s="11" t="str">
        <f t="shared" si="22"/>
        <v>Jan</v>
      </c>
      <c r="AA49" s="118">
        <f t="shared" si="35"/>
        <v>4</v>
      </c>
      <c r="AB49" s="102">
        <f t="shared" si="36"/>
        <v>1</v>
      </c>
      <c r="AD49" s="102"/>
    </row>
    <row r="50" spans="1:30" s="11" customFormat="1">
      <c r="A50" s="11">
        <f t="shared" si="15"/>
        <v>2025</v>
      </c>
      <c r="B50" s="11" t="str">
        <f t="shared" si="16"/>
        <v>Feb</v>
      </c>
      <c r="C50" s="118">
        <f>C49*D50</f>
        <v>29351.627403766073</v>
      </c>
      <c r="D50" s="102">
        <f t="shared" si="24"/>
        <v>1.000775281547603</v>
      </c>
      <c r="F50" s="11" t="str">
        <f t="shared" si="17"/>
        <v>Feb</v>
      </c>
      <c r="G50" s="118">
        <f>G49*H50</f>
        <v>2091.0483944826019</v>
      </c>
      <c r="H50" s="102">
        <f t="shared" si="26"/>
        <v>1.0007115982170696</v>
      </c>
      <c r="J50" s="11" t="str">
        <f t="shared" si="18"/>
        <v>Feb</v>
      </c>
      <c r="K50" s="118">
        <f t="shared" si="27"/>
        <v>233.7249647590445</v>
      </c>
      <c r="L50" s="102">
        <f t="shared" si="28"/>
        <v>1.0007500754299818</v>
      </c>
      <c r="N50" s="11" t="str">
        <f t="shared" si="19"/>
        <v>Feb</v>
      </c>
      <c r="O50" s="118">
        <f>O49*P50</f>
        <v>2824.2443256132265</v>
      </c>
      <c r="P50" s="102">
        <f t="shared" si="30"/>
        <v>1.000315725850105</v>
      </c>
      <c r="R50" s="11" t="str">
        <f t="shared" si="20"/>
        <v>Feb</v>
      </c>
      <c r="S50" s="118">
        <f t="shared" si="31"/>
        <v>217.11497501692423</v>
      </c>
      <c r="T50" s="102">
        <f t="shared" si="32"/>
        <v>0.99880167441207957</v>
      </c>
      <c r="V50" s="11" t="str">
        <f t="shared" si="21"/>
        <v>Feb</v>
      </c>
      <c r="W50" s="118">
        <f>W49*X50</f>
        <v>123.18508278316482</v>
      </c>
      <c r="X50" s="102">
        <f t="shared" si="34"/>
        <v>0.99925006389435289</v>
      </c>
      <c r="Y50" s="102"/>
      <c r="Z50" s="11" t="str">
        <f t="shared" si="22"/>
        <v>Feb</v>
      </c>
      <c r="AA50" s="118">
        <f t="shared" si="35"/>
        <v>4</v>
      </c>
      <c r="AB50" s="102">
        <f t="shared" si="36"/>
        <v>1</v>
      </c>
      <c r="AD50" s="102"/>
    </row>
    <row r="51" spans="1:30" s="11" customFormat="1">
      <c r="A51" s="11">
        <f t="shared" si="15"/>
        <v>2025</v>
      </c>
      <c r="B51" s="11" t="str">
        <f t="shared" si="16"/>
        <v>Mar</v>
      </c>
      <c r="C51" s="118">
        <f t="shared" si="23"/>
        <v>29374.383178884331</v>
      </c>
      <c r="D51" s="102">
        <f t="shared" si="24"/>
        <v>1.000775281547603</v>
      </c>
      <c r="F51" s="11" t="str">
        <f t="shared" si="17"/>
        <v>Mar</v>
      </c>
      <c r="G51" s="118">
        <f t="shared" si="25"/>
        <v>2092.5363807919221</v>
      </c>
      <c r="H51" s="102">
        <f t="shared" si="26"/>
        <v>1.0007115982170696</v>
      </c>
      <c r="J51" s="11" t="str">
        <f t="shared" si="18"/>
        <v>Mar</v>
      </c>
      <c r="K51" s="118">
        <f t="shared" si="27"/>
        <v>233.90027611248362</v>
      </c>
      <c r="L51" s="102">
        <f t="shared" si="28"/>
        <v>1.0007500754299818</v>
      </c>
      <c r="N51" s="11" t="str">
        <f t="shared" si="19"/>
        <v>Mar</v>
      </c>
      <c r="O51" s="118">
        <f>O50*P51</f>
        <v>2825.1360125538349</v>
      </c>
      <c r="P51" s="102">
        <f t="shared" si="30"/>
        <v>1.000315725850105</v>
      </c>
      <c r="R51" s="11" t="str">
        <f t="shared" si="20"/>
        <v>Mar</v>
      </c>
      <c r="S51" s="118">
        <f t="shared" si="31"/>
        <v>216.85480058684075</v>
      </c>
      <c r="T51" s="102">
        <f t="shared" si="32"/>
        <v>0.99880167441207957</v>
      </c>
      <c r="V51" s="11" t="str">
        <f t="shared" si="21"/>
        <v>Mar</v>
      </c>
      <c r="W51" s="118">
        <f t="shared" ref="W51:W60" si="37">W50*X51</f>
        <v>123.09270184190859</v>
      </c>
      <c r="X51" s="102">
        <f t="shared" si="34"/>
        <v>0.99925006389435289</v>
      </c>
      <c r="Y51" s="102"/>
      <c r="Z51" s="11" t="str">
        <f t="shared" si="22"/>
        <v>Mar</v>
      </c>
      <c r="AA51" s="118">
        <f t="shared" si="35"/>
        <v>4</v>
      </c>
      <c r="AB51" s="102">
        <f t="shared" si="36"/>
        <v>1</v>
      </c>
      <c r="AD51" s="102"/>
    </row>
    <row r="52" spans="1:30" s="11" customFormat="1">
      <c r="A52" s="11">
        <f t="shared" si="15"/>
        <v>2025</v>
      </c>
      <c r="B52" s="11" t="str">
        <f t="shared" si="16"/>
        <v>Apr</v>
      </c>
      <c r="C52" s="118">
        <f t="shared" si="23"/>
        <v>29397.156596135141</v>
      </c>
      <c r="D52" s="102">
        <f t="shared" si="24"/>
        <v>1.000775281547603</v>
      </c>
      <c r="F52" s="11" t="str">
        <f t="shared" si="17"/>
        <v>Apr</v>
      </c>
      <c r="G52" s="118">
        <f t="shared" si="25"/>
        <v>2094.0254259496469</v>
      </c>
      <c r="H52" s="102">
        <f t="shared" si="26"/>
        <v>1.0007115982170696</v>
      </c>
      <c r="J52" s="11" t="str">
        <f t="shared" si="18"/>
        <v>Apr</v>
      </c>
      <c r="K52" s="118">
        <f t="shared" si="27"/>
        <v>234.07571896266157</v>
      </c>
      <c r="L52" s="102">
        <f t="shared" si="28"/>
        <v>1.0007500754299818</v>
      </c>
      <c r="N52" s="11" t="str">
        <f t="shared" si="19"/>
        <v>Apr</v>
      </c>
      <c r="O52" s="118">
        <f>O51*P52</f>
        <v>2826.0279810230609</v>
      </c>
      <c r="P52" s="102">
        <f t="shared" si="30"/>
        <v>1.000315725850105</v>
      </c>
      <c r="R52" s="11" t="str">
        <f t="shared" si="20"/>
        <v>Apr</v>
      </c>
      <c r="S52" s="118">
        <f t="shared" si="31"/>
        <v>216.59493793043416</v>
      </c>
      <c r="T52" s="102">
        <f t="shared" si="32"/>
        <v>0.99880167441207957</v>
      </c>
      <c r="V52" s="11" t="str">
        <f t="shared" si="21"/>
        <v>Apr</v>
      </c>
      <c r="W52" s="118">
        <f t="shared" si="37"/>
        <v>123.0003901804557</v>
      </c>
      <c r="X52" s="102">
        <f t="shared" si="34"/>
        <v>0.99925006389435289</v>
      </c>
      <c r="Y52" s="102"/>
      <c r="Z52" s="11" t="str">
        <f t="shared" si="22"/>
        <v>Apr</v>
      </c>
      <c r="AA52" s="118">
        <f t="shared" si="35"/>
        <v>4</v>
      </c>
      <c r="AB52" s="102">
        <f t="shared" si="36"/>
        <v>1</v>
      </c>
      <c r="AD52" s="102"/>
    </row>
    <row r="53" spans="1:30" s="11" customFormat="1">
      <c r="A53" s="11">
        <f t="shared" si="15"/>
        <v>2025</v>
      </c>
      <c r="B53" s="11" t="str">
        <f t="shared" si="16"/>
        <v>May</v>
      </c>
      <c r="C53" s="118">
        <f t="shared" si="23"/>
        <v>29419.947669196121</v>
      </c>
      <c r="D53" s="102">
        <f t="shared" si="24"/>
        <v>1.000775281547603</v>
      </c>
      <c r="F53" s="11" t="str">
        <f t="shared" si="17"/>
        <v>May</v>
      </c>
      <c r="G53" s="118">
        <f t="shared" si="25"/>
        <v>2095.5155307092509</v>
      </c>
      <c r="H53" s="102">
        <f t="shared" si="26"/>
        <v>1.0007115982170696</v>
      </c>
      <c r="J53" s="11" t="str">
        <f t="shared" si="18"/>
        <v>May</v>
      </c>
      <c r="K53" s="118">
        <f t="shared" si="27"/>
        <v>234.25129340821078</v>
      </c>
      <c r="L53" s="102">
        <f t="shared" si="28"/>
        <v>1.0007500754299818</v>
      </c>
      <c r="N53" s="11" t="str">
        <f t="shared" si="19"/>
        <v>May</v>
      </c>
      <c r="O53" s="118">
        <f t="shared" si="29"/>
        <v>2826.9202311097897</v>
      </c>
      <c r="P53" s="102">
        <f t="shared" si="30"/>
        <v>1.000315725850105</v>
      </c>
      <c r="R53" s="11" t="str">
        <f t="shared" si="20"/>
        <v>May</v>
      </c>
      <c r="S53" s="118">
        <f t="shared" si="31"/>
        <v>216.33538667409809</v>
      </c>
      <c r="T53" s="102">
        <f t="shared" si="32"/>
        <v>0.99880167441207957</v>
      </c>
      <c r="V53" s="11" t="str">
        <f t="shared" si="21"/>
        <v>May</v>
      </c>
      <c r="W53" s="118">
        <f t="shared" si="37"/>
        <v>122.90814774685069</v>
      </c>
      <c r="X53" s="102">
        <f t="shared" si="34"/>
        <v>0.99925006389435289</v>
      </c>
      <c r="Y53" s="102"/>
      <c r="Z53" s="11" t="str">
        <f t="shared" si="22"/>
        <v>May</v>
      </c>
      <c r="AA53" s="118">
        <f t="shared" si="35"/>
        <v>4</v>
      </c>
      <c r="AB53" s="102">
        <f t="shared" si="36"/>
        <v>1</v>
      </c>
      <c r="AD53" s="102"/>
    </row>
    <row r="54" spans="1:30" s="11" customFormat="1">
      <c r="A54" s="11">
        <f t="shared" si="15"/>
        <v>2025</v>
      </c>
      <c r="B54" s="11" t="str">
        <f t="shared" si="16"/>
        <v>Jun</v>
      </c>
      <c r="C54" s="118">
        <f t="shared" si="23"/>
        <v>29442.756411755494</v>
      </c>
      <c r="D54" s="102">
        <f t="shared" si="24"/>
        <v>1.000775281547603</v>
      </c>
      <c r="F54" s="11" t="str">
        <f t="shared" si="17"/>
        <v>Jun</v>
      </c>
      <c r="G54" s="118">
        <f t="shared" si="25"/>
        <v>2097.0066958247453</v>
      </c>
      <c r="H54" s="102">
        <f t="shared" si="26"/>
        <v>1.0007115982170696</v>
      </c>
      <c r="J54" s="11" t="str">
        <f t="shared" si="18"/>
        <v>Jun</v>
      </c>
      <c r="K54" s="118">
        <f t="shared" si="27"/>
        <v>234.42699954783774</v>
      </c>
      <c r="L54" s="102">
        <f t="shared" si="28"/>
        <v>1.0007500754299818</v>
      </c>
      <c r="N54" s="11" t="str">
        <f t="shared" si="19"/>
        <v>Jun</v>
      </c>
      <c r="O54" s="118">
        <f t="shared" si="29"/>
        <v>2827.8127629029359</v>
      </c>
      <c r="P54" s="102">
        <f t="shared" si="30"/>
        <v>1.000315725850105</v>
      </c>
      <c r="R54" s="11" t="str">
        <f t="shared" si="20"/>
        <v>Jun</v>
      </c>
      <c r="S54" s="118">
        <f t="shared" si="31"/>
        <v>216.07614644467387</v>
      </c>
      <c r="T54" s="102">
        <f t="shared" si="32"/>
        <v>0.99880167441207957</v>
      </c>
      <c r="V54" s="11" t="str">
        <f t="shared" si="21"/>
        <v>Jun</v>
      </c>
      <c r="W54" s="118">
        <f t="shared" si="37"/>
        <v>122.81597448917711</v>
      </c>
      <c r="X54" s="102">
        <f t="shared" si="34"/>
        <v>0.99925006389435289</v>
      </c>
      <c r="Y54" s="102"/>
      <c r="Z54" s="11" t="str">
        <f t="shared" si="22"/>
        <v>Jun</v>
      </c>
      <c r="AA54" s="118">
        <f t="shared" si="35"/>
        <v>4</v>
      </c>
      <c r="AB54" s="102">
        <f t="shared" si="36"/>
        <v>1</v>
      </c>
      <c r="AD54" s="102"/>
    </row>
    <row r="55" spans="1:30" s="11" customFormat="1">
      <c r="A55" s="11">
        <f t="shared" si="15"/>
        <v>2025</v>
      </c>
      <c r="B55" s="11" t="str">
        <f t="shared" si="16"/>
        <v>Jul</v>
      </c>
      <c r="C55" s="118">
        <f t="shared" si="23"/>
        <v>29465.582837512098</v>
      </c>
      <c r="D55" s="102">
        <f t="shared" si="24"/>
        <v>1.000775281547603</v>
      </c>
      <c r="F55" s="11" t="str">
        <f t="shared" si="17"/>
        <v>Jul</v>
      </c>
      <c r="G55" s="118">
        <f t="shared" si="25"/>
        <v>2098.4989220506773</v>
      </c>
      <c r="H55" s="102">
        <f t="shared" si="26"/>
        <v>1.0007115982170696</v>
      </c>
      <c r="J55" s="11" t="str">
        <f t="shared" si="18"/>
        <v>Jul</v>
      </c>
      <c r="K55" s="118">
        <f t="shared" si="27"/>
        <v>234.60283748032293</v>
      </c>
      <c r="L55" s="102">
        <f t="shared" si="28"/>
        <v>1.0007500754299818</v>
      </c>
      <c r="N55" s="11" t="str">
        <f t="shared" si="19"/>
        <v>Jul</v>
      </c>
      <c r="O55" s="118">
        <f t="shared" si="29"/>
        <v>2828.7055764914412</v>
      </c>
      <c r="P55" s="102">
        <f t="shared" si="30"/>
        <v>1.000315725850105</v>
      </c>
      <c r="R55" s="11" t="str">
        <f t="shared" si="20"/>
        <v>Jul</v>
      </c>
      <c r="S55" s="118">
        <f t="shared" si="31"/>
        <v>215.81721686944996</v>
      </c>
      <c r="T55" s="102">
        <f t="shared" si="32"/>
        <v>0.99880167441207957</v>
      </c>
      <c r="V55" s="11" t="str">
        <f t="shared" si="21"/>
        <v>Jul</v>
      </c>
      <c r="W55" s="118">
        <f t="shared" si="37"/>
        <v>122.72387035555744</v>
      </c>
      <c r="X55" s="102">
        <f t="shared" si="34"/>
        <v>0.99925006389435289</v>
      </c>
      <c r="Y55" s="102"/>
      <c r="Z55" s="11" t="str">
        <f t="shared" si="22"/>
        <v>Jul</v>
      </c>
      <c r="AA55" s="118">
        <f t="shared" si="35"/>
        <v>4</v>
      </c>
      <c r="AB55" s="102">
        <f t="shared" si="36"/>
        <v>1</v>
      </c>
      <c r="AD55" s="102"/>
    </row>
    <row r="56" spans="1:30" s="11" customFormat="1">
      <c r="A56" s="11">
        <f t="shared" si="15"/>
        <v>2025</v>
      </c>
      <c r="B56" s="11" t="str">
        <f t="shared" si="16"/>
        <v>Aug</v>
      </c>
      <c r="C56" s="118">
        <f t="shared" si="23"/>
        <v>29488.426960175388</v>
      </c>
      <c r="D56" s="102">
        <f t="shared" si="24"/>
        <v>1.000775281547603</v>
      </c>
      <c r="F56" s="11" t="str">
        <f t="shared" si="17"/>
        <v>Aug</v>
      </c>
      <c r="G56" s="118">
        <f t="shared" si="25"/>
        <v>2099.9922101421307</v>
      </c>
      <c r="H56" s="102">
        <f t="shared" si="26"/>
        <v>1.0007115982170696</v>
      </c>
      <c r="J56" s="11" t="str">
        <f t="shared" si="18"/>
        <v>Aug</v>
      </c>
      <c r="K56" s="118">
        <f t="shared" si="27"/>
        <v>234.77880730452094</v>
      </c>
      <c r="L56" s="102">
        <f t="shared" si="28"/>
        <v>1.0007500754299818</v>
      </c>
      <c r="N56" s="11" t="str">
        <f t="shared" si="19"/>
        <v>Aug</v>
      </c>
      <c r="O56" s="118">
        <f t="shared" si="29"/>
        <v>2829.5986719642756</v>
      </c>
      <c r="P56" s="102">
        <f t="shared" si="30"/>
        <v>1.000315725850105</v>
      </c>
      <c r="R56" s="11" t="str">
        <f t="shared" si="20"/>
        <v>Aug</v>
      </c>
      <c r="S56" s="118">
        <f t="shared" si="31"/>
        <v>215.55859757616153</v>
      </c>
      <c r="T56" s="102">
        <f t="shared" si="32"/>
        <v>0.99880167441207957</v>
      </c>
      <c r="V56" s="11" t="str">
        <f t="shared" si="21"/>
        <v>Aug</v>
      </c>
      <c r="W56" s="118">
        <f t="shared" si="37"/>
        <v>122.63183529415305</v>
      </c>
      <c r="X56" s="102">
        <f t="shared" si="34"/>
        <v>0.99925006389435289</v>
      </c>
      <c r="Y56" s="102"/>
      <c r="Z56" s="11" t="str">
        <f t="shared" si="22"/>
        <v>Aug</v>
      </c>
      <c r="AA56" s="118">
        <f t="shared" si="35"/>
        <v>4</v>
      </c>
      <c r="AB56" s="102">
        <f t="shared" si="36"/>
        <v>1</v>
      </c>
      <c r="AD56" s="102"/>
    </row>
    <row r="57" spans="1:30" s="11" customFormat="1">
      <c r="A57" s="11">
        <f t="shared" si="15"/>
        <v>2025</v>
      </c>
      <c r="B57" s="11" t="str">
        <f t="shared" si="16"/>
        <v>Sep</v>
      </c>
      <c r="C57" s="118">
        <f t="shared" si="23"/>
        <v>29511.28879346545</v>
      </c>
      <c r="D57" s="102">
        <f t="shared" si="24"/>
        <v>1.000775281547603</v>
      </c>
      <c r="F57" s="11" t="str">
        <f t="shared" si="17"/>
        <v>Sep</v>
      </c>
      <c r="G57" s="118">
        <f t="shared" si="25"/>
        <v>2101.4865608547279</v>
      </c>
      <c r="H57" s="102">
        <f t="shared" si="26"/>
        <v>1.0007115982170696</v>
      </c>
      <c r="J57" s="11" t="str">
        <f t="shared" si="18"/>
        <v>Sep</v>
      </c>
      <c r="K57" s="118">
        <f t="shared" si="27"/>
        <v>234.95490911936051</v>
      </c>
      <c r="L57" s="102">
        <f t="shared" si="28"/>
        <v>1.0007500754299818</v>
      </c>
      <c r="N57" s="11" t="str">
        <f t="shared" si="19"/>
        <v>Sep</v>
      </c>
      <c r="O57" s="118">
        <f t="shared" si="29"/>
        <v>2830.4920494104376</v>
      </c>
      <c r="P57" s="102">
        <f t="shared" si="30"/>
        <v>1.000315725850105</v>
      </c>
      <c r="R57" s="11" t="str">
        <f t="shared" si="20"/>
        <v>Sep</v>
      </c>
      <c r="S57" s="118">
        <f t="shared" si="31"/>
        <v>215.30028819298977</v>
      </c>
      <c r="T57" s="102">
        <f t="shared" si="32"/>
        <v>0.99880167441207957</v>
      </c>
      <c r="V57" s="11" t="str">
        <f t="shared" si="21"/>
        <v>Sep</v>
      </c>
      <c r="W57" s="118">
        <f t="shared" si="37"/>
        <v>122.5398692531642</v>
      </c>
      <c r="X57" s="102">
        <f t="shared" si="34"/>
        <v>0.99925006389435289</v>
      </c>
      <c r="Y57" s="102"/>
      <c r="Z57" s="11" t="str">
        <f t="shared" si="22"/>
        <v>Sep</v>
      </c>
      <c r="AA57" s="118">
        <f t="shared" si="35"/>
        <v>4</v>
      </c>
      <c r="AB57" s="102">
        <f t="shared" si="36"/>
        <v>1</v>
      </c>
      <c r="AD57" s="102"/>
    </row>
    <row r="58" spans="1:30" s="11" customFormat="1">
      <c r="A58" s="11">
        <f t="shared" si="15"/>
        <v>2025</v>
      </c>
      <c r="B58" s="11" t="str">
        <f t="shared" si="16"/>
        <v>Oct</v>
      </c>
      <c r="C58" s="118">
        <f t="shared" si="23"/>
        <v>29534.168351113007</v>
      </c>
      <c r="D58" s="102">
        <f t="shared" si="24"/>
        <v>1.000775281547603</v>
      </c>
      <c r="F58" s="11" t="str">
        <f t="shared" si="17"/>
        <v>Oct</v>
      </c>
      <c r="G58" s="118">
        <f t="shared" si="25"/>
        <v>2102.9819749446278</v>
      </c>
      <c r="H58" s="102">
        <f t="shared" si="26"/>
        <v>1.0007115982170696</v>
      </c>
      <c r="J58" s="11" t="str">
        <f t="shared" si="18"/>
        <v>Oct</v>
      </c>
      <c r="K58" s="118">
        <f t="shared" si="27"/>
        <v>235.13114302384454</v>
      </c>
      <c r="L58" s="102">
        <f t="shared" si="28"/>
        <v>1.0007500754299818</v>
      </c>
      <c r="N58" s="11" t="str">
        <f t="shared" si="19"/>
        <v>Oct</v>
      </c>
      <c r="O58" s="118">
        <f t="shared" si="29"/>
        <v>2831.3857089189532</v>
      </c>
      <c r="P58" s="102">
        <f t="shared" si="30"/>
        <v>1.000315725850105</v>
      </c>
      <c r="R58" s="11" t="str">
        <f t="shared" si="20"/>
        <v>Oct</v>
      </c>
      <c r="S58" s="118">
        <f t="shared" si="31"/>
        <v>215.04228834856147</v>
      </c>
      <c r="T58" s="102">
        <f t="shared" si="32"/>
        <v>0.99880167441207957</v>
      </c>
      <c r="V58" s="11" t="str">
        <f t="shared" si="21"/>
        <v>Oct</v>
      </c>
      <c r="W58" s="118">
        <f t="shared" si="37"/>
        <v>122.44797218082998</v>
      </c>
      <c r="X58" s="102">
        <f t="shared" si="34"/>
        <v>0.99925006389435289</v>
      </c>
      <c r="Y58" s="102"/>
      <c r="Z58" s="11" t="str">
        <f t="shared" si="22"/>
        <v>Oct</v>
      </c>
      <c r="AA58" s="118">
        <f t="shared" si="35"/>
        <v>4</v>
      </c>
      <c r="AB58" s="102">
        <f t="shared" si="36"/>
        <v>1</v>
      </c>
      <c r="AD58" s="102"/>
    </row>
    <row r="59" spans="1:30" s="11" customFormat="1">
      <c r="A59" s="11">
        <f>A47+1</f>
        <v>2025</v>
      </c>
      <c r="B59" s="11" t="str">
        <f>B47</f>
        <v>Nov</v>
      </c>
      <c r="C59" s="118">
        <f t="shared" si="23"/>
        <v>29557.065646859424</v>
      </c>
      <c r="D59" s="102">
        <f t="shared" si="24"/>
        <v>1.000775281547603</v>
      </c>
      <c r="F59" s="11" t="str">
        <f t="shared" si="17"/>
        <v>Nov</v>
      </c>
      <c r="G59" s="118">
        <f t="shared" si="25"/>
        <v>2104.4784531685277</v>
      </c>
      <c r="H59" s="102">
        <f t="shared" si="26"/>
        <v>1.0007115982170696</v>
      </c>
      <c r="J59" s="11" t="str">
        <f t="shared" si="18"/>
        <v>Nov</v>
      </c>
      <c r="K59" s="118">
        <f t="shared" si="27"/>
        <v>235.30750911705027</v>
      </c>
      <c r="L59" s="102">
        <f t="shared" si="28"/>
        <v>1.0007500754299818</v>
      </c>
      <c r="N59" s="11" t="str">
        <f t="shared" si="19"/>
        <v>Nov</v>
      </c>
      <c r="O59" s="118">
        <f t="shared" si="29"/>
        <v>2832.279650578877</v>
      </c>
      <c r="P59" s="102">
        <f t="shared" si="30"/>
        <v>1.000315725850105</v>
      </c>
      <c r="R59" s="11" t="str">
        <f t="shared" si="20"/>
        <v>Nov</v>
      </c>
      <c r="S59" s="118">
        <f t="shared" si="31"/>
        <v>214.78459767194843</v>
      </c>
      <c r="T59" s="102">
        <f t="shared" si="32"/>
        <v>0.99880167441207957</v>
      </c>
      <c r="V59" s="11" t="str">
        <f t="shared" si="21"/>
        <v>Nov</v>
      </c>
      <c r="W59" s="118">
        <f t="shared" si="37"/>
        <v>122.35614402542831</v>
      </c>
      <c r="X59" s="102">
        <f t="shared" si="34"/>
        <v>0.99925006389435289</v>
      </c>
      <c r="Y59" s="102"/>
      <c r="Z59" s="11" t="str">
        <f t="shared" si="22"/>
        <v>Nov</v>
      </c>
      <c r="AA59" s="118">
        <f t="shared" si="35"/>
        <v>4</v>
      </c>
      <c r="AB59" s="102">
        <f t="shared" si="36"/>
        <v>1</v>
      </c>
      <c r="AD59" s="102"/>
    </row>
    <row r="60" spans="1:30" s="11" customFormat="1">
      <c r="A60" s="11">
        <f t="shared" si="15"/>
        <v>2025</v>
      </c>
      <c r="B60" s="11" t="str">
        <f t="shared" si="16"/>
        <v>Dec</v>
      </c>
      <c r="C60" s="118">
        <f t="shared" si="23"/>
        <v>29579.980694456724</v>
      </c>
      <c r="D60" s="102">
        <f t="shared" si="24"/>
        <v>1.000775281547603</v>
      </c>
      <c r="F60" s="11" t="str">
        <f t="shared" si="17"/>
        <v>Dec</v>
      </c>
      <c r="G60" s="118">
        <f t="shared" si="25"/>
        <v>2105.9759962836638</v>
      </c>
      <c r="H60" s="102">
        <f t="shared" si="26"/>
        <v>1.0007115982170696</v>
      </c>
      <c r="J60" s="11" t="str">
        <f t="shared" si="18"/>
        <v>Dec</v>
      </c>
      <c r="K60" s="118">
        <f t="shared" si="27"/>
        <v>235.48400749812919</v>
      </c>
      <c r="L60" s="102">
        <f t="shared" si="28"/>
        <v>1.0007500754299818</v>
      </c>
      <c r="N60" s="11" t="str">
        <f t="shared" si="19"/>
        <v>Dec</v>
      </c>
      <c r="O60" s="118">
        <f t="shared" si="29"/>
        <v>2833.173874479291</v>
      </c>
      <c r="P60" s="102">
        <f t="shared" si="30"/>
        <v>1.000315725850105</v>
      </c>
      <c r="R60" s="11" t="str">
        <f t="shared" si="20"/>
        <v>Dec</v>
      </c>
      <c r="S60" s="118">
        <f t="shared" si="31"/>
        <v>214.52721579266694</v>
      </c>
      <c r="T60" s="102">
        <f t="shared" si="32"/>
        <v>0.99880167441207957</v>
      </c>
      <c r="V60" s="11" t="str">
        <f t="shared" si="21"/>
        <v>Dec</v>
      </c>
      <c r="W60" s="118">
        <f t="shared" si="37"/>
        <v>122.26438473527588</v>
      </c>
      <c r="X60" s="102">
        <f t="shared" si="34"/>
        <v>0.99925006389435289</v>
      </c>
      <c r="Y60" s="102"/>
      <c r="Z60" s="11" t="str">
        <f t="shared" si="22"/>
        <v>Dec</v>
      </c>
      <c r="AA60" s="118">
        <f t="shared" si="35"/>
        <v>4</v>
      </c>
      <c r="AB60" s="102">
        <f t="shared" si="36"/>
        <v>1</v>
      </c>
      <c r="AD60" s="102"/>
    </row>
    <row r="61" spans="1:30">
      <c r="A61" s="11"/>
      <c r="B61" s="11"/>
      <c r="C61" s="63"/>
      <c r="D61" s="102"/>
      <c r="E61" s="11"/>
      <c r="F61" s="11"/>
      <c r="G61" s="63"/>
      <c r="H61" s="102"/>
      <c r="I61" s="11"/>
      <c r="J61" s="11"/>
      <c r="K61" s="63"/>
      <c r="L61" s="102"/>
      <c r="M61" s="11"/>
      <c r="N61" s="11"/>
      <c r="O61" s="63"/>
      <c r="P61" s="102"/>
      <c r="Q61" s="11"/>
      <c r="R61" s="11"/>
      <c r="S61" s="63"/>
      <c r="T61" s="102"/>
      <c r="U61" s="11"/>
      <c r="V61" s="11"/>
      <c r="W61" s="63"/>
      <c r="X61" s="102"/>
      <c r="Y61" s="102"/>
      <c r="Z61" s="11"/>
      <c r="AA61" s="63"/>
      <c r="AB61" s="102"/>
      <c r="AC61" s="11"/>
      <c r="AD61" s="102"/>
    </row>
    <row r="62" spans="1:30">
      <c r="C62" s="100"/>
      <c r="D62" s="102"/>
      <c r="G62" s="303"/>
      <c r="H62" s="395"/>
      <c r="K62" s="100"/>
      <c r="O62" s="100"/>
      <c r="S62" s="100"/>
      <c r="W62" s="100"/>
      <c r="AA62" s="100"/>
    </row>
    <row r="63" spans="1:30">
      <c r="C63" s="100"/>
      <c r="G63" s="100"/>
      <c r="K63" s="100"/>
      <c r="O63" s="100"/>
      <c r="S63" s="100"/>
      <c r="W63" s="100"/>
      <c r="AA63" s="100"/>
    </row>
    <row r="64" spans="1:30">
      <c r="C64" s="100"/>
      <c r="G64" s="100"/>
      <c r="K64" s="100"/>
      <c r="O64" s="100"/>
      <c r="S64" s="100"/>
      <c r="W64" s="100"/>
      <c r="AA64" s="100"/>
    </row>
    <row r="95" spans="7:7">
      <c r="G95" s="317"/>
    </row>
    <row r="96" spans="7:7">
      <c r="G96" s="320"/>
    </row>
    <row r="97" spans="7:10">
      <c r="G97" s="74"/>
    </row>
    <row r="100" spans="7:10">
      <c r="G100" s="7"/>
    </row>
    <row r="102" spans="7:10">
      <c r="G102" s="318"/>
    </row>
    <row r="103" spans="7:10">
      <c r="G103" s="74"/>
    </row>
    <row r="104" spans="7:10">
      <c r="J104" s="319"/>
    </row>
  </sheetData>
  <mergeCells count="14">
    <mergeCell ref="AB2:AB3"/>
    <mergeCell ref="N2:O2"/>
    <mergeCell ref="P2:P3"/>
    <mergeCell ref="R2:S2"/>
    <mergeCell ref="T2:T3"/>
    <mergeCell ref="V2:W2"/>
    <mergeCell ref="X2:X3"/>
    <mergeCell ref="Z2:AA2"/>
    <mergeCell ref="L2:L3"/>
    <mergeCell ref="B2:C2"/>
    <mergeCell ref="D2:D3"/>
    <mergeCell ref="F2:G2"/>
    <mergeCell ref="H2:H3"/>
    <mergeCell ref="J2:K2"/>
  </mergeCells>
  <phoneticPr fontId="29" type="noConversion"/>
  <pageMargins left="0.7" right="0.7" top="0.75" bottom="0.75" header="0.3" footer="0.3"/>
  <pageSetup orientation="portrait" r:id="rId1"/>
  <ignoredErrors>
    <ignoredError sqref="AB37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FBB0-4C81-4691-9244-2C3A51AD77BC}">
  <sheetPr codeName="Sheet27"/>
  <dimension ref="A2:AA39"/>
  <sheetViews>
    <sheetView topLeftCell="A13" workbookViewId="0">
      <selection activeCell="G28" sqref="G28:H29"/>
    </sheetView>
  </sheetViews>
  <sheetFormatPr defaultColWidth="7.85546875" defaultRowHeight="12.6"/>
  <cols>
    <col min="1" max="1" width="11.42578125" style="19" customWidth="1"/>
    <col min="2" max="2" width="5.85546875" style="19" customWidth="1"/>
    <col min="3" max="3" width="18.7109375" style="19" bestFit="1" customWidth="1"/>
    <col min="4" max="4" width="13.5703125" style="19" customWidth="1"/>
    <col min="5" max="5" width="12.5703125" style="19" customWidth="1"/>
    <col min="6" max="6" width="10.7109375" style="19" customWidth="1"/>
    <col min="7" max="7" width="15.28515625" style="19" bestFit="1" customWidth="1"/>
    <col min="8" max="8" width="10.7109375" style="19" customWidth="1"/>
    <col min="9" max="9" width="11.7109375" style="19" customWidth="1"/>
    <col min="10" max="10" width="5" style="19" bestFit="1" customWidth="1"/>
    <col min="11" max="11" width="13" style="19" bestFit="1" customWidth="1"/>
    <col min="12" max="12" width="12.5703125" style="19" bestFit="1" customWidth="1"/>
    <col min="13" max="13" width="10.28515625" style="19" bestFit="1" customWidth="1"/>
    <col min="14" max="14" width="10.28515625" style="19" customWidth="1"/>
    <col min="15" max="15" width="7.85546875" style="19"/>
    <col min="16" max="16" width="5" style="19" bestFit="1" customWidth="1"/>
    <col min="17" max="18" width="12.42578125" style="19" bestFit="1" customWidth="1"/>
    <col min="19" max="19" width="10.28515625" style="19" bestFit="1" customWidth="1"/>
    <col min="20" max="20" width="10.28515625" style="19" customWidth="1"/>
    <col min="21" max="21" width="8.5703125" style="19" bestFit="1" customWidth="1"/>
    <col min="22" max="22" width="9.5703125" style="19" customWidth="1"/>
    <col min="23" max="23" width="5" style="19" bestFit="1" customWidth="1"/>
    <col min="24" max="24" width="16" style="19" bestFit="1" customWidth="1"/>
    <col min="25" max="25" width="12.42578125" style="19" bestFit="1" customWidth="1"/>
    <col min="26" max="26" width="10.28515625" style="19" bestFit="1" customWidth="1"/>
    <col min="27" max="27" width="10.28515625" style="19" customWidth="1"/>
    <col min="28" max="16384" width="7.85546875" style="19"/>
  </cols>
  <sheetData>
    <row r="2" spans="1:27" s="44" customFormat="1" ht="12.75" customHeight="1">
      <c r="B2" s="551" t="s">
        <v>135</v>
      </c>
      <c r="C2" s="551"/>
      <c r="D2" s="551"/>
      <c r="E2" s="551"/>
      <c r="F2" s="551"/>
      <c r="G2" s="45"/>
      <c r="H2" s="45"/>
      <c r="J2" s="551" t="s">
        <v>138</v>
      </c>
      <c r="K2" s="551"/>
      <c r="L2" s="551"/>
      <c r="M2" s="551"/>
      <c r="N2" s="551"/>
      <c r="P2" s="551" t="s">
        <v>510</v>
      </c>
      <c r="Q2" s="551"/>
      <c r="R2" s="551"/>
      <c r="S2" s="551"/>
      <c r="T2" s="551"/>
      <c r="W2" s="551" t="s">
        <v>136</v>
      </c>
      <c r="X2" s="551"/>
      <c r="Y2" s="551"/>
      <c r="Z2" s="551"/>
      <c r="AA2" s="551"/>
    </row>
    <row r="3" spans="1:27" ht="37.5">
      <c r="B3" s="19" t="s">
        <v>1</v>
      </c>
      <c r="C3" s="34" t="s">
        <v>452</v>
      </c>
      <c r="D3" s="35" t="s">
        <v>453</v>
      </c>
      <c r="E3" s="34" t="s">
        <v>511</v>
      </c>
      <c r="F3" s="35" t="s">
        <v>512</v>
      </c>
      <c r="G3" s="35"/>
      <c r="H3" s="35"/>
      <c r="J3" s="19" t="s">
        <v>1</v>
      </c>
      <c r="K3" s="34" t="s">
        <v>452</v>
      </c>
      <c r="L3" s="35" t="s">
        <v>453</v>
      </c>
      <c r="M3" s="34" t="s">
        <v>511</v>
      </c>
      <c r="N3" s="35" t="s">
        <v>512</v>
      </c>
      <c r="P3" s="19" t="s">
        <v>1</v>
      </c>
      <c r="Q3" s="34" t="s">
        <v>452</v>
      </c>
      <c r="R3" s="35" t="s">
        <v>453</v>
      </c>
      <c r="S3" s="34" t="s">
        <v>511</v>
      </c>
      <c r="T3" s="35" t="s">
        <v>512</v>
      </c>
      <c r="W3" s="19" t="s">
        <v>1</v>
      </c>
      <c r="X3" s="34" t="s">
        <v>452</v>
      </c>
      <c r="Y3" s="35" t="s">
        <v>453</v>
      </c>
      <c r="Z3" s="34" t="s">
        <v>511</v>
      </c>
      <c r="AA3" s="35" t="s">
        <v>512</v>
      </c>
    </row>
    <row r="4" spans="1:27" s="45" customFormat="1" ht="12.95">
      <c r="C4" s="45" t="s">
        <v>370</v>
      </c>
      <c r="D4" s="45" t="s">
        <v>372</v>
      </c>
      <c r="E4" s="45" t="s">
        <v>513</v>
      </c>
      <c r="K4" s="45" t="s">
        <v>370</v>
      </c>
      <c r="L4" s="45" t="s">
        <v>372</v>
      </c>
      <c r="M4" s="45" t="s">
        <v>513</v>
      </c>
      <c r="Q4" s="45" t="s">
        <v>370</v>
      </c>
      <c r="R4" s="45" t="s">
        <v>372</v>
      </c>
      <c r="S4" s="45" t="s">
        <v>513</v>
      </c>
      <c r="X4" s="45" t="s">
        <v>370</v>
      </c>
      <c r="Y4" s="45" t="s">
        <v>372</v>
      </c>
      <c r="Z4" s="45" t="s">
        <v>513</v>
      </c>
    </row>
    <row r="5" spans="1:27">
      <c r="A5" s="19" t="s">
        <v>484</v>
      </c>
      <c r="B5" s="19">
        <v>2014</v>
      </c>
      <c r="C5" s="28">
        <f>'Normalized Annual Summary'!Y5</f>
        <v>167236927</v>
      </c>
      <c r="D5" s="28">
        <f>SUMIF('Monthly Data (longer 09-23)'!B:B,'kW Forecast'!B5,'Monthly Data (longer 09-23)'!N:N)</f>
        <v>400144</v>
      </c>
      <c r="E5" s="46">
        <f t="shared" ref="E5:E10" si="0">D5/C5</f>
        <v>2.3926773062506704E-3</v>
      </c>
      <c r="F5" s="46">
        <f>AVERAGE(E5:E5)</f>
        <v>2.3926773062506704E-3</v>
      </c>
      <c r="G5" s="46"/>
      <c r="H5" s="46"/>
      <c r="J5" s="19">
        <v>2014</v>
      </c>
      <c r="K5" s="28">
        <f>'Normalized Annual Summary'!AP5</f>
        <v>6286758</v>
      </c>
      <c r="L5" s="28">
        <f>SUMIF('Monthly Data (longer 09-23)'!B:B,'kW Forecast'!B5,'Monthly Data (longer 09-23)'!Q:Q)</f>
        <v>15873</v>
      </c>
      <c r="M5" s="46">
        <f t="shared" ref="M5:M10" si="1">L5/K5</f>
        <v>2.5248307633282526E-3</v>
      </c>
      <c r="N5" s="46">
        <f>AVERAGE(M5:M5)</f>
        <v>2.5248307633282526E-3</v>
      </c>
      <c r="P5" s="19">
        <v>2014</v>
      </c>
      <c r="Q5" s="28">
        <f>'Normalized Annual Summary'!AV5</f>
        <v>350518</v>
      </c>
      <c r="R5" s="28">
        <f>SUMIF('Monthly Data (longer 09-23)'!B:B,'kW Forecast'!B5,'Monthly Data (longer 09-23)'!T:T)</f>
        <v>876</v>
      </c>
      <c r="S5" s="46">
        <f t="shared" ref="S5:S10" si="2">R5/Q5</f>
        <v>2.4991583884422484E-3</v>
      </c>
      <c r="T5" s="46">
        <f>AVERAGE(S5:S5)</f>
        <v>2.4991583884422484E-3</v>
      </c>
      <c r="W5" s="19">
        <v>2014</v>
      </c>
      <c r="X5" s="28">
        <f>'Normalized Annual Summary'!AJ5</f>
        <v>38058829</v>
      </c>
      <c r="Y5" s="28">
        <f>SUMIF('Monthly Data (longer 09-23)'!B:B,'kW Forecast'!B5,'Monthly Data (longer 09-23)'!Y:Y)</f>
        <v>84453</v>
      </c>
      <c r="Z5" s="46">
        <f t="shared" ref="Z5:Z10" si="3">Y5/X5</f>
        <v>2.2190120457988866E-3</v>
      </c>
      <c r="AA5" s="46">
        <f>AVERAGE(Z5:Z5)</f>
        <v>2.2190120457988866E-3</v>
      </c>
    </row>
    <row r="6" spans="1:27">
      <c r="B6" s="19">
        <f t="shared" ref="B6:B12" si="4">B5+1</f>
        <v>2015</v>
      </c>
      <c r="C6" s="28">
        <f>'Normalized Annual Summary'!Y6</f>
        <v>171977957</v>
      </c>
      <c r="D6" s="28">
        <f>SUMIF('Monthly Data (longer 09-23)'!B:B,'kW Forecast'!B6,'Monthly Data (longer 09-23)'!N:N)</f>
        <v>463529</v>
      </c>
      <c r="E6" s="46">
        <f t="shared" si="0"/>
        <v>2.6952814656357386E-3</v>
      </c>
      <c r="F6" s="46">
        <f>AVERAGE(E5:E6)</f>
        <v>2.5439793859432045E-3</v>
      </c>
      <c r="G6" s="46"/>
      <c r="H6" s="46"/>
      <c r="J6" s="19">
        <f t="shared" ref="J6:J14" si="5">J5+1</f>
        <v>2015</v>
      </c>
      <c r="K6" s="28">
        <f>'Normalized Annual Summary'!AP6</f>
        <v>6227064</v>
      </c>
      <c r="L6" s="28">
        <f>SUMIF('Monthly Data (longer 09-23)'!B:B,'kW Forecast'!B6,'Monthly Data (longer 09-23)'!Q:Q)</f>
        <v>18022</v>
      </c>
      <c r="M6" s="46">
        <f t="shared" si="1"/>
        <v>2.8941408021500984E-3</v>
      </c>
      <c r="N6" s="46">
        <f>AVERAGE(M5:M6)</f>
        <v>2.7094857827391758E-3</v>
      </c>
      <c r="P6" s="19">
        <f t="shared" ref="P6:P14" si="6">P5+1</f>
        <v>2015</v>
      </c>
      <c r="Q6" s="28">
        <f>'Normalized Annual Summary'!AV6</f>
        <v>341134</v>
      </c>
      <c r="R6" s="28">
        <f>SUMIF('Monthly Data (longer 09-23)'!B:B,'kW Forecast'!B6,'Monthly Data (longer 09-23)'!T:T)</f>
        <v>878</v>
      </c>
      <c r="S6" s="46">
        <f t="shared" si="2"/>
        <v>2.5737686656856248E-3</v>
      </c>
      <c r="T6" s="46">
        <f>AVERAGE(S5:S6)</f>
        <v>2.5364635270639369E-3</v>
      </c>
      <c r="W6" s="19">
        <f t="shared" ref="W6:W12" si="7">W5+1</f>
        <v>2015</v>
      </c>
      <c r="X6" s="28">
        <f>'Normalized Annual Summary'!AJ6</f>
        <v>38655618</v>
      </c>
      <c r="Y6" s="28">
        <f>SUMIF('Monthly Data (longer 09-23)'!B:B,'kW Forecast'!B6,'Monthly Data (longer 09-23)'!Y:Y)</f>
        <v>106797</v>
      </c>
      <c r="Z6" s="46">
        <f t="shared" si="3"/>
        <v>2.7627808201126161E-3</v>
      </c>
      <c r="AA6" s="46">
        <f>AVERAGE(Z5:Z6)</f>
        <v>2.4908964329557514E-3</v>
      </c>
    </row>
    <row r="7" spans="1:27">
      <c r="B7" s="19">
        <f t="shared" si="4"/>
        <v>2016</v>
      </c>
      <c r="C7" s="28">
        <f>'Normalized Annual Summary'!Y7</f>
        <v>187031606</v>
      </c>
      <c r="D7" s="28">
        <f>SUMIF('Monthly Data (longer 09-23)'!B:B,'kW Forecast'!B7,'Monthly Data (longer 09-23)'!N:N)</f>
        <v>476120</v>
      </c>
      <c r="E7" s="46">
        <f t="shared" si="0"/>
        <v>2.5456659982912191E-3</v>
      </c>
      <c r="F7" s="46">
        <f t="shared" ref="F7:F14" si="8">AVERAGE(E5:E7)</f>
        <v>2.5445415900592094E-3</v>
      </c>
      <c r="G7" s="46"/>
      <c r="H7" s="46"/>
      <c r="J7" s="19">
        <f t="shared" si="5"/>
        <v>2016</v>
      </c>
      <c r="K7" s="28">
        <f>'Normalized Annual Summary'!AP7</f>
        <v>4268689</v>
      </c>
      <c r="L7" s="28">
        <f>SUMIF('Monthly Data (longer 09-23)'!B:B,'kW Forecast'!B7,'Monthly Data (longer 09-23)'!Q:Q)</f>
        <v>13492</v>
      </c>
      <c r="M7" s="46">
        <f t="shared" si="1"/>
        <v>3.1606893826184104E-3</v>
      </c>
      <c r="N7" s="46">
        <f t="shared" ref="N7:N13" si="9">AVERAGE(M5:M7)</f>
        <v>2.8598869826989208E-3</v>
      </c>
      <c r="P7" s="19">
        <f t="shared" si="6"/>
        <v>2016</v>
      </c>
      <c r="Q7" s="28">
        <f>'Normalized Annual Summary'!AV7</f>
        <v>335758</v>
      </c>
      <c r="R7" s="28">
        <f>SUMIF('Monthly Data (longer 09-23)'!B:B,'kW Forecast'!B7,'Monthly Data (longer 09-23)'!T:T)</f>
        <v>868</v>
      </c>
      <c r="S7" s="46">
        <f t="shared" si="2"/>
        <v>2.5851952894644357E-3</v>
      </c>
      <c r="T7" s="46">
        <f>AVERAGE(S5:S7)</f>
        <v>2.552707447864103E-3</v>
      </c>
      <c r="W7" s="19">
        <f t="shared" si="7"/>
        <v>2016</v>
      </c>
      <c r="X7" s="28">
        <f>'Normalized Annual Summary'!AJ7</f>
        <v>32586842</v>
      </c>
      <c r="Y7" s="28">
        <f>SUMIF('Monthly Data (longer 09-23)'!B:B,'kW Forecast'!B7,'Monthly Data (longer 09-23)'!Y:Y)</f>
        <v>87829</v>
      </c>
      <c r="Z7" s="46">
        <f t="shared" si="3"/>
        <v>2.6952289516118193E-3</v>
      </c>
      <c r="AA7" s="46">
        <f t="shared" ref="AA7:AA14" si="10">AVERAGE(Z5:Z7)</f>
        <v>2.559007272507774E-3</v>
      </c>
    </row>
    <row r="8" spans="1:27">
      <c r="B8" s="19">
        <f t="shared" si="4"/>
        <v>2017</v>
      </c>
      <c r="C8" s="28">
        <f>'Normalized Annual Summary'!Y8</f>
        <v>166511229</v>
      </c>
      <c r="D8" s="28">
        <f>SUMIF('Monthly Data (longer 09-23)'!B:B,'kW Forecast'!B8,'Monthly Data (longer 09-23)'!N:N)</f>
        <v>499500</v>
      </c>
      <c r="E8" s="46">
        <f t="shared" si="0"/>
        <v>2.9997976893197994E-3</v>
      </c>
      <c r="F8" s="46">
        <f t="shared" si="8"/>
        <v>2.7469150510822521E-3</v>
      </c>
      <c r="G8" s="46"/>
      <c r="H8" s="46"/>
      <c r="J8" s="19">
        <f t="shared" si="5"/>
        <v>2017</v>
      </c>
      <c r="K8" s="28">
        <f>'Normalized Annual Summary'!AP8</f>
        <v>2875901</v>
      </c>
      <c r="L8" s="28">
        <f>SUMIF('Monthly Data (longer 09-23)'!B:B,'kW Forecast'!B8,'Monthly Data (longer 09-23)'!Q:Q)</f>
        <v>8732</v>
      </c>
      <c r="M8" s="46">
        <f t="shared" si="1"/>
        <v>3.0362658519886465E-3</v>
      </c>
      <c r="N8" s="46">
        <f t="shared" si="9"/>
        <v>3.0303653455857182E-3</v>
      </c>
      <c r="P8" s="19">
        <f t="shared" si="6"/>
        <v>2017</v>
      </c>
      <c r="Q8" s="28">
        <f>'Normalized Annual Summary'!AV8</f>
        <v>304470</v>
      </c>
      <c r="R8" s="28">
        <f>SUMIF('Monthly Data (longer 09-23)'!B:B,'kW Forecast'!B8,'Monthly Data (longer 09-23)'!T:T)</f>
        <v>852</v>
      </c>
      <c r="S8" s="46">
        <f t="shared" si="2"/>
        <v>2.7983052517489408E-3</v>
      </c>
      <c r="T8" s="46">
        <f t="shared" ref="T8:T14" si="11">AVERAGE(S6:S8)</f>
        <v>2.6524230689663336E-3</v>
      </c>
      <c r="W8" s="19">
        <f t="shared" si="7"/>
        <v>2017</v>
      </c>
      <c r="X8" s="28">
        <f>'Normalized Annual Summary'!AJ8</f>
        <v>33420007</v>
      </c>
      <c r="Y8" s="28">
        <f>SUMIF('Monthly Data (longer 09-23)'!B:B,'kW Forecast'!B8,'Monthly Data (longer 09-23)'!Y:Y)</f>
        <v>87518</v>
      </c>
      <c r="Z8" s="46">
        <f t="shared" si="3"/>
        <v>2.6187307501162401E-3</v>
      </c>
      <c r="AA8" s="46">
        <f t="shared" si="10"/>
        <v>2.6922468406135585E-3</v>
      </c>
    </row>
    <row r="9" spans="1:27">
      <c r="B9" s="19">
        <f t="shared" si="4"/>
        <v>2018</v>
      </c>
      <c r="C9" s="28">
        <f>'Normalized Annual Summary'!Y9</f>
        <v>171089785</v>
      </c>
      <c r="D9" s="28">
        <f>SUMIF('Monthly Data (longer 09-23)'!B:B,'kW Forecast'!B9,'Monthly Data (longer 09-23)'!N:N)</f>
        <v>536823</v>
      </c>
      <c r="E9" s="46">
        <f t="shared" si="0"/>
        <v>3.1376683301109999E-3</v>
      </c>
      <c r="F9" s="46">
        <f t="shared" si="8"/>
        <v>2.8943773392406725E-3</v>
      </c>
      <c r="G9" s="46"/>
      <c r="H9" s="46"/>
      <c r="J9" s="19">
        <f t="shared" si="5"/>
        <v>2018</v>
      </c>
      <c r="K9" s="28">
        <f>'Normalized Annual Summary'!AP9</f>
        <v>2887551</v>
      </c>
      <c r="L9" s="28">
        <f>SUMIF('Monthly Data (longer 09-23)'!B:B,'kW Forecast'!B9,'Monthly Data (longer 09-23)'!Q:Q)</f>
        <v>8746</v>
      </c>
      <c r="M9" s="46">
        <f t="shared" si="1"/>
        <v>3.0288642520945952E-3</v>
      </c>
      <c r="N9" s="46">
        <f t="shared" si="9"/>
        <v>3.0752731622338838E-3</v>
      </c>
      <c r="P9" s="19">
        <f t="shared" si="6"/>
        <v>2018</v>
      </c>
      <c r="Q9" s="28">
        <f>'Normalized Annual Summary'!AV9</f>
        <v>293755</v>
      </c>
      <c r="R9" s="28">
        <f>SUMIF('Monthly Data (longer 09-23)'!B:B,'kW Forecast'!B9,'Monthly Data (longer 09-23)'!T:T)</f>
        <v>815</v>
      </c>
      <c r="S9" s="46">
        <f t="shared" si="2"/>
        <v>2.774420860921516E-3</v>
      </c>
      <c r="T9" s="46">
        <f t="shared" si="11"/>
        <v>2.7193071340449646E-3</v>
      </c>
      <c r="W9" s="19">
        <f t="shared" si="7"/>
        <v>2018</v>
      </c>
      <c r="X9" s="28">
        <f>'Normalized Annual Summary'!AJ9</f>
        <v>31923241</v>
      </c>
      <c r="Y9" s="28">
        <f>SUMIF('Monthly Data (longer 09-23)'!B:B,'kW Forecast'!B9,'Monthly Data (longer 09-23)'!Y:Y)</f>
        <v>96861</v>
      </c>
      <c r="Z9" s="46">
        <f t="shared" si="3"/>
        <v>3.0341844050232871E-3</v>
      </c>
      <c r="AA9" s="46">
        <f t="shared" si="10"/>
        <v>2.7827147022504487E-3</v>
      </c>
    </row>
    <row r="10" spans="1:27">
      <c r="B10" s="19">
        <f t="shared" si="4"/>
        <v>2019</v>
      </c>
      <c r="C10" s="28">
        <f>'Normalized Annual Summary'!Y10</f>
        <v>180918659</v>
      </c>
      <c r="D10" s="28">
        <f>SUMIF('Monthly Data (longer 09-23)'!B:B,'kW Forecast'!B10,'Monthly Data (longer 09-23)'!N:N)</f>
        <v>592797</v>
      </c>
      <c r="E10" s="46">
        <f t="shared" si="0"/>
        <v>3.2765940410822967E-3</v>
      </c>
      <c r="F10" s="46">
        <f t="shared" si="8"/>
        <v>3.138020020171032E-3</v>
      </c>
      <c r="G10" s="46"/>
      <c r="H10" s="46"/>
      <c r="J10" s="19">
        <f t="shared" si="5"/>
        <v>2019</v>
      </c>
      <c r="K10" s="28">
        <f>'Normalized Annual Summary'!AP10</f>
        <v>2576355</v>
      </c>
      <c r="L10" s="28">
        <f>SUMIF('Monthly Data (longer 09-23)'!B:B,'kW Forecast'!B10,'Monthly Data (longer 09-23)'!Q:Q)</f>
        <v>7846</v>
      </c>
      <c r="M10" s="46">
        <f t="shared" si="1"/>
        <v>3.0453877668256122E-3</v>
      </c>
      <c r="N10" s="46">
        <f t="shared" si="9"/>
        <v>3.0368392903029513E-3</v>
      </c>
      <c r="P10" s="19">
        <f t="shared" si="6"/>
        <v>2019</v>
      </c>
      <c r="Q10" s="28">
        <f>'Normalized Annual Summary'!AV10</f>
        <v>285985</v>
      </c>
      <c r="R10" s="28">
        <f>SUMIF('Monthly Data (longer 09-23)'!B:B,'kW Forecast'!B10,'Monthly Data (longer 09-23)'!T:T)</f>
        <v>781</v>
      </c>
      <c r="S10" s="46">
        <f t="shared" si="2"/>
        <v>2.7309124604437294E-3</v>
      </c>
      <c r="T10" s="46">
        <f t="shared" si="11"/>
        <v>2.7678795243713957E-3</v>
      </c>
      <c r="W10" s="19">
        <f t="shared" si="7"/>
        <v>2019</v>
      </c>
      <c r="X10" s="28">
        <f>'Normalized Annual Summary'!AJ10</f>
        <v>34526385</v>
      </c>
      <c r="Y10" s="28">
        <f>SUMIF('Monthly Data (longer 09-23)'!B:B,'kW Forecast'!B10,'Monthly Data (longer 09-23)'!Y:Y)</f>
        <v>94142</v>
      </c>
      <c r="Z10" s="46">
        <f t="shared" si="3"/>
        <v>2.726668314681656E-3</v>
      </c>
      <c r="AA10" s="46">
        <f t="shared" si="10"/>
        <v>2.7931944899403944E-3</v>
      </c>
    </row>
    <row r="11" spans="1:27">
      <c r="B11" s="19">
        <f>B10+1</f>
        <v>2020</v>
      </c>
      <c r="C11" s="28">
        <f>'Normalized Annual Summary'!Y11</f>
        <v>171481742</v>
      </c>
      <c r="D11" s="28">
        <f>SUMIF('Monthly Data (longer 09-23)'!B:B,'kW Forecast'!B11,'Monthly Data (longer 09-23)'!N:N)</f>
        <v>580474</v>
      </c>
      <c r="E11" s="46">
        <f>D11/C11</f>
        <v>3.3850484210733059E-3</v>
      </c>
      <c r="F11" s="46">
        <f t="shared" si="8"/>
        <v>3.2664369307555344E-3</v>
      </c>
      <c r="G11" s="46"/>
      <c r="H11" s="46"/>
      <c r="J11" s="19">
        <f>J10+1</f>
        <v>2020</v>
      </c>
      <c r="K11" s="28">
        <f>'Normalized Annual Summary'!AP11</f>
        <v>2455697</v>
      </c>
      <c r="L11" s="28">
        <f>SUMIF('Monthly Data (longer 09-23)'!B:B,'kW Forecast'!B11,'Monthly Data (longer 09-23)'!Q:Q)</f>
        <v>7413</v>
      </c>
      <c r="M11" s="46">
        <f>L11/K11</f>
        <v>3.0186948959908329E-3</v>
      </c>
      <c r="N11" s="46">
        <f t="shared" si="9"/>
        <v>3.0309823049703469E-3</v>
      </c>
      <c r="P11" s="19">
        <f>P10+1</f>
        <v>2020</v>
      </c>
      <c r="Q11" s="28">
        <f>'Normalized Annual Summary'!AV11</f>
        <v>281018</v>
      </c>
      <c r="R11" s="28">
        <f>SUMIF('Monthly Data (longer 09-23)'!B:B,'kW Forecast'!B11,'Monthly Data (longer 09-23)'!T:T)</f>
        <v>767</v>
      </c>
      <c r="S11" s="46">
        <f>R11/Q11</f>
        <v>2.7293625319374558E-3</v>
      </c>
      <c r="T11" s="46">
        <f t="shared" si="11"/>
        <v>2.7448986177675671E-3</v>
      </c>
      <c r="W11" s="19">
        <f>W10+1</f>
        <v>2020</v>
      </c>
      <c r="X11" s="28">
        <f>'Normalized Annual Summary'!AJ11</f>
        <v>29188687</v>
      </c>
      <c r="Y11" s="28">
        <f>SUMIF('Monthly Data (longer 09-23)'!B:B,'kW Forecast'!B11,'Monthly Data (longer 09-23)'!Y:Y)</f>
        <v>92507</v>
      </c>
      <c r="Z11" s="46">
        <f>Y11/X11</f>
        <v>3.1692758225130169E-3</v>
      </c>
      <c r="AA11" s="46">
        <f t="shared" si="10"/>
        <v>2.9767095140726535E-3</v>
      </c>
    </row>
    <row r="12" spans="1:27">
      <c r="B12" s="19">
        <f t="shared" si="4"/>
        <v>2021</v>
      </c>
      <c r="C12" s="28">
        <f>'Normalized Annual Summary'!Y12</f>
        <v>178461520</v>
      </c>
      <c r="D12" s="28">
        <f>SUMIF('Monthly Data (longer 09-23)'!B:B,'kW Forecast'!B12,'Monthly Data (longer 09-23)'!N:N)</f>
        <v>574683</v>
      </c>
      <c r="E12" s="46">
        <f>D12/C12</f>
        <v>3.2202067986420828E-3</v>
      </c>
      <c r="F12" s="46">
        <f t="shared" si="8"/>
        <v>3.2939497535992286E-3</v>
      </c>
      <c r="G12" s="46"/>
      <c r="H12" s="46"/>
      <c r="J12" s="19">
        <f t="shared" si="5"/>
        <v>2021</v>
      </c>
      <c r="K12" s="28">
        <f>'Normalized Annual Summary'!AP12</f>
        <v>2444025</v>
      </c>
      <c r="L12" s="28">
        <f>SUMIF('Monthly Data (longer 09-23)'!B:B,'kW Forecast'!B12,'Monthly Data (longer 09-23)'!Q:Q)</f>
        <v>7398</v>
      </c>
      <c r="M12" s="46">
        <f>L12/K12</f>
        <v>3.0269739466658482E-3</v>
      </c>
      <c r="N12" s="46">
        <f t="shared" si="9"/>
        <v>3.0303522031607643E-3</v>
      </c>
      <c r="P12" s="19">
        <f t="shared" si="6"/>
        <v>2021</v>
      </c>
      <c r="Q12" s="28">
        <f>'Normalized Annual Summary'!AV12</f>
        <v>278297</v>
      </c>
      <c r="R12" s="28">
        <f>SUMIF('Monthly Data (longer 09-23)'!B:B,'kW Forecast'!B12,'Monthly Data (longer 09-23)'!T:T)</f>
        <v>759</v>
      </c>
      <c r="S12" s="46">
        <f>R12/Q12</f>
        <v>2.7273021268644651E-3</v>
      </c>
      <c r="T12" s="46">
        <f t="shared" si="11"/>
        <v>2.7291923730818832E-3</v>
      </c>
      <c r="W12" s="19">
        <f t="shared" si="7"/>
        <v>2021</v>
      </c>
      <c r="X12" s="28">
        <f>'Normalized Annual Summary'!AJ12</f>
        <v>28075683</v>
      </c>
      <c r="Y12" s="28">
        <f>SUMIF('Monthly Data (longer 09-23)'!B:B,'kW Forecast'!B12,'Monthly Data (longer 09-23)'!Y:Y)</f>
        <v>89242</v>
      </c>
      <c r="Z12" s="46">
        <f>Y12/X12</f>
        <v>3.1786225823963038E-3</v>
      </c>
      <c r="AA12" s="46">
        <f t="shared" si="10"/>
        <v>3.0248555731969919E-3</v>
      </c>
    </row>
    <row r="13" spans="1:27">
      <c r="B13" s="19">
        <f>B12+1</f>
        <v>2022</v>
      </c>
      <c r="C13" s="28">
        <f>'Normalized Annual Summary'!Y13</f>
        <v>183800048</v>
      </c>
      <c r="D13" s="28">
        <f>SUMIF('Monthly Data (longer 09-23)'!B:B,'kW Forecast'!B13,'Monthly Data (longer 09-23)'!N:N)</f>
        <v>592472</v>
      </c>
      <c r="E13" s="46">
        <f>D13/C13</f>
        <v>3.2234594410987315E-3</v>
      </c>
      <c r="F13" s="46">
        <f t="shared" si="8"/>
        <v>3.2762382202713735E-3</v>
      </c>
      <c r="G13" s="46"/>
      <c r="H13" s="46"/>
      <c r="J13" s="19">
        <f>J12+1</f>
        <v>2022</v>
      </c>
      <c r="K13" s="28">
        <f>'Normalized Annual Summary'!AP13</f>
        <v>2406027</v>
      </c>
      <c r="L13" s="28">
        <f>SUMIF('Monthly Data (longer 09-23)'!B:B,'kW Forecast'!B13,'Monthly Data (longer 09-23)'!Q:Q)</f>
        <v>7289</v>
      </c>
      <c r="M13" s="46">
        <f>L13/K13</f>
        <v>3.0294755628261861E-3</v>
      </c>
      <c r="N13" s="46">
        <f t="shared" si="9"/>
        <v>3.0250481351609556E-3</v>
      </c>
      <c r="P13" s="19">
        <f>P12+1</f>
        <v>2022</v>
      </c>
      <c r="Q13" s="28">
        <f>'Normalized Annual Summary'!AV13</f>
        <v>271670</v>
      </c>
      <c r="R13" s="28">
        <f>SUMIF('Monthly Data (longer 09-23)'!B:B,'kW Forecast'!B13,'Monthly Data (longer 09-23)'!T:T)</f>
        <v>744</v>
      </c>
      <c r="S13" s="46">
        <f>R13/Q13</f>
        <v>2.7386167040895203E-3</v>
      </c>
      <c r="T13" s="46">
        <f t="shared" si="11"/>
        <v>2.731760454297147E-3</v>
      </c>
      <c r="W13" s="19">
        <f>W12+1</f>
        <v>2022</v>
      </c>
      <c r="X13" s="28">
        <f>'Normalized Annual Summary'!AJ13</f>
        <v>28792570</v>
      </c>
      <c r="Y13" s="28">
        <f>SUMIF('Monthly Data (longer 09-23)'!B:B,'kW Forecast'!B13,'Monthly Data (longer 09-23)'!Y:Y)</f>
        <v>83614</v>
      </c>
      <c r="Z13" s="46">
        <f>Y13/X13</f>
        <v>2.9040130839310279E-3</v>
      </c>
      <c r="AA13" s="46">
        <f t="shared" si="10"/>
        <v>3.0839704962801161E-3</v>
      </c>
    </row>
    <row r="14" spans="1:27">
      <c r="B14" s="19">
        <f>B13+1</f>
        <v>2023</v>
      </c>
      <c r="C14" s="28">
        <f>'Normalized Annual Summary'!Y14</f>
        <v>183420702.72663307</v>
      </c>
      <c r="D14" s="28">
        <f>SUMIF('Monthly Data (longer 09-23)'!B:B,'kW Forecast'!B14,'Monthly Data (longer 09-23)'!N:N)</f>
        <v>566314.55000000005</v>
      </c>
      <c r="E14" s="46">
        <f>D14/C14</f>
        <v>3.0875170664023959E-3</v>
      </c>
      <c r="F14" s="46">
        <f t="shared" si="8"/>
        <v>3.1770611020477367E-3</v>
      </c>
      <c r="G14" s="46"/>
      <c r="H14" s="46"/>
      <c r="J14" s="19">
        <f t="shared" si="5"/>
        <v>2023</v>
      </c>
      <c r="K14" s="28">
        <f>'Normalized Annual Summary'!AP14</f>
        <v>2415232.6883003376</v>
      </c>
      <c r="L14" s="28">
        <f>SUMIF('Monthly Data (longer 09-23)'!B:B,'kW Forecast'!B14,'Monthly Data (longer 09-23)'!Q:Q)</f>
        <v>7310.3</v>
      </c>
      <c r="M14" s="46">
        <f>L14/K14</f>
        <v>3.0267477065095741E-3</v>
      </c>
      <c r="N14" s="46">
        <f>AVERAGE(M12:M14)</f>
        <v>3.0277324053338693E-3</v>
      </c>
      <c r="P14" s="19">
        <f t="shared" si="6"/>
        <v>2023</v>
      </c>
      <c r="Q14" s="28">
        <f>'Normalized Annual Summary'!AV14</f>
        <v>269986.47996137134</v>
      </c>
      <c r="R14" s="28">
        <f>SUMIF('Monthly Data (longer 09-23)'!B:B,'kW Forecast'!B14,'Monthly Data (longer 09-23)'!T:T)</f>
        <v>736.37999999999988</v>
      </c>
      <c r="S14" s="46">
        <f>R14/Q14</f>
        <v>2.7274699092538204E-3</v>
      </c>
      <c r="T14" s="46">
        <f t="shared" si="11"/>
        <v>2.7311295800692688E-3</v>
      </c>
      <c r="W14" s="19">
        <f>W13+1</f>
        <v>2023</v>
      </c>
      <c r="X14" s="28">
        <f>'Normalized Annual Summary'!AJ14</f>
        <v>34284228</v>
      </c>
      <c r="Y14" s="28">
        <f>SUMIF('Monthly Data (longer 09-23)'!B:B,'kW Forecast'!B14,'Monthly Data (longer 09-23)'!Y:Y)</f>
        <v>90976</v>
      </c>
      <c r="Z14" s="46">
        <f>Y14/X14</f>
        <v>2.6535816994333371E-3</v>
      </c>
      <c r="AA14" s="46">
        <f t="shared" si="10"/>
        <v>2.9120724552535566E-3</v>
      </c>
    </row>
    <row r="15" spans="1:27" ht="14.45">
      <c r="C15" s="28"/>
      <c r="D15" s="49"/>
      <c r="E15" s="46"/>
      <c r="L15" s="47"/>
      <c r="R15" s="47"/>
      <c r="X15" s="28"/>
      <c r="Y15" s="28"/>
      <c r="Z15" s="46"/>
    </row>
    <row r="16" spans="1:27" ht="14.45">
      <c r="C16" s="19" t="s">
        <v>514</v>
      </c>
      <c r="D16" s="47" t="s">
        <v>515</v>
      </c>
      <c r="F16"/>
      <c r="G16" t="s">
        <v>516</v>
      </c>
      <c r="H16" t="s">
        <v>140</v>
      </c>
      <c r="K16" s="19" t="s">
        <v>514</v>
      </c>
      <c r="L16" s="47" t="s">
        <v>515</v>
      </c>
      <c r="Q16" s="19" t="s">
        <v>514</v>
      </c>
      <c r="R16" s="47" t="s">
        <v>515</v>
      </c>
      <c r="U16" s="19" t="s">
        <v>505</v>
      </c>
      <c r="V16"/>
      <c r="X16" s="19" t="s">
        <v>514</v>
      </c>
      <c r="Y16" s="47" t="s">
        <v>515</v>
      </c>
      <c r="AA16"/>
    </row>
    <row r="17" spans="1:27" ht="14.45">
      <c r="C17" s="45" t="s">
        <v>375</v>
      </c>
      <c r="D17" s="76" t="s">
        <v>517</v>
      </c>
      <c r="E17" s="48" t="s">
        <v>379</v>
      </c>
      <c r="F17" s="78" t="s">
        <v>497</v>
      </c>
      <c r="G17" s="78" t="s">
        <v>518</v>
      </c>
      <c r="H17" s="78" t="s">
        <v>519</v>
      </c>
      <c r="J17" s="45"/>
      <c r="K17" s="45" t="s">
        <v>375</v>
      </c>
      <c r="L17" s="76" t="s">
        <v>517</v>
      </c>
      <c r="M17" s="48" t="s">
        <v>379</v>
      </c>
      <c r="N17" s="78" t="s">
        <v>497</v>
      </c>
      <c r="O17" s="45"/>
      <c r="P17" s="45"/>
      <c r="Q17" s="45" t="s">
        <v>375</v>
      </c>
      <c r="R17" s="76" t="s">
        <v>520</v>
      </c>
      <c r="S17" s="48" t="s">
        <v>379</v>
      </c>
      <c r="T17" s="78" t="s">
        <v>497</v>
      </c>
      <c r="U17" s="45" t="s">
        <v>518</v>
      </c>
      <c r="V17"/>
      <c r="W17" s="45"/>
      <c r="X17" s="45" t="s">
        <v>375</v>
      </c>
      <c r="Y17" s="76" t="s">
        <v>517</v>
      </c>
      <c r="Z17" s="48" t="s">
        <v>379</v>
      </c>
      <c r="AA17" s="78" t="s">
        <v>497</v>
      </c>
    </row>
    <row r="18" spans="1:27" ht="12.95">
      <c r="B18" s="19">
        <v>2014</v>
      </c>
      <c r="C18" s="28">
        <f ca="1">'Normalized Annual Summary'!AE5</f>
        <v>171947504.25992486</v>
      </c>
      <c r="D18" s="49">
        <f t="shared" ref="D18:D23" ca="1" si="12">C18*E18</f>
        <v>556863.19555495633</v>
      </c>
      <c r="E18" s="110">
        <f t="shared" ref="E18:E24" si="13">E19</f>
        <v>3.238565153659763E-3</v>
      </c>
      <c r="F18" s="111" cm="1">
        <f t="array" ref="F18">TREND(F$5:F$14,B$5:B$14,B18)</f>
        <v>2.4437510752114977E-3</v>
      </c>
      <c r="G18" s="111"/>
      <c r="H18" s="111"/>
      <c r="K18" s="28"/>
      <c r="L18" s="49"/>
      <c r="M18" s="110"/>
      <c r="N18" s="111"/>
      <c r="Q18" s="28"/>
      <c r="R18" s="49"/>
      <c r="S18" s="111"/>
      <c r="T18" s="111"/>
      <c r="U18" s="110"/>
      <c r="W18" s="19">
        <v>2014</v>
      </c>
      <c r="X18" s="28">
        <f>'Normalized Annual Summary'!AM5</f>
        <v>0</v>
      </c>
      <c r="Y18" s="49">
        <f t="shared" ref="Y18:Y23" si="14">X18*Z18</f>
        <v>0</v>
      </c>
      <c r="Z18" s="110">
        <f t="shared" ref="Z18:Z24" si="15">Z19</f>
        <v>2.6535816994333371E-3</v>
      </c>
      <c r="AA18" s="111" cm="1">
        <f t="array" ref="AA18">TREND(AA$5:AA$14,W$5:W$14,W18)</f>
        <v>2.3830451248358642E-3</v>
      </c>
    </row>
    <row r="19" spans="1:27" ht="12.95">
      <c r="B19" s="19">
        <v>2015</v>
      </c>
      <c r="C19" s="28">
        <f ca="1">'Normalized Annual Summary'!AE6</f>
        <v>171003333.30842364</v>
      </c>
      <c r="D19" s="49">
        <f t="shared" ca="1" si="12"/>
        <v>553805.43641232664</v>
      </c>
      <c r="E19" s="110">
        <f t="shared" si="13"/>
        <v>3.238565153659763E-3</v>
      </c>
      <c r="F19" s="111" cm="1">
        <f t="array" ref="F19">TREND(F$5:F$14,B$5:B$14,B19)</f>
        <v>2.5512329851516413E-3</v>
      </c>
      <c r="G19" s="111"/>
      <c r="H19" s="111"/>
      <c r="K19" s="28"/>
      <c r="L19" s="49"/>
      <c r="M19" s="110"/>
      <c r="N19" s="111"/>
      <c r="Q19" s="28"/>
      <c r="R19" s="49"/>
      <c r="S19" s="111"/>
      <c r="T19" s="111"/>
      <c r="U19" s="110"/>
      <c r="W19" s="19">
        <v>2015</v>
      </c>
      <c r="X19" s="28">
        <f>'Normalized Annual Summary'!AM6</f>
        <v>0</v>
      </c>
      <c r="Y19" s="49">
        <f t="shared" si="14"/>
        <v>0</v>
      </c>
      <c r="Z19" s="110">
        <f t="shared" si="15"/>
        <v>2.6535816994333371E-3</v>
      </c>
      <c r="AA19" s="111" cm="1">
        <f t="array" ref="AA19">TREND(AA$5:AA$14,W$5:W$14,W19)</f>
        <v>2.4653613153805543E-3</v>
      </c>
    </row>
    <row r="20" spans="1:27" ht="12.95">
      <c r="B20" s="19">
        <v>2016</v>
      </c>
      <c r="C20" s="28">
        <f ca="1">'Normalized Annual Summary'!AE7</f>
        <v>169796694.98560569</v>
      </c>
      <c r="D20" s="49">
        <f t="shared" ca="1" si="12"/>
        <v>549897.65958697803</v>
      </c>
      <c r="E20" s="110">
        <f t="shared" si="13"/>
        <v>3.238565153659763E-3</v>
      </c>
      <c r="F20" s="111" cm="1">
        <f t="array" ref="F20">TREND(F$5:F$14,B$5:B$14,B20)</f>
        <v>2.6587148950917572E-3</v>
      </c>
      <c r="G20" s="111"/>
      <c r="H20" s="111"/>
      <c r="K20" s="28"/>
      <c r="L20" s="49"/>
      <c r="M20" s="110"/>
      <c r="N20" s="111"/>
      <c r="Q20" s="28"/>
      <c r="R20" s="49"/>
      <c r="S20" s="111"/>
      <c r="T20" s="111"/>
      <c r="U20" s="110"/>
      <c r="W20" s="19">
        <v>2016</v>
      </c>
      <c r="X20" s="28">
        <f ca="1">'Normalized Annual Summary'!AM7</f>
        <v>31170375.78137815</v>
      </c>
      <c r="Y20" s="49">
        <f t="shared" ca="1" si="14"/>
        <v>82713.138737925168</v>
      </c>
      <c r="Z20" s="110">
        <f t="shared" si="15"/>
        <v>2.6535816994333371E-3</v>
      </c>
      <c r="AA20" s="111" cm="1">
        <f t="array" ref="AA20">TREND(AA$5:AA$14,W$5:W$14,W20)</f>
        <v>2.5476775059252721E-3</v>
      </c>
    </row>
    <row r="21" spans="1:27" ht="12.95">
      <c r="B21" s="19">
        <v>2017</v>
      </c>
      <c r="C21" s="28">
        <f ca="1">'Normalized Annual Summary'!AE8</f>
        <v>172706030.38526967</v>
      </c>
      <c r="D21" s="49">
        <f t="shared" ca="1" si="12"/>
        <v>559319.73183263862</v>
      </c>
      <c r="E21" s="110">
        <f t="shared" si="13"/>
        <v>3.238565153659763E-3</v>
      </c>
      <c r="F21" s="111" cm="1">
        <f t="array" ref="F21">TREND(F$5:F$14,B$5:B$14,B21)</f>
        <v>2.7661968050319008E-3</v>
      </c>
      <c r="G21" s="111"/>
      <c r="H21" s="111"/>
      <c r="K21" s="28"/>
      <c r="L21" s="49"/>
      <c r="M21" s="110"/>
      <c r="N21" s="111"/>
      <c r="Q21" s="28"/>
      <c r="R21" s="49"/>
      <c r="S21" s="111"/>
      <c r="T21" s="111"/>
      <c r="U21" s="110"/>
      <c r="W21" s="19">
        <v>2017</v>
      </c>
      <c r="X21" s="28">
        <f ca="1">'Normalized Annual Summary'!AM8</f>
        <v>31026546.169323888</v>
      </c>
      <c r="Y21" s="49">
        <f ca="1">X21*Z21</f>
        <v>82331.475111541382</v>
      </c>
      <c r="Z21" s="110">
        <f t="shared" si="15"/>
        <v>2.6535816994333371E-3</v>
      </c>
      <c r="AA21" s="111" cm="1">
        <f t="array" ref="AA21">TREND(AA$5:AA$14,W$5:W$14,W21)</f>
        <v>2.6299936964699622E-3</v>
      </c>
    </row>
    <row r="22" spans="1:27" ht="12.95">
      <c r="B22" s="19">
        <v>2018</v>
      </c>
      <c r="C22" s="28">
        <f ca="1">'Normalized Annual Summary'!AE9</f>
        <v>176378495.05313617</v>
      </c>
      <c r="D22" s="49">
        <f t="shared" ca="1" si="12"/>
        <v>571213.2479340377</v>
      </c>
      <c r="E22" s="110">
        <f t="shared" si="13"/>
        <v>3.238565153659763E-3</v>
      </c>
      <c r="F22" s="111" cm="1">
        <f t="array" ref="F22">TREND(F$5:F$14,B$5:B$14,B22)</f>
        <v>2.8736787149720167E-3</v>
      </c>
      <c r="G22" s="111"/>
      <c r="H22" s="111"/>
      <c r="K22" s="28"/>
      <c r="L22" s="49"/>
      <c r="M22" s="110"/>
      <c r="N22" s="111"/>
      <c r="Q22" s="28"/>
      <c r="R22" s="49"/>
      <c r="S22" s="111"/>
      <c r="T22" s="111"/>
      <c r="U22" s="110"/>
      <c r="W22" s="19">
        <v>2018</v>
      </c>
      <c r="X22" s="28">
        <f ca="1">'Normalized Annual Summary'!AM9</f>
        <v>31403887.386830956</v>
      </c>
      <c r="Y22" s="49">
        <f t="shared" ca="1" si="14"/>
        <v>83332.780860760031</v>
      </c>
      <c r="Z22" s="110">
        <f t="shared" si="15"/>
        <v>2.6535816994333371E-3</v>
      </c>
      <c r="AA22" s="111" cm="1">
        <f t="array" ref="AA22">TREND(AA$5:AA$14,W$5:W$14,W22)</f>
        <v>2.71230988701468E-3</v>
      </c>
    </row>
    <row r="23" spans="1:27" ht="12.95">
      <c r="B23" s="19">
        <v>2019</v>
      </c>
      <c r="C23" s="28">
        <f ca="1">'Normalized Annual Summary'!AE10</f>
        <v>179806102.04101732</v>
      </c>
      <c r="D23" s="49">
        <f t="shared" ca="1" si="12"/>
        <v>582313.77648543031</v>
      </c>
      <c r="E23" s="110">
        <f t="shared" si="13"/>
        <v>3.238565153659763E-3</v>
      </c>
      <c r="F23" s="111" cm="1">
        <f t="array" ref="F23">TREND(F$5:F$14,B$5:B$14,B23)</f>
        <v>2.9811606249121603E-3</v>
      </c>
      <c r="G23" s="111"/>
      <c r="H23" s="111"/>
      <c r="K23" s="28"/>
      <c r="L23" s="49"/>
      <c r="M23" s="110"/>
      <c r="N23" s="111"/>
      <c r="Q23" s="28"/>
      <c r="R23" s="49"/>
      <c r="S23" s="111"/>
      <c r="T23" s="111"/>
      <c r="U23" s="110"/>
      <c r="W23" s="19">
        <v>2019</v>
      </c>
      <c r="X23" s="28">
        <f ca="1">'Normalized Annual Summary'!AM10</f>
        <v>32022354.7186643</v>
      </c>
      <c r="Y23" s="49">
        <f t="shared" ca="1" si="14"/>
        <v>84973.93445421035</v>
      </c>
      <c r="Z23" s="110">
        <f t="shared" si="15"/>
        <v>2.6535816994333371E-3</v>
      </c>
      <c r="AA23" s="111" cm="1">
        <f t="array" ref="AA23">TREND(AA$5:AA$14,W$5:W$14,W23)</f>
        <v>2.7946260775593701E-3</v>
      </c>
    </row>
    <row r="24" spans="1:27" s="31" customFormat="1" ht="12.95">
      <c r="A24" s="19"/>
      <c r="B24" s="19">
        <v>2020</v>
      </c>
      <c r="C24" s="28">
        <f ca="1">'Normalized Annual Summary'!AE11</f>
        <v>172570223.28947499</v>
      </c>
      <c r="D24" s="49">
        <f t="shared" ref="D24:D29" ca="1" si="16">C24*E24</f>
        <v>558879.9117045782</v>
      </c>
      <c r="E24" s="110">
        <f t="shared" si="13"/>
        <v>3.238565153659763E-3</v>
      </c>
      <c r="F24" s="111" cm="1">
        <f t="array" ref="F24">TREND(F$5:F$14,B$5:B$14,B24)</f>
        <v>3.0886425348522761E-3</v>
      </c>
      <c r="G24" s="111"/>
      <c r="H24" s="111"/>
      <c r="I24" s="19"/>
      <c r="J24" s="19"/>
      <c r="K24" s="28"/>
      <c r="L24" s="49"/>
      <c r="M24" s="110"/>
      <c r="N24" s="111"/>
      <c r="O24" s="19"/>
      <c r="P24" s="19"/>
      <c r="Q24" s="28"/>
      <c r="R24" s="49"/>
      <c r="S24" s="111"/>
      <c r="T24" s="111"/>
      <c r="U24" s="110"/>
      <c r="V24" s="19"/>
      <c r="W24" s="19">
        <v>2020</v>
      </c>
      <c r="X24" s="28">
        <f ca="1">'Normalized Annual Summary'!AM11</f>
        <v>30175413.288579233</v>
      </c>
      <c r="Y24" s="49">
        <f t="shared" ref="Y24:Y29" ca="1" si="17">X24*Z24</f>
        <v>80072.92447541139</v>
      </c>
      <c r="Z24" s="110">
        <f t="shared" si="15"/>
        <v>2.6535816994333371E-3</v>
      </c>
      <c r="AA24" s="111" cm="1">
        <f t="array" ref="AA24">TREND(AA$5:AA$14,W$5:W$14,W24)</f>
        <v>2.8769422681040879E-3</v>
      </c>
    </row>
    <row r="25" spans="1:27" s="31" customFormat="1" ht="12.95">
      <c r="B25" s="19">
        <v>2021</v>
      </c>
      <c r="C25" s="28">
        <f ca="1">'Normalized Annual Summary'!AE12</f>
        <v>179285525.3858341</v>
      </c>
      <c r="D25" s="49">
        <f t="shared" ca="1" si="16"/>
        <v>580627.8550701451</v>
      </c>
      <c r="E25" s="110">
        <f>E26</f>
        <v>3.238565153659763E-3</v>
      </c>
      <c r="F25" s="111" cm="1">
        <f t="array" ref="F25">TREND(F$5:F$14,B$5:B$14,B25)</f>
        <v>3.196124444792392E-3</v>
      </c>
      <c r="G25" s="111"/>
      <c r="H25" s="111"/>
      <c r="I25" s="19"/>
      <c r="J25" s="19"/>
      <c r="K25" s="28"/>
      <c r="L25" s="49"/>
      <c r="M25" s="110"/>
      <c r="N25" s="111"/>
      <c r="O25" s="19"/>
      <c r="P25" s="19"/>
      <c r="Q25" s="28"/>
      <c r="R25" s="49"/>
      <c r="S25" s="111"/>
      <c r="T25" s="111"/>
      <c r="U25" s="110"/>
      <c r="V25" s="19"/>
      <c r="W25" s="19">
        <v>2021</v>
      </c>
      <c r="X25" s="28">
        <f ca="1">'Normalized Annual Summary'!AM12</f>
        <v>31296438.206061002</v>
      </c>
      <c r="Y25" s="49">
        <f t="shared" ca="1" si="17"/>
        <v>83047.655681049771</v>
      </c>
      <c r="Z25" s="110">
        <f>Z26</f>
        <v>2.6535816994333371E-3</v>
      </c>
      <c r="AA25" s="111" cm="1">
        <f t="array" ref="AA25">TREND(AA$5:AA$14,W$5:W$14,W25)</f>
        <v>2.959258458648778E-3</v>
      </c>
    </row>
    <row r="26" spans="1:27" s="31" customFormat="1" ht="12.95">
      <c r="B26" s="19">
        <v>2022</v>
      </c>
      <c r="C26" s="28">
        <f ca="1">'Normalized Annual Summary'!AE13</f>
        <v>184414136.41670817</v>
      </c>
      <c r="D26" s="49">
        <f t="shared" ca="1" si="16"/>
        <v>597237.19604140904</v>
      </c>
      <c r="E26" s="110">
        <f>E27</f>
        <v>3.238565153659763E-3</v>
      </c>
      <c r="F26" s="111" cm="1">
        <f t="array" ref="F26">TREND(F$5:F$14,B$5:B$14,B26)</f>
        <v>3.3036063547325356E-3</v>
      </c>
      <c r="G26" s="111"/>
      <c r="H26" s="111"/>
      <c r="I26" s="19"/>
      <c r="J26" s="19">
        <v>2022</v>
      </c>
      <c r="K26" s="28">
        <f>'Normalized Annual Summary'!AS13</f>
        <v>2406027</v>
      </c>
      <c r="L26" s="49">
        <f>K26*M26</f>
        <v>7288.9528729985932</v>
      </c>
      <c r="M26" s="110">
        <f>M27</f>
        <v>3.0294559757636109E-3</v>
      </c>
      <c r="N26" s="111" cm="1">
        <f t="array" ref="N26">TREND(N$5:N$14,J$5:J$14,J26)</f>
        <v>3.0952480026264634E-3</v>
      </c>
      <c r="O26" s="19"/>
      <c r="P26" s="19">
        <v>2022</v>
      </c>
      <c r="Q26" s="28">
        <f>'Normalized Annual Summary'!AY13</f>
        <v>271670</v>
      </c>
      <c r="R26" s="49">
        <f>Q26*S26</f>
        <v>741.8581652464901</v>
      </c>
      <c r="S26" s="110">
        <f>S27</f>
        <v>2.7307327465177977E-3</v>
      </c>
      <c r="T26" s="46" cm="1">
        <f t="array" ref="T26">TREND(T$5:T$14,P$5:P$14,P26)</f>
        <v>2.7654092847685871E-3</v>
      </c>
      <c r="U26" s="46">
        <f>AVERAGE(S10:S14)</f>
        <v>2.7307327465177977E-3</v>
      </c>
      <c r="V26" s="19"/>
      <c r="W26" s="19">
        <v>2022</v>
      </c>
      <c r="X26" s="28">
        <f ca="1">'Normalized Annual Summary'!AM13</f>
        <v>32315090.282021798</v>
      </c>
      <c r="Y26" s="49">
        <f t="shared" ca="1" si="17"/>
        <v>85750.732187909118</v>
      </c>
      <c r="Z26" s="110">
        <f>Z27</f>
        <v>2.6535816994333371E-3</v>
      </c>
      <c r="AA26" s="111" cm="1">
        <f t="array" ref="AA26">TREND(AA$5:AA$14,W$5:W$14,W26)</f>
        <v>3.0415746491934681E-3</v>
      </c>
    </row>
    <row r="27" spans="1:27" s="31" customFormat="1" ht="12.95">
      <c r="B27" s="19">
        <v>2023</v>
      </c>
      <c r="C27" s="28">
        <f ca="1">'Normalized Annual Summary'!AE14</f>
        <v>184484594.95910427</v>
      </c>
      <c r="D27" s="49">
        <f t="shared" ca="1" si="16"/>
        <v>597465.38062159065</v>
      </c>
      <c r="E27" s="110">
        <f>E28</f>
        <v>3.238565153659763E-3</v>
      </c>
      <c r="F27" s="111" cm="1">
        <f t="array" ref="F27">TREND(F$5:F$14,B$5:B$14,B27)</f>
        <v>3.4110882646726515E-3</v>
      </c>
      <c r="G27" s="111"/>
      <c r="H27" s="111"/>
      <c r="I27" s="19"/>
      <c r="J27" s="19">
        <v>2023</v>
      </c>
      <c r="K27" s="28">
        <f>'Normalized Annual Summary'!AS14</f>
        <v>2415232.6883003376</v>
      </c>
      <c r="L27" s="49">
        <f>K27*M27</f>
        <v>7316.8411004310683</v>
      </c>
      <c r="M27" s="110">
        <f>M28</f>
        <v>3.0294559757636109E-3</v>
      </c>
      <c r="N27" s="111" cm="1">
        <f t="array" ref="N27">TREND(N$5:N$14,J$5:J$14,J27)</f>
        <v>3.1410103926478861E-3</v>
      </c>
      <c r="O27" s="19"/>
      <c r="P27" s="19">
        <v>2023</v>
      </c>
      <c r="Q27" s="28">
        <f>'Normalized Annual Summary'!AY14</f>
        <v>269986.47996137134</v>
      </c>
      <c r="R27" s="49">
        <f>Q27*S27</f>
        <v>737.26092194758792</v>
      </c>
      <c r="S27" s="110">
        <f>S28</f>
        <v>2.7307327465177977E-3</v>
      </c>
      <c r="T27" s="46" cm="1">
        <f t="array" ref="T27">TREND(T$5:T$14,P$5:P$14,P27)</f>
        <v>2.7936713628176485E-3</v>
      </c>
      <c r="U27" s="46">
        <f>AVERAGE(S11:S15)</f>
        <v>2.7306878180363156E-3</v>
      </c>
      <c r="V27" s="19"/>
      <c r="W27" s="19">
        <v>2023</v>
      </c>
      <c r="X27" s="28">
        <f ca="1">'Normalized Annual Summary'!AM14</f>
        <v>33738157.384817533</v>
      </c>
      <c r="Y27" s="49">
        <f ca="1">X27*Z27</f>
        <v>89526.957008953497</v>
      </c>
      <c r="Z27" s="110">
        <f>Z28</f>
        <v>2.6535816994333371E-3</v>
      </c>
      <c r="AA27" s="111" cm="1">
        <f t="array" ref="AA27">TREND(AA$5:AA$14,W$5:W$14,W27)</f>
        <v>3.1238908397381859E-3</v>
      </c>
    </row>
    <row r="28" spans="1:27" s="31" customFormat="1" ht="12.95">
      <c r="B28" s="31">
        <v>2024</v>
      </c>
      <c r="C28" s="32">
        <f ca="1">'Normalized Annual Summary'!AE15</f>
        <v>186768071.92916703</v>
      </c>
      <c r="D28" s="77">
        <f t="shared" ca="1" si="16"/>
        <v>604860.56956602051</v>
      </c>
      <c r="E28" s="84">
        <f>AVERAGE(E10:E14)</f>
        <v>3.238565153659763E-3</v>
      </c>
      <c r="F28" s="99" cm="1">
        <f t="array" ref="F28">TREND(F$5:F$14,B$5:B$14,B28)</f>
        <v>3.5185701746127951E-3</v>
      </c>
      <c r="G28" s="77">
        <f>'Total Additional Loads'!G18</f>
        <v>24069.274208152143</v>
      </c>
      <c r="H28" s="77">
        <f ca="1">G28+D28</f>
        <v>628929.84377417271</v>
      </c>
      <c r="J28" s="31">
        <v>2024</v>
      </c>
      <c r="K28" s="32">
        <f>'Normalized Annual Summary'!AS15</f>
        <v>2424399.2117340649</v>
      </c>
      <c r="L28" s="77">
        <f>K28*M28</f>
        <v>7344.6106796243503</v>
      </c>
      <c r="M28" s="84">
        <f>AVERAGE(M10:M14)</f>
        <v>3.0294559757636109E-3</v>
      </c>
      <c r="N28" s="99" cm="1">
        <f t="array" ref="N28">TREND(N$5:N$14,J$5:J$14,J28)</f>
        <v>3.1867727826693087E-3</v>
      </c>
      <c r="P28" s="31">
        <v>2024</v>
      </c>
      <c r="Q28" s="32">
        <f>'Normalized Annual Summary'!AY15</f>
        <v>266129.58549679042</v>
      </c>
      <c r="R28" s="77">
        <f>Q28*S28</f>
        <v>726.72877393329361</v>
      </c>
      <c r="S28" s="84">
        <f>AVERAGE(S10:S14)</f>
        <v>2.7307327465177977E-3</v>
      </c>
      <c r="T28" s="106" cm="1">
        <f t="array" ref="T28">TREND(T$5:T$14,P$5:P$14,P28)</f>
        <v>2.8219334408667029E-3</v>
      </c>
      <c r="U28" s="106">
        <f>U27</f>
        <v>2.7306878180363156E-3</v>
      </c>
      <c r="W28" s="31">
        <v>2024</v>
      </c>
      <c r="X28" s="32">
        <f ca="1">'Normalized Annual Summary'!AM15</f>
        <v>33920392.464488193</v>
      </c>
      <c r="Y28" s="77">
        <f t="shared" ca="1" si="17"/>
        <v>90010.53268136234</v>
      </c>
      <c r="Z28" s="84">
        <f>Z14</f>
        <v>2.6535816994333371E-3</v>
      </c>
      <c r="AA28" s="99" cm="1">
        <f t="array" ref="AA28">TREND(AA$5:AA$14,W$5:W$14,W28)</f>
        <v>3.206207030282876E-3</v>
      </c>
    </row>
    <row r="29" spans="1:27" s="31" customFormat="1" ht="12.95">
      <c r="B29" s="31">
        <v>2025</v>
      </c>
      <c r="C29" s="32">
        <f ca="1">'Normalized Annual Summary'!AE16</f>
        <v>191652135.12606931</v>
      </c>
      <c r="D29" s="77">
        <f t="shared" ca="1" si="16"/>
        <v>620677.92644378031</v>
      </c>
      <c r="E29" s="84">
        <f>E28</f>
        <v>3.238565153659763E-3</v>
      </c>
      <c r="F29" s="99" cm="1">
        <f t="array" ref="F29">TREND(F$5:F$14,B$5:B$14,B29)</f>
        <v>3.6260520845529109E-3</v>
      </c>
      <c r="G29" s="77">
        <f ca="1">'Total Additional Loads'!H18</f>
        <v>114688.44761543909</v>
      </c>
      <c r="H29" s="77">
        <f ca="1">G29+D29</f>
        <v>735366.37405921938</v>
      </c>
      <c r="J29" s="31">
        <v>2025</v>
      </c>
      <c r="K29" s="32">
        <f>'Normalized Annual Summary'!AS16</f>
        <v>2433600.5248393081</v>
      </c>
      <c r="L29" s="77">
        <f>K29*M29</f>
        <v>7372.4856525959021</v>
      </c>
      <c r="M29" s="84">
        <f>M28</f>
        <v>3.0294559757636109E-3</v>
      </c>
      <c r="N29" s="99" cm="1">
        <f t="array" ref="N29">TREND(N$5:N$14,J$5:J$14,J29)</f>
        <v>3.2325351726907453E-3</v>
      </c>
      <c r="P29" s="31">
        <v>2025</v>
      </c>
      <c r="Q29" s="32">
        <f>'Normalized Annual Summary'!AY16</f>
        <v>262327.78873529832</v>
      </c>
      <c r="R29" s="77">
        <f>Q29*S29</f>
        <v>716.34708302108174</v>
      </c>
      <c r="S29" s="84">
        <f>S28</f>
        <v>2.7307327465177977E-3</v>
      </c>
      <c r="T29" s="106" cm="1">
        <f t="array" ref="T29">TREND(T$5:T$14,P$5:P$14,P29)</f>
        <v>2.8501955189157643E-3</v>
      </c>
      <c r="U29" s="106">
        <f>U28</f>
        <v>2.7306878180363156E-3</v>
      </c>
      <c r="W29" s="31">
        <v>2025</v>
      </c>
      <c r="X29" s="32">
        <f ca="1">'Normalized Annual Summary'!AM16</f>
        <v>34244754.121491976</v>
      </c>
      <c r="Y29" s="77">
        <f t="shared" ca="1" si="17"/>
        <v>90871.252838385451</v>
      </c>
      <c r="Z29" s="84">
        <f>Z28</f>
        <v>2.6535816994333371E-3</v>
      </c>
      <c r="AA29" s="99" cm="1">
        <f t="array" ref="AA29">TREND(AA$5:AA$14,W$5:W$14,W29)</f>
        <v>3.2885232208275939E-3</v>
      </c>
    </row>
    <row r="30" spans="1:27">
      <c r="C30" s="32"/>
      <c r="D30" s="49"/>
      <c r="Q30" s="49"/>
      <c r="R30" s="49"/>
      <c r="X30" s="28"/>
      <c r="Y30" s="28"/>
      <c r="Z30" s="46"/>
    </row>
    <row r="31" spans="1:27">
      <c r="C31" s="81" t="s">
        <v>452</v>
      </c>
      <c r="D31" s="80" t="s">
        <v>453</v>
      </c>
      <c r="E31" s="46" t="s">
        <v>521</v>
      </c>
      <c r="K31" s="81" t="s">
        <v>452</v>
      </c>
      <c r="L31" s="80" t="s">
        <v>453</v>
      </c>
      <c r="M31" s="46" t="s">
        <v>521</v>
      </c>
      <c r="Q31" s="81" t="s">
        <v>452</v>
      </c>
      <c r="R31" s="80" t="s">
        <v>453</v>
      </c>
      <c r="S31" s="46" t="s">
        <v>521</v>
      </c>
      <c r="X31" s="81" t="s">
        <v>452</v>
      </c>
      <c r="Y31" s="80" t="s">
        <v>453</v>
      </c>
      <c r="Z31" s="46" t="s">
        <v>521</v>
      </c>
    </row>
    <row r="32" spans="1:27">
      <c r="A32" s="19" t="s">
        <v>522</v>
      </c>
      <c r="C32" s="82">
        <f>C14/C10-1</f>
        <v>1.3829661022598305E-2</v>
      </c>
      <c r="D32" s="82">
        <f>D14/D10-1</f>
        <v>-4.4673724732075204E-2</v>
      </c>
      <c r="E32" s="85">
        <f>D32-C32</f>
        <v>-5.8503385754673509E-2</v>
      </c>
      <c r="K32" s="82">
        <f>K14/K10-1</f>
        <v>-6.2538862734235923E-2</v>
      </c>
      <c r="L32" s="82">
        <f>L14/L10-1</f>
        <v>-6.827682895743048E-2</v>
      </c>
      <c r="M32" s="85">
        <f>L32-K32</f>
        <v>-5.7379662231945572E-3</v>
      </c>
      <c r="Q32" s="82">
        <f>Q14/Q10-1</f>
        <v>-5.594181526523645E-2</v>
      </c>
      <c r="R32" s="82">
        <f>R14/R10-1</f>
        <v>-5.7131882202304918E-2</v>
      </c>
      <c r="S32" s="85">
        <f>R32-Q32</f>
        <v>-1.190066937068468E-3</v>
      </c>
      <c r="X32" s="82">
        <f>X14/X10-1</f>
        <v>-7.0136795381271488E-3</v>
      </c>
      <c r="Y32" s="82">
        <f>Y14/Y10-1</f>
        <v>-3.3630048225021802E-2</v>
      </c>
      <c r="Z32" s="85">
        <f>Y32-X32</f>
        <v>-2.6616368686894654E-2</v>
      </c>
    </row>
    <row r="33" spans="1:26">
      <c r="A33" s="19" t="s">
        <v>523</v>
      </c>
      <c r="C33" s="82">
        <f>C14/C5-1</f>
        <v>9.6771544520386277E-2</v>
      </c>
      <c r="D33" s="82">
        <f>D14/D5-1</f>
        <v>0.41527687532488322</v>
      </c>
      <c r="E33" s="85">
        <f>D33-C33</f>
        <v>0.31850533080449694</v>
      </c>
      <c r="K33" s="82">
        <f>K14/K5-1</f>
        <v>-0.61582222692517541</v>
      </c>
      <c r="L33" s="82">
        <f>L14/L5-1</f>
        <v>-0.53945063945063942</v>
      </c>
      <c r="M33" s="85">
        <f>L33-K33</f>
        <v>7.6371587474535985E-2</v>
      </c>
      <c r="Q33" s="82">
        <f>Q14/Q5-1</f>
        <v>-0.22975002721294957</v>
      </c>
      <c r="R33" s="82">
        <f>R14/R5-1</f>
        <v>-0.15938356164383571</v>
      </c>
      <c r="S33" s="85">
        <f>R33-Q33</f>
        <v>7.0366465569113856E-2</v>
      </c>
      <c r="X33" s="82">
        <f>X14/X5-1</f>
        <v>-9.917806456945899E-2</v>
      </c>
      <c r="Y33" s="82">
        <f>Y14/Y5-1</f>
        <v>7.7238227179614594E-2</v>
      </c>
      <c r="Z33" s="85">
        <f>Y33-X33</f>
        <v>0.17641629174907358</v>
      </c>
    </row>
    <row r="34" spans="1:26" ht="12.95">
      <c r="K34" s="49"/>
      <c r="L34" s="50"/>
      <c r="Q34" s="49"/>
      <c r="R34" s="50"/>
    </row>
    <row r="35" spans="1:26" ht="12.95">
      <c r="D35" s="19" t="s">
        <v>524</v>
      </c>
      <c r="L35" s="19" t="s">
        <v>524</v>
      </c>
      <c r="R35" s="19" t="s">
        <v>524</v>
      </c>
      <c r="Y35" s="44" t="s">
        <v>525</v>
      </c>
    </row>
    <row r="37" spans="1:26" ht="12.95">
      <c r="E37" s="46">
        <f>AVERAGE(E5:E14)</f>
        <v>2.996391655790724E-3</v>
      </c>
      <c r="F37" s="46">
        <f>E28</f>
        <v>3.238565153659763E-3</v>
      </c>
      <c r="W37" s="44"/>
      <c r="X37" s="82"/>
      <c r="Y37" s="82"/>
      <c r="Z37" s="85"/>
    </row>
    <row r="38" spans="1:26">
      <c r="E38" s="46">
        <f>E37</f>
        <v>2.996391655790724E-3</v>
      </c>
      <c r="F38" s="46">
        <f>F37</f>
        <v>3.238565153659763E-3</v>
      </c>
    </row>
    <row r="39" spans="1:26" ht="15.75" customHeight="1">
      <c r="D39" s="362"/>
      <c r="E39" s="363"/>
      <c r="L39" s="362"/>
      <c r="R39" s="362"/>
      <c r="Y39" s="362"/>
    </row>
  </sheetData>
  <mergeCells count="4">
    <mergeCell ref="P2:T2"/>
    <mergeCell ref="B2:F2"/>
    <mergeCell ref="W2:AA2"/>
    <mergeCell ref="J2:N2"/>
  </mergeCells>
  <pageMargins left="0.7" right="0.7" top="0.75" bottom="0.75" header="0.3" footer="0.3"/>
  <ignoredErrors>
    <ignoredError sqref="T28:T29" formula="1"/>
  </ignoredError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22BA-A89F-4D40-8EB0-3694BE34C598}">
  <sheetPr codeName="Sheet5"/>
  <dimension ref="B2:Q127"/>
  <sheetViews>
    <sheetView topLeftCell="B15" workbookViewId="0">
      <selection activeCell="I46" sqref="I46"/>
    </sheetView>
  </sheetViews>
  <sheetFormatPr defaultRowHeight="14.45"/>
  <cols>
    <col min="2" max="2" width="26" bestFit="1" customWidth="1"/>
    <col min="3" max="3" width="16" customWidth="1"/>
    <col min="4" max="4" width="19" bestFit="1" customWidth="1"/>
    <col min="5" max="5" width="16.85546875" bestFit="1" customWidth="1"/>
    <col min="6" max="7" width="16" bestFit="1" customWidth="1"/>
    <col min="8" max="8" width="16.140625" bestFit="1" customWidth="1"/>
    <col min="9" max="9" width="27.28515625" bestFit="1" customWidth="1"/>
    <col min="10" max="10" width="15.140625" bestFit="1" customWidth="1"/>
    <col min="11" max="11" width="26" bestFit="1" customWidth="1"/>
    <col min="12" max="12" width="12.85546875" customWidth="1"/>
    <col min="13" max="13" width="16.140625" customWidth="1"/>
    <col min="14" max="14" width="13" bestFit="1" customWidth="1"/>
    <col min="15" max="15" width="11.5703125" bestFit="1" customWidth="1"/>
    <col min="16" max="16" width="12.28515625" bestFit="1" customWidth="1"/>
    <col min="17" max="17" width="12" customWidth="1"/>
  </cols>
  <sheetData>
    <row r="2" spans="2:16" ht="15.6">
      <c r="B2" s="10"/>
      <c r="C2" s="126" t="s">
        <v>526</v>
      </c>
      <c r="D2" s="126"/>
      <c r="E2" s="126"/>
      <c r="F2" s="126"/>
      <c r="G2" s="10"/>
      <c r="H2" s="10"/>
      <c r="L2" s="127" t="s">
        <v>527</v>
      </c>
      <c r="M2" s="127"/>
      <c r="N2" s="127"/>
      <c r="O2" s="127"/>
    </row>
    <row r="3" spans="2:16" ht="15.6">
      <c r="B3" s="10"/>
      <c r="C3" s="171">
        <v>2021</v>
      </c>
      <c r="D3" s="171">
        <v>2022</v>
      </c>
      <c r="E3" s="171">
        <v>2023</v>
      </c>
      <c r="F3" s="171">
        <v>2024</v>
      </c>
      <c r="G3" s="274">
        <v>2025</v>
      </c>
      <c r="H3" s="10" t="s">
        <v>528</v>
      </c>
      <c r="L3" s="127">
        <v>2021</v>
      </c>
      <c r="M3" s="127">
        <v>2022</v>
      </c>
      <c r="N3" s="127">
        <v>2023</v>
      </c>
      <c r="O3" s="127">
        <v>2024</v>
      </c>
      <c r="P3" s="127">
        <v>2025</v>
      </c>
    </row>
    <row r="4" spans="2:16">
      <c r="B4" s="10" t="s">
        <v>529</v>
      </c>
      <c r="C4" s="454">
        <v>322</v>
      </c>
      <c r="D4" s="454">
        <v>570</v>
      </c>
      <c r="E4" s="454">
        <v>359</v>
      </c>
      <c r="F4" s="454">
        <v>560</v>
      </c>
      <c r="G4" s="455">
        <f>F4</f>
        <v>560</v>
      </c>
      <c r="H4" s="128">
        <f>$H$23</f>
        <v>4.1491522100025871E-3</v>
      </c>
      <c r="I4" s="74" t="s">
        <v>530</v>
      </c>
      <c r="J4" s="129"/>
      <c r="K4" s="10" t="s">
        <v>529</v>
      </c>
      <c r="L4" s="130">
        <f>C4*$H4*1000000</f>
        <v>1336027.0116208331</v>
      </c>
      <c r="M4" s="130">
        <f>D4*$H4*1000000</f>
        <v>2365016.759701475</v>
      </c>
      <c r="N4" s="130">
        <f>E4*$H4*1000000</f>
        <v>1489545.6433909286</v>
      </c>
      <c r="O4" s="130">
        <f>F4*$H4*1000000</f>
        <v>2323525.2376014488</v>
      </c>
      <c r="P4" s="130">
        <f>G4*$H4*1000000</f>
        <v>2323525.2376014488</v>
      </c>
    </row>
    <row r="5" spans="2:16">
      <c r="B5" s="131" t="s">
        <v>424</v>
      </c>
      <c r="C5" s="456">
        <v>10</v>
      </c>
      <c r="D5" s="456">
        <v>4</v>
      </c>
      <c r="E5" s="456">
        <v>20</v>
      </c>
      <c r="F5" s="456">
        <v>65</v>
      </c>
      <c r="G5" s="455">
        <f>F5</f>
        <v>65</v>
      </c>
      <c r="H5" s="128">
        <f>$H$23</f>
        <v>4.1491522100025871E-3</v>
      </c>
      <c r="I5" s="74" t="str">
        <f>I4</f>
        <v>% of provincial kWh</v>
      </c>
      <c r="J5" s="74"/>
      <c r="K5" s="131" t="s">
        <v>424</v>
      </c>
      <c r="L5" s="130">
        <f t="shared" ref="L5:L13" si="0">C5*$H5*1000000</f>
        <v>41491.522100025875</v>
      </c>
      <c r="M5" s="130">
        <f t="shared" ref="M5:M13" si="1">D5*$H5*1000000</f>
        <v>16596.608840010347</v>
      </c>
      <c r="N5" s="130">
        <f t="shared" ref="N5:N13" si="2">E5*$H5*1000000</f>
        <v>82983.044200051751</v>
      </c>
      <c r="O5" s="130">
        <f t="shared" ref="O5:P13" si="3">F5*$H5*1000000</f>
        <v>269694.89365016815</v>
      </c>
      <c r="P5" s="130">
        <f t="shared" si="3"/>
        <v>269694.89365016815</v>
      </c>
    </row>
    <row r="6" spans="2:16">
      <c r="B6" s="10" t="s">
        <v>531</v>
      </c>
      <c r="C6" s="454">
        <v>16</v>
      </c>
      <c r="D6" s="454">
        <v>20</v>
      </c>
      <c r="E6" s="454">
        <v>50</v>
      </c>
      <c r="F6" s="454">
        <v>54</v>
      </c>
      <c r="G6" s="455">
        <f t="shared" ref="G6:G13" si="4">F6</f>
        <v>54</v>
      </c>
      <c r="H6" s="128">
        <f>$H$23</f>
        <v>4.1491522100025871E-3</v>
      </c>
      <c r="I6" s="74" t="str">
        <f>I5</f>
        <v>% of provincial kWh</v>
      </c>
      <c r="J6" s="74"/>
      <c r="K6" s="10" t="s">
        <v>531</v>
      </c>
      <c r="L6" s="130">
        <f t="shared" si="0"/>
        <v>66386.435360041389</v>
      </c>
      <c r="M6" s="130">
        <f t="shared" si="1"/>
        <v>82983.044200051751</v>
      </c>
      <c r="N6" s="130">
        <f t="shared" si="2"/>
        <v>207457.61050012935</v>
      </c>
      <c r="O6" s="130">
        <f t="shared" si="3"/>
        <v>224054.21934013968</v>
      </c>
      <c r="P6" s="130">
        <f t="shared" si="3"/>
        <v>224054.21934013968</v>
      </c>
    </row>
    <row r="7" spans="2:16">
      <c r="B7" s="131" t="s">
        <v>532</v>
      </c>
      <c r="C7" s="456">
        <v>1</v>
      </c>
      <c r="D7" s="456">
        <v>15</v>
      </c>
      <c r="E7" s="456">
        <v>29</v>
      </c>
      <c r="F7" s="456">
        <v>96</v>
      </c>
      <c r="G7" s="455">
        <f t="shared" si="4"/>
        <v>96</v>
      </c>
      <c r="H7" s="128">
        <f>$H$23</f>
        <v>4.1491522100025871E-3</v>
      </c>
      <c r="I7" s="74" t="str">
        <f>I6</f>
        <v>% of provincial kWh</v>
      </c>
      <c r="J7" t="s">
        <v>533</v>
      </c>
      <c r="K7" s="131" t="s">
        <v>532</v>
      </c>
      <c r="L7" s="130">
        <f t="shared" si="0"/>
        <v>4149.1522100025868</v>
      </c>
      <c r="M7" s="130">
        <f t="shared" si="1"/>
        <v>62237.283150038806</v>
      </c>
      <c r="N7" s="130">
        <f t="shared" si="2"/>
        <v>120325.41409007502</v>
      </c>
      <c r="O7" s="130">
        <f t="shared" si="3"/>
        <v>398318.61216024833</v>
      </c>
      <c r="P7" s="130">
        <f t="shared" si="3"/>
        <v>398318.61216024833</v>
      </c>
    </row>
    <row r="8" spans="2:16">
      <c r="B8" s="10" t="s">
        <v>534</v>
      </c>
      <c r="C8" s="454">
        <v>0</v>
      </c>
      <c r="D8" s="454">
        <v>0</v>
      </c>
      <c r="E8" s="454">
        <v>165</v>
      </c>
      <c r="F8" s="454">
        <v>165</v>
      </c>
      <c r="G8" s="455">
        <f t="shared" si="4"/>
        <v>165</v>
      </c>
      <c r="H8" s="128">
        <f>$H$23</f>
        <v>4.1491522100025871E-3</v>
      </c>
      <c r="I8" s="74" t="str">
        <f>I7</f>
        <v>% of provincial kWh</v>
      </c>
      <c r="J8" s="74"/>
      <c r="K8" s="10" t="s">
        <v>534</v>
      </c>
      <c r="L8" s="130">
        <f t="shared" si="0"/>
        <v>0</v>
      </c>
      <c r="M8" s="130">
        <f t="shared" si="1"/>
        <v>0</v>
      </c>
      <c r="N8" s="130">
        <f t="shared" si="2"/>
        <v>684610.1146504269</v>
      </c>
      <c r="O8" s="130">
        <f t="shared" si="3"/>
        <v>684610.1146504269</v>
      </c>
      <c r="P8" s="130">
        <f t="shared" si="3"/>
        <v>684610.1146504269</v>
      </c>
    </row>
    <row r="9" spans="2:16">
      <c r="B9" s="131" t="s">
        <v>535</v>
      </c>
      <c r="C9" s="456">
        <v>0</v>
      </c>
      <c r="D9" s="456">
        <v>0</v>
      </c>
      <c r="E9" s="456">
        <v>333</v>
      </c>
      <c r="F9" s="456">
        <v>333</v>
      </c>
      <c r="G9" s="455">
        <f t="shared" si="4"/>
        <v>333</v>
      </c>
      <c r="H9" s="269">
        <v>0.01</v>
      </c>
      <c r="I9" s="74" t="str">
        <f>I8</f>
        <v>% of provincial kWh</v>
      </c>
      <c r="J9" s="74"/>
      <c r="K9" s="131" t="s">
        <v>535</v>
      </c>
      <c r="L9" s="130">
        <f t="shared" si="0"/>
        <v>0</v>
      </c>
      <c r="M9" s="130">
        <f t="shared" si="1"/>
        <v>0</v>
      </c>
      <c r="N9" s="130">
        <f t="shared" si="2"/>
        <v>3330000</v>
      </c>
      <c r="O9" s="130">
        <f t="shared" si="3"/>
        <v>3330000</v>
      </c>
      <c r="P9" s="130">
        <f t="shared" si="3"/>
        <v>3330000</v>
      </c>
    </row>
    <row r="10" spans="2:16">
      <c r="B10" s="10" t="s">
        <v>536</v>
      </c>
      <c r="C10" s="454">
        <v>0</v>
      </c>
      <c r="D10" s="454">
        <v>61</v>
      </c>
      <c r="E10" s="454">
        <v>161</v>
      </c>
      <c r="F10" s="454">
        <v>181</v>
      </c>
      <c r="G10" s="455">
        <f t="shared" si="4"/>
        <v>181</v>
      </c>
      <c r="H10" s="128"/>
      <c r="J10" s="129"/>
      <c r="K10" s="10" t="s">
        <v>536</v>
      </c>
      <c r="L10" s="130">
        <f t="shared" si="0"/>
        <v>0</v>
      </c>
      <c r="M10" s="130">
        <f t="shared" si="1"/>
        <v>0</v>
      </c>
      <c r="N10" s="130">
        <f t="shared" si="2"/>
        <v>0</v>
      </c>
      <c r="O10" s="130">
        <f t="shared" si="3"/>
        <v>0</v>
      </c>
      <c r="P10" s="130">
        <f t="shared" si="3"/>
        <v>0</v>
      </c>
    </row>
    <row r="11" spans="2:16">
      <c r="B11" s="131" t="s">
        <v>537</v>
      </c>
      <c r="C11" s="456">
        <v>0</v>
      </c>
      <c r="D11" s="456">
        <v>0</v>
      </c>
      <c r="E11" s="456">
        <v>3</v>
      </c>
      <c r="F11" s="456">
        <v>7</v>
      </c>
      <c r="G11" s="455">
        <f t="shared" si="4"/>
        <v>7</v>
      </c>
      <c r="H11" s="128"/>
      <c r="I11" s="74" t="s">
        <v>530</v>
      </c>
      <c r="J11" s="74"/>
      <c r="K11" s="131" t="s">
        <v>537</v>
      </c>
      <c r="L11" s="130">
        <f t="shared" si="0"/>
        <v>0</v>
      </c>
      <c r="M11" s="130">
        <f t="shared" si="1"/>
        <v>0</v>
      </c>
      <c r="N11" s="130">
        <f t="shared" si="2"/>
        <v>0</v>
      </c>
      <c r="O11" s="130">
        <f t="shared" si="3"/>
        <v>0</v>
      </c>
      <c r="P11" s="130">
        <f t="shared" si="3"/>
        <v>0</v>
      </c>
    </row>
    <row r="12" spans="2:16">
      <c r="B12" s="10" t="s">
        <v>538</v>
      </c>
      <c r="C12" s="454">
        <v>7</v>
      </c>
      <c r="D12" s="454">
        <v>14</v>
      </c>
      <c r="E12" s="454">
        <v>49</v>
      </c>
      <c r="F12" s="454">
        <v>97</v>
      </c>
      <c r="G12" s="455">
        <f t="shared" si="4"/>
        <v>97</v>
      </c>
      <c r="H12" s="260">
        <f>H35</f>
        <v>7.6789542589529684E-3</v>
      </c>
      <c r="I12" s="129" t="s">
        <v>539</v>
      </c>
      <c r="J12" s="74"/>
      <c r="K12" s="10" t="s">
        <v>538</v>
      </c>
      <c r="L12" s="130">
        <f t="shared" si="0"/>
        <v>53752.679812670773</v>
      </c>
      <c r="M12" s="130">
        <f t="shared" si="1"/>
        <v>107505.35962534155</v>
      </c>
      <c r="N12" s="130">
        <f t="shared" si="2"/>
        <v>376268.7586886955</v>
      </c>
      <c r="O12" s="130">
        <f t="shared" si="3"/>
        <v>744858.56311843789</v>
      </c>
      <c r="P12" s="130">
        <f t="shared" si="3"/>
        <v>744858.56311843789</v>
      </c>
    </row>
    <row r="13" spans="2:16">
      <c r="B13" s="131" t="s">
        <v>540</v>
      </c>
      <c r="C13" s="456">
        <v>1</v>
      </c>
      <c r="D13" s="456">
        <v>0</v>
      </c>
      <c r="E13" s="456">
        <v>15</v>
      </c>
      <c r="F13" s="456">
        <v>16</v>
      </c>
      <c r="G13" s="455">
        <f t="shared" si="4"/>
        <v>16</v>
      </c>
      <c r="H13" s="74"/>
      <c r="J13" s="74"/>
      <c r="K13" s="131" t="s">
        <v>540</v>
      </c>
      <c r="L13" s="130">
        <f t="shared" si="0"/>
        <v>0</v>
      </c>
      <c r="M13" s="130">
        <f t="shared" si="1"/>
        <v>0</v>
      </c>
      <c r="N13" s="130">
        <f t="shared" si="2"/>
        <v>0</v>
      </c>
      <c r="O13" s="130">
        <f t="shared" si="3"/>
        <v>0</v>
      </c>
      <c r="P13" s="130">
        <f t="shared" si="3"/>
        <v>0</v>
      </c>
    </row>
    <row r="14" spans="2:16">
      <c r="B14" s="10"/>
      <c r="C14" s="132">
        <f>SUM(C4:C13)</f>
        <v>357</v>
      </c>
      <c r="D14" s="132">
        <f>SUM(D4:D13)</f>
        <v>684</v>
      </c>
      <c r="E14" s="132">
        <f>SUM(E4:E13)</f>
        <v>1184</v>
      </c>
      <c r="F14" s="132">
        <f>SUM(F4:F13)</f>
        <v>1574</v>
      </c>
      <c r="G14" s="268">
        <f>SUM(G4:G13)</f>
        <v>1574</v>
      </c>
      <c r="H14" s="74"/>
      <c r="K14" s="132"/>
      <c r="L14" s="133">
        <f>SUM(L4:L11)</f>
        <v>1448054.1212909028</v>
      </c>
      <c r="M14" s="133">
        <f>SUM(M4:M11)</f>
        <v>2526833.6958915754</v>
      </c>
      <c r="N14" s="133">
        <f>SUM(N4:N11)</f>
        <v>5914921.8268316118</v>
      </c>
      <c r="O14" s="133">
        <f>SUM(O4:O11)</f>
        <v>7230203.0774024315</v>
      </c>
      <c r="P14" s="133">
        <f>SUM(P4:P11)</f>
        <v>7230203.0774024315</v>
      </c>
    </row>
    <row r="15" spans="2:16">
      <c r="B15" s="10"/>
      <c r="C15" s="132"/>
      <c r="D15" s="267">
        <f>D14/C14</f>
        <v>1.9159663865546219</v>
      </c>
      <c r="E15" s="267">
        <f>E14/D14</f>
        <v>1.7309941520467835</v>
      </c>
      <c r="F15" s="267">
        <f>F14/E14</f>
        <v>1.3293918918918919</v>
      </c>
      <c r="G15" s="10"/>
      <c r="H15" s="74"/>
      <c r="K15" s="132"/>
      <c r="L15" s="133"/>
      <c r="M15" s="133"/>
      <c r="N15" s="133"/>
      <c r="O15" s="133"/>
      <c r="P15" s="133"/>
    </row>
    <row r="16" spans="2:16">
      <c r="B16" s="10" t="s">
        <v>541</v>
      </c>
      <c r="C16" s="10" t="s">
        <v>542</v>
      </c>
      <c r="D16" s="10"/>
      <c r="E16" s="10"/>
      <c r="F16" s="10"/>
      <c r="G16" s="10"/>
      <c r="H16" s="74"/>
    </row>
    <row r="17" spans="2:16">
      <c r="B17" s="10"/>
      <c r="C17" s="10"/>
      <c r="D17" s="10"/>
      <c r="E17" s="10"/>
      <c r="F17" s="10"/>
      <c r="G17" s="10"/>
      <c r="H17" s="10"/>
    </row>
    <row r="18" spans="2:16">
      <c r="B18" s="134"/>
      <c r="C18" s="135"/>
      <c r="D18" s="135"/>
      <c r="E18" s="135"/>
      <c r="F18" s="135"/>
      <c r="G18" s="135"/>
      <c r="H18" s="136"/>
      <c r="J18" s="151"/>
      <c r="K18" s="152" t="str">
        <f t="shared" ref="K18:K27" si="5">K4</f>
        <v>Retrofit</v>
      </c>
      <c r="L18" s="153">
        <f t="shared" ref="L18:L27" si="6">L4/2</f>
        <v>668013.50581041654</v>
      </c>
      <c r="M18" s="153">
        <f t="shared" ref="M18:M27" si="7">M4/2+L4/2</f>
        <v>1850521.8856611541</v>
      </c>
      <c r="N18" s="153">
        <f t="shared" ref="N18:N27" si="8">N4/2+M4+$L4/2</f>
        <v>3777803.0872073555</v>
      </c>
      <c r="O18" s="153">
        <f>O4/2+SUM($M4:N4)+$L4/2</f>
        <v>5684338.5277035451</v>
      </c>
      <c r="P18" s="154">
        <f>P4/2+SUM($M4:O4)+$L4/2</f>
        <v>8007863.7653049929</v>
      </c>
    </row>
    <row r="19" spans="2:16">
      <c r="B19" s="137"/>
      <c r="C19" s="10"/>
      <c r="D19" s="10"/>
      <c r="E19" s="10"/>
      <c r="F19" s="10"/>
      <c r="G19" s="10"/>
      <c r="H19" s="138"/>
      <c r="J19" s="155"/>
      <c r="K19" t="str">
        <f t="shared" si="5"/>
        <v>Small Business</v>
      </c>
      <c r="L19" s="156">
        <f t="shared" si="6"/>
        <v>20745.761050012938</v>
      </c>
      <c r="M19" s="156">
        <f t="shared" si="7"/>
        <v>29044.065470018111</v>
      </c>
      <c r="N19" s="156">
        <f t="shared" si="8"/>
        <v>78833.89199004916</v>
      </c>
      <c r="O19" s="156">
        <f>O5/2+SUM($M5:N5)+$L5/2</f>
        <v>255172.86091515911</v>
      </c>
      <c r="P19" s="157">
        <f>P5/2+SUM($M5:O5)+$L5/2</f>
        <v>524867.7545653272</v>
      </c>
    </row>
    <row r="20" spans="2:16">
      <c r="B20" s="259" t="s">
        <v>448</v>
      </c>
      <c r="C20" s="275">
        <v>2018</v>
      </c>
      <c r="D20" s="275">
        <v>2019</v>
      </c>
      <c r="E20" s="275">
        <v>2020</v>
      </c>
      <c r="F20" s="275">
        <v>2021</v>
      </c>
      <c r="G20" s="275">
        <v>2022</v>
      </c>
      <c r="H20" s="276" t="s">
        <v>543</v>
      </c>
      <c r="I20" s="117"/>
      <c r="J20" s="155"/>
      <c r="K20" t="str">
        <f t="shared" si="5"/>
        <v xml:space="preserve">Energy Performance </v>
      </c>
      <c r="L20" s="156">
        <f t="shared" si="6"/>
        <v>33193.217680020694</v>
      </c>
      <c r="M20" s="156">
        <f t="shared" si="7"/>
        <v>74684.73978004657</v>
      </c>
      <c r="N20" s="156">
        <f t="shared" si="8"/>
        <v>219905.06713013712</v>
      </c>
      <c r="O20" s="156">
        <f>O6/2+SUM($M6:N6)+$L6/2</f>
        <v>435660.98205027159</v>
      </c>
      <c r="P20" s="157">
        <f>P6/2+SUM($M6:O6)+$L6/2</f>
        <v>659715.20139041136</v>
      </c>
    </row>
    <row r="21" spans="2:16">
      <c r="B21" s="137" t="s">
        <v>544</v>
      </c>
      <c r="C21" s="141">
        <v>132430891803.83592</v>
      </c>
      <c r="D21" s="141">
        <v>129776205940.17464</v>
      </c>
      <c r="E21" s="141">
        <v>128180478159.40999</v>
      </c>
      <c r="F21" s="141">
        <v>129125642651.85997</v>
      </c>
      <c r="G21" s="141">
        <v>130831607586.52003</v>
      </c>
      <c r="H21" s="142">
        <f>AVERAGE(C21:G21)</f>
        <v>130068965228.36011</v>
      </c>
      <c r="I21" s="133"/>
      <c r="J21" s="158" t="s">
        <v>545</v>
      </c>
      <c r="K21" t="str">
        <f t="shared" si="5"/>
        <v>Energy Management</v>
      </c>
      <c r="L21" s="156">
        <f t="shared" si="6"/>
        <v>2074.5761050012934</v>
      </c>
      <c r="M21" s="156">
        <f t="shared" si="7"/>
        <v>33193.217680020694</v>
      </c>
      <c r="N21" s="156">
        <f t="shared" si="8"/>
        <v>124474.56630007761</v>
      </c>
      <c r="O21" s="156">
        <f>O7/2+SUM($M7:N7)+$L7/2</f>
        <v>383796.57942523924</v>
      </c>
      <c r="P21" s="157">
        <f>P7/2+SUM($M7:O7)+$L7/2</f>
        <v>782115.19158548757</v>
      </c>
    </row>
    <row r="22" spans="2:16">
      <c r="B22" s="137" t="s">
        <v>267</v>
      </c>
      <c r="C22" s="143">
        <v>518925519.57000005</v>
      </c>
      <c r="D22" s="143">
        <v>538071920.44999993</v>
      </c>
      <c r="E22" s="143">
        <v>536185893.96000004</v>
      </c>
      <c r="F22" s="143">
        <v>549391694.46000004</v>
      </c>
      <c r="G22" s="143">
        <v>555804644.21000004</v>
      </c>
      <c r="H22" s="142">
        <f>AVERAGE(C22:G22)</f>
        <v>539675934.52999997</v>
      </c>
      <c r="I22" s="133"/>
      <c r="J22" s="159" t="s">
        <v>546</v>
      </c>
      <c r="K22" t="str">
        <f t="shared" si="5"/>
        <v>Industrial Energy Efficiency</v>
      </c>
      <c r="L22" s="156">
        <f t="shared" si="6"/>
        <v>0</v>
      </c>
      <c r="M22" s="156">
        <f t="shared" si="7"/>
        <v>0</v>
      </c>
      <c r="N22" s="156">
        <f t="shared" si="8"/>
        <v>342305.05732521345</v>
      </c>
      <c r="O22" s="156">
        <f>O8/2+SUM($M8:N8)+$L8/2</f>
        <v>1026915.1719756403</v>
      </c>
      <c r="P22" s="157">
        <f>P8/2+SUM($M8:O8)+$L8/2</f>
        <v>1711525.2866260672</v>
      </c>
    </row>
    <row r="23" spans="2:16">
      <c r="B23" s="137" t="s">
        <v>547</v>
      </c>
      <c r="C23" s="140">
        <f t="shared" ref="C23:H23" si="9">C22/C21</f>
        <v>3.9184627733132062E-3</v>
      </c>
      <c r="D23" s="140">
        <f t="shared" si="9"/>
        <v>4.1461523439670061E-3</v>
      </c>
      <c r="E23" s="140">
        <f t="shared" si="9"/>
        <v>4.183054250220376E-3</v>
      </c>
      <c r="F23" s="140">
        <f t="shared" si="9"/>
        <v>4.2547063710748267E-3</v>
      </c>
      <c r="G23" s="140">
        <f t="shared" si="9"/>
        <v>4.2482443995228124E-3</v>
      </c>
      <c r="H23" s="144">
        <f t="shared" si="9"/>
        <v>4.1491522100025871E-3</v>
      </c>
      <c r="I23" s="145"/>
      <c r="J23" s="155"/>
      <c r="K23" t="str">
        <f t="shared" si="5"/>
        <v>Targeted Greenhouse</v>
      </c>
      <c r="L23" s="156">
        <f t="shared" si="6"/>
        <v>0</v>
      </c>
      <c r="M23" s="156">
        <f t="shared" si="7"/>
        <v>0</v>
      </c>
      <c r="N23" s="156">
        <f t="shared" si="8"/>
        <v>1665000</v>
      </c>
      <c r="O23" s="156">
        <f>O9/2+SUM($M9:N9)+$L9/2</f>
        <v>4995000</v>
      </c>
      <c r="P23" s="157">
        <f>P9/2+SUM($M9:O9)+$L9/2</f>
        <v>8325000</v>
      </c>
    </row>
    <row r="24" spans="2:16">
      <c r="B24" s="137"/>
      <c r="C24" s="10"/>
      <c r="D24" s="10"/>
      <c r="E24" s="10"/>
      <c r="F24" s="10"/>
      <c r="G24" s="10"/>
      <c r="H24" s="146"/>
      <c r="I24" s="132"/>
      <c r="J24" s="155"/>
      <c r="K24" t="str">
        <f t="shared" si="5"/>
        <v>Local Initiatives</v>
      </c>
      <c r="L24" s="156">
        <f t="shared" si="6"/>
        <v>0</v>
      </c>
      <c r="M24" s="156">
        <f t="shared" si="7"/>
        <v>0</v>
      </c>
      <c r="N24" s="156">
        <f t="shared" si="8"/>
        <v>0</v>
      </c>
      <c r="O24" s="156">
        <f>O10/2+SUM($M10:N10)+$L10/2</f>
        <v>0</v>
      </c>
      <c r="P24" s="157">
        <f>P10/2+SUM($M10:O10)+$L10/2</f>
        <v>0</v>
      </c>
    </row>
    <row r="25" spans="2:16">
      <c r="B25" s="137" t="s">
        <v>541</v>
      </c>
      <c r="C25" s="10" t="s">
        <v>548</v>
      </c>
      <c r="D25" s="10"/>
      <c r="E25" s="10"/>
      <c r="F25" s="10"/>
      <c r="G25" s="10"/>
      <c r="H25" s="138"/>
      <c r="J25" s="160"/>
      <c r="K25" t="str">
        <f t="shared" si="5"/>
        <v>Residential Demand Response</v>
      </c>
      <c r="L25" s="156">
        <f t="shared" si="6"/>
        <v>0</v>
      </c>
      <c r="M25" s="156">
        <f t="shared" si="7"/>
        <v>0</v>
      </c>
      <c r="N25" s="156">
        <f t="shared" si="8"/>
        <v>0</v>
      </c>
      <c r="O25" s="156">
        <f>O11/2+SUM($M11:N11)+$L11/2</f>
        <v>0</v>
      </c>
      <c r="P25" s="157">
        <f>P11/2+SUM($M11:O11)+$L11/2</f>
        <v>0</v>
      </c>
    </row>
    <row r="26" spans="2:16">
      <c r="B26" s="137"/>
      <c r="C26" s="10"/>
      <c r="D26" s="10"/>
      <c r="E26" s="10"/>
      <c r="F26" s="10"/>
      <c r="G26" s="10"/>
      <c r="H26" s="138"/>
      <c r="J26" s="155"/>
      <c r="K26" t="str">
        <f t="shared" si="5"/>
        <v>Energy Affordability Program</v>
      </c>
      <c r="L26" s="156">
        <f t="shared" si="6"/>
        <v>26876.339906335386</v>
      </c>
      <c r="M26" s="156">
        <f t="shared" si="7"/>
        <v>80629.019719006159</v>
      </c>
      <c r="N26" s="156">
        <f t="shared" si="8"/>
        <v>322516.07887602469</v>
      </c>
      <c r="O26" s="156">
        <f>O12/2+SUM($M12:N12)+$L12/2</f>
        <v>883079.73977959133</v>
      </c>
      <c r="P26" s="157">
        <f>P12/2+SUM($M12:O12)+$L12/2</f>
        <v>1627938.3028980291</v>
      </c>
    </row>
    <row r="27" spans="2:16">
      <c r="B27" s="134"/>
      <c r="C27" s="135"/>
      <c r="D27" s="135"/>
      <c r="E27" s="135"/>
      <c r="F27" s="135"/>
      <c r="G27" s="135"/>
      <c r="H27" s="136"/>
      <c r="J27" s="155"/>
      <c r="K27" t="str">
        <f t="shared" si="5"/>
        <v>First Nations Program</v>
      </c>
      <c r="L27" s="156">
        <f t="shared" si="6"/>
        <v>0</v>
      </c>
      <c r="M27" s="156">
        <f t="shared" si="7"/>
        <v>0</v>
      </c>
      <c r="N27" s="156">
        <f t="shared" si="8"/>
        <v>0</v>
      </c>
      <c r="O27" s="156">
        <f>O13/2+SUM($M13:N13)+$L13/2</f>
        <v>0</v>
      </c>
      <c r="P27" s="157">
        <f>P13/2+SUM($M13:O13)+$L13/2</f>
        <v>0</v>
      </c>
    </row>
    <row r="28" spans="2:16">
      <c r="B28" s="259" t="s">
        <v>549</v>
      </c>
      <c r="C28" s="132">
        <v>2016</v>
      </c>
      <c r="D28" s="132"/>
      <c r="E28" s="224"/>
      <c r="F28" s="132">
        <f>F20</f>
        <v>2021</v>
      </c>
      <c r="G28" s="10"/>
      <c r="H28" s="146" t="s">
        <v>550</v>
      </c>
      <c r="I28" s="132"/>
      <c r="J28" s="161"/>
      <c r="K28" s="132" t="s">
        <v>140</v>
      </c>
      <c r="L28" s="133">
        <f>SUM(L18:L25)</f>
        <v>724027.06064545142</v>
      </c>
      <c r="M28" s="133">
        <f>SUM(M18:M25)</f>
        <v>1987443.9085912395</v>
      </c>
      <c r="N28" s="133">
        <f>SUM(N18:N25)</f>
        <v>6208321.6699528331</v>
      </c>
      <c r="O28" s="133">
        <f>SUM(O18:O25)</f>
        <v>12780884.122069854</v>
      </c>
      <c r="P28" s="142">
        <f>SUM(P18:P25)</f>
        <v>20011087.199472286</v>
      </c>
    </row>
    <row r="29" spans="2:16">
      <c r="B29" s="137" t="s">
        <v>544</v>
      </c>
      <c r="C29" s="147">
        <v>13448494</v>
      </c>
      <c r="D29" s="147"/>
      <c r="F29" s="147">
        <v>14223942</v>
      </c>
      <c r="G29" s="10"/>
      <c r="H29" s="146"/>
      <c r="I29" s="132"/>
      <c r="J29" s="161"/>
      <c r="P29" s="162"/>
    </row>
    <row r="30" spans="2:16">
      <c r="B30" s="137" t="s">
        <v>551</v>
      </c>
      <c r="C30" s="147">
        <v>21936</v>
      </c>
      <c r="D30" s="49"/>
      <c r="F30" s="147">
        <v>23524</v>
      </c>
      <c r="G30" s="10"/>
      <c r="H30" s="146"/>
      <c r="I30" s="132"/>
      <c r="J30" s="163"/>
      <c r="K30" t="s">
        <v>133</v>
      </c>
      <c r="L30" s="16">
        <f>$K$47*L$18+$K$48*L$19+$K$49*L$20+$K$50*L$21+$K$51*L$22+$K$52*L$23+$K$53*L$24+$K$54*L$25+$K$55*L$26+$K$56*L$27</f>
        <v>26876.339906335386</v>
      </c>
      <c r="M30" s="16">
        <f>$K$47*M$18+$K$48*M$19+$K$49*M$20+$K$50*M$21+$K$51*M$22+$K$52*M$23+$K$53*M$24+$K$54*M$25+$K$55*M$26+$K$56*M$27</f>
        <v>80629.019719006159</v>
      </c>
      <c r="N30" s="16">
        <f>$K$47*N$18+$K$48*N$19+$K$49*N$20+$K$50*N$21+$K$51*N$22+$K$52*N$23+$K$53*N$24+$K$54*N$25+$K$55*N$26+$K$56*N$27</f>
        <v>322516.07887602469</v>
      </c>
      <c r="O30" s="16">
        <f>$K$47*O$18+$K$48*O$19+$K$49*O$20+$K$50*O$21+$K$51*O$22+$K$52*O$23+$K$53*O$24+$K$54*O$25+$K$55*O$26+$K$56*O$27</f>
        <v>883079.73977959133</v>
      </c>
      <c r="P30" s="164">
        <f>$K$47*P$18+$K$48*P$19+$K$49*P$20+$K$50*P$21+$K$51*P$22+$K$52*P$23+$K$53*P$24+$K$54*P$25+$K$55*P$26+$K$56*P$27</f>
        <v>1627938.3028980291</v>
      </c>
    </row>
    <row r="31" spans="2:16">
      <c r="B31" s="137" t="s">
        <v>552</v>
      </c>
      <c r="C31" s="147">
        <v>30180</v>
      </c>
      <c r="F31" s="147">
        <v>32721</v>
      </c>
      <c r="G31" s="10"/>
      <c r="H31" s="146"/>
      <c r="I31" s="132"/>
      <c r="J31" s="158" t="s">
        <v>545</v>
      </c>
      <c r="K31" t="s">
        <v>461</v>
      </c>
      <c r="L31" s="16">
        <f>$L$47*L$18+$L$48*L$19+$L$49*L$20+$L$50*L$21+$L$51*L$22+$L$52*L$23+$L$53*L$24+$L$54*L$25+$L$55*L$26+$L$56*L$27</f>
        <v>350603.36174521863</v>
      </c>
      <c r="M31" s="16">
        <f>$L$47*M$18+$L$48*M$19+$L$49*M$20+$L$50*M$21+$L$51*M$22+$L$52*M$23+$L$53*M$24+$L$54*M$25+$L$55*M$26+$L$56*M$27</f>
        <v>948496.19520659151</v>
      </c>
      <c r="N31" s="16">
        <f>$L$47*N$18+$L$48*N$19+$L$49*N$20+$L$50*N$21+$L$51*N$22+$L$52*N$23+$L$53*N$24+$L$54*N$25+$L$55*N$26+$L$56*N$27</f>
        <v>1951968.6571957171</v>
      </c>
      <c r="O31" s="16">
        <f>$L$47*O$18+$L$48*O$19+$L$49*O$20+$L$50*O$21+$L$51*O$22+$L$52*O$23+$L$53*O$24+$L$54*O$25+$L$55*O$26+$L$56*O$27</f>
        <v>3046307.5525838998</v>
      </c>
      <c r="P31" s="164">
        <f>$L$47*P$18+$L$48*P$19+$L$49*P$20+$L$50*P$21+$L$51*P$22+$L$52*P$23+$L$53*P$24+$L$54*P$25+$L$55*P$26+$L$56*P$27</f>
        <v>4423826.0863047577</v>
      </c>
    </row>
    <row r="32" spans="2:16">
      <c r="B32" s="137" t="s">
        <v>553</v>
      </c>
      <c r="C32" s="147">
        <v>27595</v>
      </c>
      <c r="F32" s="147">
        <v>29680</v>
      </c>
      <c r="G32" s="10"/>
      <c r="H32" s="146"/>
      <c r="I32" s="132"/>
      <c r="J32" s="159" t="s">
        <v>546</v>
      </c>
      <c r="K32" t="s">
        <v>500</v>
      </c>
      <c r="L32" s="16">
        <f>$M$47*L$18+$M$48*L$19+$M$49*L$20+$M$50*L$21+$M$51*L$22+$M$52*L$23+$M$53*L$24+$M$54*L$25+$M$55*L$26+$M$56*L$27</f>
        <v>373423.69890023279</v>
      </c>
      <c r="M32" s="16">
        <f>$M$47*M$18+$M$48*M$19+$M$49*M$20+$M$50*M$21+$M$51*M$22+$M$52*M$23+$M$53*M$24+$M$54*M$25+$M$55*M$26+$M$56*M$27</f>
        <v>1038947.7133846479</v>
      </c>
      <c r="N32" s="16">
        <f>$M$47*N$18+$M$48*N$19+$M$49*N$20+$M$50*N$21+$M$51*N$22+$M$52*N$23+$M$53*N$24+$M$54*N$25+$M$55*N$26+$M$56*N$27</f>
        <v>4256353.012757116</v>
      </c>
      <c r="O32" s="16">
        <f>$M$47*O$18+$M$48*O$19+$M$49*O$20+$M$50*O$21+$M$51*O$22+$M$52*O$23+$M$53*O$24+$M$54*O$25+$M$55*O$26+$M$56*O$27</f>
        <v>9734576.5694859549</v>
      </c>
      <c r="P32" s="164">
        <f>$M$47*P$18+$M$48*P$19+$M$49*P$20+$M$50*P$21+$M$51*P$22+$M$52*P$23+$M$53*P$24+$M$54*P$25+$M$55*P$26+$M$56*P$27</f>
        <v>15587261.113167528</v>
      </c>
    </row>
    <row r="33" spans="2:17">
      <c r="B33" s="137" t="s">
        <v>554</v>
      </c>
      <c r="C33" s="147">
        <v>23229</v>
      </c>
      <c r="F33" s="147">
        <v>23300</v>
      </c>
      <c r="G33" s="10"/>
      <c r="H33" s="146"/>
      <c r="I33" s="132"/>
      <c r="J33" s="155"/>
      <c r="L33" s="16"/>
      <c r="M33" s="16"/>
      <c r="N33" s="16"/>
      <c r="O33" s="16"/>
      <c r="P33" s="164"/>
    </row>
    <row r="34" spans="2:17">
      <c r="B34" s="259" t="s">
        <v>555</v>
      </c>
      <c r="C34" s="263">
        <f>SUM(C30:C33)</f>
        <v>102940</v>
      </c>
      <c r="D34" s="257"/>
      <c r="E34" s="224"/>
      <c r="F34" s="263">
        <f>SUM(F30:F33)</f>
        <v>109225</v>
      </c>
      <c r="G34" s="10"/>
      <c r="H34" s="146"/>
      <c r="J34" s="155"/>
      <c r="K34" s="132" t="s">
        <v>140</v>
      </c>
      <c r="L34" s="133">
        <f>SUM(L30:L33)</f>
        <v>750903.40055178688</v>
      </c>
      <c r="M34" s="133">
        <f>SUM(M30:M33)</f>
        <v>2068072.9283102455</v>
      </c>
      <c r="N34" s="133">
        <f>SUM(N30:N33)</f>
        <v>6530837.7488288581</v>
      </c>
      <c r="O34" s="133">
        <f>SUM(O30:O33)</f>
        <v>13663963.861849446</v>
      </c>
      <c r="P34" s="142">
        <f>SUM(P30:P33)</f>
        <v>21639025.502370313</v>
      </c>
    </row>
    <row r="35" spans="2:17">
      <c r="B35" s="137" t="s">
        <v>556</v>
      </c>
      <c r="C35" s="257">
        <f>C34/C29</f>
        <v>7.6543886624033889E-3</v>
      </c>
      <c r="D35" s="258"/>
      <c r="E35" s="224"/>
      <c r="F35" s="257">
        <f>F34/F29</f>
        <v>7.6789542589529684E-3</v>
      </c>
      <c r="G35" s="10"/>
      <c r="H35" s="144">
        <f>F35</f>
        <v>7.6789542589529684E-3</v>
      </c>
      <c r="J35" s="155"/>
      <c r="P35" s="162"/>
    </row>
    <row r="36" spans="2:17">
      <c r="B36" s="137"/>
      <c r="C36" s="10"/>
      <c r="D36" s="10"/>
      <c r="E36" s="10"/>
      <c r="F36" s="10"/>
      <c r="G36" s="10"/>
      <c r="H36" s="138"/>
      <c r="J36" s="155"/>
      <c r="K36" t="str">
        <f>K30</f>
        <v>Residential</v>
      </c>
      <c r="L36" s="16">
        <f>$K$47*L$4+$K$48*L$5+$K$49*L$6+$K$50*L$7+$K$51*L$8+$K$52*L$9+$K$53*L$10+$K$54*L$11+$K$55*L$12+$K$56*L$13</f>
        <v>53752.679812670773</v>
      </c>
      <c r="M36" s="16">
        <f>$K$47*M$4+$K$48*M$5+$K$49*M$6+$K$50*M$7+$K$51*M$8+$K$52*M$9+$K$53*M$10+$K$54*M$11+$K$55*M$12+$K$56*M$13</f>
        <v>107505.35962534155</v>
      </c>
      <c r="N36" s="16">
        <f>$K$47*N$4+$K$48*N$5+$K$49*N$6+$K$50*N$7+$K$51*N$8+$K$52*N$9+$K$53*N$10+$K$54*N$11+$K$55*N$12+$K$56*N$13</f>
        <v>376268.7586886955</v>
      </c>
      <c r="O36" s="16">
        <f>$K$47*O$4+$K$48*O$5+$K$49*O$6+$K$50*O$7+$K$51*O$8+$K$52*O$9+$K$53*O$10+$K$54*O$11+$K$55*O$12+$K$56*O$13</f>
        <v>744858.56311843789</v>
      </c>
      <c r="P36" s="164">
        <f>$K$47*P$4+$K$48*P$5+$K$49*P$6+$K$50*P$7+$K$51*P$8+$K$52*P$9+$K$53*P$10+$K$54*P$11+$K$55*P$12+$K$56*P$13</f>
        <v>744858.56311843789</v>
      </c>
    </row>
    <row r="37" spans="2:17">
      <c r="B37" s="137" t="s">
        <v>541</v>
      </c>
      <c r="C37" s="10" t="s">
        <v>557</v>
      </c>
      <c r="D37" s="10"/>
      <c r="E37" s="10"/>
      <c r="F37" s="10"/>
      <c r="G37" s="10"/>
      <c r="H37" s="138"/>
      <c r="J37" s="155"/>
      <c r="K37" t="str">
        <f>K31</f>
        <v>GS &lt; 50</v>
      </c>
      <c r="L37" s="16">
        <f>$L$47*L$4+$L$48*L$5+$L$49*L$6+$L$50*L$7+$L$51*L$8+$L$52*L$9+$L$53*L$10+$L$54*L$11+$L$55*L$12+$L$56*L$13</f>
        <v>701206.72349043726</v>
      </c>
      <c r="M37" s="16">
        <f>$L$47*M$4+$L$48*M$5+$L$49*M$6+$L$50*M$7+$L$51*M$8+$L$52*M$9+$L$53*M$10+$L$54*M$11+$L$55*M$12+$L$56*M$13</f>
        <v>1195785.6669227458</v>
      </c>
      <c r="N37" s="16">
        <f>$L$47*N$4+$L$48*N$5+$L$49*N$6+$L$50*N$7+$L$51*N$8+$L$52*N$9+$L$53*N$10+$L$54*N$11+$L$55*N$12+$L$56*N$13</f>
        <v>811159.25705550576</v>
      </c>
      <c r="O37" s="16">
        <f>$L$47*O$4+$L$48*O$5+$L$49*O$6+$L$50*O$7+$L$51*O$8+$L$52*O$9+$L$53*O$10+$L$54*O$11+$L$55*O$12+$L$56*O$13</f>
        <v>1377518.5337208589</v>
      </c>
      <c r="P37" s="164">
        <f>$L$47*P$4+$L$48*P$5+$L$49*P$6+$L$50*P$7+$L$51*P$8+$L$52*P$9+$L$53*P$10+$L$54*P$11+$L$55*P$12+$L$56*P$13</f>
        <v>1377518.5337208589</v>
      </c>
    </row>
    <row r="38" spans="2:17">
      <c r="B38" s="137"/>
      <c r="C38" s="10" t="s">
        <v>558</v>
      </c>
      <c r="D38" s="10"/>
      <c r="E38" s="10"/>
      <c r="F38" s="10"/>
      <c r="G38" s="10"/>
      <c r="H38" s="138"/>
      <c r="J38" s="155" t="s">
        <v>533</v>
      </c>
      <c r="K38" t="str">
        <f>K32</f>
        <v>GS &gt; 50</v>
      </c>
      <c r="L38" s="16">
        <f>$M$47*L$4+$M$48*L$5+$M$49*L$6+$M$50*L$7+$M$51*L$8+$M$52*L$9+$M$53*L$10+$M$54*L$11+$M$55*L$12+$M$56*L$13</f>
        <v>746847.39780046558</v>
      </c>
      <c r="M38" s="16">
        <f>$M$47*M$4+$M$48*M$5+$M$49*M$6+$M$50*M$7+$M$51*M$8+$M$52*M$9+$M$53*M$10+$M$54*M$11+$M$55*M$12+$M$56*M$13</f>
        <v>1331048.0289688304</v>
      </c>
      <c r="N38" s="16">
        <f>$M$47*N$4+$M$48*N$5+$M$49*N$6+$M$50*N$7+$M$51*N$8+$M$52*N$9+$M$53*N$10+$M$54*N$11+$M$55*N$12+$M$56*N$13</f>
        <v>5103762.5697761057</v>
      </c>
      <c r="O38" s="16">
        <f>$M$47*O$4+$M$48*O$5+$M$49*O$6+$M$50*O$7+$M$51*O$8+$M$52*O$9+$M$53*O$10+$M$54*O$11+$M$55*O$12+$M$56*O$13</f>
        <v>5852684.5436815731</v>
      </c>
      <c r="P38" s="164">
        <f>$M$47*P$4+$M$48*P$5+$M$49*P$6+$M$50*P$7+$M$51*P$8+$M$52*P$9+$M$53*P$10+$M$54*P$11+$M$55*P$12+$M$56*P$13</f>
        <v>5852684.5436815731</v>
      </c>
    </row>
    <row r="39" spans="2:17">
      <c r="B39" s="148"/>
      <c r="C39" s="149"/>
      <c r="D39" s="149"/>
      <c r="E39" s="149"/>
      <c r="F39" s="149"/>
      <c r="G39" s="149"/>
      <c r="H39" s="150"/>
      <c r="J39" s="155"/>
      <c r="L39" s="16"/>
      <c r="M39" s="16"/>
      <c r="N39" s="16"/>
      <c r="O39" s="16"/>
      <c r="P39" s="164"/>
    </row>
    <row r="40" spans="2:17">
      <c r="J40" s="165"/>
      <c r="K40" s="166" t="s">
        <v>140</v>
      </c>
      <c r="L40" s="167">
        <f>SUM(L36:L39)</f>
        <v>1501806.8011035738</v>
      </c>
      <c r="M40" s="167">
        <f>SUM(M36:M39)</f>
        <v>2634339.0555169177</v>
      </c>
      <c r="N40" s="167">
        <f>SUM(N36:N39)</f>
        <v>6291190.5855203066</v>
      </c>
      <c r="O40" s="167">
        <f>SUM(O36:O39)</f>
        <v>7975061.6405208698</v>
      </c>
      <c r="P40" s="168">
        <f>SUM(P36:P39)</f>
        <v>7975061.6405208698</v>
      </c>
    </row>
    <row r="43" spans="2:17">
      <c r="B43" s="134"/>
      <c r="C43" s="169" t="s">
        <v>526</v>
      </c>
      <c r="D43" s="169"/>
      <c r="E43" s="169"/>
      <c r="F43" s="169"/>
      <c r="G43" s="152"/>
      <c r="H43" s="170"/>
    </row>
    <row r="44" spans="2:17">
      <c r="B44" s="137"/>
      <c r="C44" s="171">
        <v>2021</v>
      </c>
      <c r="D44" s="171">
        <v>2023</v>
      </c>
      <c r="E44" s="171">
        <v>2024</v>
      </c>
      <c r="F44" s="171">
        <v>2025</v>
      </c>
      <c r="H44" s="138" t="s">
        <v>559</v>
      </c>
      <c r="J44" s="151"/>
      <c r="K44" s="135" t="s">
        <v>133</v>
      </c>
      <c r="L44" s="135" t="s">
        <v>560</v>
      </c>
      <c r="M44" s="135" t="s">
        <v>500</v>
      </c>
      <c r="N44" s="135"/>
      <c r="O44" s="135"/>
      <c r="P44" s="152"/>
      <c r="Q44" s="170"/>
    </row>
    <row r="45" spans="2:17">
      <c r="B45" s="137" t="s">
        <v>561</v>
      </c>
      <c r="C45" s="270">
        <v>0</v>
      </c>
      <c r="D45" s="270">
        <v>0.5</v>
      </c>
      <c r="E45" s="270">
        <v>1</v>
      </c>
      <c r="F45" s="270">
        <v>0.5</v>
      </c>
      <c r="H45" s="162"/>
      <c r="J45" s="155"/>
      <c r="Q45" s="162"/>
    </row>
    <row r="46" spans="2:17">
      <c r="B46" s="137"/>
      <c r="C46" s="126"/>
      <c r="D46" s="126"/>
      <c r="E46" s="126"/>
      <c r="F46" s="126"/>
      <c r="H46" s="162"/>
      <c r="J46" s="155"/>
      <c r="Q46" s="162"/>
    </row>
    <row r="47" spans="2:17">
      <c r="B47" s="137" t="s">
        <v>529</v>
      </c>
      <c r="C47" s="139">
        <f t="shared" ref="C47:C53" si="10">C$45*L4</f>
        <v>0</v>
      </c>
      <c r="D47" s="139">
        <f>D$45*N4</f>
        <v>744772.82169546431</v>
      </c>
      <c r="E47" s="139">
        <f t="shared" ref="E47:F51" si="11">E$45*O4</f>
        <v>2323525.2376014488</v>
      </c>
      <c r="F47" s="139">
        <f t="shared" si="11"/>
        <v>1161762.6188007244</v>
      </c>
      <c r="H47" s="164">
        <f t="shared" ref="H47:H56" si="12">SUM(C47:F47)</f>
        <v>4230060.6780976374</v>
      </c>
      <c r="J47" s="155"/>
      <c r="L47" s="176">
        <v>0.5</v>
      </c>
      <c r="M47" s="176">
        <v>0.5</v>
      </c>
      <c r="N47" s="176"/>
      <c r="O47" s="176"/>
      <c r="Q47" s="271">
        <f>SUM(K47:O47)</f>
        <v>1</v>
      </c>
    </row>
    <row r="48" spans="2:17">
      <c r="B48" s="172" t="s">
        <v>424</v>
      </c>
      <c r="C48" s="173">
        <f t="shared" si="10"/>
        <v>0</v>
      </c>
      <c r="D48" s="173">
        <f t="shared" ref="D48:D51" si="13">D$45*N5</f>
        <v>41491.522100025875</v>
      </c>
      <c r="E48" s="173">
        <f t="shared" si="11"/>
        <v>269694.89365016815</v>
      </c>
      <c r="F48" s="173">
        <f t="shared" si="11"/>
        <v>134847.44682508407</v>
      </c>
      <c r="H48" s="164">
        <f t="shared" si="12"/>
        <v>446033.86257527804</v>
      </c>
      <c r="J48" s="155"/>
      <c r="L48" s="176">
        <v>0.8</v>
      </c>
      <c r="M48" s="176">
        <v>0.2</v>
      </c>
      <c r="N48" s="176"/>
      <c r="O48" s="176"/>
      <c r="Q48" s="271">
        <f t="shared" ref="Q48:Q55" si="14">SUM(K48:O48)</f>
        <v>1</v>
      </c>
    </row>
    <row r="49" spans="2:17">
      <c r="B49" s="137" t="s">
        <v>531</v>
      </c>
      <c r="C49" s="139">
        <f t="shared" si="10"/>
        <v>0</v>
      </c>
      <c r="D49" s="139">
        <f t="shared" si="13"/>
        <v>103728.80525006467</v>
      </c>
      <c r="E49" s="139">
        <f t="shared" si="11"/>
        <v>224054.21934013968</v>
      </c>
      <c r="F49" s="139">
        <f t="shared" si="11"/>
        <v>112027.10967006984</v>
      </c>
      <c r="H49" s="164">
        <f t="shared" si="12"/>
        <v>439810.13426027418</v>
      </c>
      <c r="J49" s="155"/>
      <c r="L49" s="176">
        <v>0</v>
      </c>
      <c r="M49" s="176">
        <v>1</v>
      </c>
      <c r="N49" s="176"/>
      <c r="O49" s="176"/>
      <c r="Q49" s="271">
        <f t="shared" si="14"/>
        <v>1</v>
      </c>
    </row>
    <row r="50" spans="2:17">
      <c r="B50" s="172" t="s">
        <v>532</v>
      </c>
      <c r="C50" s="173">
        <f t="shared" si="10"/>
        <v>0</v>
      </c>
      <c r="D50" s="173">
        <f t="shared" si="13"/>
        <v>60162.70704503751</v>
      </c>
      <c r="E50" s="173">
        <f t="shared" si="11"/>
        <v>398318.61216024833</v>
      </c>
      <c r="F50" s="173">
        <f t="shared" si="11"/>
        <v>199159.30608012417</v>
      </c>
      <c r="H50" s="164">
        <f t="shared" si="12"/>
        <v>657640.62528541009</v>
      </c>
      <c r="J50" s="155"/>
      <c r="L50" s="176">
        <v>0</v>
      </c>
      <c r="M50" s="176">
        <v>1</v>
      </c>
      <c r="N50" s="176"/>
      <c r="O50" s="176"/>
      <c r="Q50" s="271">
        <f t="shared" si="14"/>
        <v>1</v>
      </c>
    </row>
    <row r="51" spans="2:17">
      <c r="B51" s="137" t="s">
        <v>534</v>
      </c>
      <c r="C51" s="139">
        <f t="shared" si="10"/>
        <v>0</v>
      </c>
      <c r="D51" s="139">
        <f t="shared" si="13"/>
        <v>342305.05732521345</v>
      </c>
      <c r="E51" s="139">
        <f t="shared" si="11"/>
        <v>684610.1146504269</v>
      </c>
      <c r="F51" s="139">
        <f t="shared" si="11"/>
        <v>342305.05732521345</v>
      </c>
      <c r="H51" s="164">
        <f t="shared" si="12"/>
        <v>1369220.2293008538</v>
      </c>
      <c r="J51" s="155"/>
      <c r="L51" s="176">
        <v>0</v>
      </c>
      <c r="M51" s="176">
        <v>1</v>
      </c>
      <c r="N51" s="176"/>
      <c r="O51" s="176"/>
      <c r="Q51" s="271">
        <f t="shared" si="14"/>
        <v>1</v>
      </c>
    </row>
    <row r="52" spans="2:17">
      <c r="B52" s="172" t="s">
        <v>535</v>
      </c>
      <c r="C52" s="173">
        <f t="shared" si="10"/>
        <v>0</v>
      </c>
      <c r="D52" s="173">
        <f>D$45*N9</f>
        <v>1665000</v>
      </c>
      <c r="E52" s="173">
        <f t="shared" ref="E52:F56" si="15">E$45*O9</f>
        <v>3330000</v>
      </c>
      <c r="F52" s="173">
        <f t="shared" si="15"/>
        <v>1665000</v>
      </c>
      <c r="H52" s="164">
        <f t="shared" si="12"/>
        <v>6660000</v>
      </c>
      <c r="J52" s="155"/>
      <c r="L52" s="176">
        <v>0</v>
      </c>
      <c r="M52" s="176">
        <v>1</v>
      </c>
      <c r="Q52" s="271">
        <f t="shared" si="14"/>
        <v>1</v>
      </c>
    </row>
    <row r="53" spans="2:17">
      <c r="B53" s="137" t="s">
        <v>536</v>
      </c>
      <c r="C53" s="139">
        <f t="shared" si="10"/>
        <v>0</v>
      </c>
      <c r="D53" s="139">
        <f t="shared" ref="D53:D56" si="16">D$45*N10</f>
        <v>0</v>
      </c>
      <c r="E53" s="139">
        <f t="shared" si="15"/>
        <v>0</v>
      </c>
      <c r="F53" s="139">
        <f t="shared" si="15"/>
        <v>0</v>
      </c>
      <c r="H53" s="164">
        <f t="shared" si="12"/>
        <v>0</v>
      </c>
      <c r="J53" s="155"/>
      <c r="Q53" s="271"/>
    </row>
    <row r="54" spans="2:17">
      <c r="B54" s="172" t="s">
        <v>537</v>
      </c>
      <c r="C54" s="173">
        <f>C$45*L11</f>
        <v>0</v>
      </c>
      <c r="D54" s="173">
        <f t="shared" si="16"/>
        <v>0</v>
      </c>
      <c r="E54" s="173">
        <f t="shared" si="15"/>
        <v>0</v>
      </c>
      <c r="F54" s="173">
        <f t="shared" si="15"/>
        <v>0</v>
      </c>
      <c r="H54" s="164">
        <f t="shared" si="12"/>
        <v>0</v>
      </c>
      <c r="J54" s="155"/>
      <c r="Q54" s="271"/>
    </row>
    <row r="55" spans="2:17">
      <c r="B55" s="137" t="s">
        <v>538</v>
      </c>
      <c r="C55" s="139"/>
      <c r="D55" s="139">
        <f t="shared" si="16"/>
        <v>188134.37934434775</v>
      </c>
      <c r="E55" s="139">
        <f t="shared" si="15"/>
        <v>744858.56311843789</v>
      </c>
      <c r="F55" s="139">
        <f t="shared" si="15"/>
        <v>372429.28155921894</v>
      </c>
      <c r="H55" s="164">
        <f>SUM(C55:F55)</f>
        <v>1305422.2240220045</v>
      </c>
      <c r="J55" s="155"/>
      <c r="K55" s="272">
        <v>1</v>
      </c>
      <c r="Q55" s="271">
        <f t="shared" si="14"/>
        <v>1</v>
      </c>
    </row>
    <row r="56" spans="2:17">
      <c r="B56" s="172" t="s">
        <v>540</v>
      </c>
      <c r="C56" s="173"/>
      <c r="D56" s="173">
        <f t="shared" si="16"/>
        <v>0</v>
      </c>
      <c r="E56" s="173">
        <f t="shared" si="15"/>
        <v>0</v>
      </c>
      <c r="F56" s="173">
        <f t="shared" si="15"/>
        <v>0</v>
      </c>
      <c r="H56" s="164">
        <f t="shared" si="12"/>
        <v>0</v>
      </c>
      <c r="J56" s="155"/>
      <c r="Q56" s="162"/>
    </row>
    <row r="57" spans="2:17">
      <c r="B57" s="155"/>
      <c r="H57" s="162"/>
      <c r="J57" s="165"/>
      <c r="K57" s="174"/>
      <c r="L57" s="174"/>
      <c r="M57" s="174"/>
      <c r="N57" s="174"/>
      <c r="O57" s="174"/>
      <c r="P57" s="174"/>
      <c r="Q57" s="175"/>
    </row>
    <row r="58" spans="2:17">
      <c r="B58" s="155"/>
      <c r="C58" s="16">
        <f>SUM(C47:C54)</f>
        <v>0</v>
      </c>
      <c r="D58" s="16">
        <f t="shared" ref="D58:E58" si="17">SUM(D47:D56)</f>
        <v>3145595.2927601538</v>
      </c>
      <c r="E58" s="16">
        <f t="shared" si="17"/>
        <v>7975061.6405208698</v>
      </c>
      <c r="F58" s="16">
        <f>SUM(F47:F56)</f>
        <v>3987530.8202604349</v>
      </c>
      <c r="H58" s="164">
        <f>SUM(H47:H57)</f>
        <v>15108187.753541458</v>
      </c>
      <c r="J58" s="151"/>
      <c r="K58" s="152"/>
      <c r="L58" s="152"/>
      <c r="M58" s="152"/>
      <c r="N58" s="152"/>
      <c r="O58" s="152"/>
      <c r="P58" s="152"/>
      <c r="Q58" s="170"/>
    </row>
    <row r="59" spans="2:17">
      <c r="B59" s="165"/>
      <c r="C59" s="174"/>
      <c r="D59" s="174"/>
      <c r="E59" s="174"/>
      <c r="F59" s="174"/>
      <c r="G59" s="174"/>
      <c r="H59" s="175"/>
      <c r="J59" s="155"/>
      <c r="Q59" s="162"/>
    </row>
    <row r="60" spans="2:17">
      <c r="J60" s="155"/>
      <c r="K60" t="str">
        <f>K44</f>
        <v>Residential</v>
      </c>
      <c r="L60" t="str">
        <f>L44</f>
        <v>GS&lt; 50</v>
      </c>
      <c r="M60" t="str">
        <f>M44</f>
        <v>GS &gt; 50</v>
      </c>
      <c r="Q60" s="162"/>
    </row>
    <row r="61" spans="2:17">
      <c r="I61" t="str">
        <f t="shared" ref="I61:I70" si="18">B47</f>
        <v>Retrofit</v>
      </c>
      <c r="J61" s="155"/>
      <c r="K61" s="16">
        <f t="shared" ref="K61:M66" si="19">K47*$H47</f>
        <v>0</v>
      </c>
      <c r="L61" s="16">
        <f t="shared" si="19"/>
        <v>2115030.3390488187</v>
      </c>
      <c r="M61" s="16">
        <f t="shared" si="19"/>
        <v>2115030.3390488187</v>
      </c>
      <c r="N61" s="16"/>
      <c r="O61" s="16"/>
      <c r="Q61" s="164">
        <f>SUM(K61:O61)</f>
        <v>4230060.6780976374</v>
      </c>
    </row>
    <row r="62" spans="2:17">
      <c r="I62" t="str">
        <f t="shared" si="18"/>
        <v>Small Business</v>
      </c>
      <c r="J62" s="155"/>
      <c r="K62" s="16">
        <f t="shared" si="19"/>
        <v>0</v>
      </c>
      <c r="L62" s="16">
        <f t="shared" si="19"/>
        <v>356827.09006022243</v>
      </c>
      <c r="M62" s="16">
        <f t="shared" si="19"/>
        <v>89206.772515055607</v>
      </c>
      <c r="N62" s="16"/>
      <c r="O62" s="16"/>
      <c r="Q62" s="164">
        <f t="shared" ref="Q62:Q70" si="20">SUM(K62:O62)</f>
        <v>446033.86257527804</v>
      </c>
    </row>
    <row r="63" spans="2:17">
      <c r="I63" t="str">
        <f t="shared" si="18"/>
        <v xml:space="preserve">Energy Performance </v>
      </c>
      <c r="J63" s="155"/>
      <c r="K63" s="16">
        <f t="shared" si="19"/>
        <v>0</v>
      </c>
      <c r="L63" s="16">
        <f>L49*$H49</f>
        <v>0</v>
      </c>
      <c r="M63" s="16">
        <f t="shared" si="19"/>
        <v>439810.13426027418</v>
      </c>
      <c r="N63" s="16"/>
      <c r="O63" s="16"/>
      <c r="Q63" s="164">
        <f t="shared" si="20"/>
        <v>439810.13426027418</v>
      </c>
    </row>
    <row r="64" spans="2:17">
      <c r="I64" t="str">
        <f t="shared" si="18"/>
        <v>Energy Management</v>
      </c>
      <c r="J64" s="155"/>
      <c r="K64" s="16">
        <f t="shared" si="19"/>
        <v>0</v>
      </c>
      <c r="L64" s="16">
        <f t="shared" si="19"/>
        <v>0</v>
      </c>
      <c r="M64" s="16">
        <f t="shared" si="19"/>
        <v>657640.62528541009</v>
      </c>
      <c r="N64" s="16"/>
      <c r="O64" s="16"/>
      <c r="Q64" s="164">
        <f t="shared" si="20"/>
        <v>657640.62528541009</v>
      </c>
    </row>
    <row r="65" spans="3:17">
      <c r="I65" t="str">
        <f t="shared" si="18"/>
        <v>Industrial Energy Efficiency</v>
      </c>
      <c r="J65" s="155"/>
      <c r="K65" s="16">
        <f t="shared" si="19"/>
        <v>0</v>
      </c>
      <c r="L65" s="16">
        <f t="shared" si="19"/>
        <v>0</v>
      </c>
      <c r="M65" s="16">
        <f t="shared" si="19"/>
        <v>1369220.2293008538</v>
      </c>
      <c r="N65" s="16"/>
      <c r="O65" s="16"/>
      <c r="Q65" s="164">
        <f t="shared" si="20"/>
        <v>1369220.2293008538</v>
      </c>
    </row>
    <row r="66" spans="3:17">
      <c r="I66" t="str">
        <f t="shared" si="18"/>
        <v>Targeted Greenhouse</v>
      </c>
      <c r="J66" s="155"/>
      <c r="K66" s="16">
        <f t="shared" si="19"/>
        <v>0</v>
      </c>
      <c r="L66" s="16">
        <f t="shared" si="19"/>
        <v>0</v>
      </c>
      <c r="M66" s="16">
        <f t="shared" si="19"/>
        <v>6660000</v>
      </c>
      <c r="N66" s="16"/>
      <c r="O66" s="16"/>
      <c r="Q66" s="164">
        <f t="shared" si="20"/>
        <v>6660000</v>
      </c>
    </row>
    <row r="67" spans="3:17">
      <c r="I67" t="str">
        <f t="shared" si="18"/>
        <v>Local Initiatives</v>
      </c>
      <c r="J67" s="155"/>
      <c r="K67" s="16">
        <f>K55*$H53</f>
        <v>0</v>
      </c>
      <c r="L67" s="16">
        <f>L55*$H53</f>
        <v>0</v>
      </c>
      <c r="M67" s="16">
        <f>M55*$H53</f>
        <v>0</v>
      </c>
      <c r="N67" s="16"/>
      <c r="O67" s="16"/>
      <c r="Q67" s="164">
        <f t="shared" si="20"/>
        <v>0</v>
      </c>
    </row>
    <row r="68" spans="3:17">
      <c r="I68" t="str">
        <f t="shared" si="18"/>
        <v>Residential Demand Response</v>
      </c>
      <c r="J68" s="155"/>
      <c r="K68" s="16">
        <f t="shared" ref="K68:M68" si="21">K56*$H54</f>
        <v>0</v>
      </c>
      <c r="L68" s="16">
        <f t="shared" si="21"/>
        <v>0</v>
      </c>
      <c r="M68" s="16">
        <f t="shared" si="21"/>
        <v>0</v>
      </c>
      <c r="N68" s="16"/>
      <c r="O68" s="16"/>
      <c r="Q68" s="164">
        <f t="shared" si="20"/>
        <v>0</v>
      </c>
    </row>
    <row r="69" spans="3:17">
      <c r="I69" t="str">
        <f t="shared" si="18"/>
        <v>Energy Affordability Program</v>
      </c>
      <c r="J69" s="155"/>
      <c r="K69" s="16">
        <f>K55*$H55</f>
        <v>1305422.2240220045</v>
      </c>
      <c r="L69" s="16">
        <f t="shared" ref="L69:M70" si="22">L55*$H55</f>
        <v>0</v>
      </c>
      <c r="M69" s="16">
        <f t="shared" si="22"/>
        <v>0</v>
      </c>
      <c r="N69" s="16"/>
      <c r="O69" s="16"/>
      <c r="Q69" s="164">
        <f t="shared" si="20"/>
        <v>1305422.2240220045</v>
      </c>
    </row>
    <row r="70" spans="3:17">
      <c r="I70" t="str">
        <f t="shared" si="18"/>
        <v>First Nations Program</v>
      </c>
      <c r="J70" s="155"/>
      <c r="K70" s="16">
        <f>K56*$H56</f>
        <v>0</v>
      </c>
      <c r="L70" s="16">
        <f t="shared" si="22"/>
        <v>0</v>
      </c>
      <c r="M70" s="16">
        <f t="shared" si="22"/>
        <v>0</v>
      </c>
      <c r="N70" s="16"/>
      <c r="O70" s="16"/>
      <c r="Q70" s="164">
        <f t="shared" si="20"/>
        <v>0</v>
      </c>
    </row>
    <row r="71" spans="3:17">
      <c r="J71" s="155"/>
      <c r="K71" s="16"/>
      <c r="L71" s="16"/>
      <c r="M71" s="16"/>
      <c r="Q71" s="162"/>
    </row>
    <row r="72" spans="3:17">
      <c r="J72" s="155"/>
      <c r="K72" s="16">
        <f>SUM(K61:K70)</f>
        <v>1305422.2240220045</v>
      </c>
      <c r="L72" s="16">
        <f t="shared" ref="L72:M72" si="23">SUM(L61:L70)</f>
        <v>2471857.4291090411</v>
      </c>
      <c r="M72" s="16">
        <f t="shared" si="23"/>
        <v>11330908.100410413</v>
      </c>
      <c r="N72" s="16"/>
      <c r="O72" s="16"/>
      <c r="Q72" s="164">
        <f>SUM(K72:O72)</f>
        <v>15108187.753541458</v>
      </c>
    </row>
    <row r="73" spans="3:17">
      <c r="C73" s="6"/>
      <c r="D73" s="6"/>
      <c r="E73" s="67"/>
      <c r="J73" s="165"/>
      <c r="K73" s="177"/>
      <c r="L73" s="177"/>
      <c r="M73" s="177"/>
      <c r="N73" s="174"/>
      <c r="O73" s="174"/>
      <c r="P73" s="174"/>
      <c r="Q73" s="175"/>
    </row>
    <row r="74" spans="3:17">
      <c r="C74" s="6"/>
      <c r="D74" s="6"/>
      <c r="E74" s="67"/>
      <c r="K74" s="16"/>
      <c r="L74" s="16"/>
      <c r="M74" s="16"/>
    </row>
    <row r="75" spans="3:17">
      <c r="C75" s="6"/>
      <c r="D75" s="6"/>
      <c r="E75" s="67"/>
      <c r="K75" s="16"/>
      <c r="L75" s="16"/>
      <c r="M75" s="16"/>
    </row>
    <row r="76" spans="3:17">
      <c r="C76" s="6"/>
      <c r="D76" s="6"/>
      <c r="E76" s="67"/>
      <c r="K76" s="16"/>
      <c r="L76" s="16"/>
      <c r="M76" s="16"/>
    </row>
    <row r="77" spans="3:17">
      <c r="C77" s="6"/>
      <c r="D77" s="6"/>
      <c r="E77" s="67"/>
      <c r="K77" s="4"/>
      <c r="L77" s="4"/>
      <c r="M77" s="4"/>
      <c r="N77" s="4"/>
    </row>
    <row r="78" spans="3:17">
      <c r="C78" s="6"/>
      <c r="D78" s="6"/>
      <c r="E78" s="67"/>
      <c r="L78" s="6"/>
      <c r="M78" s="6"/>
      <c r="N78" s="6"/>
    </row>
    <row r="86" spans="3:6">
      <c r="C86" s="4"/>
      <c r="D86" s="4"/>
    </row>
    <row r="87" spans="3:6">
      <c r="C87" s="4"/>
      <c r="D87" s="4"/>
    </row>
    <row r="88" spans="3:6">
      <c r="C88" s="4"/>
      <c r="D88" s="4"/>
    </row>
    <row r="89" spans="3:6">
      <c r="C89" s="4"/>
      <c r="D89" s="4"/>
      <c r="E89" s="6"/>
      <c r="F89" s="67"/>
    </row>
    <row r="90" spans="3:6">
      <c r="C90" s="4"/>
      <c r="D90" s="4"/>
      <c r="E90" s="6"/>
      <c r="F90" s="67"/>
    </row>
    <row r="91" spans="3:6">
      <c r="C91" s="4"/>
      <c r="D91" s="4"/>
      <c r="E91" s="6"/>
      <c r="F91" s="67"/>
    </row>
    <row r="92" spans="3:6">
      <c r="C92" s="4"/>
      <c r="D92" s="4"/>
      <c r="E92" s="6"/>
      <c r="F92" s="67"/>
    </row>
    <row r="93" spans="3:6">
      <c r="C93" s="4"/>
      <c r="D93" s="4"/>
      <c r="E93" s="6"/>
      <c r="F93" s="67"/>
    </row>
    <row r="94" spans="3:6">
      <c r="C94" s="4"/>
      <c r="D94" s="4"/>
      <c r="E94" s="6"/>
      <c r="F94" s="67"/>
    </row>
    <row r="95" spans="3:6">
      <c r="E95" s="6"/>
      <c r="F95" s="67"/>
    </row>
    <row r="96" spans="3:6">
      <c r="E96" s="6"/>
      <c r="F96" s="67"/>
    </row>
    <row r="97" spans="4:6">
      <c r="E97" s="6"/>
      <c r="F97" s="67"/>
    </row>
    <row r="98" spans="4:6">
      <c r="D98" s="6"/>
      <c r="E98" s="6"/>
      <c r="F98" s="67"/>
    </row>
    <row r="99" spans="4:6">
      <c r="D99" s="6"/>
      <c r="E99" s="6"/>
      <c r="F99" s="67"/>
    </row>
    <row r="100" spans="4:6">
      <c r="D100" s="6"/>
      <c r="E100" s="6"/>
      <c r="F100" s="67"/>
    </row>
    <row r="101" spans="4:6">
      <c r="D101" s="6"/>
      <c r="E101" s="6"/>
      <c r="F101" s="67"/>
    </row>
    <row r="102" spans="4:6">
      <c r="D102" s="6"/>
      <c r="E102" s="6"/>
      <c r="F102" s="67"/>
    </row>
    <row r="103" spans="4:6">
      <c r="D103" s="6"/>
      <c r="E103" s="6"/>
      <c r="F103" s="67"/>
    </row>
    <row r="117" spans="11:14">
      <c r="K117" s="16"/>
      <c r="L117" s="16"/>
      <c r="M117" s="16"/>
      <c r="N117" s="16"/>
    </row>
    <row r="118" spans="11:14">
      <c r="K118" s="16"/>
      <c r="L118" s="16"/>
      <c r="M118" s="16"/>
      <c r="N118" s="16"/>
    </row>
    <row r="119" spans="11:14">
      <c r="K119" s="16"/>
      <c r="L119" s="16"/>
      <c r="M119" s="16"/>
      <c r="N119" s="16"/>
    </row>
    <row r="120" spans="11:14">
      <c r="K120" s="16"/>
      <c r="L120" s="16"/>
      <c r="M120" s="16"/>
      <c r="N120" s="16"/>
    </row>
    <row r="121" spans="11:14">
      <c r="K121" s="16"/>
      <c r="L121" s="16"/>
      <c r="M121" s="16"/>
      <c r="N121" s="16"/>
    </row>
    <row r="122" spans="11:14">
      <c r="K122" s="16"/>
      <c r="L122" s="16"/>
      <c r="M122" s="16"/>
      <c r="N122" s="16"/>
    </row>
    <row r="123" spans="11:14">
      <c r="K123" s="16"/>
      <c r="L123" s="16"/>
      <c r="M123" s="16"/>
      <c r="N123" s="16"/>
    </row>
    <row r="124" spans="11:14">
      <c r="K124" s="16"/>
      <c r="L124" s="16"/>
      <c r="M124" s="16"/>
    </row>
    <row r="125" spans="11:14">
      <c r="K125" s="16"/>
      <c r="L125" s="16"/>
      <c r="M125" s="16"/>
      <c r="N125" s="16"/>
    </row>
    <row r="126" spans="11:14">
      <c r="K126" s="16"/>
      <c r="L126" s="16"/>
      <c r="M126" s="16"/>
    </row>
    <row r="127" spans="11:14">
      <c r="K127" s="16"/>
      <c r="L127" s="16"/>
      <c r="M127" s="16"/>
    </row>
  </sheetData>
  <pageMargins left="0.7" right="0.7" top="0.75" bottom="0.75" header="0.3" footer="0.3"/>
  <ignoredErrors>
    <ignoredError sqref="C14:F14 C34 F34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5B924-B337-4893-9C16-FE202CA65E8F}">
  <sheetPr codeName="Sheet52"/>
  <dimension ref="B1:L26"/>
  <sheetViews>
    <sheetView topLeftCell="A14" workbookViewId="0">
      <selection activeCell="O14" sqref="O14"/>
    </sheetView>
  </sheetViews>
  <sheetFormatPr defaultRowHeight="14.45"/>
  <cols>
    <col min="2" max="2" width="13.5703125" bestFit="1" customWidth="1"/>
    <col min="3" max="3" width="14.7109375" bestFit="1" customWidth="1"/>
    <col min="4" max="4" width="11.5703125" bestFit="1" customWidth="1"/>
    <col min="5" max="7" width="14.7109375" bestFit="1" customWidth="1"/>
    <col min="8" max="8" width="12.140625" customWidth="1"/>
    <col min="9" max="9" width="14.7109375" bestFit="1" customWidth="1"/>
    <col min="10" max="10" width="13.28515625" bestFit="1" customWidth="1"/>
    <col min="11" max="11" width="12.5703125" customWidth="1"/>
    <col min="12" max="12" width="9.5703125" bestFit="1" customWidth="1"/>
  </cols>
  <sheetData>
    <row r="1" spans="2:12" ht="15" thickBot="1"/>
    <row r="2" spans="2:12">
      <c r="B2" s="555"/>
      <c r="C2" s="556"/>
      <c r="D2" s="556"/>
      <c r="E2" s="556"/>
      <c r="F2" s="556"/>
      <c r="G2" s="556"/>
      <c r="H2" s="556"/>
      <c r="I2" s="556"/>
      <c r="J2" s="557"/>
    </row>
    <row r="3" spans="2:12">
      <c r="B3" s="552" t="s">
        <v>562</v>
      </c>
      <c r="C3" s="553"/>
      <c r="D3" s="553"/>
      <c r="E3" s="553"/>
      <c r="F3" s="553"/>
      <c r="G3" s="553"/>
      <c r="H3" s="553"/>
      <c r="I3" s="553"/>
      <c r="J3" s="554"/>
    </row>
    <row r="4" spans="2:12" ht="26.1">
      <c r="B4" s="568" t="s">
        <v>563</v>
      </c>
      <c r="C4" s="569">
        <v>2023</v>
      </c>
      <c r="D4" s="569"/>
      <c r="E4" s="569"/>
      <c r="F4" s="200">
        <v>2024</v>
      </c>
      <c r="G4" s="570">
        <v>2025</v>
      </c>
      <c r="H4" s="571"/>
      <c r="I4" s="572"/>
      <c r="J4" s="213" t="s">
        <v>564</v>
      </c>
    </row>
    <row r="5" spans="2:12" ht="27.95">
      <c r="B5" s="568"/>
      <c r="C5" s="199" t="s">
        <v>452</v>
      </c>
      <c r="D5" s="201" t="s">
        <v>565</v>
      </c>
      <c r="E5" s="199" t="s">
        <v>566</v>
      </c>
      <c r="F5" s="199" t="s">
        <v>452</v>
      </c>
      <c r="G5" s="199" t="s">
        <v>452</v>
      </c>
      <c r="H5" s="201" t="s">
        <v>565</v>
      </c>
      <c r="I5" s="199" t="s">
        <v>566</v>
      </c>
      <c r="J5" s="214" t="s">
        <v>452</v>
      </c>
    </row>
    <row r="6" spans="2:12">
      <c r="B6" s="198"/>
      <c r="C6" s="202" t="s">
        <v>370</v>
      </c>
      <c r="D6" s="202" t="s">
        <v>372</v>
      </c>
      <c r="E6" s="202" t="s">
        <v>567</v>
      </c>
      <c r="F6" s="202" t="s">
        <v>375</v>
      </c>
      <c r="G6" s="202" t="s">
        <v>377</v>
      </c>
      <c r="H6" s="202" t="s">
        <v>379</v>
      </c>
      <c r="I6" s="202" t="s">
        <v>568</v>
      </c>
      <c r="J6" s="215" t="s">
        <v>569</v>
      </c>
    </row>
    <row r="7" spans="2:12">
      <c r="B7" s="203" t="s">
        <v>133</v>
      </c>
      <c r="C7" s="204">
        <f>'CDM Framework'!N36</f>
        <v>376268.7586886955</v>
      </c>
      <c r="D7" s="205">
        <v>0.5</v>
      </c>
      <c r="E7" s="206">
        <f>C7*D7</f>
        <v>188134.37934434775</v>
      </c>
      <c r="F7" s="204">
        <f>'CDM Framework'!O36</f>
        <v>744858.56311843789</v>
      </c>
      <c r="G7" s="204">
        <f>'CDM Framework'!P36</f>
        <v>744858.56311843789</v>
      </c>
      <c r="H7" s="86">
        <v>0.5</v>
      </c>
      <c r="I7" s="207">
        <f>G7*H7</f>
        <v>372429.28155921894</v>
      </c>
      <c r="J7" s="216">
        <f t="shared" ref="J7:J13" si="0">E7+F7+I7</f>
        <v>1305422.2240220045</v>
      </c>
    </row>
    <row r="8" spans="2:12">
      <c r="B8" s="208" t="s">
        <v>461</v>
      </c>
      <c r="C8" s="204">
        <f>'CDM Framework'!N37</f>
        <v>811159.25705550576</v>
      </c>
      <c r="D8" s="205">
        <v>0.5</v>
      </c>
      <c r="E8" s="206">
        <f t="shared" ref="E8:E13" si="1">C8*D8</f>
        <v>405579.62852775288</v>
      </c>
      <c r="F8" s="204">
        <f>'CDM Framework'!O37</f>
        <v>1377518.5337208589</v>
      </c>
      <c r="G8" s="204">
        <f>'CDM Framework'!P37</f>
        <v>1377518.5337208589</v>
      </c>
      <c r="H8" s="86">
        <v>0.5</v>
      </c>
      <c r="I8" s="207">
        <f t="shared" ref="I8:I13" si="2">G8*H8</f>
        <v>688759.26686042943</v>
      </c>
      <c r="J8" s="216">
        <f t="shared" si="0"/>
        <v>2471857.4291090411</v>
      </c>
    </row>
    <row r="9" spans="2:12">
      <c r="B9" s="203" t="s">
        <v>500</v>
      </c>
      <c r="C9" s="204">
        <f>'CDM Framework'!N38</f>
        <v>5103762.5697761057</v>
      </c>
      <c r="D9" s="205">
        <v>0.5</v>
      </c>
      <c r="E9" s="206">
        <f t="shared" si="1"/>
        <v>2551881.2848880528</v>
      </c>
      <c r="F9" s="204">
        <f>'CDM Framework'!O38</f>
        <v>5852684.5436815731</v>
      </c>
      <c r="G9" s="204">
        <f>'CDM Framework'!P38</f>
        <v>5852684.5436815731</v>
      </c>
      <c r="H9" s="86">
        <v>0.5</v>
      </c>
      <c r="I9" s="207">
        <f t="shared" si="2"/>
        <v>2926342.2718407866</v>
      </c>
      <c r="J9" s="216">
        <f t="shared" si="0"/>
        <v>11330908.100410413</v>
      </c>
    </row>
    <row r="10" spans="2:12">
      <c r="B10" s="208" t="s">
        <v>503</v>
      </c>
      <c r="C10" s="204"/>
      <c r="D10" s="205">
        <v>0.5</v>
      </c>
      <c r="E10" s="206">
        <f t="shared" si="1"/>
        <v>0</v>
      </c>
      <c r="F10" s="204"/>
      <c r="G10" s="204"/>
      <c r="H10" s="86">
        <v>0.5</v>
      </c>
      <c r="I10" s="207">
        <f t="shared" si="2"/>
        <v>0</v>
      </c>
      <c r="J10" s="216">
        <f t="shared" si="0"/>
        <v>0</v>
      </c>
    </row>
    <row r="11" spans="2:12">
      <c r="B11" s="208" t="s">
        <v>138</v>
      </c>
      <c r="C11" s="204"/>
      <c r="D11" s="205">
        <v>0.5</v>
      </c>
      <c r="E11" s="206">
        <f t="shared" si="1"/>
        <v>0</v>
      </c>
      <c r="F11" s="204"/>
      <c r="G11" s="204"/>
      <c r="H11" s="86">
        <v>0.5</v>
      </c>
      <c r="I11" s="207">
        <f t="shared" si="2"/>
        <v>0</v>
      </c>
      <c r="J11" s="216">
        <f t="shared" si="0"/>
        <v>0</v>
      </c>
    </row>
    <row r="12" spans="2:12">
      <c r="B12" s="208" t="s">
        <v>137</v>
      </c>
      <c r="C12" s="204"/>
      <c r="D12" s="205">
        <v>0.5</v>
      </c>
      <c r="E12" s="206">
        <f t="shared" si="1"/>
        <v>0</v>
      </c>
      <c r="F12" s="204"/>
      <c r="G12" s="204"/>
      <c r="H12" s="86">
        <v>0.5</v>
      </c>
      <c r="I12" s="207">
        <f t="shared" si="2"/>
        <v>0</v>
      </c>
      <c r="J12" s="216">
        <f t="shared" si="0"/>
        <v>0</v>
      </c>
    </row>
    <row r="13" spans="2:12">
      <c r="B13" s="208" t="s">
        <v>139</v>
      </c>
      <c r="C13" s="204"/>
      <c r="D13" s="205">
        <v>0.5</v>
      </c>
      <c r="E13" s="206">
        <f t="shared" si="1"/>
        <v>0</v>
      </c>
      <c r="F13" s="204"/>
      <c r="G13" s="204"/>
      <c r="H13" s="86">
        <v>0.5</v>
      </c>
      <c r="I13" s="207">
        <f t="shared" si="2"/>
        <v>0</v>
      </c>
      <c r="J13" s="216">
        <f t="shared" si="0"/>
        <v>0</v>
      </c>
    </row>
    <row r="14" spans="2:12" ht="15" thickBot="1">
      <c r="B14" s="209" t="s">
        <v>570</v>
      </c>
      <c r="C14" s="210">
        <f>SUM(C7:C13)</f>
        <v>6291190.5855203066</v>
      </c>
      <c r="D14" s="87">
        <v>0.5</v>
      </c>
      <c r="E14" s="211">
        <f>C14*D14</f>
        <v>3145595.2927601533</v>
      </c>
      <c r="F14" s="211">
        <f>SUM(F7:F13)</f>
        <v>7975061.6405208698</v>
      </c>
      <c r="G14" s="211">
        <f>SUM(G7:G13)</f>
        <v>7975061.6405208698</v>
      </c>
      <c r="H14" s="88">
        <v>0.5</v>
      </c>
      <c r="I14" s="212">
        <f>G14*H14</f>
        <v>3987530.8202604349</v>
      </c>
      <c r="J14" s="217">
        <f>E14+F14+I14</f>
        <v>15108187.753541458</v>
      </c>
    </row>
    <row r="15" spans="2:12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</row>
    <row r="16" spans="2:12" ht="15" thickBot="1"/>
    <row r="17" spans="2:7">
      <c r="B17" s="560"/>
      <c r="C17" s="561"/>
      <c r="D17" s="561"/>
      <c r="E17" s="561"/>
      <c r="F17" s="561"/>
      <c r="G17" s="562"/>
    </row>
    <row r="18" spans="2:7">
      <c r="B18" s="563" t="s">
        <v>571</v>
      </c>
      <c r="C18" s="564"/>
      <c r="D18" s="564"/>
      <c r="E18" s="564"/>
      <c r="F18" s="564"/>
      <c r="G18" s="565"/>
    </row>
    <row r="19" spans="2:7" ht="15" customHeight="1">
      <c r="B19" s="89" t="s">
        <v>563</v>
      </c>
      <c r="C19" s="558" t="s">
        <v>572</v>
      </c>
      <c r="D19" s="559"/>
      <c r="E19" s="90"/>
      <c r="F19" s="566" t="s">
        <v>573</v>
      </c>
      <c r="G19" s="567"/>
    </row>
    <row r="20" spans="2:7" ht="43.5">
      <c r="B20" s="83"/>
      <c r="C20" s="91" t="s">
        <v>574</v>
      </c>
      <c r="D20" s="91" t="s">
        <v>561</v>
      </c>
      <c r="E20" s="91" t="s">
        <v>575</v>
      </c>
      <c r="F20" s="91" t="s">
        <v>574</v>
      </c>
      <c r="G20" s="92" t="s">
        <v>561</v>
      </c>
    </row>
    <row r="21" spans="2:7">
      <c r="B21" s="83"/>
      <c r="C21" s="91" t="s">
        <v>370</v>
      </c>
      <c r="D21" s="91" t="s">
        <v>372</v>
      </c>
      <c r="E21" s="91" t="s">
        <v>513</v>
      </c>
      <c r="F21" s="91" t="s">
        <v>375</v>
      </c>
      <c r="G21" s="92" t="s">
        <v>576</v>
      </c>
    </row>
    <row r="22" spans="2:7">
      <c r="B22" s="83" t="s">
        <v>500</v>
      </c>
      <c r="C22" s="93">
        <f ca="1">'Normalized Annual Summary'!AE15</f>
        <v>186768071.92916703</v>
      </c>
      <c r="D22" s="94">
        <f>J9</f>
        <v>11330908.100410413</v>
      </c>
      <c r="E22" s="95">
        <f ca="1">D22/C22</f>
        <v>6.0668335778010986E-2</v>
      </c>
      <c r="F22" s="93">
        <f ca="1">'kW Forecast'!D29</f>
        <v>620677.92644378031</v>
      </c>
      <c r="G22" s="96">
        <f ca="1">F22*E22</f>
        <v>37655.496851490869</v>
      </c>
    </row>
    <row r="23" spans="2:7">
      <c r="B23" s="97" t="s">
        <v>503</v>
      </c>
      <c r="C23" s="98">
        <f ca="1">'Normalized Annual Summary'!AM16</f>
        <v>34244754.121491976</v>
      </c>
      <c r="D23" s="94">
        <f>J10</f>
        <v>0</v>
      </c>
      <c r="E23" s="95">
        <f ca="1">D23/C23</f>
        <v>0</v>
      </c>
      <c r="F23" s="98">
        <f ca="1">'kW Forecast'!Y29</f>
        <v>90871.252838385451</v>
      </c>
      <c r="G23" s="96">
        <f ca="1">F23*E23</f>
        <v>0</v>
      </c>
    </row>
    <row r="24" spans="2:7">
      <c r="B24" s="97" t="s">
        <v>138</v>
      </c>
      <c r="C24" s="98">
        <f>'Normalized Annual Summary'!AS15</f>
        <v>2424399.2117340649</v>
      </c>
      <c r="D24" s="94">
        <f>J11</f>
        <v>0</v>
      </c>
      <c r="E24" s="95">
        <f>D24/C24</f>
        <v>0</v>
      </c>
      <c r="F24" s="98">
        <f>'kW Forecast'!L29</f>
        <v>7372.4856525959021</v>
      </c>
      <c r="G24" s="96">
        <f>F24*E24</f>
        <v>0</v>
      </c>
    </row>
    <row r="25" spans="2:7">
      <c r="B25" s="97" t="s">
        <v>137</v>
      </c>
      <c r="C25" s="98">
        <f>'Normalized Annual Summary'!AY15</f>
        <v>266129.58549679042</v>
      </c>
      <c r="D25" s="94">
        <f>J12</f>
        <v>0</v>
      </c>
      <c r="E25" s="95">
        <f>D25/C25</f>
        <v>0</v>
      </c>
      <c r="F25" s="98">
        <f>'kW Forecast'!R29</f>
        <v>716.34708302108174</v>
      </c>
      <c r="G25" s="96">
        <f>F25*E25</f>
        <v>0</v>
      </c>
    </row>
    <row r="26" spans="2:7" ht="15" thickBot="1">
      <c r="B26" s="122" t="s">
        <v>570</v>
      </c>
      <c r="C26" s="123">
        <f ca="1">SUM(C22:C25)</f>
        <v>223703354.84788984</v>
      </c>
      <c r="D26" s="123">
        <f>SUM(D22:D25)</f>
        <v>11330908.100410413</v>
      </c>
      <c r="E26" s="293">
        <f ca="1">SUM(E22:E25)</f>
        <v>6.0668335778010986E-2</v>
      </c>
      <c r="F26" s="124">
        <f ca="1">SUM(F22:F25)</f>
        <v>719638.01201778266</v>
      </c>
      <c r="G26" s="125">
        <f ca="1">SUM(G22:G25)</f>
        <v>37655.496851490869</v>
      </c>
    </row>
  </sheetData>
  <mergeCells count="9">
    <mergeCell ref="B3:J3"/>
    <mergeCell ref="B2:J2"/>
    <mergeCell ref="C19:D19"/>
    <mergeCell ref="B17:G17"/>
    <mergeCell ref="B18:G18"/>
    <mergeCell ref="F19:G19"/>
    <mergeCell ref="B4:B5"/>
    <mergeCell ref="C4:E4"/>
    <mergeCell ref="G4:I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03DB-DCD6-4F0B-9D4B-CBBC3465894C}">
  <sheetPr codeName="Sheet28">
    <tabColor rgb="FFFF0000"/>
  </sheetPr>
  <dimension ref="B1:S86"/>
  <sheetViews>
    <sheetView topLeftCell="A19" workbookViewId="0">
      <selection activeCell="O41" sqref="O41"/>
    </sheetView>
  </sheetViews>
  <sheetFormatPr defaultColWidth="7.85546875" defaultRowHeight="12.6"/>
  <cols>
    <col min="1" max="1" width="2.5703125" style="38" customWidth="1"/>
    <col min="2" max="2" width="21" style="38" customWidth="1"/>
    <col min="3" max="3" width="12.5703125" style="38" bestFit="1" customWidth="1"/>
    <col min="4" max="4" width="10.85546875" style="38" bestFit="1" customWidth="1"/>
    <col min="5" max="5" width="11.5703125" style="38" bestFit="1" customWidth="1"/>
    <col min="6" max="6" width="10.85546875" style="38" bestFit="1" customWidth="1"/>
    <col min="7" max="7" width="11.85546875" style="38" bestFit="1" customWidth="1"/>
    <col min="8" max="8" width="10.85546875" style="38" bestFit="1" customWidth="1"/>
    <col min="9" max="11" width="14.85546875" style="38" bestFit="1" customWidth="1"/>
    <col min="12" max="12" width="10.85546875" style="38" bestFit="1" customWidth="1"/>
    <col min="13" max="13" width="13.140625" style="38" customWidth="1"/>
    <col min="14" max="14" width="14.85546875" style="38" bestFit="1" customWidth="1"/>
    <col min="15" max="15" width="13.85546875" style="38" bestFit="1" customWidth="1"/>
    <col min="16" max="16" width="13.7109375" style="38" customWidth="1"/>
    <col min="17" max="17" width="13.85546875" style="38" bestFit="1" customWidth="1"/>
    <col min="18" max="18" width="15.140625" style="38" bestFit="1" customWidth="1"/>
    <col min="19" max="19" width="13.42578125" style="38" customWidth="1"/>
    <col min="20" max="20" width="7.85546875" style="38"/>
    <col min="21" max="21" width="13.7109375" style="38" customWidth="1"/>
    <col min="22" max="16384" width="7.85546875" style="38"/>
  </cols>
  <sheetData>
    <row r="1" spans="2:15" ht="15.95" thickBot="1">
      <c r="B1" s="51" t="s">
        <v>493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2:15" ht="12.95">
      <c r="B2" s="400" t="s">
        <v>452</v>
      </c>
      <c r="C2" s="52" t="s">
        <v>577</v>
      </c>
      <c r="D2" s="52" t="s">
        <v>578</v>
      </c>
      <c r="E2" s="52" t="s">
        <v>579</v>
      </c>
      <c r="F2" s="52" t="s">
        <v>580</v>
      </c>
      <c r="G2" s="52" t="s">
        <v>581</v>
      </c>
      <c r="H2" s="52" t="s">
        <v>582</v>
      </c>
      <c r="I2" s="52" t="s">
        <v>583</v>
      </c>
      <c r="J2" s="52" t="s">
        <v>584</v>
      </c>
      <c r="K2" s="52" t="s">
        <v>585</v>
      </c>
      <c r="L2" s="52" t="s">
        <v>586</v>
      </c>
      <c r="M2" s="397" t="s">
        <v>587</v>
      </c>
      <c r="N2" s="52" t="s">
        <v>588</v>
      </c>
      <c r="O2" s="53" t="s">
        <v>589</v>
      </c>
    </row>
    <row r="3" spans="2:15" ht="12.95">
      <c r="B3" s="54" t="s">
        <v>133</v>
      </c>
      <c r="C3" s="39">
        <f ca="1">OFFSET('Normalized Annual Summary'!$C$5,COLUMN()-3,0)</f>
        <v>245551953</v>
      </c>
      <c r="D3" s="39">
        <f ca="1">OFFSET('Normalized Annual Summary'!$C$5,COLUMN()-3,0)</f>
        <v>244757238</v>
      </c>
      <c r="E3" s="39">
        <f ca="1">OFFSET('Normalized Annual Summary'!$C$5,COLUMN()-3,0)</f>
        <v>255390423</v>
      </c>
      <c r="F3" s="39">
        <f ca="1">OFFSET('Normalized Annual Summary'!$C$5,COLUMN()-3,0)</f>
        <v>240232071</v>
      </c>
      <c r="G3" s="39">
        <f ca="1">OFFSET('Normalized Annual Summary'!$C$5,COLUMN()-3,0)</f>
        <v>259974120</v>
      </c>
      <c r="H3" s="39">
        <f ca="1">OFFSET('Normalized Annual Summary'!$C$5,COLUMN()-3,0)</f>
        <v>252809094</v>
      </c>
      <c r="I3" s="39">
        <f ca="1">OFFSET('Normalized Annual Summary'!$C$5,COLUMN()-3,0)</f>
        <v>271898869</v>
      </c>
      <c r="J3" s="39">
        <f ca="1">OFFSET('Normalized Annual Summary'!$C$5,COLUMN()-3,0)</f>
        <v>277378582</v>
      </c>
      <c r="K3" s="39">
        <f ca="1">OFFSET('Normalized Annual Summary'!$C$5,COLUMN()-3,0)</f>
        <v>272607146</v>
      </c>
      <c r="L3" s="39">
        <f ca="1">OFFSET('Normalized Annual Summary'!$C$5,COLUMN()-3,0)</f>
        <v>259000633.64553002</v>
      </c>
      <c r="M3" s="398">
        <f ca="1">OFFSET('Normalized Annual Summary'!$K$14,COLUMN()-COLUMN($M3),0)</f>
        <v>268851806.87832141</v>
      </c>
      <c r="N3" s="39">
        <f ca="1">OFFSET('Normalized Annual Summary'!$K$14,COLUMN()-COLUMN($M3),0)</f>
        <v>276867818.87151098</v>
      </c>
      <c r="O3" s="55">
        <f ca="1">OFFSET('Normalized Annual Summary'!$K$14,COLUMN()-COLUMN($M3),0)</f>
        <v>285532767.83244443</v>
      </c>
    </row>
    <row r="4" spans="2:15" ht="12.95">
      <c r="B4" s="56" t="s">
        <v>461</v>
      </c>
      <c r="C4" s="39">
        <f ca="1">OFFSET('Normalized Annual Summary'!$N$5,COLUMN()-3,0)</f>
        <v>65242009</v>
      </c>
      <c r="D4" s="39">
        <f ca="1">OFFSET('Normalized Annual Summary'!$N$5,COLUMN()-3,0)</f>
        <v>65329578</v>
      </c>
      <c r="E4" s="39">
        <f ca="1">OFFSET('Normalized Annual Summary'!$N$5,COLUMN()-3,0)</f>
        <v>66808994</v>
      </c>
      <c r="F4" s="39">
        <f ca="1">OFFSET('Normalized Annual Summary'!$N$5,COLUMN()-3,0)</f>
        <v>65115315</v>
      </c>
      <c r="G4" s="39">
        <f ca="1">OFFSET('Normalized Annual Summary'!$N$5,COLUMN()-3,0)</f>
        <v>66321666</v>
      </c>
      <c r="H4" s="39">
        <f ca="1">OFFSET('Normalized Annual Summary'!$N$5,COLUMN()-3,0)</f>
        <v>65058987</v>
      </c>
      <c r="I4" s="39">
        <f ca="1">OFFSET('Normalized Annual Summary'!$N$5,COLUMN()-3,0)</f>
        <v>60802781</v>
      </c>
      <c r="J4" s="39">
        <f ca="1">OFFSET('Normalized Annual Summary'!$N$5,COLUMN()-3,0)</f>
        <v>62043606</v>
      </c>
      <c r="K4" s="39">
        <f ca="1">OFFSET('Normalized Annual Summary'!$N$5,COLUMN()-3,0)</f>
        <v>67628825</v>
      </c>
      <c r="L4" s="39">
        <f ca="1">OFFSET('Normalized Annual Summary'!$N$5,COLUMN()-3,0)</f>
        <v>63293408.089218006</v>
      </c>
      <c r="M4" s="398">
        <f ca="1">OFFSET('Normalized Annual Summary'!$V$14,COLUMN()-COLUMN($M3),0)</f>
        <v>66803652.245221414</v>
      </c>
      <c r="N4" s="39">
        <f ca="1">OFFSET('Normalized Annual Summary'!$V$14,COLUMN()-COLUMN($M3),0)</f>
        <v>69453177.561750546</v>
      </c>
      <c r="O4" s="55">
        <f ca="1">OFFSET('Normalized Annual Summary'!$V$14,COLUMN()-COLUMN($M3),0)</f>
        <v>73192444.375297099</v>
      </c>
    </row>
    <row r="5" spans="2:15" ht="12.95">
      <c r="B5" s="56" t="s">
        <v>500</v>
      </c>
      <c r="C5" s="39">
        <f ca="1">OFFSET('Normalized Annual Summary'!$Y$5,COLUMN()-3,0)</f>
        <v>167236927</v>
      </c>
      <c r="D5" s="39">
        <f ca="1">OFFSET('Normalized Annual Summary'!$Y$5,COLUMN()-3,0)</f>
        <v>171977957</v>
      </c>
      <c r="E5" s="39">
        <f ca="1">OFFSET('Normalized Annual Summary'!$Y$5,COLUMN()-3,0)</f>
        <v>187031606</v>
      </c>
      <c r="F5" s="39">
        <f ca="1">OFFSET('Normalized Annual Summary'!$Y$5,COLUMN()-3,0)</f>
        <v>166511229</v>
      </c>
      <c r="G5" s="39">
        <f ca="1">OFFSET('Normalized Annual Summary'!$Y$5,COLUMN()-3,0)</f>
        <v>171089785</v>
      </c>
      <c r="H5" s="39">
        <f ca="1">OFFSET('Normalized Annual Summary'!$Y$5,COLUMN()-3,0)</f>
        <v>180918659</v>
      </c>
      <c r="I5" s="39">
        <f ca="1">OFFSET('Normalized Annual Summary'!$Y$5,COLUMN()-3,0)</f>
        <v>171481742</v>
      </c>
      <c r="J5" s="39">
        <f ca="1">OFFSET('Normalized Annual Summary'!$Y$5,COLUMN()-3,0)</f>
        <v>178461520</v>
      </c>
      <c r="K5" s="39">
        <f ca="1">OFFSET('Normalized Annual Summary'!$Y$5,COLUMN()-3,0)</f>
        <v>183800048</v>
      </c>
      <c r="L5" s="39">
        <f ca="1">OFFSET('Normalized Annual Summary'!$Y$5,COLUMN()-3,0)</f>
        <v>183420702.72663307</v>
      </c>
      <c r="M5" s="398">
        <f ca="1">OFFSET('Normalized Annual Summary'!$AG$14,COLUMN()-COLUMN($M3),0)</f>
        <v>184484594.95910427</v>
      </c>
      <c r="N5" s="39">
        <f ca="1">OFFSET('Normalized Annual Summary'!$AG$14,COLUMN()-COLUMN($M3),0)</f>
        <v>190282185.96355724</v>
      </c>
      <c r="O5" s="55">
        <f ca="1">OFFSET('Normalized Annual Summary'!$AG$14,COLUMN()-COLUMN($M3),0)</f>
        <v>209107276.31271169</v>
      </c>
    </row>
    <row r="6" spans="2:15" ht="12.95">
      <c r="B6" s="56" t="s">
        <v>136</v>
      </c>
      <c r="C6" s="39">
        <f ca="1">OFFSET('Normalized Annual Summary'!$AJ$5,COLUMN()-3,0)</f>
        <v>38058829</v>
      </c>
      <c r="D6" s="39">
        <f ca="1">OFFSET('Normalized Annual Summary'!$AJ$5,COLUMN()-3,0)</f>
        <v>38655618</v>
      </c>
      <c r="E6" s="39">
        <f ca="1">OFFSET('Normalized Annual Summary'!$AJ$5,COLUMN()-3,0)</f>
        <v>32586842</v>
      </c>
      <c r="F6" s="39">
        <f ca="1">OFFSET('Normalized Annual Summary'!$AJ$5,COLUMN()-3,0)</f>
        <v>33420007</v>
      </c>
      <c r="G6" s="39">
        <f ca="1">OFFSET('Normalized Annual Summary'!$AJ$5,COLUMN()-3,0)</f>
        <v>31923241</v>
      </c>
      <c r="H6" s="39">
        <f ca="1">OFFSET('Normalized Annual Summary'!$AJ$5,COLUMN()-3,0)</f>
        <v>34526385</v>
      </c>
      <c r="I6" s="39">
        <f ca="1">OFFSET('Normalized Annual Summary'!$AJ$5,COLUMN()-3,0)</f>
        <v>29188687</v>
      </c>
      <c r="J6" s="39">
        <f ca="1">OFFSET('Normalized Annual Summary'!$AJ$5,COLUMN()-3,0)</f>
        <v>28075683</v>
      </c>
      <c r="K6" s="39">
        <f ca="1">OFFSET('Normalized Annual Summary'!$AJ$5,COLUMN()-3,0)</f>
        <v>28792570</v>
      </c>
      <c r="L6" s="39">
        <f ca="1">OFFSET('Normalized Annual Summary'!$AJ$5,COLUMN()-3,0)</f>
        <v>34284228</v>
      </c>
      <c r="M6" s="398">
        <f ca="1">OFFSET('Normalized Annual Summary'!$AM$14,COLUMN()-COLUMN($M3),0)</f>
        <v>33738157.384817533</v>
      </c>
      <c r="N6" s="39">
        <f ca="1">OFFSET('Normalized Annual Summary'!$AM$14,COLUMN()-COLUMN($M3),0)</f>
        <v>33920392.464488193</v>
      </c>
      <c r="O6" s="55">
        <f ca="1">OFFSET('Normalized Annual Summary'!$AM$14,COLUMN()-COLUMN($M3),0)</f>
        <v>34244754.121491976</v>
      </c>
    </row>
    <row r="7" spans="2:15" ht="12.95">
      <c r="B7" s="56" t="s">
        <v>138</v>
      </c>
      <c r="C7" s="39">
        <f ca="1">OFFSET('Normalized Annual Summary'!$AP$5,COLUMN()-3,0)</f>
        <v>6286758</v>
      </c>
      <c r="D7" s="39">
        <f ca="1">OFFSET('Normalized Annual Summary'!$AP$5,COLUMN()-3,0)</f>
        <v>6227064</v>
      </c>
      <c r="E7" s="39">
        <f ca="1">OFFSET('Normalized Annual Summary'!$AP$5,COLUMN()-3,0)</f>
        <v>4268689</v>
      </c>
      <c r="F7" s="39">
        <f ca="1">OFFSET('Normalized Annual Summary'!$AP$5,COLUMN()-3,0)</f>
        <v>2875901</v>
      </c>
      <c r="G7" s="39">
        <f ca="1">OFFSET('Normalized Annual Summary'!$AP$5,COLUMN()-3,0)</f>
        <v>2887551</v>
      </c>
      <c r="H7" s="39">
        <f ca="1">OFFSET('Normalized Annual Summary'!$AP$5,COLUMN()-3,0)</f>
        <v>2576355</v>
      </c>
      <c r="I7" s="39">
        <f ca="1">OFFSET('Normalized Annual Summary'!$AP$5,COLUMN()-3,0)</f>
        <v>2455697</v>
      </c>
      <c r="J7" s="39">
        <f ca="1">OFFSET('Normalized Annual Summary'!$AP$5,COLUMN()-3,0)</f>
        <v>2444025</v>
      </c>
      <c r="K7" s="39">
        <f ca="1">OFFSET('Normalized Annual Summary'!$AP$5,COLUMN()-3,0)</f>
        <v>2406027</v>
      </c>
      <c r="L7" s="39">
        <f ca="1">OFFSET('Normalized Annual Summary'!$AP$5,COLUMN()-3,0)</f>
        <v>2415232.6883003376</v>
      </c>
      <c r="M7" s="398">
        <f ca="1">OFFSET('Normalized Annual Summary'!$AS$14,COLUMN()-COLUMN($M3),0)</f>
        <v>2415232.6883003376</v>
      </c>
      <c r="N7" s="39">
        <f ca="1">OFFSET('Normalized Annual Summary'!$AS$14,COLUMN()-COLUMN($M3),0)</f>
        <v>2424399.2117340649</v>
      </c>
      <c r="O7" s="55">
        <f ca="1">OFFSET('Normalized Annual Summary'!$AS$14,COLUMN()-COLUMN($M3),0)</f>
        <v>2433600.5248393081</v>
      </c>
    </row>
    <row r="8" spans="2:15" ht="12.95">
      <c r="B8" s="56" t="s">
        <v>137</v>
      </c>
      <c r="C8" s="39">
        <f ca="1">OFFSET('Normalized Annual Summary'!$AV$5,COLUMN()-3,0)</f>
        <v>350518</v>
      </c>
      <c r="D8" s="39">
        <f ca="1">OFFSET('Normalized Annual Summary'!$AV$5,COLUMN()-3,0)</f>
        <v>341134</v>
      </c>
      <c r="E8" s="39">
        <f ca="1">OFFSET('Normalized Annual Summary'!$AV$5,COLUMN()-3,0)</f>
        <v>335758</v>
      </c>
      <c r="F8" s="39">
        <f ca="1">OFFSET('Normalized Annual Summary'!$AV$5,COLUMN()-3,0)</f>
        <v>304470</v>
      </c>
      <c r="G8" s="39">
        <f ca="1">OFFSET('Normalized Annual Summary'!$AV$5,COLUMN()-3,0)</f>
        <v>293755</v>
      </c>
      <c r="H8" s="39">
        <f ca="1">OFFSET('Normalized Annual Summary'!$AV$5,COLUMN()-3,0)</f>
        <v>285985</v>
      </c>
      <c r="I8" s="39">
        <f ca="1">OFFSET('Normalized Annual Summary'!$AV$5,COLUMN()-3,0)</f>
        <v>281018</v>
      </c>
      <c r="J8" s="39">
        <f ca="1">OFFSET('Normalized Annual Summary'!$AV$5,COLUMN()-3,0)</f>
        <v>278297</v>
      </c>
      <c r="K8" s="39">
        <f ca="1">OFFSET('Normalized Annual Summary'!$AV$5,COLUMN()-3,0)</f>
        <v>271670</v>
      </c>
      <c r="L8" s="39">
        <f ca="1">OFFSET('Normalized Annual Summary'!$AV$5,COLUMN()-3,0)</f>
        <v>269986.47996137134</v>
      </c>
      <c r="M8" s="398">
        <f ca="1">OFFSET('Normalized Annual Summary'!$AY$14,COLUMN()-COLUMN($M3),0)</f>
        <v>269986.47996137134</v>
      </c>
      <c r="N8" s="39">
        <f ca="1">OFFSET('Normalized Annual Summary'!$AY$14,COLUMN()-COLUMN($M3),0)</f>
        <v>266129.58549679042</v>
      </c>
      <c r="O8" s="55">
        <f ca="1">OFFSET('Normalized Annual Summary'!$AY$14,COLUMN()-COLUMN($M3),0)</f>
        <v>262327.78873529832</v>
      </c>
    </row>
    <row r="9" spans="2:15" ht="12.95">
      <c r="B9" s="56" t="s">
        <v>139</v>
      </c>
      <c r="C9" s="39">
        <f ca="1">OFFSET('Normalized Annual Summary'!$BB$5,COLUMN()-3,0)</f>
        <v>1555546</v>
      </c>
      <c r="D9" s="39">
        <f ca="1">OFFSET('Normalized Annual Summary'!$BB$5,COLUMN()-3,0)</f>
        <v>1558152</v>
      </c>
      <c r="E9" s="39">
        <f ca="1">OFFSET('Normalized Annual Summary'!$BB$5,COLUMN()-3,0)</f>
        <v>1554368</v>
      </c>
      <c r="F9" s="39">
        <f ca="1">OFFSET('Normalized Annual Summary'!$BB$5,COLUMN()-3,0)</f>
        <v>1549260</v>
      </c>
      <c r="G9" s="39">
        <f ca="1">OFFSET('Normalized Annual Summary'!$BB$5,COLUMN()-3,0)</f>
        <v>1547236</v>
      </c>
      <c r="H9" s="39">
        <f ca="1">OFFSET('Normalized Annual Summary'!$BB$5,COLUMN()-3,0)</f>
        <v>1541978</v>
      </c>
      <c r="I9" s="39">
        <f ca="1">OFFSET('Normalized Annual Summary'!$BB$5,COLUMN()-3,0)</f>
        <v>1442699</v>
      </c>
      <c r="J9" s="39">
        <f ca="1">OFFSET('Normalized Annual Summary'!$BB$5,COLUMN()-3,0)</f>
        <v>1408704</v>
      </c>
      <c r="K9" s="39">
        <f ca="1">OFFSET('Normalized Annual Summary'!$BB$5,COLUMN()-3,0)</f>
        <v>1408704</v>
      </c>
      <c r="L9" s="39">
        <f ca="1">OFFSET('Normalized Annual Summary'!$BB$5,COLUMN()-3,0)</f>
        <v>1408699.1791405117</v>
      </c>
      <c r="M9" s="398">
        <f ca="1">OFFSET('Normalized Annual Summary'!$BE$14,COLUMN()-COLUMN($M3),0)</f>
        <v>1408699.1791405117</v>
      </c>
      <c r="N9" s="39">
        <f ca="1">OFFSET('Normalized Annual Summary'!$BE$14,COLUMN()-COLUMN($M3),0)</f>
        <v>1396074.1251787506</v>
      </c>
      <c r="O9" s="55">
        <f ca="1">OFFSET('Normalized Annual Summary'!$BE$14,COLUMN()-COLUMN($M3),0)</f>
        <v>1383562.2195668274</v>
      </c>
    </row>
    <row r="10" spans="2:15" ht="13.5" thickBot="1">
      <c r="B10" s="57" t="s">
        <v>140</v>
      </c>
      <c r="C10" s="58">
        <f t="shared" ref="C10:L10" ca="1" si="0">SUM(C3:C9)</f>
        <v>524282540</v>
      </c>
      <c r="D10" s="58">
        <f t="shared" ca="1" si="0"/>
        <v>528846741</v>
      </c>
      <c r="E10" s="58">
        <f t="shared" ca="1" si="0"/>
        <v>547976680</v>
      </c>
      <c r="F10" s="58">
        <f t="shared" ca="1" si="0"/>
        <v>510008253</v>
      </c>
      <c r="G10" s="58">
        <f t="shared" ca="1" si="0"/>
        <v>534037354</v>
      </c>
      <c r="H10" s="58">
        <f t="shared" ca="1" si="0"/>
        <v>537717443</v>
      </c>
      <c r="I10" s="58">
        <f t="shared" ca="1" si="0"/>
        <v>537551493</v>
      </c>
      <c r="J10" s="58">
        <f t="shared" ca="1" si="0"/>
        <v>550090417</v>
      </c>
      <c r="K10" s="58">
        <f t="shared" ca="1" si="0"/>
        <v>556914990</v>
      </c>
      <c r="L10" s="58">
        <f t="shared" ca="1" si="0"/>
        <v>544092890.80878341</v>
      </c>
      <c r="M10" s="399">
        <f ca="1">SUM(M3:M9)</f>
        <v>557972129.8148669</v>
      </c>
      <c r="N10" s="58">
        <f ca="1">SUM(N3:N9)</f>
        <v>574610177.78371644</v>
      </c>
      <c r="O10" s="59">
        <f ca="1">SUM(O3:O9)</f>
        <v>606156733.17508662</v>
      </c>
    </row>
    <row r="12" spans="2:15" ht="15.95" thickBot="1">
      <c r="B12" s="51" t="s">
        <v>590</v>
      </c>
      <c r="C12" s="51"/>
      <c r="E12" s="183"/>
      <c r="I12" s="39"/>
      <c r="J12" s="39"/>
    </row>
    <row r="13" spans="2:15" ht="51.95">
      <c r="B13" s="178" t="s">
        <v>452</v>
      </c>
      <c r="C13" s="60" t="s">
        <v>591</v>
      </c>
      <c r="D13" s="60" t="s">
        <v>564</v>
      </c>
      <c r="E13" s="61" t="s">
        <v>592</v>
      </c>
    </row>
    <row r="14" spans="2:15" ht="12.95">
      <c r="B14" s="54" t="str">
        <f t="shared" ref="B14:B20" si="1">B3</f>
        <v>Residential</v>
      </c>
      <c r="C14" s="39">
        <f t="shared" ref="C14:C20" ca="1" si="2">O3</f>
        <v>285532767.83244443</v>
      </c>
      <c r="D14" s="39">
        <f>'CDM Adjustment'!J7</f>
        <v>1305422.2240220045</v>
      </c>
      <c r="E14" s="55">
        <f t="shared" ref="E14:E20" ca="1" si="3">C14-D14</f>
        <v>284227345.6084224</v>
      </c>
    </row>
    <row r="15" spans="2:15" ht="12.75" customHeight="1">
      <c r="B15" s="56" t="str">
        <f t="shared" si="1"/>
        <v>GS &lt; 50</v>
      </c>
      <c r="C15" s="39">
        <f t="shared" ca="1" si="2"/>
        <v>73192444.375297099</v>
      </c>
      <c r="D15" s="39">
        <f>'CDM Adjustment'!J8</f>
        <v>2471857.4291090411</v>
      </c>
      <c r="E15" s="55">
        <f t="shared" ca="1" si="3"/>
        <v>70720586.946188062</v>
      </c>
    </row>
    <row r="16" spans="2:15" ht="12.95">
      <c r="B16" s="56" t="str">
        <f t="shared" si="1"/>
        <v>GS &gt; 50</v>
      </c>
      <c r="C16" s="39">
        <f t="shared" ca="1" si="2"/>
        <v>209107276.31271169</v>
      </c>
      <c r="D16" s="39">
        <f>'CDM Adjustment'!J9</f>
        <v>11330908.100410413</v>
      </c>
      <c r="E16" s="55">
        <f t="shared" ca="1" si="3"/>
        <v>197776368.21230128</v>
      </c>
    </row>
    <row r="17" spans="2:15" ht="12.95">
      <c r="B17" s="56" t="str">
        <f t="shared" si="1"/>
        <v>Embedded Distributor</v>
      </c>
      <c r="C17" s="39">
        <f t="shared" ca="1" si="2"/>
        <v>34244754.121491976</v>
      </c>
      <c r="D17" s="39">
        <f>'CDM Adjustment'!J10</f>
        <v>0</v>
      </c>
      <c r="E17" s="55">
        <f t="shared" ca="1" si="3"/>
        <v>34244754.121491976</v>
      </c>
      <c r="F17" s="234"/>
    </row>
    <row r="18" spans="2:15" ht="12.95">
      <c r="B18" s="56" t="str">
        <f t="shared" si="1"/>
        <v>Street Light</v>
      </c>
      <c r="C18" s="39">
        <f t="shared" ca="1" si="2"/>
        <v>2433600.5248393081</v>
      </c>
      <c r="D18" s="39">
        <f>'CDM Adjustment'!J11</f>
        <v>0</v>
      </c>
      <c r="E18" s="55">
        <f t="shared" ca="1" si="3"/>
        <v>2433600.5248393081</v>
      </c>
    </row>
    <row r="19" spans="2:15" ht="12.95">
      <c r="B19" s="56" t="str">
        <f t="shared" si="1"/>
        <v>Sentinel Light</v>
      </c>
      <c r="C19" s="39">
        <f t="shared" ca="1" si="2"/>
        <v>262327.78873529832</v>
      </c>
      <c r="D19" s="39">
        <f>'CDM Adjustment'!J12</f>
        <v>0</v>
      </c>
      <c r="E19" s="55">
        <f t="shared" ca="1" si="3"/>
        <v>262327.78873529832</v>
      </c>
    </row>
    <row r="20" spans="2:15" ht="12.95">
      <c r="B20" s="56" t="str">
        <f t="shared" si="1"/>
        <v>USL</v>
      </c>
      <c r="C20" s="39">
        <f t="shared" ca="1" si="2"/>
        <v>1383562.2195668274</v>
      </c>
      <c r="D20" s="39">
        <f>'CDM Adjustment'!J13</f>
        <v>0</v>
      </c>
      <c r="E20" s="55">
        <f t="shared" ca="1" si="3"/>
        <v>1383562.2195668274</v>
      </c>
    </row>
    <row r="21" spans="2:15" ht="13.5" thickBot="1">
      <c r="B21" s="57" t="s">
        <v>140</v>
      </c>
      <c r="C21" s="58">
        <f ca="1">SUM(C14:C20)</f>
        <v>606156733.17508662</v>
      </c>
      <c r="D21" s="58">
        <f>SUM(D14:D20)</f>
        <v>15108187.753541458</v>
      </c>
      <c r="E21" s="59">
        <f ca="1">SUM(E14:E20)</f>
        <v>591048545.42154515</v>
      </c>
      <c r="F21" s="218"/>
    </row>
    <row r="23" spans="2:15" ht="15.95" thickBot="1">
      <c r="B23" s="51" t="s">
        <v>493</v>
      </c>
      <c r="C23" s="51"/>
    </row>
    <row r="24" spans="2:15" ht="12.95">
      <c r="B24" s="400" t="s">
        <v>453</v>
      </c>
      <c r="C24" s="52" t="s">
        <v>577</v>
      </c>
      <c r="D24" s="52" t="s">
        <v>578</v>
      </c>
      <c r="E24" s="52" t="s">
        <v>579</v>
      </c>
      <c r="F24" s="52" t="s">
        <v>580</v>
      </c>
      <c r="G24" s="52" t="s">
        <v>581</v>
      </c>
      <c r="H24" s="52" t="s">
        <v>582</v>
      </c>
      <c r="I24" s="52" t="s">
        <v>583</v>
      </c>
      <c r="J24" s="52" t="s">
        <v>584</v>
      </c>
      <c r="K24" s="52" t="s">
        <v>585</v>
      </c>
      <c r="L24" s="52" t="s">
        <v>586</v>
      </c>
      <c r="M24" s="397" t="s">
        <v>587</v>
      </c>
      <c r="N24" s="52" t="s">
        <v>588</v>
      </c>
      <c r="O24" s="53" t="s">
        <v>589</v>
      </c>
    </row>
    <row r="25" spans="2:15" ht="12.95">
      <c r="B25" s="56" t="s">
        <v>500</v>
      </c>
      <c r="C25" s="39">
        <f ca="1">OFFSET('kW Forecast'!$D$5,COLUMN()-3,0)</f>
        <v>400144</v>
      </c>
      <c r="D25" s="39">
        <f ca="1">OFFSET('kW Forecast'!$D$5,COLUMN()-3,0)</f>
        <v>463529</v>
      </c>
      <c r="E25" s="39">
        <f ca="1">OFFSET('kW Forecast'!$D$5,COLUMN()-3,0)</f>
        <v>476120</v>
      </c>
      <c r="F25" s="39">
        <f ca="1">OFFSET('kW Forecast'!$D$5,COLUMN()-3,0)</f>
        <v>499500</v>
      </c>
      <c r="G25" s="39">
        <f ca="1">OFFSET('kW Forecast'!$D$5,COLUMN()-3,0)</f>
        <v>536823</v>
      </c>
      <c r="H25" s="39">
        <f ca="1">OFFSET('kW Forecast'!$D$5,COLUMN()-3,0)</f>
        <v>592797</v>
      </c>
      <c r="I25" s="39">
        <f ca="1">OFFSET('kW Forecast'!$D$5,COLUMN()-3,0)</f>
        <v>580474</v>
      </c>
      <c r="J25" s="39">
        <f ca="1">OFFSET('kW Forecast'!$D$5,COLUMN()-3,0)</f>
        <v>574683</v>
      </c>
      <c r="K25" s="39">
        <f ca="1">OFFSET('kW Forecast'!$D$5,COLUMN()-3,0)</f>
        <v>592472</v>
      </c>
      <c r="L25" s="39">
        <f ca="1">OFFSET('kW Forecast'!$D$5,COLUMN()-3,0)</f>
        <v>566314.55000000005</v>
      </c>
      <c r="M25" s="398">
        <f ca="1">OFFSET('kW Forecast'!$D$27,COLUMN()-COLUMN($M$25),0)</f>
        <v>597465.38062159065</v>
      </c>
      <c r="N25" s="39">
        <f ca="1">OFFSET('kW Forecast'!$H$27,COLUMN()-COLUMN($M$25),0)</f>
        <v>628929.84377417271</v>
      </c>
      <c r="O25" s="55">
        <f ca="1">OFFSET('kW Forecast'!$H$27,COLUMN()-COLUMN($M$25),0)</f>
        <v>735366.37405921938</v>
      </c>
    </row>
    <row r="26" spans="2:15" ht="12.95">
      <c r="B26" s="56" t="str">
        <f>B17</f>
        <v>Embedded Distributor</v>
      </c>
      <c r="C26" s="39">
        <f ca="1">OFFSET('kW Forecast'!$Y$5,COLUMN()-3,0)</f>
        <v>84453</v>
      </c>
      <c r="D26" s="39">
        <f ca="1">OFFSET('kW Forecast'!$Y$5,COLUMN()-3,0)</f>
        <v>106797</v>
      </c>
      <c r="E26" s="39">
        <f ca="1">OFFSET('kW Forecast'!$Y$5,COLUMN()-3,0)</f>
        <v>87829</v>
      </c>
      <c r="F26" s="39">
        <f ca="1">OFFSET('kW Forecast'!$Y$5,COLUMN()-3,0)</f>
        <v>87518</v>
      </c>
      <c r="G26" s="39">
        <f ca="1">OFFSET('kW Forecast'!$Y$5,COLUMN()-3,0)</f>
        <v>96861</v>
      </c>
      <c r="H26" s="39">
        <f ca="1">OFFSET('kW Forecast'!$Y$5,COLUMN()-3,0)</f>
        <v>94142</v>
      </c>
      <c r="I26" s="39">
        <f ca="1">OFFSET('kW Forecast'!$Y$5,COLUMN()-3,0)</f>
        <v>92507</v>
      </c>
      <c r="J26" s="39">
        <f ca="1">OFFSET('kW Forecast'!$Y$5,COLUMN()-3,0)</f>
        <v>89242</v>
      </c>
      <c r="K26" s="39">
        <f ca="1">OFFSET('kW Forecast'!$Y$5,COLUMN()-3,0)</f>
        <v>83614</v>
      </c>
      <c r="L26" s="39">
        <f ca="1">OFFSET('kW Forecast'!$Y$5,COLUMN()-3,0)</f>
        <v>90976</v>
      </c>
      <c r="M26" s="398">
        <f ca="1">OFFSET('kW Forecast'!$Y$27,COLUMN()-COLUMN($M$26),0)</f>
        <v>89526.957008953497</v>
      </c>
      <c r="N26" s="39">
        <f ca="1">OFFSET('kW Forecast'!$Y$27,COLUMN()-COLUMN($M$26),0)</f>
        <v>90010.53268136234</v>
      </c>
      <c r="O26" s="55">
        <f ca="1">OFFSET('kW Forecast'!$Y$27,COLUMN()-COLUMN($M$26),0)</f>
        <v>90871.252838385451</v>
      </c>
    </row>
    <row r="27" spans="2:15" ht="12.95">
      <c r="B27" s="56" t="s">
        <v>138</v>
      </c>
      <c r="C27" s="39">
        <f ca="1">OFFSET('kW Forecast'!$L$5,COLUMN()-3,0)</f>
        <v>15873</v>
      </c>
      <c r="D27" s="39">
        <f ca="1">OFFSET('kW Forecast'!$L$5,COLUMN()-3,0)</f>
        <v>18022</v>
      </c>
      <c r="E27" s="39">
        <f ca="1">OFFSET('kW Forecast'!$L$5,COLUMN()-3,0)</f>
        <v>13492</v>
      </c>
      <c r="F27" s="39">
        <f ca="1">OFFSET('kW Forecast'!$L$5,COLUMN()-3,0)</f>
        <v>8732</v>
      </c>
      <c r="G27" s="39">
        <f ca="1">OFFSET('kW Forecast'!$L$5,COLUMN()-3,0)</f>
        <v>8746</v>
      </c>
      <c r="H27" s="39">
        <f ca="1">OFFSET('kW Forecast'!$L$5,COLUMN()-3,0)</f>
        <v>7846</v>
      </c>
      <c r="I27" s="39">
        <f ca="1">OFFSET('kW Forecast'!$L$5,COLUMN()-3,0)</f>
        <v>7413</v>
      </c>
      <c r="J27" s="39">
        <f ca="1">OFFSET('kW Forecast'!$L$5,COLUMN()-3,0)</f>
        <v>7398</v>
      </c>
      <c r="K27" s="39">
        <f ca="1">OFFSET('kW Forecast'!$L$5,COLUMN()-3,0)</f>
        <v>7289</v>
      </c>
      <c r="L27" s="39">
        <f ca="1">OFFSET('kW Forecast'!$L$5,COLUMN()-3,0)</f>
        <v>7310.3</v>
      </c>
      <c r="M27" s="398">
        <f ca="1">OFFSET('kW Forecast'!$L$27,COLUMN()-COLUMN($M$25),0)</f>
        <v>7316.8411004310683</v>
      </c>
      <c r="N27" s="39">
        <f ca="1">OFFSET('kW Forecast'!$L$27,COLUMN()-COLUMN($M$25),0)</f>
        <v>7344.6106796243503</v>
      </c>
      <c r="O27" s="55">
        <f ca="1">OFFSET('kW Forecast'!$L$27,COLUMN()-COLUMN($M$25),0)</f>
        <v>7372.4856525959021</v>
      </c>
    </row>
    <row r="28" spans="2:15" ht="12.95">
      <c r="B28" s="56" t="s">
        <v>137</v>
      </c>
      <c r="C28" s="39">
        <f ca="1">OFFSET('kW Forecast'!$R$5,COLUMN()-3,0)</f>
        <v>876</v>
      </c>
      <c r="D28" s="39">
        <f ca="1">OFFSET('kW Forecast'!$R$5,COLUMN()-3,0)</f>
        <v>878</v>
      </c>
      <c r="E28" s="39">
        <f ca="1">OFFSET('kW Forecast'!$R$5,COLUMN()-3,0)</f>
        <v>868</v>
      </c>
      <c r="F28" s="39">
        <f ca="1">OFFSET('kW Forecast'!$R$5,COLUMN()-3,0)</f>
        <v>852</v>
      </c>
      <c r="G28" s="39">
        <f ca="1">OFFSET('kW Forecast'!$R$5,COLUMN()-3,0)</f>
        <v>815</v>
      </c>
      <c r="H28" s="39">
        <f ca="1">OFFSET('kW Forecast'!$R$5,COLUMN()-3,0)</f>
        <v>781</v>
      </c>
      <c r="I28" s="39">
        <f ca="1">OFFSET('kW Forecast'!$R$5,COLUMN()-3,0)</f>
        <v>767</v>
      </c>
      <c r="J28" s="39">
        <f ca="1">OFFSET('kW Forecast'!$R$5,COLUMN()-3,0)</f>
        <v>759</v>
      </c>
      <c r="K28" s="39">
        <f ca="1">OFFSET('kW Forecast'!$R$5,COLUMN()-3,0)</f>
        <v>744</v>
      </c>
      <c r="L28" s="39">
        <f ca="1">OFFSET('kW Forecast'!$R$5,COLUMN()-3,0)</f>
        <v>736.37999999999988</v>
      </c>
      <c r="M28" s="398">
        <f ca="1">OFFSET('kW Forecast'!$R$27,COLUMN()-COLUMN($M$25),0)</f>
        <v>737.26092194758792</v>
      </c>
      <c r="N28" s="39">
        <f ca="1">OFFSET('kW Forecast'!$R$27,COLUMN()-COLUMN($M$25),0)</f>
        <v>726.72877393329361</v>
      </c>
      <c r="O28" s="55">
        <f ca="1">OFFSET('kW Forecast'!$R$27,COLUMN()-COLUMN($M$25),0)</f>
        <v>716.34708302108174</v>
      </c>
    </row>
    <row r="29" spans="2:15" ht="13.5" thickBot="1">
      <c r="B29" s="57" t="s">
        <v>140</v>
      </c>
      <c r="C29" s="58">
        <f t="shared" ref="C29:O29" ca="1" si="4">SUM(C22:C28)</f>
        <v>501346</v>
      </c>
      <c r="D29" s="58">
        <f t="shared" ca="1" si="4"/>
        <v>589226</v>
      </c>
      <c r="E29" s="58">
        <f t="shared" ca="1" si="4"/>
        <v>578309</v>
      </c>
      <c r="F29" s="58">
        <f t="shared" ca="1" si="4"/>
        <v>596602</v>
      </c>
      <c r="G29" s="58">
        <f t="shared" ca="1" si="4"/>
        <v>643245</v>
      </c>
      <c r="H29" s="58">
        <f t="shared" ca="1" si="4"/>
        <v>695566</v>
      </c>
      <c r="I29" s="58">
        <f t="shared" ca="1" si="4"/>
        <v>681161</v>
      </c>
      <c r="J29" s="58">
        <f t="shared" ca="1" si="4"/>
        <v>672082</v>
      </c>
      <c r="K29" s="58">
        <f t="shared" ca="1" si="4"/>
        <v>684119</v>
      </c>
      <c r="L29" s="58">
        <f t="shared" ca="1" si="4"/>
        <v>665337.2300000001</v>
      </c>
      <c r="M29" s="399">
        <f t="shared" ca="1" si="4"/>
        <v>695046.43965292268</v>
      </c>
      <c r="N29" s="58">
        <f t="shared" ca="1" si="4"/>
        <v>727011.71590909269</v>
      </c>
      <c r="O29" s="59">
        <f t="shared" ca="1" si="4"/>
        <v>834326.45963322173</v>
      </c>
    </row>
    <row r="31" spans="2:15" ht="15.95" thickBot="1">
      <c r="B31" s="51" t="s">
        <v>590</v>
      </c>
      <c r="C31" s="51"/>
    </row>
    <row r="32" spans="2:15" ht="51.95">
      <c r="B32" s="178" t="s">
        <v>453</v>
      </c>
      <c r="C32" s="60" t="s">
        <v>591</v>
      </c>
      <c r="D32" s="60" t="s">
        <v>564</v>
      </c>
      <c r="E32" s="61" t="s">
        <v>592</v>
      </c>
    </row>
    <row r="33" spans="2:15" ht="12.95">
      <c r="B33" s="56" t="str">
        <f>B25</f>
        <v>GS &gt; 50</v>
      </c>
      <c r="C33" s="39">
        <f ca="1">O25</f>
        <v>735366.37405921938</v>
      </c>
      <c r="D33" s="39">
        <f ca="1">'CDM Adjustment'!G22</f>
        <v>37655.496851490869</v>
      </c>
      <c r="E33" s="55">
        <f ca="1">C33-D33</f>
        <v>697710.87720772857</v>
      </c>
      <c r="H33" s="39"/>
    </row>
    <row r="34" spans="2:15" ht="12.95">
      <c r="B34" s="56" t="str">
        <f>B26</f>
        <v>Embedded Distributor</v>
      </c>
      <c r="C34" s="39">
        <f ca="1">O26</f>
        <v>90871.252838385451</v>
      </c>
      <c r="D34" s="39">
        <f ca="1">'CDM Adjustment'!G23</f>
        <v>0</v>
      </c>
      <c r="E34" s="55">
        <f ca="1">C34-D34</f>
        <v>90871.252838385451</v>
      </c>
    </row>
    <row r="35" spans="2:15" ht="12.95">
      <c r="B35" s="56" t="str">
        <f>B27</f>
        <v>Street Light</v>
      </c>
      <c r="C35" s="39">
        <f ca="1">O27</f>
        <v>7372.4856525959021</v>
      </c>
      <c r="D35" s="39">
        <f>'CDM Adjustment'!G24</f>
        <v>0</v>
      </c>
      <c r="E35" s="55">
        <f ca="1">C35-D35</f>
        <v>7372.4856525959021</v>
      </c>
    </row>
    <row r="36" spans="2:15" ht="12.95">
      <c r="B36" s="56" t="str">
        <f>B28</f>
        <v>Sentinel Light</v>
      </c>
      <c r="C36" s="39">
        <f ca="1">O28</f>
        <v>716.34708302108174</v>
      </c>
      <c r="D36" s="39">
        <f>'CDM Adjustment'!G25</f>
        <v>0</v>
      </c>
      <c r="E36" s="55">
        <f ca="1">C36-D36</f>
        <v>716.34708302108174</v>
      </c>
    </row>
    <row r="37" spans="2:15" ht="13.5" thickBot="1">
      <c r="B37" s="57" t="s">
        <v>140</v>
      </c>
      <c r="C37" s="58">
        <f ca="1">SUM(C33:C36)</f>
        <v>834326.45963322173</v>
      </c>
      <c r="D37" s="58">
        <f ca="1">SUM(D33:D36)</f>
        <v>37655.496851490869</v>
      </c>
      <c r="E37" s="59">
        <f ca="1">SUM(E33:E36)</f>
        <v>796670.96278173092</v>
      </c>
    </row>
    <row r="39" spans="2:15" ht="15.95" thickBot="1">
      <c r="B39" s="51" t="s">
        <v>593</v>
      </c>
      <c r="C39" s="51"/>
      <c r="O39" s="109"/>
    </row>
    <row r="40" spans="2:15" ht="12.95">
      <c r="B40" s="400" t="s">
        <v>594</v>
      </c>
      <c r="C40" s="52" t="s">
        <v>577</v>
      </c>
      <c r="D40" s="52" t="s">
        <v>578</v>
      </c>
      <c r="E40" s="52" t="s">
        <v>579</v>
      </c>
      <c r="F40" s="52" t="s">
        <v>580</v>
      </c>
      <c r="G40" s="52" t="s">
        <v>581</v>
      </c>
      <c r="H40" s="52" t="s">
        <v>582</v>
      </c>
      <c r="I40" s="52" t="s">
        <v>583</v>
      </c>
      <c r="J40" s="52" t="s">
        <v>584</v>
      </c>
      <c r="K40" s="52" t="s">
        <v>585</v>
      </c>
      <c r="L40" s="52" t="s">
        <v>586</v>
      </c>
      <c r="M40" s="52" t="s">
        <v>588</v>
      </c>
      <c r="N40" s="53" t="s">
        <v>589</v>
      </c>
    </row>
    <row r="41" spans="2:15" ht="12.95">
      <c r="B41" s="54" t="str">
        <f t="shared" ref="B41:B47" si="5">B3</f>
        <v>Residential</v>
      </c>
      <c r="C41" s="39">
        <f ca="1">OFFSET('Connection Count'!$C$4,COLUMN()-COLUMN($C$41),0)</f>
        <v>26590.166666666668</v>
      </c>
      <c r="D41" s="39">
        <f ca="1">OFFSET('Connection Count'!$C$4,COLUMN()-COLUMN($C$41),0)</f>
        <v>26815.083333333332</v>
      </c>
      <c r="E41" s="39">
        <f ca="1">OFFSET('Connection Count'!$C$4,COLUMN()-COLUMN($C$41),0)</f>
        <v>26920.416666666668</v>
      </c>
      <c r="F41" s="39">
        <f ca="1">OFFSET('Connection Count'!$C$4,COLUMN()-COLUMN($C$41),0)</f>
        <v>27320.666666666668</v>
      </c>
      <c r="G41" s="39">
        <f ca="1">OFFSET('Connection Count'!$C$4,COLUMN()-COLUMN($C$41),0)</f>
        <v>27640.416666666668</v>
      </c>
      <c r="H41" s="39">
        <f ca="1">OFFSET('Connection Count'!$C$4,COLUMN()-COLUMN($C$41),0)</f>
        <v>27931.833333333332</v>
      </c>
      <c r="I41" s="39">
        <f ca="1">OFFSET('Connection Count'!$C$4,COLUMN()-COLUMN($C$41),0)</f>
        <v>28265.333333333332</v>
      </c>
      <c r="J41" s="39">
        <f ca="1">OFFSET('Connection Count'!$C$4,COLUMN()-COLUMN($C$41),0)</f>
        <v>28511.916666666668</v>
      </c>
      <c r="K41" s="39">
        <f ca="1">OFFSET('Connection Count'!$C$4,COLUMN()-COLUMN($C$41),0)</f>
        <v>28745.333333333332</v>
      </c>
      <c r="L41" s="39">
        <f ca="1">OFFSET('Connection Count'!$C$4,COLUMN()-COLUMN($C$41),0)</f>
        <v>28911.5</v>
      </c>
      <c r="M41" s="39">
        <f ca="1">OFFSET('Connection Count'!$C$4,COLUMN()-COLUMN($C$41),0)</f>
        <v>29181.624519563167</v>
      </c>
      <c r="N41" s="55">
        <f ca="1">OFFSET('Connection Count'!$C$4,COLUMN()-COLUMN($C$41),0)</f>
        <v>29454.272853389488</v>
      </c>
      <c r="O41" s="509"/>
    </row>
    <row r="42" spans="2:15" ht="12.95">
      <c r="B42" s="56" t="str">
        <f t="shared" si="5"/>
        <v>GS &lt; 50</v>
      </c>
      <c r="C42" s="39">
        <f ca="1">OFFSET('Connection Count'!$G$4,COLUMN()-COLUMN($C$41),0)</f>
        <v>1909.75</v>
      </c>
      <c r="D42" s="39">
        <f ca="1">OFFSET('Connection Count'!$G$4,COLUMN()-COLUMN($C$41),0)</f>
        <v>1935.6666666666667</v>
      </c>
      <c r="E42" s="39">
        <f ca="1">OFFSET('Connection Count'!$G$4,COLUMN()-COLUMN($C$41),0)</f>
        <v>1933.5</v>
      </c>
      <c r="F42" s="39">
        <f ca="1">OFFSET('Connection Count'!$G$4,COLUMN()-COLUMN($C$41),0)</f>
        <v>1965.6666666666667</v>
      </c>
      <c r="G42" s="39">
        <f ca="1">OFFSET('Connection Count'!$G$4,COLUMN()-COLUMN($C$41),0)</f>
        <v>1978.8333333333333</v>
      </c>
      <c r="H42" s="39">
        <f ca="1">OFFSET('Connection Count'!$G$4,COLUMN()-COLUMN($C$41),0)</f>
        <v>1996.25</v>
      </c>
      <c r="I42" s="39">
        <f ca="1">OFFSET('Connection Count'!$G$4,COLUMN()-COLUMN($C$41),0)</f>
        <v>2017.75</v>
      </c>
      <c r="J42" s="39">
        <f ca="1">OFFSET('Connection Count'!$G$4,COLUMN()-COLUMN($C$41),0)</f>
        <v>2039.5833333333333</v>
      </c>
      <c r="K42" s="39">
        <f ca="1">OFFSET('Connection Count'!$G$4,COLUMN()-COLUMN($C$41),0)</f>
        <v>2065.0833333333335</v>
      </c>
      <c r="L42" s="39">
        <f ca="1">OFFSET('Connection Count'!$G$4,COLUMN()-COLUMN($C$41),0)</f>
        <v>2062.25</v>
      </c>
      <c r="M42" s="39">
        <f ca="1">OFFSET('Connection Count'!$G$4,COLUMN()-COLUMN($C$41),0)</f>
        <v>2079.9290063577705</v>
      </c>
      <c r="N42" s="55">
        <f ca="1">OFFSET('Connection Count'!$G$4,COLUMN()-COLUMN($C$41),0)</f>
        <v>2097.7595691542842</v>
      </c>
      <c r="O42" s="107"/>
    </row>
    <row r="43" spans="2:15" ht="12.95">
      <c r="B43" s="56" t="str">
        <f t="shared" si="5"/>
        <v>GS &gt; 50</v>
      </c>
      <c r="C43" s="39">
        <f ca="1">OFFSET('Connection Count'!$K$4,COLUMN()-COLUMN($C$41),0)</f>
        <v>212.41666666666666</v>
      </c>
      <c r="D43" s="39">
        <f ca="1">OFFSET('Connection Count'!$K$4,COLUMN()-COLUMN($C$41),0)</f>
        <v>212.08333333333334</v>
      </c>
      <c r="E43" s="39">
        <f ca="1">OFFSET('Connection Count'!$K$4,COLUMN()-COLUMN($C$41),0)</f>
        <v>254.5</v>
      </c>
      <c r="F43" s="39">
        <f ca="1">OFFSET('Connection Count'!$K$4,COLUMN()-COLUMN($C$41),0)</f>
        <v>250</v>
      </c>
      <c r="G43" s="39">
        <f ca="1">OFFSET('Connection Count'!$K$4,COLUMN()-COLUMN($C$41),0)</f>
        <v>249.25</v>
      </c>
      <c r="H43" s="39">
        <f ca="1">OFFSET('Connection Count'!$K$4,COLUMN()-COLUMN($C$41),0)</f>
        <v>261.5</v>
      </c>
      <c r="I43" s="39">
        <f ca="1">OFFSET('Connection Count'!$K$4,COLUMN()-COLUMN($C$41),0)</f>
        <v>256.33333333333331</v>
      </c>
      <c r="J43" s="39">
        <f ca="1">OFFSET('Connection Count'!$K$4,COLUMN()-COLUMN($C$41),0)</f>
        <v>234.25</v>
      </c>
      <c r="K43" s="39">
        <f ca="1">OFFSET('Connection Count'!$K$4,COLUMN()-COLUMN($C$41),0)</f>
        <v>210.08333333333334</v>
      </c>
      <c r="L43" s="39">
        <f ca="1">OFFSET('Connection Count'!$K$4,COLUMN()-COLUMN($C$41),0)</f>
        <v>230.33333333333334</v>
      </c>
      <c r="M43" s="39">
        <f ca="1">OFFSET('Connection Count'!$K$4,COLUMN()-COLUMN($C$41),0)</f>
        <v>232.41511608731571</v>
      </c>
      <c r="N43" s="55">
        <f ca="1">OFFSET('Connection Count'!$K$4,COLUMN()-COLUMN($C$41),0)</f>
        <v>234.51571426576166</v>
      </c>
      <c r="O43" s="107"/>
    </row>
    <row r="44" spans="2:15" ht="12.95">
      <c r="B44" s="56" t="str">
        <f t="shared" si="5"/>
        <v>Embedded Distributor</v>
      </c>
      <c r="C44" s="39">
        <f ca="1">OFFSET('Connection Count'!$AA$4,COLUMN()-COLUMN($C$41),0)</f>
        <v>6</v>
      </c>
      <c r="D44" s="39">
        <f ca="1">OFFSET('Connection Count'!$AA$4,COLUMN()-COLUMN($C$41),0)</f>
        <v>5.666666666666667</v>
      </c>
      <c r="E44" s="39">
        <f ca="1">OFFSET('Connection Count'!$AA$4,COLUMN()-COLUMN($C$41),0)</f>
        <v>3</v>
      </c>
      <c r="F44" s="39">
        <f ca="1">OFFSET('Connection Count'!$AA$4,COLUMN()-COLUMN($C$41),0)</f>
        <v>4.083333333333333</v>
      </c>
      <c r="G44" s="39">
        <f ca="1">OFFSET('Connection Count'!$AA$4,COLUMN()-COLUMN($C$41),0)</f>
        <v>4.75</v>
      </c>
      <c r="H44" s="39">
        <f ca="1">OFFSET('Connection Count'!$AA$4,COLUMN()-COLUMN($C$41),0)</f>
        <v>4</v>
      </c>
      <c r="I44" s="39">
        <f ca="1">OFFSET('Connection Count'!$AA$4,COLUMN()-COLUMN($C$41),0)</f>
        <v>4</v>
      </c>
      <c r="J44" s="39">
        <f ca="1">OFFSET('Connection Count'!$AA$4,COLUMN()-COLUMN($C$41),0)</f>
        <v>4</v>
      </c>
      <c r="K44" s="39">
        <f ca="1">OFFSET('Connection Count'!$AA$4,COLUMN()-COLUMN($C$41),0)</f>
        <v>4</v>
      </c>
      <c r="L44" s="39">
        <f ca="1">OFFSET('Connection Count'!$AA$4,COLUMN()-COLUMN($C$41),0)</f>
        <v>4</v>
      </c>
      <c r="M44" s="39">
        <f ca="1">OFFSET('Connection Count'!$AA$4,COLUMN()-COLUMN($C$41),0)</f>
        <v>4</v>
      </c>
      <c r="N44" s="55">
        <f ca="1">OFFSET('Connection Count'!$AA$4,COLUMN()-COLUMN($C$41),0)</f>
        <v>4</v>
      </c>
    </row>
    <row r="45" spans="2:15" ht="12.95">
      <c r="B45" s="56" t="str">
        <f t="shared" si="5"/>
        <v>Street Light</v>
      </c>
      <c r="C45" s="39">
        <f ca="1">OFFSET('Connection Count'!$O$4,COLUMN()-COLUMN($C$41),0)</f>
        <v>2712.8333333333335</v>
      </c>
      <c r="D45" s="39">
        <f ca="1">OFFSET('Connection Count'!$O$4,COLUMN()-COLUMN($C$41),0)</f>
        <v>2700.5833333333335</v>
      </c>
      <c r="E45" s="39">
        <f ca="1">OFFSET('Connection Count'!$O$4,COLUMN()-COLUMN($C$41),0)</f>
        <v>2719.8333333333335</v>
      </c>
      <c r="F45" s="39">
        <f ca="1">OFFSET('Connection Count'!$O$4,COLUMN()-COLUMN($C$41),0)</f>
        <v>2753.3333333333335</v>
      </c>
      <c r="G45" s="39">
        <f ca="1">OFFSET('Connection Count'!$O$4,COLUMN()-COLUMN($C$41),0)</f>
        <v>2760.8333333333335</v>
      </c>
      <c r="H45" s="39">
        <f ca="1">OFFSET('Connection Count'!$O$4,COLUMN()-COLUMN($C$41),0)</f>
        <v>2770</v>
      </c>
      <c r="I45" s="39">
        <f ca="1">OFFSET('Connection Count'!$O$4,COLUMN()-COLUMN($C$41),0)</f>
        <v>2777.3333333333335</v>
      </c>
      <c r="J45" s="39">
        <f ca="1">OFFSET('Connection Count'!$O$4,COLUMN()-COLUMN($C$41),0)</f>
        <v>2784.6666666666665</v>
      </c>
      <c r="K45" s="39">
        <f ca="1">OFFSET('Connection Count'!$O$4,COLUMN()-COLUMN($C$41),0)</f>
        <v>2793.3333333333335</v>
      </c>
      <c r="L45" s="39">
        <f ca="1">OFFSET('Connection Count'!$O$4,COLUMN()-COLUMN($C$41),0)</f>
        <v>2806.9166666666665</v>
      </c>
      <c r="M45" s="39">
        <f ca="1">OFFSET('Connection Count'!$O$4,COLUMN()-COLUMN($C$41),0)</f>
        <v>2817.5697468134185</v>
      </c>
      <c r="N45" s="55">
        <f ca="1">OFFSET('Connection Count'!$O$4,COLUMN()-COLUMN($C$41),0)</f>
        <v>2828.2632585547244</v>
      </c>
      <c r="O45" s="108"/>
    </row>
    <row r="46" spans="2:15" ht="12.95">
      <c r="B46" s="56" t="str">
        <f t="shared" si="5"/>
        <v>Sentinel Light</v>
      </c>
      <c r="C46" s="39">
        <f ca="1">OFFSET('Connection Count'!$S$4,COLUMN()-COLUMN($C$41),0)</f>
        <v>172.33333333333334</v>
      </c>
      <c r="D46" s="39">
        <f ca="1">OFFSET('Connection Count'!$S$4,COLUMN()-COLUMN($C$41),0)</f>
        <v>174</v>
      </c>
      <c r="E46" s="39">
        <f ca="1">OFFSET('Connection Count'!$S$4,COLUMN()-COLUMN($C$41),0)</f>
        <v>181</v>
      </c>
      <c r="F46" s="39">
        <f ca="1">OFFSET('Connection Count'!$S$4,COLUMN()-COLUMN($C$41),0)</f>
        <v>253.41666666666666</v>
      </c>
      <c r="G46" s="39">
        <f ca="1">OFFSET('Connection Count'!$S$4,COLUMN()-COLUMN($C$41),0)</f>
        <v>242.58333333333334</v>
      </c>
      <c r="H46" s="39">
        <f ca="1">OFFSET('Connection Count'!$S$4,COLUMN()-COLUMN($C$41),0)</f>
        <v>235.41666666666666</v>
      </c>
      <c r="I46" s="39">
        <f ca="1">OFFSET('Connection Count'!$S$4,COLUMN()-COLUMN($C$41),0)</f>
        <v>228.08333333333334</v>
      </c>
      <c r="J46" s="39">
        <f ca="1">OFFSET('Connection Count'!$S$4,COLUMN()-COLUMN($C$41),0)</f>
        <v>228</v>
      </c>
      <c r="K46" s="39">
        <f ca="1">OFFSET('Connection Count'!$S$4,COLUMN()-COLUMN($C$41),0)</f>
        <v>226.66666666666666</v>
      </c>
      <c r="L46" s="39">
        <f ca="1">OFFSET('Connection Count'!$S$4,COLUMN()-COLUMN($C$41),0)</f>
        <v>222.25</v>
      </c>
      <c r="M46" s="39">
        <f ca="1">OFFSET('Connection Count'!$S$4,COLUMN()-COLUMN($C$41),0)</f>
        <v>219.07504548051534</v>
      </c>
      <c r="N46" s="55">
        <f ca="1">OFFSET('Connection Count'!$S$4,COLUMN()-COLUMN($C$41),0)</f>
        <v>215.94544680445384</v>
      </c>
      <c r="O46" s="107"/>
    </row>
    <row r="47" spans="2:15" ht="12.95">
      <c r="B47" s="56" t="str">
        <f t="shared" si="5"/>
        <v>USL</v>
      </c>
      <c r="C47" s="39">
        <f ca="1">OFFSET('Connection Count'!$W$4,COLUMN()-COLUMN($C$41),0)</f>
        <v>139.83333333333334</v>
      </c>
      <c r="D47" s="39">
        <f ca="1">OFFSET('Connection Count'!$W$4,COLUMN()-COLUMN($C$41),0)</f>
        <v>141</v>
      </c>
      <c r="E47" s="39">
        <f ca="1">OFFSET('Connection Count'!$W$4,COLUMN()-COLUMN($C$41),0)</f>
        <v>139.08333333333334</v>
      </c>
      <c r="F47" s="39">
        <f ca="1">OFFSET('Connection Count'!$W$4,COLUMN()-COLUMN($C$41),0)</f>
        <v>132</v>
      </c>
      <c r="G47" s="39">
        <f ca="1">OFFSET('Connection Count'!$W$4,COLUMN()-COLUMN($C$41),0)</f>
        <v>131.08333333333334</v>
      </c>
      <c r="H47" s="39">
        <f ca="1">OFFSET('Connection Count'!$W$4,COLUMN()-COLUMN($C$41),0)</f>
        <v>129.58333333333334</v>
      </c>
      <c r="I47" s="39">
        <f ca="1">OFFSET('Connection Count'!$W$4,COLUMN()-COLUMN($C$41),0)</f>
        <v>125.83333333333333</v>
      </c>
      <c r="J47" s="39">
        <f ca="1">OFFSET('Connection Count'!$W$4,COLUMN()-COLUMN($C$41),0)</f>
        <v>125</v>
      </c>
      <c r="K47" s="39">
        <f ca="1">OFFSET('Connection Count'!$W$4,COLUMN()-COLUMN($C$41),0)</f>
        <v>125</v>
      </c>
      <c r="L47" s="39">
        <f ca="1">OFFSET('Connection Count'!$W$4,COLUMN()-COLUMN($C$41),0)</f>
        <v>125</v>
      </c>
      <c r="M47" s="39">
        <f ca="1">OFFSET('Connection Count'!$W$4,COLUMN()-COLUMN($C$41),0)</f>
        <v>123.87972409682031</v>
      </c>
      <c r="N47" s="55">
        <f ca="1">OFFSET('Connection Count'!$W$4,COLUMN()-COLUMN($C$41),0)</f>
        <v>122.76948833843458</v>
      </c>
      <c r="O47" s="107"/>
    </row>
    <row r="48" spans="2:15" ht="13.5" thickBot="1">
      <c r="B48" s="57" t="s">
        <v>140</v>
      </c>
      <c r="C48" s="58">
        <f t="shared" ref="C48:L48" ca="1" si="6">SUM(C41:C47)</f>
        <v>31743.333333333332</v>
      </c>
      <c r="D48" s="58">
        <f t="shared" ca="1" si="6"/>
        <v>31984.083333333332</v>
      </c>
      <c r="E48" s="58">
        <f t="shared" ca="1" si="6"/>
        <v>32151.333333333332</v>
      </c>
      <c r="F48" s="58">
        <f t="shared" ca="1" si="6"/>
        <v>32679.166666666668</v>
      </c>
      <c r="G48" s="58">
        <f t="shared" ca="1" si="6"/>
        <v>33007.75</v>
      </c>
      <c r="H48" s="58">
        <f t="shared" ca="1" si="6"/>
        <v>33328.583333333328</v>
      </c>
      <c r="I48" s="58">
        <f t="shared" ca="1" si="6"/>
        <v>33674.666666666672</v>
      </c>
      <c r="J48" s="58">
        <f t="shared" ca="1" si="6"/>
        <v>33927.416666666664</v>
      </c>
      <c r="K48" s="58">
        <f t="shared" ca="1" si="6"/>
        <v>34169.499999999993</v>
      </c>
      <c r="L48" s="58">
        <f t="shared" ca="1" si="6"/>
        <v>34362.25</v>
      </c>
      <c r="M48" s="58">
        <f ca="1">SUM(M41:M47)</f>
        <v>34658.493158399011</v>
      </c>
      <c r="N48" s="59">
        <f ca="1">SUM(N41:N47)</f>
        <v>34957.526330507149</v>
      </c>
    </row>
    <row r="51" spans="2:19" ht="15.95" thickBot="1">
      <c r="B51" s="51" t="s">
        <v>595</v>
      </c>
      <c r="C51" s="51"/>
    </row>
    <row r="52" spans="2:19" ht="39">
      <c r="B52" s="178">
        <v>2025</v>
      </c>
      <c r="C52" s="60" t="s">
        <v>452</v>
      </c>
      <c r="D52" s="60" t="s">
        <v>453</v>
      </c>
      <c r="E52" s="61" t="s">
        <v>593</v>
      </c>
      <c r="P52" s="508"/>
    </row>
    <row r="53" spans="2:19" ht="12.95">
      <c r="B53" s="56" t="str">
        <f t="shared" ref="B53:B59" si="7">B41</f>
        <v>Residential</v>
      </c>
      <c r="C53" s="39">
        <f t="shared" ref="C53:C59" ca="1" si="8">E14</f>
        <v>284227345.6084224</v>
      </c>
      <c r="D53" s="39"/>
      <c r="E53" s="55">
        <f t="shared" ref="E53:E59" ca="1" si="9">N41</f>
        <v>29454.272853389488</v>
      </c>
      <c r="G53" s="39"/>
      <c r="H53" s="506"/>
      <c r="I53" s="39"/>
      <c r="J53" s="39"/>
    </row>
    <row r="54" spans="2:19" ht="12.95">
      <c r="B54" s="56" t="str">
        <f t="shared" si="7"/>
        <v>GS &lt; 50</v>
      </c>
      <c r="C54" s="39">
        <f t="shared" ca="1" si="8"/>
        <v>70720586.946188062</v>
      </c>
      <c r="D54" s="39"/>
      <c r="E54" s="55">
        <f t="shared" ca="1" si="9"/>
        <v>2097.7595691542842</v>
      </c>
      <c r="G54" s="39"/>
      <c r="H54" s="506"/>
      <c r="I54" s="39"/>
      <c r="J54" s="39"/>
    </row>
    <row r="55" spans="2:19" ht="12.95">
      <c r="B55" s="56" t="str">
        <f t="shared" si="7"/>
        <v>GS &gt; 50</v>
      </c>
      <c r="C55" s="39">
        <f t="shared" ca="1" si="8"/>
        <v>197776368.21230128</v>
      </c>
      <c r="D55" s="39">
        <f ca="1">E33</f>
        <v>697710.87720772857</v>
      </c>
      <c r="E55" s="55">
        <f t="shared" ca="1" si="9"/>
        <v>234.51571426576166</v>
      </c>
      <c r="G55" s="39"/>
      <c r="H55" s="506"/>
      <c r="I55" s="39"/>
      <c r="J55" s="39"/>
    </row>
    <row r="56" spans="2:19" ht="12.95">
      <c r="B56" s="56" t="str">
        <f t="shared" si="7"/>
        <v>Embedded Distributor</v>
      </c>
      <c r="C56" s="39">
        <f t="shared" ca="1" si="8"/>
        <v>34244754.121491976</v>
      </c>
      <c r="D56" s="39">
        <f ca="1">E34</f>
        <v>90871.252838385451</v>
      </c>
      <c r="E56" s="55">
        <f t="shared" ca="1" si="9"/>
        <v>4</v>
      </c>
      <c r="G56" s="39"/>
      <c r="H56" s="506"/>
      <c r="I56" s="39"/>
      <c r="J56" s="39"/>
      <c r="O56" s="502"/>
      <c r="P56" s="502"/>
      <c r="Q56" s="502"/>
      <c r="R56" s="504"/>
      <c r="S56" s="507"/>
    </row>
    <row r="57" spans="2:19" ht="12.95">
      <c r="B57" s="56" t="str">
        <f t="shared" si="7"/>
        <v>Street Light</v>
      </c>
      <c r="C57" s="39">
        <f t="shared" ca="1" si="8"/>
        <v>2433600.5248393081</v>
      </c>
      <c r="D57" s="39">
        <f ca="1">E35</f>
        <v>7372.4856525959021</v>
      </c>
      <c r="E57" s="55">
        <f t="shared" ca="1" si="9"/>
        <v>2828.2632585547244</v>
      </c>
      <c r="G57" s="39"/>
      <c r="H57" s="506"/>
      <c r="I57" s="39"/>
      <c r="J57" s="39"/>
    </row>
    <row r="58" spans="2:19" ht="12.95">
      <c r="B58" s="56" t="str">
        <f t="shared" si="7"/>
        <v>Sentinel Light</v>
      </c>
      <c r="C58" s="39">
        <f t="shared" ca="1" si="8"/>
        <v>262327.78873529832</v>
      </c>
      <c r="D58" s="39">
        <f ca="1">E36</f>
        <v>716.34708302108174</v>
      </c>
      <c r="E58" s="55">
        <f t="shared" ca="1" si="9"/>
        <v>215.94544680445384</v>
      </c>
      <c r="G58" s="39"/>
      <c r="H58" s="506"/>
      <c r="I58" s="39"/>
      <c r="J58" s="39"/>
    </row>
    <row r="59" spans="2:19" ht="12.95">
      <c r="B59" s="56" t="str">
        <f t="shared" si="7"/>
        <v>USL</v>
      </c>
      <c r="C59" s="39">
        <f t="shared" ca="1" si="8"/>
        <v>1383562.2195668274</v>
      </c>
      <c r="D59" s="39"/>
      <c r="E59" s="55">
        <f t="shared" ca="1" si="9"/>
        <v>122.76948833843458</v>
      </c>
      <c r="G59" s="39"/>
      <c r="H59" s="506"/>
      <c r="I59" s="39"/>
      <c r="J59" s="39"/>
      <c r="O59" s="502"/>
      <c r="P59" s="502"/>
      <c r="Q59" s="502"/>
      <c r="R59" s="504"/>
      <c r="S59" s="507"/>
    </row>
    <row r="60" spans="2:19" ht="13.5" thickBot="1">
      <c r="B60" s="57" t="s">
        <v>140</v>
      </c>
      <c r="C60" s="179">
        <f ca="1">SUM(C53:C59)</f>
        <v>591048545.42154515</v>
      </c>
      <c r="D60" s="179">
        <f ca="1">SUM(D53:D59)</f>
        <v>796670.96278173092</v>
      </c>
      <c r="E60" s="180">
        <f ca="1">SUM(E53:E59)</f>
        <v>34957.526330507149</v>
      </c>
      <c r="H60" s="295"/>
      <c r="O60" s="502"/>
      <c r="P60" s="502"/>
      <c r="Q60" s="502"/>
      <c r="R60" s="504"/>
      <c r="S60" s="507"/>
    </row>
    <row r="61" spans="2:19">
      <c r="P61" s="502"/>
      <c r="Q61" s="502"/>
    </row>
    <row r="62" spans="2:19">
      <c r="O62" s="505"/>
      <c r="P62" s="502"/>
      <c r="Q62" s="502"/>
    </row>
    <row r="65" spans="9:18">
      <c r="K65" s="503"/>
      <c r="P65" s="502"/>
      <c r="Q65" s="502"/>
    </row>
    <row r="66" spans="9:18">
      <c r="P66" s="502"/>
      <c r="Q66" s="502"/>
    </row>
    <row r="67" spans="9:18">
      <c r="J67" s="503"/>
      <c r="O67" s="502"/>
      <c r="P67" s="502"/>
    </row>
    <row r="68" spans="9:18">
      <c r="P68" s="502"/>
      <c r="Q68" s="502"/>
    </row>
    <row r="69" spans="9:18">
      <c r="P69" s="502"/>
      <c r="Q69" s="502"/>
    </row>
    <row r="70" spans="9:18">
      <c r="P70" s="502"/>
      <c r="Q70" s="502"/>
    </row>
    <row r="71" spans="9:18">
      <c r="N71" s="503"/>
      <c r="P71" s="502"/>
      <c r="Q71" s="502"/>
    </row>
    <row r="72" spans="9:18">
      <c r="N72" s="505"/>
      <c r="P72" s="502"/>
      <c r="Q72" s="502"/>
    </row>
    <row r="74" spans="9:18">
      <c r="P74" s="503"/>
    </row>
    <row r="75" spans="9:18">
      <c r="I75" s="502"/>
    </row>
    <row r="76" spans="9:18">
      <c r="I76" s="502"/>
    </row>
    <row r="77" spans="9:18">
      <c r="P77" s="502"/>
      <c r="Q77" s="502"/>
    </row>
    <row r="78" spans="9:18">
      <c r="P78" s="502"/>
      <c r="Q78" s="502"/>
      <c r="R78" s="504"/>
    </row>
    <row r="79" spans="9:18">
      <c r="P79" s="502"/>
      <c r="Q79" s="502"/>
      <c r="R79" s="504"/>
    </row>
    <row r="80" spans="9:18">
      <c r="P80" s="502"/>
      <c r="Q80" s="502"/>
    </row>
    <row r="81" spans="16:17">
      <c r="P81" s="502"/>
      <c r="Q81" s="502"/>
    </row>
    <row r="82" spans="16:17">
      <c r="P82" s="504"/>
      <c r="Q82" s="502"/>
    </row>
    <row r="83" spans="16:17">
      <c r="P83" s="502"/>
      <c r="Q83" s="502"/>
    </row>
    <row r="84" spans="16:17">
      <c r="P84" s="502"/>
      <c r="Q84" s="502"/>
    </row>
    <row r="85" spans="16:17">
      <c r="P85" s="502"/>
      <c r="Q85" s="502"/>
    </row>
    <row r="86" spans="16:17">
      <c r="P86" s="502"/>
      <c r="Q86" s="502"/>
    </row>
  </sheetData>
  <phoneticPr fontId="29" type="noConversion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BF790-EF68-49FE-A77D-CEC391C0748D}">
  <sheetPr>
    <tabColor theme="5" tint="0.59999389629810485"/>
  </sheetPr>
  <dimension ref="A1:AO101"/>
  <sheetViews>
    <sheetView topLeftCell="A31" workbookViewId="0">
      <selection activeCell="I40" sqref="I40"/>
    </sheetView>
  </sheetViews>
  <sheetFormatPr defaultRowHeight="14.45"/>
  <cols>
    <col min="1" max="1" width="34.85546875" bestFit="1" customWidth="1"/>
    <col min="2" max="5" width="13.5703125" customWidth="1"/>
    <col min="6" max="6" width="13.28515625" customWidth="1"/>
    <col min="7" max="9" width="12.28515625" bestFit="1" customWidth="1"/>
    <col min="11" max="11" width="34.85546875" bestFit="1" customWidth="1"/>
  </cols>
  <sheetData>
    <row r="1" spans="1:41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401"/>
      <c r="S1" s="401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401"/>
      <c r="S2" s="401"/>
      <c r="T2" s="401"/>
      <c r="U2" s="401"/>
      <c r="V2" s="401"/>
      <c r="W2" s="401"/>
      <c r="X2" s="401"/>
      <c r="Y2" s="401"/>
      <c r="Z2" s="401"/>
      <c r="AA2" s="19"/>
      <c r="AB2" s="19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19"/>
      <c r="AN2" s="19"/>
      <c r="AO2" s="19"/>
    </row>
    <row r="3" spans="1:41" ht="18">
      <c r="A3" s="573" t="s">
        <v>596</v>
      </c>
      <c r="B3" s="573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19"/>
      <c r="R3" s="401"/>
      <c r="S3" s="401"/>
      <c r="T3" s="401"/>
      <c r="U3" s="401"/>
      <c r="V3" s="401"/>
      <c r="W3" s="401"/>
      <c r="X3" s="401"/>
      <c r="Y3" s="401"/>
      <c r="Z3" s="401"/>
      <c r="AA3" s="19"/>
      <c r="AB3" s="19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19"/>
      <c r="AN3" s="19"/>
      <c r="AO3" s="19"/>
    </row>
    <row r="4" spans="1:41" ht="18">
      <c r="A4" s="574" t="s">
        <v>597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401"/>
      <c r="S4" s="401"/>
      <c r="T4" s="401"/>
      <c r="U4" s="401"/>
      <c r="V4" s="401"/>
      <c r="W4" s="401"/>
      <c r="X4" s="401"/>
      <c r="Y4" s="401"/>
      <c r="Z4" s="401"/>
      <c r="AA4" s="19"/>
      <c r="AB4" s="19"/>
      <c r="AC4" s="401"/>
      <c r="AD4" s="401"/>
      <c r="AE4" s="401"/>
      <c r="AF4" s="401"/>
      <c r="AG4" s="401"/>
      <c r="AH4" s="401"/>
      <c r="AI4" s="401"/>
      <c r="AJ4" s="401"/>
      <c r="AK4" s="401"/>
      <c r="AL4" s="401"/>
      <c r="AM4" s="19"/>
      <c r="AN4" s="19"/>
      <c r="AO4" s="19"/>
    </row>
    <row r="5" spans="1:41" hidden="1">
      <c r="A5" s="401"/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  <c r="V5" s="401"/>
      <c r="W5" s="401"/>
      <c r="X5" s="401"/>
      <c r="Y5" s="401"/>
      <c r="Z5" s="401"/>
      <c r="AA5" s="19"/>
      <c r="AB5" s="19"/>
      <c r="AC5" s="401"/>
      <c r="AD5" s="401"/>
      <c r="AE5" s="401"/>
      <c r="AF5" s="401"/>
      <c r="AG5" s="401"/>
      <c r="AH5" s="401"/>
      <c r="AI5" s="401"/>
      <c r="AJ5" s="401"/>
      <c r="AK5" s="401"/>
      <c r="AL5" s="401"/>
      <c r="AM5" s="19"/>
      <c r="AN5" s="19"/>
      <c r="AO5" s="19"/>
    </row>
    <row r="6" spans="1:41" hidden="1">
      <c r="A6" s="401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19"/>
      <c r="AB6" s="19"/>
      <c r="AC6" s="401"/>
      <c r="AD6" s="401"/>
      <c r="AE6" s="401"/>
      <c r="AF6" s="401"/>
      <c r="AG6" s="401"/>
      <c r="AH6" s="401"/>
      <c r="AI6" s="401"/>
      <c r="AJ6" s="401"/>
      <c r="AK6" s="401"/>
      <c r="AL6" s="401"/>
      <c r="AM6" s="19"/>
      <c r="AN6" s="19"/>
      <c r="AO6" s="19"/>
    </row>
    <row r="7" spans="1:41" hidden="1">
      <c r="A7" s="401"/>
      <c r="B7" s="401"/>
      <c r="C7" s="401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19"/>
      <c r="AB7" s="19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19"/>
      <c r="AN7" s="19"/>
      <c r="AO7" s="19"/>
    </row>
    <row r="8" spans="1:41" hidden="1">
      <c r="A8" s="401"/>
      <c r="B8" s="401"/>
      <c r="C8" s="401"/>
      <c r="D8" s="401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19"/>
      <c r="AH8" s="19"/>
      <c r="AI8" s="19"/>
      <c r="AJ8" s="19"/>
      <c r="AK8" s="19"/>
      <c r="AL8" s="19"/>
      <c r="AM8" s="19"/>
      <c r="AN8" s="19"/>
      <c r="AO8" s="19"/>
    </row>
    <row r="9" spans="1:41" ht="18" hidden="1">
      <c r="A9" s="19"/>
      <c r="B9" s="19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  <c r="AM9" s="402"/>
      <c r="AN9" s="402"/>
      <c r="AO9" s="402"/>
    </row>
    <row r="10" spans="1:41" ht="18" hidden="1">
      <c r="A10" s="19"/>
      <c r="B10" s="19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  <c r="AD10" s="403"/>
      <c r="AE10" s="403"/>
      <c r="AF10" s="403"/>
      <c r="AG10" s="403"/>
      <c r="AH10" s="403"/>
      <c r="AI10" s="403"/>
      <c r="AJ10" s="403"/>
      <c r="AK10" s="403"/>
      <c r="AL10" s="403"/>
      <c r="AM10" s="403"/>
      <c r="AN10" s="403"/>
      <c r="AO10" s="403"/>
    </row>
    <row r="11" spans="1:41" hidden="1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>
      <c r="A12" s="575" t="s">
        <v>598</v>
      </c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404"/>
      <c r="U12" s="404"/>
      <c r="V12" s="404"/>
      <c r="W12" s="404"/>
      <c r="X12" s="404"/>
      <c r="Y12" s="404"/>
      <c r="Z12" s="404"/>
      <c r="AA12" s="404"/>
      <c r="AB12" s="404"/>
      <c r="AC12" s="404"/>
      <c r="AD12" s="404"/>
      <c r="AE12" s="404"/>
      <c r="AF12" s="404"/>
      <c r="AG12" s="404"/>
      <c r="AH12" s="404"/>
      <c r="AI12" s="404"/>
      <c r="AJ12" s="404"/>
      <c r="AK12" s="404"/>
      <c r="AL12" s="404"/>
      <c r="AM12" s="404"/>
      <c r="AN12" s="404"/>
      <c r="AO12" s="404"/>
    </row>
    <row r="13" spans="1:41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>
      <c r="A14" s="19"/>
      <c r="B14" s="19"/>
      <c r="C14" s="405" t="s">
        <v>599</v>
      </c>
      <c r="D14" s="19"/>
      <c r="E14" s="19"/>
      <c r="F14" s="19"/>
      <c r="G14" s="19"/>
      <c r="H14" s="19"/>
      <c r="I14" s="19"/>
      <c r="J14" s="19"/>
      <c r="K14" s="19"/>
      <c r="L14" s="405" t="s">
        <v>600</v>
      </c>
      <c r="M14" s="405"/>
      <c r="N14" s="19"/>
      <c r="O14" s="19"/>
      <c r="P14" s="19"/>
      <c r="Q14" s="19"/>
      <c r="R14" s="19"/>
      <c r="S14" s="19"/>
      <c r="T14" s="406"/>
      <c r="U14" s="19"/>
      <c r="V14" s="19"/>
      <c r="W14" s="19"/>
      <c r="X14" s="19"/>
      <c r="Y14" s="19"/>
      <c r="Z14" s="19"/>
      <c r="AA14" s="19"/>
      <c r="AB14" s="19"/>
      <c r="AC14" s="406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1" ht="39">
      <c r="A15" s="407" t="s">
        <v>563</v>
      </c>
      <c r="B15" s="408" t="s">
        <v>601</v>
      </c>
      <c r="C15" s="408" t="s">
        <v>602</v>
      </c>
      <c r="D15" s="408" t="s">
        <v>603</v>
      </c>
      <c r="E15" s="408" t="s">
        <v>604</v>
      </c>
      <c r="F15" s="408" t="s">
        <v>605</v>
      </c>
      <c r="G15" s="408" t="s">
        <v>606</v>
      </c>
      <c r="H15" s="408" t="s">
        <v>607</v>
      </c>
      <c r="I15" s="408" t="s">
        <v>608</v>
      </c>
      <c r="J15" s="406"/>
      <c r="K15" s="407" t="s">
        <v>563</v>
      </c>
      <c r="L15" s="408" t="str">
        <f t="shared" ref="L15:S15" si="0">B15</f>
        <v>Historical 2018</v>
      </c>
      <c r="M15" s="408" t="str">
        <f t="shared" si="0"/>
        <v>Historical 2019</v>
      </c>
      <c r="N15" s="408" t="str">
        <f t="shared" si="0"/>
        <v>Historical 2020</v>
      </c>
      <c r="O15" s="408" t="str">
        <f t="shared" si="0"/>
        <v>Historical 2021</v>
      </c>
      <c r="P15" s="408" t="str">
        <f t="shared" si="0"/>
        <v>Historical 2022</v>
      </c>
      <c r="Q15" s="408" t="str">
        <f t="shared" si="0"/>
        <v>Historical 2023</v>
      </c>
      <c r="R15" s="408" t="str">
        <f t="shared" si="0"/>
        <v>Bridge Year 2024</v>
      </c>
      <c r="S15" s="408" t="str">
        <f t="shared" si="0"/>
        <v>Test Year 2025</v>
      </c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1">
      <c r="A16" s="409" t="s">
        <v>133</v>
      </c>
      <c r="B16" s="410">
        <f ca="1">'Summary Tables'!G41</f>
        <v>27640.416666666668</v>
      </c>
      <c r="C16" s="410">
        <f ca="1">'Summary Tables'!H41</f>
        <v>27931.833333333332</v>
      </c>
      <c r="D16" s="410">
        <f ca="1">'Summary Tables'!I41</f>
        <v>28265.333333333332</v>
      </c>
      <c r="E16" s="410">
        <f ca="1">'Summary Tables'!J41</f>
        <v>28511.916666666668</v>
      </c>
      <c r="F16" s="410">
        <f ca="1">'Summary Tables'!K41</f>
        <v>28745.333333333332</v>
      </c>
      <c r="G16" s="411">
        <f ca="1">'Summary Tables'!L41</f>
        <v>28911.5</v>
      </c>
      <c r="H16" s="411">
        <f ca="1">'Summary Tables'!M41</f>
        <v>29181.624519563167</v>
      </c>
      <c r="I16" s="411">
        <f ca="1">'Summary Tables'!N41</f>
        <v>29454.272853389488</v>
      </c>
      <c r="J16" s="412"/>
      <c r="K16" s="409" t="s">
        <v>133</v>
      </c>
      <c r="L16" s="413"/>
      <c r="M16" s="414">
        <f t="shared" ref="M16:M25" ca="1" si="1">IF(ISERROR((C16-B16)/B16), "", (C16-B16)/B16)</f>
        <v>1.0543135806563369E-2</v>
      </c>
      <c r="N16" s="414">
        <f ca="1">IF(ISERROR((D16-C16)/C16), "", (D16-C16)/C16)</f>
        <v>1.1939781969198824E-2</v>
      </c>
      <c r="O16" s="414">
        <f t="shared" ref="O16:O25" ca="1" si="2">IF(ISERROR((E16-D16)/D16), "", (E16-D16)/D16)</f>
        <v>8.723878484834276E-3</v>
      </c>
      <c r="P16" s="414">
        <f t="shared" ref="P16:P25" ca="1" si="3">IF(ISERROR((F16-E16)/E16), "", (F16-E16)/E16)</f>
        <v>8.1866354126782399E-3</v>
      </c>
      <c r="Q16" s="414">
        <f t="shared" ref="Q16:Q25" ca="1" si="4">IF(ISERROR((G16-F16)/F16), "", (G16-F16)/F16)</f>
        <v>5.780648453082282E-3</v>
      </c>
      <c r="R16" s="414">
        <f t="shared" ref="R16:R25" ca="1" si="5">IF(ISERROR((H16-G16)/G16), "", (H16-G16)/G16)</f>
        <v>9.343151326052514E-3</v>
      </c>
      <c r="S16" s="414">
        <f t="shared" ref="S16:S25" ca="1" si="6">IF(ISERROR((I16-H16)/H16), "", (I16-H16)/H16)</f>
        <v>9.3431513260524256E-3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19">
      <c r="A17" s="409" t="s">
        <v>609</v>
      </c>
      <c r="B17" s="410">
        <f ca="1">'Summary Tables'!G42</f>
        <v>1978.8333333333333</v>
      </c>
      <c r="C17" s="410">
        <f ca="1">'Summary Tables'!H42</f>
        <v>1996.25</v>
      </c>
      <c r="D17" s="410">
        <f ca="1">'Summary Tables'!I42</f>
        <v>2017.75</v>
      </c>
      <c r="E17" s="410">
        <f ca="1">'Summary Tables'!J42</f>
        <v>2039.5833333333333</v>
      </c>
      <c r="F17" s="410">
        <f ca="1">'Summary Tables'!K42</f>
        <v>2065.0833333333335</v>
      </c>
      <c r="G17" s="411">
        <f ca="1">'Summary Tables'!L42</f>
        <v>2062.25</v>
      </c>
      <c r="H17" s="411">
        <f ca="1">'Summary Tables'!M42</f>
        <v>2079.9290063577705</v>
      </c>
      <c r="I17" s="411">
        <f ca="1">'Summary Tables'!N42</f>
        <v>2097.7595691542842</v>
      </c>
      <c r="J17" s="412"/>
      <c r="K17" s="409" t="s">
        <v>609</v>
      </c>
      <c r="L17" s="413"/>
      <c r="M17" s="414">
        <f t="shared" ca="1" si="1"/>
        <v>8.8014823549229723E-3</v>
      </c>
      <c r="N17" s="414">
        <f ca="1">IF(ISERROR((D17-C17)/C17), "", (D17-C17)/C17)</f>
        <v>1.0770194113963683E-2</v>
      </c>
      <c r="O17" s="414">
        <f t="shared" ca="1" si="2"/>
        <v>1.0820633543963948E-2</v>
      </c>
      <c r="P17" s="414">
        <f t="shared" ca="1" si="3"/>
        <v>1.2502553626149243E-2</v>
      </c>
      <c r="Q17" s="414">
        <f t="shared" ca="1" si="4"/>
        <v>-1.3720188854364963E-3</v>
      </c>
      <c r="R17" s="414">
        <f t="shared" ca="1" si="5"/>
        <v>8.572678558744334E-3</v>
      </c>
      <c r="S17" s="414">
        <f t="shared" ca="1" si="6"/>
        <v>8.5726785587443653E-3</v>
      </c>
    </row>
    <row r="18" spans="1:19">
      <c r="A18" s="409" t="s">
        <v>610</v>
      </c>
      <c r="B18" s="410">
        <f ca="1">'Summary Tables'!G43</f>
        <v>249.25</v>
      </c>
      <c r="C18" s="410">
        <f ca="1">'Summary Tables'!H43</f>
        <v>261.5</v>
      </c>
      <c r="D18" s="410">
        <f ca="1">'Summary Tables'!I43</f>
        <v>256.33333333333331</v>
      </c>
      <c r="E18" s="410">
        <f ca="1">'Summary Tables'!J43</f>
        <v>234.25</v>
      </c>
      <c r="F18" s="410">
        <f ca="1">'Summary Tables'!K43</f>
        <v>210.08333333333334</v>
      </c>
      <c r="G18" s="411">
        <f ca="1">'Summary Tables'!L43</f>
        <v>230.33333333333334</v>
      </c>
      <c r="H18" s="411">
        <f ca="1">'Summary Tables'!M43</f>
        <v>232.41511608731571</v>
      </c>
      <c r="I18" s="411">
        <f ca="1">'Summary Tables'!N43</f>
        <v>234.51571426576166</v>
      </c>
      <c r="J18" s="412"/>
      <c r="K18" s="409" t="s">
        <v>610</v>
      </c>
      <c r="L18" s="413"/>
      <c r="M18" s="414">
        <f t="shared" ca="1" si="1"/>
        <v>4.9147442326980942E-2</v>
      </c>
      <c r="N18" s="414">
        <f ca="1">IF(ISERROR((D18-C18)/C18), "", (D18-C18)/C18)</f>
        <v>-1.9757807520713901E-2</v>
      </c>
      <c r="O18" s="414">
        <f t="shared" ca="1" si="2"/>
        <v>-8.6150845253576011E-2</v>
      </c>
      <c r="P18" s="414">
        <f t="shared" ca="1" si="3"/>
        <v>-0.10316613304873706</v>
      </c>
      <c r="Q18" s="414">
        <f t="shared" ca="1" si="4"/>
        <v>9.6390321301071002E-2</v>
      </c>
      <c r="R18" s="414">
        <f t="shared" ca="1" si="5"/>
        <v>9.0381306251043417E-3</v>
      </c>
      <c r="S18" s="414">
        <f t="shared" ca="1" si="6"/>
        <v>9.0381306251043434E-3</v>
      </c>
    </row>
    <row r="19" spans="1:19">
      <c r="A19" s="409" t="s">
        <v>611</v>
      </c>
      <c r="B19" s="410"/>
      <c r="C19" s="410"/>
      <c r="D19" s="410"/>
      <c r="E19" s="410"/>
      <c r="F19" s="410"/>
      <c r="G19" s="411"/>
      <c r="H19" s="411"/>
      <c r="I19" s="411"/>
      <c r="J19" s="412"/>
      <c r="K19" s="409" t="s">
        <v>611</v>
      </c>
      <c r="L19" s="413"/>
      <c r="M19" s="414" t="str">
        <f t="shared" si="1"/>
        <v/>
      </c>
      <c r="N19" s="414" t="str">
        <f>IF(ISERROR((D19-C19)/C19), "", (D19-C19)/C19)</f>
        <v/>
      </c>
      <c r="O19" s="414" t="str">
        <f t="shared" si="2"/>
        <v/>
      </c>
      <c r="P19" s="414" t="str">
        <f t="shared" si="3"/>
        <v/>
      </c>
      <c r="Q19" s="414" t="str">
        <f t="shared" si="4"/>
        <v/>
      </c>
      <c r="R19" s="414" t="str">
        <f t="shared" si="5"/>
        <v/>
      </c>
      <c r="S19" s="414" t="str">
        <f t="shared" si="6"/>
        <v/>
      </c>
    </row>
    <row r="20" spans="1:19">
      <c r="A20" s="409" t="s">
        <v>612</v>
      </c>
      <c r="B20" s="410">
        <f ca="1">'Summary Tables'!G47</f>
        <v>131.08333333333334</v>
      </c>
      <c r="C20" s="410">
        <f ca="1">'Summary Tables'!H47</f>
        <v>129.58333333333334</v>
      </c>
      <c r="D20" s="410">
        <f ca="1">'Summary Tables'!I47</f>
        <v>125.83333333333333</v>
      </c>
      <c r="E20" s="410">
        <f ca="1">'Summary Tables'!J47</f>
        <v>125</v>
      </c>
      <c r="F20" s="410">
        <f ca="1">'Summary Tables'!K47</f>
        <v>125</v>
      </c>
      <c r="G20" s="411">
        <f ca="1">'Summary Tables'!L47</f>
        <v>125</v>
      </c>
      <c r="H20" s="411">
        <f ca="1">'Summary Tables'!M47</f>
        <v>123.87972409682031</v>
      </c>
      <c r="I20" s="411">
        <f ca="1">'Summary Tables'!N47</f>
        <v>122.76948833843458</v>
      </c>
      <c r="J20" s="412"/>
      <c r="K20" s="409" t="s">
        <v>612</v>
      </c>
      <c r="L20" s="413"/>
      <c r="M20" s="414">
        <f t="shared" ca="1" si="1"/>
        <v>-1.1443102352193261E-2</v>
      </c>
      <c r="N20" s="414">
        <f ca="1">IF(ISERROR((D20-C20)/C20), "", (D20-C20)/C20)</f>
        <v>-2.8938906752411682E-2</v>
      </c>
      <c r="O20" s="414">
        <f t="shared" ca="1" si="2"/>
        <v>-6.6225165562913534E-3</v>
      </c>
      <c r="P20" s="414">
        <f t="shared" ca="1" si="3"/>
        <v>0</v>
      </c>
      <c r="Q20" s="414">
        <f t="shared" ca="1" si="4"/>
        <v>0</v>
      </c>
      <c r="R20" s="414">
        <f t="shared" ca="1" si="5"/>
        <v>-8.9622072254375105E-3</v>
      </c>
      <c r="S20" s="414">
        <f t="shared" ca="1" si="6"/>
        <v>-8.9622072254375001E-3</v>
      </c>
    </row>
    <row r="21" spans="1:19">
      <c r="A21" s="409" t="s">
        <v>613</v>
      </c>
      <c r="B21" s="410">
        <f ca="1">'Summary Tables'!G46</f>
        <v>242.58333333333334</v>
      </c>
      <c r="C21" s="410">
        <f ca="1">'Summary Tables'!H46</f>
        <v>235.41666666666666</v>
      </c>
      <c r="D21" s="410">
        <f ca="1">'Summary Tables'!I46</f>
        <v>228.08333333333334</v>
      </c>
      <c r="E21" s="410">
        <f ca="1">'Summary Tables'!J46</f>
        <v>228</v>
      </c>
      <c r="F21" s="410">
        <f ca="1">'Summary Tables'!K46</f>
        <v>226.66666666666666</v>
      </c>
      <c r="G21" s="411">
        <f ca="1">'Summary Tables'!L46</f>
        <v>222.25</v>
      </c>
      <c r="H21" s="411">
        <f ca="1">'Summary Tables'!M46</f>
        <v>219.07504548051534</v>
      </c>
      <c r="I21" s="411">
        <f ca="1">'Summary Tables'!N46</f>
        <v>215.94544680445384</v>
      </c>
      <c r="J21" s="412"/>
      <c r="K21" s="409" t="s">
        <v>613</v>
      </c>
      <c r="L21" s="413"/>
      <c r="M21" s="414">
        <f t="shared" ca="1" si="1"/>
        <v>-2.9543112332531853E-2</v>
      </c>
      <c r="N21" s="414">
        <f t="shared" ref="N21:N25" ca="1" si="7">IF(ISERROR((D21-C21)/C21), "", (D21-C21)/C21)</f>
        <v>-3.1150442477876027E-2</v>
      </c>
      <c r="O21" s="414">
        <f t="shared" ca="1" si="2"/>
        <v>-3.6536353671907696E-4</v>
      </c>
      <c r="P21" s="414">
        <f t="shared" ca="1" si="3"/>
        <v>-5.8479532163743103E-3</v>
      </c>
      <c r="Q21" s="414">
        <f t="shared" ca="1" si="4"/>
        <v>-1.9485294117647017E-2</v>
      </c>
      <c r="R21" s="414">
        <f t="shared" ca="1" si="5"/>
        <v>-1.4285509648974837E-2</v>
      </c>
      <c r="S21" s="414">
        <f t="shared" ca="1" si="6"/>
        <v>-1.4285509648974846E-2</v>
      </c>
    </row>
    <row r="22" spans="1:19">
      <c r="A22" s="409" t="s">
        <v>614</v>
      </c>
      <c r="B22" s="410">
        <f ca="1">'Summary Tables'!G45</f>
        <v>2760.8333333333335</v>
      </c>
      <c r="C22" s="410">
        <f ca="1">'Summary Tables'!H45</f>
        <v>2770</v>
      </c>
      <c r="D22" s="410">
        <f ca="1">'Summary Tables'!I45</f>
        <v>2777.3333333333335</v>
      </c>
      <c r="E22" s="410">
        <f ca="1">'Summary Tables'!J45</f>
        <v>2784.6666666666665</v>
      </c>
      <c r="F22" s="410">
        <f ca="1">'Summary Tables'!K45</f>
        <v>2793.3333333333335</v>
      </c>
      <c r="G22" s="411">
        <f ca="1">'Summary Tables'!L45</f>
        <v>2806.9166666666665</v>
      </c>
      <c r="H22" s="411">
        <f ca="1">'Summary Tables'!M45</f>
        <v>2817.5697468134185</v>
      </c>
      <c r="I22" s="411">
        <f ca="1">'Summary Tables'!N45</f>
        <v>2828.2632585547244</v>
      </c>
      <c r="J22" s="412"/>
      <c r="K22" s="409" t="s">
        <v>614</v>
      </c>
      <c r="L22" s="413"/>
      <c r="M22" s="414">
        <f t="shared" ca="1" si="1"/>
        <v>3.3202535466344153E-3</v>
      </c>
      <c r="N22" s="414">
        <f t="shared" ca="1" si="7"/>
        <v>2.6474127557160596E-3</v>
      </c>
      <c r="O22" s="414">
        <f t="shared" ca="1" si="2"/>
        <v>2.6404224675947059E-3</v>
      </c>
      <c r="P22" s="414">
        <f t="shared" ca="1" si="3"/>
        <v>3.1122815417765036E-3</v>
      </c>
      <c r="Q22" s="414">
        <f t="shared" ca="1" si="4"/>
        <v>4.862768496419939E-3</v>
      </c>
      <c r="R22" s="414">
        <f t="shared" ca="1" si="5"/>
        <v>3.7952961957374407E-3</v>
      </c>
      <c r="S22" s="414">
        <f t="shared" ca="1" si="6"/>
        <v>3.795296195737445E-3</v>
      </c>
    </row>
    <row r="23" spans="1:19">
      <c r="A23" s="409" t="s">
        <v>615</v>
      </c>
      <c r="B23" s="410"/>
      <c r="C23" s="410"/>
      <c r="D23" s="410"/>
      <c r="E23" s="410"/>
      <c r="F23" s="410"/>
      <c r="G23" s="411"/>
      <c r="H23" s="411"/>
      <c r="I23" s="411"/>
      <c r="J23" s="412"/>
      <c r="K23" s="409" t="s">
        <v>615</v>
      </c>
      <c r="L23" s="413"/>
      <c r="M23" s="414" t="str">
        <f t="shared" si="1"/>
        <v/>
      </c>
      <c r="N23" s="414" t="str">
        <f t="shared" si="7"/>
        <v/>
      </c>
      <c r="O23" s="414" t="str">
        <f t="shared" si="2"/>
        <v/>
      </c>
      <c r="P23" s="414" t="str">
        <f t="shared" si="3"/>
        <v/>
      </c>
      <c r="Q23" s="414" t="str">
        <f t="shared" si="4"/>
        <v/>
      </c>
      <c r="R23" s="414" t="str">
        <f t="shared" si="5"/>
        <v/>
      </c>
      <c r="S23" s="414" t="str">
        <f t="shared" si="6"/>
        <v/>
      </c>
    </row>
    <row r="24" spans="1:19">
      <c r="A24" s="409" t="s">
        <v>616</v>
      </c>
      <c r="B24" s="410">
        <f ca="1">'Summary Tables'!G44</f>
        <v>4.75</v>
      </c>
      <c r="C24" s="410">
        <f ca="1">'Summary Tables'!H44</f>
        <v>4</v>
      </c>
      <c r="D24" s="410">
        <f ca="1">'Summary Tables'!I44</f>
        <v>4</v>
      </c>
      <c r="E24" s="410">
        <f ca="1">'Summary Tables'!J44</f>
        <v>4</v>
      </c>
      <c r="F24" s="410">
        <f ca="1">'Summary Tables'!K44</f>
        <v>4</v>
      </c>
      <c r="G24" s="411">
        <f ca="1">'Summary Tables'!L44</f>
        <v>4</v>
      </c>
      <c r="H24" s="411">
        <f ca="1">'Summary Tables'!M44</f>
        <v>4</v>
      </c>
      <c r="I24" s="411">
        <f ca="1">'Summary Tables'!N44</f>
        <v>4</v>
      </c>
      <c r="J24" s="412"/>
      <c r="K24" s="409" t="s">
        <v>616</v>
      </c>
      <c r="L24" s="413"/>
      <c r="M24" s="414">
        <f t="shared" ca="1" si="1"/>
        <v>-0.15789473684210525</v>
      </c>
      <c r="N24" s="414">
        <f t="shared" ca="1" si="7"/>
        <v>0</v>
      </c>
      <c r="O24" s="414">
        <f t="shared" ca="1" si="2"/>
        <v>0</v>
      </c>
      <c r="P24" s="414">
        <f t="shared" ca="1" si="3"/>
        <v>0</v>
      </c>
      <c r="Q24" s="414">
        <f t="shared" ca="1" si="4"/>
        <v>0</v>
      </c>
      <c r="R24" s="414">
        <f t="shared" ca="1" si="5"/>
        <v>0</v>
      </c>
      <c r="S24" s="414">
        <f t="shared" ca="1" si="6"/>
        <v>0</v>
      </c>
    </row>
    <row r="25" spans="1:19">
      <c r="A25" s="409" t="s">
        <v>617</v>
      </c>
      <c r="B25" s="410"/>
      <c r="C25" s="410"/>
      <c r="D25" s="410"/>
      <c r="E25" s="410"/>
      <c r="F25" s="410"/>
      <c r="G25" s="411"/>
      <c r="H25" s="411"/>
      <c r="I25" s="411"/>
      <c r="J25" s="412"/>
      <c r="K25" s="409" t="s">
        <v>617</v>
      </c>
      <c r="L25" s="413"/>
      <c r="M25" s="414" t="str">
        <f t="shared" si="1"/>
        <v/>
      </c>
      <c r="N25" s="414" t="str">
        <f t="shared" si="7"/>
        <v/>
      </c>
      <c r="O25" s="414" t="str">
        <f t="shared" si="2"/>
        <v/>
      </c>
      <c r="P25" s="414" t="str">
        <f t="shared" si="3"/>
        <v/>
      </c>
      <c r="Q25" s="414" t="str">
        <f t="shared" si="4"/>
        <v/>
      </c>
      <c r="R25" s="414" t="str">
        <f t="shared" si="5"/>
        <v/>
      </c>
      <c r="S25" s="414" t="str">
        <f t="shared" si="6"/>
        <v/>
      </c>
    </row>
    <row r="27" spans="1:19">
      <c r="A27" s="19"/>
      <c r="B27" s="19"/>
      <c r="C27" s="415" t="s">
        <v>618</v>
      </c>
      <c r="D27" s="19"/>
      <c r="E27" s="19"/>
      <c r="F27" s="19"/>
      <c r="G27" s="19"/>
      <c r="H27" s="19"/>
      <c r="I27" s="19"/>
      <c r="J27" s="19"/>
      <c r="K27" s="19"/>
      <c r="L27" s="415" t="s">
        <v>619</v>
      </c>
      <c r="M27" s="19"/>
      <c r="N27" s="19"/>
      <c r="O27" s="19"/>
      <c r="P27" s="19"/>
      <c r="Q27" s="19"/>
      <c r="R27" s="19"/>
      <c r="S27" s="19"/>
    </row>
    <row r="28" spans="1:19" ht="39">
      <c r="A28" s="407" t="s">
        <v>563</v>
      </c>
      <c r="B28" s="408" t="str">
        <f>B15</f>
        <v>Historical 2018</v>
      </c>
      <c r="C28" s="408" t="str">
        <f t="shared" ref="C28:I28" si="8">C15</f>
        <v>Historical 2019</v>
      </c>
      <c r="D28" s="408" t="str">
        <f t="shared" si="8"/>
        <v>Historical 2020</v>
      </c>
      <c r="E28" s="408" t="str">
        <f t="shared" si="8"/>
        <v>Historical 2021</v>
      </c>
      <c r="F28" s="408" t="str">
        <f t="shared" si="8"/>
        <v>Historical 2022</v>
      </c>
      <c r="G28" s="408" t="str">
        <f t="shared" si="8"/>
        <v>Historical 2023</v>
      </c>
      <c r="H28" s="408" t="str">
        <f t="shared" si="8"/>
        <v>Bridge Year 2024</v>
      </c>
      <c r="I28" s="408" t="str">
        <f t="shared" si="8"/>
        <v>Test Year 2025</v>
      </c>
      <c r="J28" s="406"/>
      <c r="K28" s="407" t="s">
        <v>563</v>
      </c>
      <c r="L28" s="408" t="str">
        <f t="shared" ref="L28:S28" si="9">B28</f>
        <v>Historical 2018</v>
      </c>
      <c r="M28" s="408" t="str">
        <f t="shared" si="9"/>
        <v>Historical 2019</v>
      </c>
      <c r="N28" s="408" t="str">
        <f t="shared" si="9"/>
        <v>Historical 2020</v>
      </c>
      <c r="O28" s="408" t="str">
        <f t="shared" si="9"/>
        <v>Historical 2021</v>
      </c>
      <c r="P28" s="408" t="str">
        <f t="shared" si="9"/>
        <v>Historical 2022</v>
      </c>
      <c r="Q28" s="408" t="str">
        <f t="shared" si="9"/>
        <v>Historical 2023</v>
      </c>
      <c r="R28" s="408" t="str">
        <f t="shared" si="9"/>
        <v>Bridge Year 2024</v>
      </c>
      <c r="S28" s="408" t="str">
        <f t="shared" si="9"/>
        <v>Test Year 2025</v>
      </c>
    </row>
    <row r="29" spans="1:19">
      <c r="A29" s="409" t="s">
        <v>133</v>
      </c>
      <c r="B29" s="410">
        <f ca="1">'Summary Tables'!G3</f>
        <v>259974120</v>
      </c>
      <c r="C29" s="410">
        <f ca="1">'Summary Tables'!H3</f>
        <v>252809094</v>
      </c>
      <c r="D29" s="410">
        <f ca="1">'Summary Tables'!I3</f>
        <v>271898869</v>
      </c>
      <c r="E29" s="410">
        <f ca="1">'Summary Tables'!J3</f>
        <v>277378582</v>
      </c>
      <c r="F29" s="410">
        <f ca="1">'Summary Tables'!K3</f>
        <v>272607146</v>
      </c>
      <c r="G29" s="411">
        <f ca="1">'Summary Tables'!L3</f>
        <v>259000633.64553002</v>
      </c>
      <c r="H29" s="411">
        <f ca="1">'Variance Analysis'!M4</f>
        <v>276307255.21060741</v>
      </c>
      <c r="I29" s="411">
        <f ca="1">'Variance Analysis'!N4</f>
        <v>284227345.6084224</v>
      </c>
      <c r="J29" s="19"/>
      <c r="K29" s="409" t="s">
        <v>133</v>
      </c>
      <c r="L29" s="413"/>
      <c r="M29" s="414">
        <f t="shared" ref="M29:M38" ca="1" si="10">IF(ISERROR((C29-B29)/B29), "", (C29-B29)/B29)</f>
        <v>-2.7560535641009191E-2</v>
      </c>
      <c r="N29" s="414">
        <f ca="1">IF(ISERROR((D29-C29)/C29), "", (D29-C29)/C29)</f>
        <v>7.5510634122995593E-2</v>
      </c>
      <c r="O29" s="414">
        <f t="shared" ref="O29:O38" ca="1" si="11">IF(ISERROR((E29-D29)/D29), "", (E29-D29)/D29)</f>
        <v>2.0153496850330774E-2</v>
      </c>
      <c r="P29" s="414">
        <f t="shared" ref="P29:P38" ca="1" si="12">IF(ISERROR((F29-E29)/E29), "", (F29-E29)/E29)</f>
        <v>-1.7201890519434555E-2</v>
      </c>
      <c r="Q29" s="414">
        <f t="shared" ref="Q29:Q38" ca="1" si="13">IF(ISERROR((G29-F29)/F29), "", (G29-F29)/F29)</f>
        <v>-4.9912530005614693E-2</v>
      </c>
      <c r="R29" s="414">
        <f t="shared" ref="R29:R38" ca="1" si="14">IF(ISERROR((H29-G29)/G29), "", (H29-G29)/G29)</f>
        <v>6.682076920616091E-2</v>
      </c>
      <c r="S29" s="414">
        <f t="shared" ref="S29:S38" ca="1" si="15">IF(ISERROR((I29-H29)/H29), "", (I29-H29)/H29)</f>
        <v>2.8664069612569978E-2</v>
      </c>
    </row>
    <row r="30" spans="1:19">
      <c r="A30" s="409" t="s">
        <v>609</v>
      </c>
      <c r="B30" s="410">
        <f ca="1">'Summary Tables'!G4</f>
        <v>66321666</v>
      </c>
      <c r="C30" s="410">
        <f ca="1">'Summary Tables'!H4</f>
        <v>65058987</v>
      </c>
      <c r="D30" s="410">
        <f ca="1">'Summary Tables'!I4</f>
        <v>60802781</v>
      </c>
      <c r="E30" s="410">
        <f ca="1">'Summary Tables'!J4</f>
        <v>62043606</v>
      </c>
      <c r="F30" s="410">
        <f ca="1">'Summary Tables'!K4</f>
        <v>67628825</v>
      </c>
      <c r="G30" s="411">
        <f ca="1">'Summary Tables'!L4</f>
        <v>63293408.089218006</v>
      </c>
      <c r="H30" s="411">
        <f ca="1">'Variance Analysis'!M5</f>
        <v>68358838.666362375</v>
      </c>
      <c r="I30" s="411">
        <f ca="1">'Variance Analysis'!N5</f>
        <v>70720586.946188062</v>
      </c>
      <c r="J30" s="19"/>
      <c r="K30" s="409" t="s">
        <v>609</v>
      </c>
      <c r="L30" s="413"/>
      <c r="M30" s="414">
        <f t="shared" ca="1" si="10"/>
        <v>-1.9038710517314206E-2</v>
      </c>
      <c r="N30" s="414">
        <f ca="1">IF(ISERROR((D30-C30)/C30), "", (D30-C30)/C30)</f>
        <v>-6.5420723504348452E-2</v>
      </c>
      <c r="O30" s="414">
        <f t="shared" ca="1" si="11"/>
        <v>2.0407372485149979E-2</v>
      </c>
      <c r="P30" s="414">
        <f t="shared" ca="1" si="12"/>
        <v>9.0020863713176177E-2</v>
      </c>
      <c r="Q30" s="414">
        <f t="shared" ca="1" si="13"/>
        <v>-6.4106051092592459E-2</v>
      </c>
      <c r="R30" s="414">
        <f t="shared" ca="1" si="14"/>
        <v>8.0030934185186697E-2</v>
      </c>
      <c r="S30" s="414">
        <f t="shared" ca="1" si="15"/>
        <v>3.4549274474258193E-2</v>
      </c>
    </row>
    <row r="31" spans="1:19">
      <c r="A31" s="409" t="s">
        <v>610</v>
      </c>
      <c r="B31" s="410">
        <f ca="1">'Summary Tables'!G5</f>
        <v>171089785</v>
      </c>
      <c r="C31" s="410">
        <f ca="1">'Summary Tables'!H5</f>
        <v>180918659</v>
      </c>
      <c r="D31" s="410">
        <f ca="1">'Summary Tables'!I5</f>
        <v>171481742</v>
      </c>
      <c r="E31" s="410">
        <f ca="1">'Summary Tables'!J5</f>
        <v>178461520</v>
      </c>
      <c r="F31" s="410">
        <f ca="1">'Summary Tables'!K5</f>
        <v>183800048</v>
      </c>
      <c r="G31" s="411">
        <f ca="1">'Summary Tables'!L5</f>
        <v>183420702.72663307</v>
      </c>
      <c r="H31" s="411">
        <f ca="1">'Variance Analysis'!M6</f>
        <v>184803962.4068284</v>
      </c>
      <c r="I31" s="411">
        <f ca="1">'Variance Analysis'!N6</f>
        <v>197776368.21230128</v>
      </c>
      <c r="J31" s="19"/>
      <c r="K31" s="409" t="s">
        <v>610</v>
      </c>
      <c r="L31" s="413"/>
      <c r="M31" s="414">
        <f t="shared" ca="1" si="10"/>
        <v>5.744863143056729E-2</v>
      </c>
      <c r="N31" s="414">
        <f ca="1">IF(ISERROR((D31-C31)/C31), "", (D31-C31)/C31)</f>
        <v>-5.2161104068320557E-2</v>
      </c>
      <c r="O31" s="414">
        <f t="shared" ca="1" si="11"/>
        <v>4.0702747234746428E-2</v>
      </c>
      <c r="P31" s="414">
        <f t="shared" ca="1" si="12"/>
        <v>2.9914168611810545E-2</v>
      </c>
      <c r="Q31" s="414">
        <f t="shared" ca="1" si="13"/>
        <v>-2.0639019276367551E-3</v>
      </c>
      <c r="R31" s="414">
        <f t="shared" ca="1" si="14"/>
        <v>7.5414588409734584E-3</v>
      </c>
      <c r="S31" s="414">
        <f t="shared" ca="1" si="15"/>
        <v>7.0195496008442493E-2</v>
      </c>
    </row>
    <row r="32" spans="1:19">
      <c r="A32" s="409" t="s">
        <v>611</v>
      </c>
      <c r="B32" s="410"/>
      <c r="C32" s="410"/>
      <c r="D32" s="410"/>
      <c r="E32" s="410"/>
      <c r="F32" s="410"/>
      <c r="G32" s="411"/>
      <c r="H32" s="411"/>
      <c r="I32" s="411"/>
      <c r="J32" s="19"/>
      <c r="K32" s="409" t="s">
        <v>611</v>
      </c>
      <c r="L32" s="413"/>
      <c r="M32" s="414" t="str">
        <f t="shared" si="10"/>
        <v/>
      </c>
      <c r="N32" s="414" t="str">
        <f>IF(ISERROR((D32-C32)/C32), "", (D32-C32)/C32)</f>
        <v/>
      </c>
      <c r="O32" s="414" t="str">
        <f t="shared" si="11"/>
        <v/>
      </c>
      <c r="P32" s="414" t="str">
        <f t="shared" si="12"/>
        <v/>
      </c>
      <c r="Q32" s="414" t="str">
        <f t="shared" si="13"/>
        <v/>
      </c>
      <c r="R32" s="414" t="str">
        <f t="shared" si="14"/>
        <v/>
      </c>
      <c r="S32" s="414" t="str">
        <f t="shared" si="15"/>
        <v/>
      </c>
    </row>
    <row r="33" spans="1:19">
      <c r="A33" s="409" t="s">
        <v>612</v>
      </c>
      <c r="B33" s="410">
        <f ca="1">'Summary Tables'!G9</f>
        <v>1547236</v>
      </c>
      <c r="C33" s="410">
        <f ca="1">'Summary Tables'!H9</f>
        <v>1541978</v>
      </c>
      <c r="D33" s="410">
        <f ca="1">'Summary Tables'!I9</f>
        <v>1442699</v>
      </c>
      <c r="E33" s="410">
        <f ca="1">'Summary Tables'!J9</f>
        <v>1408704</v>
      </c>
      <c r="F33" s="410">
        <f ca="1">'Summary Tables'!K9</f>
        <v>1408704</v>
      </c>
      <c r="G33" s="411">
        <f ca="1">'Summary Tables'!L9</f>
        <v>1408699.1791405117</v>
      </c>
      <c r="H33" s="411">
        <f ca="1">'Variance Analysis'!M10</f>
        <v>1396074.1251787506</v>
      </c>
      <c r="I33" s="411">
        <f ca="1">'Variance Analysis'!N10</f>
        <v>1383562.2195668274</v>
      </c>
      <c r="J33" s="19"/>
      <c r="K33" s="409" t="s">
        <v>612</v>
      </c>
      <c r="L33" s="413"/>
      <c r="M33" s="414">
        <f t="shared" ca="1" si="10"/>
        <v>-3.3983180329309813E-3</v>
      </c>
      <c r="N33" s="414">
        <f ca="1">IF(ISERROR((D33-C33)/C33), "", (D33-C33)/C33)</f>
        <v>-6.4384187063628667E-2</v>
      </c>
      <c r="O33" s="414">
        <f t="shared" ca="1" si="11"/>
        <v>-2.3563473739151412E-2</v>
      </c>
      <c r="P33" s="414">
        <f t="shared" ca="1" si="12"/>
        <v>0</v>
      </c>
      <c r="Q33" s="414">
        <f t="shared" ca="1" si="13"/>
        <v>-3.4221947892052866E-6</v>
      </c>
      <c r="R33" s="414">
        <f t="shared" ca="1" si="14"/>
        <v>-8.962207225437566E-3</v>
      </c>
      <c r="S33" s="414">
        <f t="shared" ca="1" si="15"/>
        <v>-8.9622072254374012E-3</v>
      </c>
    </row>
    <row r="34" spans="1:19">
      <c r="A34" s="409" t="s">
        <v>613</v>
      </c>
      <c r="B34" s="410">
        <f ca="1">'Summary Tables'!G8</f>
        <v>293755</v>
      </c>
      <c r="C34" s="410">
        <f ca="1">'Summary Tables'!H8</f>
        <v>285985</v>
      </c>
      <c r="D34" s="410">
        <f ca="1">'Summary Tables'!I8</f>
        <v>281018</v>
      </c>
      <c r="E34" s="410">
        <f ca="1">'Summary Tables'!J8</f>
        <v>278297</v>
      </c>
      <c r="F34" s="410">
        <f ca="1">'Summary Tables'!K8</f>
        <v>271670</v>
      </c>
      <c r="G34" s="411">
        <f ca="1">'Summary Tables'!L8</f>
        <v>269986.47996137134</v>
      </c>
      <c r="H34" s="411">
        <f ca="1">'Variance Analysis'!M9</f>
        <v>266129.58549679042</v>
      </c>
      <c r="I34" s="411">
        <f ca="1">'Variance Analysis'!N9</f>
        <v>262327.78873529832</v>
      </c>
      <c r="J34" s="19"/>
      <c r="K34" s="409" t="s">
        <v>613</v>
      </c>
      <c r="L34" s="413"/>
      <c r="M34" s="414">
        <f t="shared" ca="1" si="10"/>
        <v>-2.6450613606576908E-2</v>
      </c>
      <c r="N34" s="414">
        <f t="shared" ref="N34:N38" ca="1" si="16">IF(ISERROR((D34-C34)/C34), "", (D34-C34)/C34)</f>
        <v>-1.7368043778519852E-2</v>
      </c>
      <c r="O34" s="414">
        <f t="shared" ca="1" si="11"/>
        <v>-9.6826537801848987E-3</v>
      </c>
      <c r="P34" s="414">
        <f t="shared" ca="1" si="12"/>
        <v>-2.3812689321120961E-2</v>
      </c>
      <c r="Q34" s="414">
        <f t="shared" ca="1" si="13"/>
        <v>-6.1969302412068304E-3</v>
      </c>
      <c r="R34" s="414">
        <f t="shared" ca="1" si="14"/>
        <v>-1.4285509648974846E-2</v>
      </c>
      <c r="S34" s="414">
        <f t="shared" ca="1" si="15"/>
        <v>-1.428550964897491E-2</v>
      </c>
    </row>
    <row r="35" spans="1:19">
      <c r="A35" s="409" t="s">
        <v>614</v>
      </c>
      <c r="B35" s="410">
        <f ca="1">'Summary Tables'!G7</f>
        <v>2887551</v>
      </c>
      <c r="C35" s="410">
        <f ca="1">'Summary Tables'!H7</f>
        <v>2576355</v>
      </c>
      <c r="D35" s="410">
        <f ca="1">'Summary Tables'!I7</f>
        <v>2455697</v>
      </c>
      <c r="E35" s="410">
        <f ca="1">'Summary Tables'!J7</f>
        <v>2444025</v>
      </c>
      <c r="F35" s="410">
        <f ca="1">'Summary Tables'!K7</f>
        <v>2406027</v>
      </c>
      <c r="G35" s="411">
        <f ca="1">'Summary Tables'!L7</f>
        <v>2415232.6883003376</v>
      </c>
      <c r="H35" s="411">
        <f ca="1">'Variance Analysis'!M8</f>
        <v>2424399.2117340649</v>
      </c>
      <c r="I35" s="411">
        <f ca="1">'Variance Analysis'!N8</f>
        <v>2433600.5248393081</v>
      </c>
      <c r="J35" s="19"/>
      <c r="K35" s="409" t="s">
        <v>614</v>
      </c>
      <c r="L35" s="413"/>
      <c r="M35" s="414">
        <f t="shared" ca="1" si="10"/>
        <v>-0.10777160299506398</v>
      </c>
      <c r="N35" s="414">
        <f t="shared" ca="1" si="16"/>
        <v>-4.6832831655575419E-2</v>
      </c>
      <c r="O35" s="414">
        <f t="shared" ca="1" si="11"/>
        <v>-4.7530293843255095E-3</v>
      </c>
      <c r="P35" s="414">
        <f t="shared" ca="1" si="12"/>
        <v>-1.5547304139687605E-2</v>
      </c>
      <c r="Q35" s="414">
        <f t="shared" ca="1" si="13"/>
        <v>3.8260951769608746E-3</v>
      </c>
      <c r="R35" s="414">
        <f t="shared" ca="1" si="14"/>
        <v>3.7952961957375356E-3</v>
      </c>
      <c r="S35" s="414">
        <f t="shared" ca="1" si="15"/>
        <v>3.7952961957374866E-3</v>
      </c>
    </row>
    <row r="36" spans="1:19">
      <c r="A36" s="409" t="s">
        <v>615</v>
      </c>
      <c r="B36" s="410"/>
      <c r="C36" s="410"/>
      <c r="D36" s="410"/>
      <c r="E36" s="410"/>
      <c r="F36" s="410"/>
      <c r="G36" s="411"/>
      <c r="H36" s="411"/>
      <c r="I36" s="411"/>
      <c r="J36" s="19"/>
      <c r="K36" s="409" t="s">
        <v>615</v>
      </c>
      <c r="L36" s="413"/>
      <c r="M36" s="414" t="str">
        <f t="shared" si="10"/>
        <v/>
      </c>
      <c r="N36" s="414" t="str">
        <f t="shared" si="16"/>
        <v/>
      </c>
      <c r="O36" s="414" t="str">
        <f t="shared" si="11"/>
        <v/>
      </c>
      <c r="P36" s="414" t="str">
        <f t="shared" si="12"/>
        <v/>
      </c>
      <c r="Q36" s="414" t="str">
        <f t="shared" si="13"/>
        <v/>
      </c>
      <c r="R36" s="414" t="str">
        <f t="shared" si="14"/>
        <v/>
      </c>
      <c r="S36" s="414" t="str">
        <f t="shared" si="15"/>
        <v/>
      </c>
    </row>
    <row r="37" spans="1:19">
      <c r="A37" s="409" t="s">
        <v>616</v>
      </c>
      <c r="B37" s="410">
        <f ca="1">'Summary Tables'!G6</f>
        <v>31923241</v>
      </c>
      <c r="C37" s="410">
        <f ca="1">'Summary Tables'!H6</f>
        <v>34526385</v>
      </c>
      <c r="D37" s="410">
        <f ca="1">'Summary Tables'!I6</f>
        <v>29188687</v>
      </c>
      <c r="E37" s="410">
        <f ca="1">'Summary Tables'!J6</f>
        <v>28075683</v>
      </c>
      <c r="F37" s="410">
        <f ca="1">'Summary Tables'!K6</f>
        <v>28792570</v>
      </c>
      <c r="G37" s="411">
        <f ca="1">'Summary Tables'!L6</f>
        <v>34284228</v>
      </c>
      <c r="H37" s="411">
        <f ca="1">'Variance Analysis'!M7</f>
        <v>33920392.464488193</v>
      </c>
      <c r="I37" s="411">
        <f ca="1">'Variance Analysis'!N7</f>
        <v>34244754.121491976</v>
      </c>
      <c r="J37" s="19"/>
      <c r="K37" s="409" t="s">
        <v>616</v>
      </c>
      <c r="L37" s="413"/>
      <c r="M37" s="414">
        <f t="shared" ca="1" si="10"/>
        <v>8.1543850763774267E-2</v>
      </c>
      <c r="N37" s="414">
        <f t="shared" ca="1" si="16"/>
        <v>-0.15459765046355128</v>
      </c>
      <c r="O37" s="414">
        <f t="shared" ca="1" si="11"/>
        <v>-3.8131348628323021E-2</v>
      </c>
      <c r="P37" s="414">
        <f t="shared" ca="1" si="12"/>
        <v>2.5534089411110676E-2</v>
      </c>
      <c r="Q37" s="414">
        <f t="shared" ca="1" si="13"/>
        <v>0.19073177559349513</v>
      </c>
      <c r="R37" s="414">
        <f t="shared" ca="1" si="14"/>
        <v>-1.0612329830259167E-2</v>
      </c>
      <c r="S37" s="414">
        <f t="shared" ca="1" si="15"/>
        <v>9.5624382100932982E-3</v>
      </c>
    </row>
    <row r="38" spans="1:19">
      <c r="A38" s="409" t="s">
        <v>617</v>
      </c>
      <c r="B38" s="410">
        <v>0</v>
      </c>
      <c r="C38" s="410">
        <v>0</v>
      </c>
      <c r="D38" s="410">
        <v>0</v>
      </c>
      <c r="E38" s="410">
        <v>0</v>
      </c>
      <c r="F38" s="410">
        <v>0</v>
      </c>
      <c r="G38" s="411"/>
      <c r="H38" s="411"/>
      <c r="I38" s="411"/>
      <c r="J38" s="19"/>
      <c r="K38" s="409" t="s">
        <v>617</v>
      </c>
      <c r="L38" s="413"/>
      <c r="M38" s="414" t="str">
        <f t="shared" si="10"/>
        <v/>
      </c>
      <c r="N38" s="414" t="str">
        <f t="shared" si="16"/>
        <v/>
      </c>
      <c r="O38" s="414" t="str">
        <f t="shared" si="11"/>
        <v/>
      </c>
      <c r="P38" s="414" t="str">
        <f t="shared" si="12"/>
        <v/>
      </c>
      <c r="Q38" s="414" t="str">
        <f t="shared" si="13"/>
        <v/>
      </c>
      <c r="R38" s="414" t="str">
        <f t="shared" si="14"/>
        <v/>
      </c>
      <c r="S38" s="414" t="str">
        <f t="shared" si="15"/>
        <v/>
      </c>
    </row>
    <row r="40" spans="1:19">
      <c r="A40" s="19"/>
      <c r="B40" s="19"/>
      <c r="C40" s="416" t="s">
        <v>620</v>
      </c>
      <c r="D40" s="19"/>
      <c r="E40" s="19"/>
      <c r="F40" s="19"/>
      <c r="G40" s="19"/>
      <c r="H40" s="19"/>
      <c r="I40" s="19"/>
      <c r="J40" s="19"/>
      <c r="K40" s="19"/>
      <c r="L40" s="416" t="s">
        <v>621</v>
      </c>
      <c r="M40" s="19"/>
      <c r="N40" s="19"/>
      <c r="O40" s="19"/>
      <c r="P40" s="19"/>
      <c r="Q40" s="19"/>
      <c r="R40" s="19"/>
      <c r="S40" s="19"/>
    </row>
    <row r="41" spans="1:19" ht="39">
      <c r="A41" s="407" t="s">
        <v>563</v>
      </c>
      <c r="B41" s="408" t="str">
        <f>B28</f>
        <v>Historical 2018</v>
      </c>
      <c r="C41" s="408" t="str">
        <f t="shared" ref="C41:I41" si="17">C28</f>
        <v>Historical 2019</v>
      </c>
      <c r="D41" s="408" t="str">
        <f t="shared" si="17"/>
        <v>Historical 2020</v>
      </c>
      <c r="E41" s="408" t="str">
        <f t="shared" si="17"/>
        <v>Historical 2021</v>
      </c>
      <c r="F41" s="408" t="str">
        <f t="shared" si="17"/>
        <v>Historical 2022</v>
      </c>
      <c r="G41" s="408" t="str">
        <f t="shared" si="17"/>
        <v>Historical 2023</v>
      </c>
      <c r="H41" s="408" t="str">
        <f t="shared" si="17"/>
        <v>Bridge Year 2024</v>
      </c>
      <c r="I41" s="408" t="str">
        <f t="shared" si="17"/>
        <v>Test Year 2025</v>
      </c>
      <c r="J41" s="406"/>
      <c r="K41" s="407" t="s">
        <v>563</v>
      </c>
      <c r="L41" s="408" t="str">
        <f t="shared" ref="L41:S41" si="18">B41</f>
        <v>Historical 2018</v>
      </c>
      <c r="M41" s="408" t="str">
        <f t="shared" si="18"/>
        <v>Historical 2019</v>
      </c>
      <c r="N41" s="408" t="str">
        <f t="shared" si="18"/>
        <v>Historical 2020</v>
      </c>
      <c r="O41" s="408" t="str">
        <f t="shared" si="18"/>
        <v>Historical 2021</v>
      </c>
      <c r="P41" s="408" t="str">
        <f t="shared" si="18"/>
        <v>Historical 2022</v>
      </c>
      <c r="Q41" s="408" t="str">
        <f t="shared" si="18"/>
        <v>Historical 2023</v>
      </c>
      <c r="R41" s="408" t="str">
        <f t="shared" si="18"/>
        <v>Bridge Year 2024</v>
      </c>
      <c r="S41" s="408" t="str">
        <f t="shared" si="18"/>
        <v>Test Year 2025</v>
      </c>
    </row>
    <row r="42" spans="1:19">
      <c r="A42" s="409" t="s">
        <v>133</v>
      </c>
      <c r="B42" s="410">
        <v>0</v>
      </c>
      <c r="C42" s="410">
        <v>0</v>
      </c>
      <c r="D42" s="410">
        <v>0</v>
      </c>
      <c r="E42" s="410">
        <v>0</v>
      </c>
      <c r="F42" s="410">
        <v>0</v>
      </c>
      <c r="G42" s="411"/>
      <c r="H42" s="411"/>
      <c r="I42" s="411"/>
      <c r="J42" s="19"/>
      <c r="K42" s="409" t="s">
        <v>133</v>
      </c>
      <c r="L42" s="413"/>
      <c r="M42" s="414" t="str">
        <f t="shared" ref="M42:M51" si="19">IF(ISERROR((C42-B42)/B42), "", (C42-B42)/B42)</f>
        <v/>
      </c>
      <c r="N42" s="414" t="str">
        <f>IF(ISERROR((D42-C42)/C42), "", (D42-C42)/C42)</f>
        <v/>
      </c>
      <c r="O42" s="414" t="str">
        <f t="shared" ref="O42:O51" si="20">IF(ISERROR((E42-D42)/D42), "", (E42-D42)/D42)</f>
        <v/>
      </c>
      <c r="P42" s="414" t="str">
        <f t="shared" ref="P42:P51" si="21">IF(ISERROR((F42-E42)/E42), "", (F42-E42)/E42)</f>
        <v/>
      </c>
      <c r="Q42" s="414" t="str">
        <f t="shared" ref="Q42:Q51" si="22">IF(ISERROR((G42-F42)/F42), "", (G42-F42)/F42)</f>
        <v/>
      </c>
      <c r="R42" s="414" t="str">
        <f t="shared" ref="R42:R51" si="23">IF(ISERROR((H42-G42)/G42), "", (H42-G42)/G42)</f>
        <v/>
      </c>
      <c r="S42" s="414" t="str">
        <f t="shared" ref="S42:S51" si="24">IF(ISERROR((I42-H42)/H42), "", (I42-H42)/H42)</f>
        <v/>
      </c>
    </row>
    <row r="43" spans="1:19">
      <c r="A43" s="409" t="s">
        <v>609</v>
      </c>
      <c r="B43" s="410">
        <v>0</v>
      </c>
      <c r="C43" s="410">
        <v>0</v>
      </c>
      <c r="D43" s="410">
        <v>0</v>
      </c>
      <c r="E43" s="410">
        <v>0</v>
      </c>
      <c r="F43" s="410">
        <v>0</v>
      </c>
      <c r="G43" s="411"/>
      <c r="H43" s="411"/>
      <c r="I43" s="411"/>
      <c r="J43" s="19"/>
      <c r="K43" s="409" t="s">
        <v>609</v>
      </c>
      <c r="L43" s="413"/>
      <c r="M43" s="414" t="str">
        <f t="shared" si="19"/>
        <v/>
      </c>
      <c r="N43" s="414" t="str">
        <f>IF(ISERROR((D43-C43)/C43), "", (D43-C43)/C43)</f>
        <v/>
      </c>
      <c r="O43" s="414" t="str">
        <f t="shared" si="20"/>
        <v/>
      </c>
      <c r="P43" s="414" t="str">
        <f t="shared" si="21"/>
        <v/>
      </c>
      <c r="Q43" s="414" t="str">
        <f t="shared" si="22"/>
        <v/>
      </c>
      <c r="R43" s="414" t="str">
        <f t="shared" si="23"/>
        <v/>
      </c>
      <c r="S43" s="414" t="str">
        <f t="shared" si="24"/>
        <v/>
      </c>
    </row>
    <row r="44" spans="1:19">
      <c r="A44" s="409" t="s">
        <v>610</v>
      </c>
      <c r="B44" s="410">
        <f ca="1">'Variance Analysis'!G16</f>
        <v>536823</v>
      </c>
      <c r="C44" s="410">
        <f ca="1">'Variance Analysis'!H16</f>
        <v>592797</v>
      </c>
      <c r="D44" s="410">
        <f ca="1">'Variance Analysis'!I16</f>
        <v>580474</v>
      </c>
      <c r="E44" s="410">
        <f ca="1">'Variance Analysis'!J16</f>
        <v>574683</v>
      </c>
      <c r="F44" s="410">
        <f ca="1">'Variance Analysis'!K16</f>
        <v>592472</v>
      </c>
      <c r="G44" s="411">
        <f ca="1">'Variance Analysis'!L16</f>
        <v>566314.55000000005</v>
      </c>
      <c r="H44" s="411">
        <f ca="1">'Variance Analysis'!M16</f>
        <v>598499.67290900333</v>
      </c>
      <c r="I44" s="411">
        <f ca="1">'Variance Analysis'!N16</f>
        <v>697710.87720772857</v>
      </c>
      <c r="J44" s="19"/>
      <c r="K44" s="409" t="s">
        <v>610</v>
      </c>
      <c r="L44" s="413"/>
      <c r="M44" s="414">
        <f t="shared" ca="1" si="19"/>
        <v>0.10426900486752617</v>
      </c>
      <c r="N44" s="414">
        <f ca="1">IF(ISERROR((D44-C44)/C44), "", (D44-C44)/C44)</f>
        <v>-2.0787891976511354E-2</v>
      </c>
      <c r="O44" s="414">
        <f t="shared" ca="1" si="20"/>
        <v>-9.9763296891850449E-3</v>
      </c>
      <c r="P44" s="414">
        <f t="shared" ca="1" si="21"/>
        <v>3.0954456630873019E-2</v>
      </c>
      <c r="Q44" s="414">
        <f t="shared" ca="1" si="22"/>
        <v>-4.4149681335151625E-2</v>
      </c>
      <c r="R44" s="414">
        <f t="shared" ca="1" si="23"/>
        <v>5.6832590490573279E-2</v>
      </c>
      <c r="S44" s="414">
        <f t="shared" ca="1" si="24"/>
        <v>0.16576651381697485</v>
      </c>
    </row>
    <row r="45" spans="1:19">
      <c r="A45" s="409" t="s">
        <v>611</v>
      </c>
      <c r="B45" s="410"/>
      <c r="C45" s="410"/>
      <c r="D45" s="410"/>
      <c r="E45" s="410"/>
      <c r="F45" s="410"/>
      <c r="G45" s="411"/>
      <c r="H45" s="411"/>
      <c r="I45" s="411"/>
      <c r="J45" s="19"/>
      <c r="K45" s="409" t="s">
        <v>611</v>
      </c>
      <c r="L45" s="413"/>
      <c r="M45" s="414" t="str">
        <f t="shared" si="19"/>
        <v/>
      </c>
      <c r="N45" s="414" t="str">
        <f>IF(ISERROR((D45-C45)/C45), "", (D45-C45)/C45)</f>
        <v/>
      </c>
      <c r="O45" s="414" t="str">
        <f t="shared" si="20"/>
        <v/>
      </c>
      <c r="P45" s="414" t="str">
        <f t="shared" si="21"/>
        <v/>
      </c>
      <c r="Q45" s="414" t="str">
        <f t="shared" si="22"/>
        <v/>
      </c>
      <c r="R45" s="414" t="str">
        <f t="shared" si="23"/>
        <v/>
      </c>
      <c r="S45" s="414" t="str">
        <f t="shared" si="24"/>
        <v/>
      </c>
    </row>
    <row r="46" spans="1:19">
      <c r="A46" s="409" t="s">
        <v>612</v>
      </c>
      <c r="B46" s="410">
        <v>0</v>
      </c>
      <c r="C46" s="410">
        <v>0</v>
      </c>
      <c r="D46" s="410">
        <v>0</v>
      </c>
      <c r="E46" s="410">
        <v>0</v>
      </c>
      <c r="F46" s="410">
        <v>0</v>
      </c>
      <c r="G46" s="411"/>
      <c r="H46" s="411"/>
      <c r="I46" s="411"/>
      <c r="J46" s="19"/>
      <c r="K46" s="409" t="s">
        <v>612</v>
      </c>
      <c r="L46" s="413"/>
      <c r="M46" s="414" t="str">
        <f t="shared" si="19"/>
        <v/>
      </c>
      <c r="N46" s="414" t="str">
        <f>IF(ISERROR((D46-C46)/C46), "", (D46-C46)/C46)</f>
        <v/>
      </c>
      <c r="O46" s="414" t="str">
        <f t="shared" si="20"/>
        <v/>
      </c>
      <c r="P46" s="414" t="str">
        <f t="shared" si="21"/>
        <v/>
      </c>
      <c r="Q46" s="414" t="str">
        <f t="shared" si="22"/>
        <v/>
      </c>
      <c r="R46" s="414" t="str">
        <f t="shared" si="23"/>
        <v/>
      </c>
      <c r="S46" s="414" t="str">
        <f t="shared" si="24"/>
        <v/>
      </c>
    </row>
    <row r="47" spans="1:19">
      <c r="A47" s="409" t="s">
        <v>613</v>
      </c>
      <c r="B47" s="410">
        <f ca="1">'Variance Analysis'!G19</f>
        <v>815</v>
      </c>
      <c r="C47" s="410">
        <f ca="1">'Variance Analysis'!H19</f>
        <v>781</v>
      </c>
      <c r="D47" s="410">
        <f ca="1">'Variance Analysis'!I19</f>
        <v>767</v>
      </c>
      <c r="E47" s="410">
        <f ca="1">'Variance Analysis'!J19</f>
        <v>759</v>
      </c>
      <c r="F47" s="410">
        <f ca="1">'Variance Analysis'!K19</f>
        <v>744</v>
      </c>
      <c r="G47" s="411">
        <f ca="1">'Variance Analysis'!L19</f>
        <v>736.37999999999988</v>
      </c>
      <c r="H47" s="411">
        <f ca="1">'Variance Analysis'!M19</f>
        <v>726.72877393329361</v>
      </c>
      <c r="I47" s="411">
        <f ca="1">'Variance Analysis'!N19</f>
        <v>716.34708302108174</v>
      </c>
      <c r="J47" s="19"/>
      <c r="K47" s="409" t="s">
        <v>613</v>
      </c>
      <c r="L47" s="413"/>
      <c r="M47" s="414">
        <f t="shared" ca="1" si="19"/>
        <v>-4.1717791411042947E-2</v>
      </c>
      <c r="N47" s="414">
        <f t="shared" ref="N47:N51" ca="1" si="25">IF(ISERROR((D47-C47)/C47), "", (D47-C47)/C47)</f>
        <v>-1.7925736235595392E-2</v>
      </c>
      <c r="O47" s="414">
        <f t="shared" ca="1" si="20"/>
        <v>-1.0430247718383311E-2</v>
      </c>
      <c r="P47" s="414">
        <f t="shared" ca="1" si="21"/>
        <v>-1.9762845849802372E-2</v>
      </c>
      <c r="Q47" s="414">
        <f t="shared" ca="1" si="22"/>
        <v>-1.0241935483871126E-2</v>
      </c>
      <c r="R47" s="414">
        <f t="shared" ca="1" si="23"/>
        <v>-1.3106312049086442E-2</v>
      </c>
      <c r="S47" s="414">
        <f t="shared" ca="1" si="24"/>
        <v>-1.4285509648975039E-2</v>
      </c>
    </row>
    <row r="48" spans="1:19">
      <c r="A48" s="409" t="s">
        <v>614</v>
      </c>
      <c r="B48" s="410">
        <f ca="1">'Variance Analysis'!G18</f>
        <v>8746</v>
      </c>
      <c r="C48" s="410">
        <f ca="1">'Variance Analysis'!H18</f>
        <v>7846</v>
      </c>
      <c r="D48" s="410">
        <f ca="1">'Variance Analysis'!I18</f>
        <v>7413</v>
      </c>
      <c r="E48" s="410">
        <f ca="1">'Variance Analysis'!J18</f>
        <v>7398</v>
      </c>
      <c r="F48" s="410">
        <f ca="1">'Variance Analysis'!K18</f>
        <v>7289</v>
      </c>
      <c r="G48" s="411">
        <f ca="1">'Variance Analysis'!L18</f>
        <v>7310.3</v>
      </c>
      <c r="H48" s="411">
        <f ca="1">'Variance Analysis'!M18</f>
        <v>7344.6106796243503</v>
      </c>
      <c r="I48" s="411">
        <f ca="1">'Variance Analysis'!N18</f>
        <v>7372.4856525959021</v>
      </c>
      <c r="J48" s="19"/>
      <c r="K48" s="409" t="s">
        <v>614</v>
      </c>
      <c r="L48" s="413"/>
      <c r="M48" s="414">
        <f t="shared" ca="1" si="19"/>
        <v>-0.10290418477018065</v>
      </c>
      <c r="N48" s="414">
        <f t="shared" ca="1" si="25"/>
        <v>-5.5187356614835585E-2</v>
      </c>
      <c r="O48" s="414">
        <f t="shared" ca="1" si="20"/>
        <v>-2.0234722784297854E-3</v>
      </c>
      <c r="P48" s="414">
        <f t="shared" ca="1" si="21"/>
        <v>-1.4733711814003785E-2</v>
      </c>
      <c r="Q48" s="414">
        <f t="shared" ca="1" si="22"/>
        <v>2.9222115516532011E-3</v>
      </c>
      <c r="R48" s="414">
        <f t="shared" ca="1" si="23"/>
        <v>4.6934708048028241E-3</v>
      </c>
      <c r="S48" s="414">
        <f t="shared" ca="1" si="24"/>
        <v>3.795296195737576E-3</v>
      </c>
    </row>
    <row r="49" spans="1:19">
      <c r="A49" s="409" t="s">
        <v>615</v>
      </c>
      <c r="B49" s="410">
        <v>0</v>
      </c>
      <c r="C49" s="410">
        <v>0</v>
      </c>
      <c r="D49" s="410">
        <v>0</v>
      </c>
      <c r="E49" s="410">
        <v>0</v>
      </c>
      <c r="F49" s="410">
        <v>0</v>
      </c>
      <c r="G49" s="411"/>
      <c r="H49" s="411"/>
      <c r="I49" s="411"/>
      <c r="J49" s="19"/>
      <c r="K49" s="409" t="s">
        <v>615</v>
      </c>
      <c r="L49" s="413"/>
      <c r="M49" s="414" t="str">
        <f t="shared" si="19"/>
        <v/>
      </c>
      <c r="N49" s="414" t="str">
        <f t="shared" si="25"/>
        <v/>
      </c>
      <c r="O49" s="414" t="str">
        <f t="shared" si="20"/>
        <v/>
      </c>
      <c r="P49" s="414" t="str">
        <f t="shared" si="21"/>
        <v/>
      </c>
      <c r="Q49" s="414" t="str">
        <f t="shared" si="22"/>
        <v/>
      </c>
      <c r="R49" s="414" t="str">
        <f t="shared" si="23"/>
        <v/>
      </c>
      <c r="S49" s="414" t="str">
        <f t="shared" si="24"/>
        <v/>
      </c>
    </row>
    <row r="50" spans="1:19">
      <c r="A50" s="409" t="s">
        <v>616</v>
      </c>
      <c r="B50" s="410">
        <f ca="1">'Variance Analysis'!G17</f>
        <v>96861</v>
      </c>
      <c r="C50" s="410">
        <f ca="1">'Variance Analysis'!H17</f>
        <v>94142</v>
      </c>
      <c r="D50" s="410">
        <f ca="1">'Variance Analysis'!I17</f>
        <v>92507</v>
      </c>
      <c r="E50" s="410">
        <f ca="1">'Variance Analysis'!J17</f>
        <v>89242</v>
      </c>
      <c r="F50" s="410">
        <f ca="1">'Variance Analysis'!K17</f>
        <v>83614</v>
      </c>
      <c r="G50" s="411">
        <f ca="1">'Variance Analysis'!L17</f>
        <v>90976</v>
      </c>
      <c r="H50" s="411">
        <f ca="1">'Variance Analysis'!M17</f>
        <v>90010.53268136234</v>
      </c>
      <c r="I50" s="411">
        <f ca="1">'Variance Analysis'!N17</f>
        <v>90871.252838385451</v>
      </c>
      <c r="J50" s="19"/>
      <c r="K50" s="409" t="s">
        <v>616</v>
      </c>
      <c r="L50" s="413"/>
      <c r="M50" s="414">
        <f t="shared" ca="1" si="19"/>
        <v>-2.8071153508636086E-2</v>
      </c>
      <c r="N50" s="414">
        <f t="shared" ca="1" si="25"/>
        <v>-1.7367381190117059E-2</v>
      </c>
      <c r="O50" s="414">
        <f t="shared" ca="1" si="20"/>
        <v>-3.529462635260034E-2</v>
      </c>
      <c r="P50" s="414">
        <f t="shared" ca="1" si="21"/>
        <v>-6.3064476367629588E-2</v>
      </c>
      <c r="Q50" s="414">
        <f t="shared" ca="1" si="22"/>
        <v>8.8047456167627436E-2</v>
      </c>
      <c r="R50" s="414">
        <f t="shared" ca="1" si="23"/>
        <v>-1.0612329830259193E-2</v>
      </c>
      <c r="S50" s="414">
        <f t="shared" ca="1" si="24"/>
        <v>9.5624382100933103E-3</v>
      </c>
    </row>
    <row r="51" spans="1:19">
      <c r="A51" s="409" t="s">
        <v>617</v>
      </c>
      <c r="B51" s="410">
        <v>0</v>
      </c>
      <c r="C51" s="410">
        <v>0</v>
      </c>
      <c r="D51" s="410">
        <v>0</v>
      </c>
      <c r="E51" s="410">
        <v>0</v>
      </c>
      <c r="F51" s="410">
        <v>0</v>
      </c>
      <c r="G51" s="411"/>
      <c r="H51" s="411"/>
      <c r="I51" s="411"/>
      <c r="J51" s="19"/>
      <c r="K51" s="409" t="s">
        <v>617</v>
      </c>
      <c r="L51" s="413"/>
      <c r="M51" s="414" t="str">
        <f t="shared" si="19"/>
        <v/>
      </c>
      <c r="N51" s="414" t="str">
        <f t="shared" si="25"/>
        <v/>
      </c>
      <c r="O51" s="414" t="str">
        <f t="shared" si="20"/>
        <v/>
      </c>
      <c r="P51" s="414" t="str">
        <f t="shared" si="21"/>
        <v/>
      </c>
      <c r="Q51" s="414" t="str">
        <f t="shared" si="22"/>
        <v/>
      </c>
      <c r="R51" s="414" t="str">
        <f t="shared" si="23"/>
        <v/>
      </c>
      <c r="S51" s="414" t="str">
        <f t="shared" si="24"/>
        <v/>
      </c>
    </row>
    <row r="53" spans="1:19">
      <c r="A53" s="19"/>
      <c r="B53" s="19"/>
      <c r="C53" s="415" t="s">
        <v>622</v>
      </c>
      <c r="D53" s="19"/>
      <c r="E53" s="19"/>
      <c r="F53" s="19"/>
      <c r="G53" s="19"/>
      <c r="H53" s="19"/>
      <c r="I53" s="19"/>
      <c r="J53" s="19"/>
      <c r="K53" s="19"/>
      <c r="L53" s="415" t="s">
        <v>623</v>
      </c>
      <c r="M53" s="19"/>
      <c r="N53" s="19"/>
      <c r="O53" s="19"/>
      <c r="P53" s="19"/>
      <c r="Q53" s="19"/>
      <c r="R53" s="19"/>
      <c r="S53" s="19"/>
    </row>
    <row r="54" spans="1:19" ht="39">
      <c r="A54" s="407" t="s">
        <v>563</v>
      </c>
      <c r="B54" s="408" t="str">
        <f>B41</f>
        <v>Historical 2018</v>
      </c>
      <c r="C54" s="408" t="str">
        <f t="shared" ref="C54:I54" si="26">C41</f>
        <v>Historical 2019</v>
      </c>
      <c r="D54" s="408" t="str">
        <f t="shared" si="26"/>
        <v>Historical 2020</v>
      </c>
      <c r="E54" s="408" t="str">
        <f t="shared" si="26"/>
        <v>Historical 2021</v>
      </c>
      <c r="F54" s="408" t="str">
        <f t="shared" si="26"/>
        <v>Historical 2022</v>
      </c>
      <c r="G54" s="408" t="str">
        <f t="shared" si="26"/>
        <v>Historical 2023</v>
      </c>
      <c r="H54" s="408" t="str">
        <f t="shared" si="26"/>
        <v>Bridge Year 2024</v>
      </c>
      <c r="I54" s="408" t="str">
        <f t="shared" si="26"/>
        <v>Test Year 2025</v>
      </c>
      <c r="J54" s="406"/>
      <c r="K54" s="407" t="s">
        <v>563</v>
      </c>
      <c r="L54" s="408" t="str">
        <f t="shared" ref="L54:S54" si="27">B54</f>
        <v>Historical 2018</v>
      </c>
      <c r="M54" s="408" t="str">
        <f t="shared" si="27"/>
        <v>Historical 2019</v>
      </c>
      <c r="N54" s="408" t="str">
        <f t="shared" si="27"/>
        <v>Historical 2020</v>
      </c>
      <c r="O54" s="408" t="str">
        <f t="shared" si="27"/>
        <v>Historical 2021</v>
      </c>
      <c r="P54" s="408" t="str">
        <f t="shared" si="27"/>
        <v>Historical 2022</v>
      </c>
      <c r="Q54" s="408" t="str">
        <f t="shared" si="27"/>
        <v>Historical 2023</v>
      </c>
      <c r="R54" s="408" t="str">
        <f t="shared" si="27"/>
        <v>Bridge Year 2024</v>
      </c>
      <c r="S54" s="408" t="str">
        <f t="shared" si="27"/>
        <v>Test Year 2025</v>
      </c>
    </row>
    <row r="55" spans="1:19">
      <c r="A55" s="409" t="s">
        <v>133</v>
      </c>
      <c r="B55" s="411">
        <f ca="1">OFFSET('Normalized Annual Summary WN'!$I$9,COLUMN()-COLUMN($B$55),0)</f>
        <v>250201729.34711179</v>
      </c>
      <c r="C55" s="411">
        <f ca="1">OFFSET('Normalized Annual Summary WN'!$I$9,COLUMN()-COLUMN($B$55),0)</f>
        <v>253817575.84054783</v>
      </c>
      <c r="D55" s="411">
        <f ca="1">OFFSET('Normalized Annual Summary WN'!$I$9,COLUMN()-COLUMN($B$55),0)</f>
        <v>271546499.29396212</v>
      </c>
      <c r="E55" s="411">
        <f ca="1">OFFSET('Normalized Annual Summary WN'!$I$9,COLUMN()-COLUMN($B$55),0)</f>
        <v>271185536.66984862</v>
      </c>
      <c r="F55" s="411">
        <f ca="1">OFFSET('Normalized Annual Summary WN'!$I$9,COLUMN()-COLUMN($B$55),0)</f>
        <v>268827723.42139935</v>
      </c>
      <c r="G55" s="411">
        <f ca="1">OFFSET('Normalized Annual Summary WN'!$I$9,COLUMN()-COLUMN($B$55),0)</f>
        <v>269739536.79024965</v>
      </c>
      <c r="H55" s="411">
        <f ca="1">H29</f>
        <v>276307255.21060741</v>
      </c>
      <c r="I55" s="411">
        <f ca="1">I29</f>
        <v>284227345.6084224</v>
      </c>
      <c r="J55" s="19"/>
      <c r="K55" s="409" t="s">
        <v>133</v>
      </c>
      <c r="L55" s="413"/>
      <c r="M55" s="414">
        <f t="shared" ref="M55:N64" ca="1" si="28">IF(ISERROR((C55-B55)/B55), "", (C55-B55)/B55)</f>
        <v>1.4451724625850506E-2</v>
      </c>
      <c r="N55" s="414">
        <f ca="1">IF(ISERROR((D55-C55)/C55), "", (D55-C55)/C55)</f>
        <v>6.9849077215014765E-2</v>
      </c>
      <c r="O55" s="414">
        <f t="shared" ref="O55:S64" ca="1" si="29">IF(ISERROR((E55-D55)/D55), "", (E55-D55)/D55)</f>
        <v>-1.3292847635746566E-3</v>
      </c>
      <c r="P55" s="414">
        <f t="shared" ca="1" si="29"/>
        <v>-8.6944653369171229E-3</v>
      </c>
      <c r="Q55" s="414">
        <f t="shared" ca="1" si="29"/>
        <v>3.3918130066555039E-3</v>
      </c>
      <c r="R55" s="414">
        <f t="shared" ca="1" si="29"/>
        <v>2.434837139008229E-2</v>
      </c>
      <c r="S55" s="414">
        <f t="shared" ca="1" si="29"/>
        <v>2.8664069612569978E-2</v>
      </c>
    </row>
    <row r="56" spans="1:19">
      <c r="A56" s="409" t="s">
        <v>609</v>
      </c>
      <c r="B56" s="411">
        <f ca="1">OFFSET('Normalized Annual Summary WN'!$T$9,COLUMN()-COLUMN($B$55),0)</f>
        <v>65037516.508895464</v>
      </c>
      <c r="C56" s="411">
        <f ca="1">OFFSET('Normalized Annual Summary WN'!$T$9,COLUMN()-COLUMN($B$55),0)</f>
        <v>65099302.101680987</v>
      </c>
      <c r="D56" s="411">
        <f ca="1">OFFSET('Normalized Annual Summary WN'!$T$9,COLUMN()-COLUMN($B$55),0)</f>
        <v>61089351.514990881</v>
      </c>
      <c r="E56" s="411">
        <f ca="1">OFFSET('Normalized Annual Summary WN'!$T$9,COLUMN()-COLUMN($B$55),0)</f>
        <v>61525758.975106977</v>
      </c>
      <c r="F56" s="411">
        <f ca="1">OFFSET('Normalized Annual Summary WN'!$T$9,COLUMN()-COLUMN($B$55),0)</f>
        <v>67163897.065976441</v>
      </c>
      <c r="G56" s="411">
        <f ca="1">OFFSET('Normalized Annual Summary WN'!$T$9,COLUMN()-COLUMN($B$55),0)</f>
        <v>64726429.28354793</v>
      </c>
      <c r="H56" s="411">
        <f t="shared" ref="H56:I57" ca="1" si="30">H30</f>
        <v>68358838.666362375</v>
      </c>
      <c r="I56" s="411">
        <f t="shared" ca="1" si="30"/>
        <v>70720586.946188062</v>
      </c>
      <c r="J56" s="19"/>
      <c r="K56" s="409" t="s">
        <v>609</v>
      </c>
      <c r="L56" s="413"/>
      <c r="M56" s="414">
        <f t="shared" ca="1" si="28"/>
        <v>9.4999926353386594E-4</v>
      </c>
      <c r="N56" s="414">
        <f ca="1">IF(ISERROR((D56-C56)/C56), "", (D56-C56)/C56)</f>
        <v>-6.1597443555183075E-2</v>
      </c>
      <c r="O56" s="414">
        <f t="shared" ca="1" si="29"/>
        <v>7.1437566334126932E-3</v>
      </c>
      <c r="P56" s="414">
        <f t="shared" ca="1" si="29"/>
        <v>9.1638659722192567E-2</v>
      </c>
      <c r="Q56" s="414">
        <f t="shared" ca="1" si="29"/>
        <v>-3.6291339378865063E-2</v>
      </c>
      <c r="R56" s="414">
        <f t="shared" ca="1" si="29"/>
        <v>5.6119415562102155E-2</v>
      </c>
      <c r="S56" s="414">
        <f t="shared" ca="1" si="29"/>
        <v>3.4549274474258193E-2</v>
      </c>
    </row>
    <row r="57" spans="1:19">
      <c r="A57" s="409" t="s">
        <v>610</v>
      </c>
      <c r="B57" s="411">
        <f ca="1">OFFSET('Normalized Annual Summary WN'!$AE$9,COLUMN()-COLUMN($B$55),0)</f>
        <v>168361349.17890343</v>
      </c>
      <c r="C57" s="411">
        <f ca="1">OFFSET('Normalized Annual Summary WN'!$AE$9,COLUMN()-COLUMN($B$55),0)</f>
        <v>181166364.34852487</v>
      </c>
      <c r="D57" s="411">
        <f ca="1">OFFSET('Normalized Annual Summary WN'!$AE$9,COLUMN()-COLUMN($B$55),0)</f>
        <v>172407389.7320905</v>
      </c>
      <c r="E57" s="411">
        <f ca="1">OFFSET('Normalized Annual Summary WN'!$AE$9,COLUMN()-COLUMN($B$55),0)</f>
        <v>177226376.57220039</v>
      </c>
      <c r="F57" s="411">
        <f ca="1">OFFSET('Normalized Annual Summary WN'!$AE$9,COLUMN()-COLUMN($B$55),0)</f>
        <v>182773778.27899554</v>
      </c>
      <c r="G57" s="411">
        <f ca="1">OFFSET('Normalized Annual Summary WN'!$AE$9,COLUMN()-COLUMN($B$55),0)</f>
        <v>186456547.21139914</v>
      </c>
      <c r="H57" s="411">
        <f t="shared" ca="1" si="30"/>
        <v>184803962.4068284</v>
      </c>
      <c r="I57" s="411">
        <f t="shared" ca="1" si="30"/>
        <v>197776368.21230128</v>
      </c>
      <c r="J57" s="19"/>
      <c r="K57" s="409" t="s">
        <v>610</v>
      </c>
      <c r="L57" s="413"/>
      <c r="M57" s="414">
        <f t="shared" ca="1" si="28"/>
        <v>7.6056738865965173E-2</v>
      </c>
      <c r="N57" s="414">
        <f t="shared" ca="1" si="28"/>
        <v>-4.8347686657684394E-2</v>
      </c>
      <c r="O57" s="414">
        <f t="shared" ca="1" si="29"/>
        <v>2.7951161766315624E-2</v>
      </c>
      <c r="P57" s="414">
        <f t="shared" ca="1" si="29"/>
        <v>3.1301219457788756E-2</v>
      </c>
      <c r="Q57" s="414">
        <f t="shared" ca="1" si="29"/>
        <v>2.0149328678767155E-2</v>
      </c>
      <c r="R57" s="414">
        <f t="shared" ca="1" si="29"/>
        <v>-8.8631095517234942E-3</v>
      </c>
      <c r="S57" s="414">
        <f t="shared" ca="1" si="29"/>
        <v>7.0195496008442493E-2</v>
      </c>
    </row>
    <row r="58" spans="1:19">
      <c r="A58" s="409" t="s">
        <v>611</v>
      </c>
      <c r="B58" s="411"/>
      <c r="C58" s="411"/>
      <c r="D58" s="411"/>
      <c r="E58" s="411"/>
      <c r="F58" s="411"/>
      <c r="G58" s="411"/>
      <c r="H58" s="411"/>
      <c r="I58" s="411"/>
      <c r="J58" s="19"/>
      <c r="K58" s="409" t="s">
        <v>611</v>
      </c>
      <c r="L58" s="413"/>
      <c r="M58" s="414" t="str">
        <f t="shared" si="28"/>
        <v/>
      </c>
      <c r="N58" s="414" t="str">
        <f t="shared" si="28"/>
        <v/>
      </c>
      <c r="O58" s="414" t="str">
        <f t="shared" si="29"/>
        <v/>
      </c>
      <c r="P58" s="414" t="str">
        <f t="shared" si="29"/>
        <v/>
      </c>
      <c r="Q58" s="414" t="str">
        <f t="shared" si="29"/>
        <v/>
      </c>
      <c r="R58" s="414" t="str">
        <f t="shared" si="29"/>
        <v/>
      </c>
      <c r="S58" s="414" t="str">
        <f t="shared" si="29"/>
        <v/>
      </c>
    </row>
    <row r="59" spans="1:19">
      <c r="A59" s="409" t="s">
        <v>612</v>
      </c>
      <c r="B59" s="411">
        <f ca="1">B33</f>
        <v>1547236</v>
      </c>
      <c r="C59" s="411">
        <f t="shared" ref="C59:I59" ca="1" si="31">C33</f>
        <v>1541978</v>
      </c>
      <c r="D59" s="411">
        <f t="shared" ca="1" si="31"/>
        <v>1442699</v>
      </c>
      <c r="E59" s="411">
        <f t="shared" ca="1" si="31"/>
        <v>1408704</v>
      </c>
      <c r="F59" s="411">
        <f t="shared" ca="1" si="31"/>
        <v>1408704</v>
      </c>
      <c r="G59" s="411">
        <f t="shared" ca="1" si="31"/>
        <v>1408699.1791405117</v>
      </c>
      <c r="H59" s="411">
        <f t="shared" ca="1" si="31"/>
        <v>1396074.1251787506</v>
      </c>
      <c r="I59" s="411">
        <f t="shared" ca="1" si="31"/>
        <v>1383562.2195668274</v>
      </c>
      <c r="J59" s="19"/>
      <c r="K59" s="409" t="s">
        <v>612</v>
      </c>
      <c r="L59" s="413"/>
      <c r="M59" s="414">
        <f t="shared" ca="1" si="28"/>
        <v>-3.3983180329309813E-3</v>
      </c>
      <c r="N59" s="414">
        <f t="shared" ca="1" si="28"/>
        <v>-6.4384187063628667E-2</v>
      </c>
      <c r="O59" s="414">
        <f t="shared" ca="1" si="29"/>
        <v>-2.3563473739151412E-2</v>
      </c>
      <c r="P59" s="414">
        <f t="shared" ca="1" si="29"/>
        <v>0</v>
      </c>
      <c r="Q59" s="414">
        <f t="shared" ca="1" si="29"/>
        <v>-3.4221947892052866E-6</v>
      </c>
      <c r="R59" s="414">
        <f t="shared" ca="1" si="29"/>
        <v>-8.962207225437566E-3</v>
      </c>
      <c r="S59" s="414">
        <f t="shared" ca="1" si="29"/>
        <v>-8.9622072254374012E-3</v>
      </c>
    </row>
    <row r="60" spans="1:19">
      <c r="A60" s="409" t="s">
        <v>613</v>
      </c>
      <c r="B60" s="411">
        <f t="shared" ref="B60:I61" ca="1" si="32">B34</f>
        <v>293755</v>
      </c>
      <c r="C60" s="411">
        <f t="shared" ca="1" si="32"/>
        <v>285985</v>
      </c>
      <c r="D60" s="411">
        <f t="shared" ca="1" si="32"/>
        <v>281018</v>
      </c>
      <c r="E60" s="411">
        <f t="shared" ca="1" si="32"/>
        <v>278297</v>
      </c>
      <c r="F60" s="411">
        <f t="shared" ca="1" si="32"/>
        <v>271670</v>
      </c>
      <c r="G60" s="411">
        <f t="shared" ca="1" si="32"/>
        <v>269986.47996137134</v>
      </c>
      <c r="H60" s="411">
        <f t="shared" ca="1" si="32"/>
        <v>266129.58549679042</v>
      </c>
      <c r="I60" s="411">
        <f t="shared" ca="1" si="32"/>
        <v>262327.78873529832</v>
      </c>
      <c r="J60" s="19"/>
      <c r="K60" s="409" t="s">
        <v>613</v>
      </c>
      <c r="L60" s="413"/>
      <c r="M60" s="414">
        <f t="shared" ca="1" si="28"/>
        <v>-2.6450613606576908E-2</v>
      </c>
      <c r="N60" s="414">
        <f t="shared" ca="1" si="28"/>
        <v>-1.7368043778519852E-2</v>
      </c>
      <c r="O60" s="414">
        <f t="shared" ca="1" si="29"/>
        <v>-9.6826537801848987E-3</v>
      </c>
      <c r="P60" s="414">
        <f t="shared" ca="1" si="29"/>
        <v>-2.3812689321120961E-2</v>
      </c>
      <c r="Q60" s="414">
        <f t="shared" ca="1" si="29"/>
        <v>-6.1969302412068304E-3</v>
      </c>
      <c r="R60" s="414">
        <f t="shared" ca="1" si="29"/>
        <v>-1.4285509648974846E-2</v>
      </c>
      <c r="S60" s="414">
        <f t="shared" ca="1" si="29"/>
        <v>-1.428550964897491E-2</v>
      </c>
    </row>
    <row r="61" spans="1:19">
      <c r="A61" s="409" t="s">
        <v>614</v>
      </c>
      <c r="B61" s="411">
        <f t="shared" ca="1" si="32"/>
        <v>2887551</v>
      </c>
      <c r="C61" s="411">
        <f t="shared" ca="1" si="32"/>
        <v>2576355</v>
      </c>
      <c r="D61" s="411">
        <f t="shared" ca="1" si="32"/>
        <v>2455697</v>
      </c>
      <c r="E61" s="411">
        <f t="shared" ca="1" si="32"/>
        <v>2444025</v>
      </c>
      <c r="F61" s="411">
        <f t="shared" ca="1" si="32"/>
        <v>2406027</v>
      </c>
      <c r="G61" s="411">
        <f t="shared" ca="1" si="32"/>
        <v>2415232.6883003376</v>
      </c>
      <c r="H61" s="411">
        <f t="shared" ca="1" si="32"/>
        <v>2424399.2117340649</v>
      </c>
      <c r="I61" s="411">
        <f t="shared" ca="1" si="32"/>
        <v>2433600.5248393081</v>
      </c>
      <c r="J61" s="19"/>
      <c r="K61" s="409" t="s">
        <v>614</v>
      </c>
      <c r="L61" s="413"/>
      <c r="M61" s="414">
        <f t="shared" ca="1" si="28"/>
        <v>-0.10777160299506398</v>
      </c>
      <c r="N61" s="414">
        <f t="shared" ca="1" si="28"/>
        <v>-4.6832831655575419E-2</v>
      </c>
      <c r="O61" s="414">
        <f t="shared" ca="1" si="29"/>
        <v>-4.7530293843255095E-3</v>
      </c>
      <c r="P61" s="414">
        <f t="shared" ca="1" si="29"/>
        <v>-1.5547304139687605E-2</v>
      </c>
      <c r="Q61" s="414">
        <f t="shared" ca="1" si="29"/>
        <v>3.8260951769608746E-3</v>
      </c>
      <c r="R61" s="414">
        <f t="shared" ca="1" si="29"/>
        <v>3.7952961957375356E-3</v>
      </c>
      <c r="S61" s="414">
        <f t="shared" ca="1" si="29"/>
        <v>3.7952961957374866E-3</v>
      </c>
    </row>
    <row r="62" spans="1:19">
      <c r="A62" s="409" t="s">
        <v>615</v>
      </c>
      <c r="B62" s="411"/>
      <c r="C62" s="411"/>
      <c r="D62" s="411"/>
      <c r="E62" s="411"/>
      <c r="F62" s="411"/>
      <c r="G62" s="411"/>
      <c r="H62" s="411"/>
      <c r="I62" s="411"/>
      <c r="J62" s="19"/>
      <c r="K62" s="409" t="s">
        <v>615</v>
      </c>
      <c r="L62" s="413"/>
      <c r="M62" s="414" t="str">
        <f t="shared" si="28"/>
        <v/>
      </c>
      <c r="N62" s="414" t="str">
        <f t="shared" si="28"/>
        <v/>
      </c>
      <c r="O62" s="414" t="str">
        <f t="shared" si="29"/>
        <v/>
      </c>
      <c r="P62" s="414" t="str">
        <f t="shared" si="29"/>
        <v/>
      </c>
      <c r="Q62" s="414" t="str">
        <f t="shared" si="29"/>
        <v/>
      </c>
      <c r="R62" s="414" t="str">
        <f t="shared" si="29"/>
        <v/>
      </c>
      <c r="S62" s="414" t="str">
        <f t="shared" si="29"/>
        <v/>
      </c>
    </row>
    <row r="63" spans="1:19">
      <c r="A63" s="409" t="s">
        <v>616</v>
      </c>
      <c r="B63" s="411">
        <f ca="1">OFFSET('Normalized Annual Summary WN'!$AK$9,COLUMN()-COLUMN($B$55),0)</f>
        <v>31265050.757781852</v>
      </c>
      <c r="C63" s="411">
        <f ca="1">OFFSET('Normalized Annual Summary WN'!$AK$9,COLUMN()-COLUMN($B$55),0)</f>
        <v>34523313.184172794</v>
      </c>
      <c r="D63" s="411">
        <f ca="1">OFFSET('Normalized Annual Summary WN'!$AK$9,COLUMN()-COLUMN($B$55),0)</f>
        <v>29289376.952787135</v>
      </c>
      <c r="E63" s="411">
        <f ca="1">OFFSET('Normalized Annual Summary WN'!$AK$9,COLUMN()-COLUMN($B$55),0)</f>
        <v>27854087.564876042</v>
      </c>
      <c r="F63" s="411">
        <f ca="1">OFFSET('Normalized Annual Summary WN'!$AK$9,COLUMN()-COLUMN($B$55),0)</f>
        <v>28546691.036423776</v>
      </c>
      <c r="G63" s="411">
        <f ca="1">OFFSET('Normalized Annual Summary WN'!$AK$9,COLUMN()-COLUMN($B$55),0)</f>
        <v>35032100.121394455</v>
      </c>
      <c r="H63" s="411">
        <f t="shared" ref="H63:I63" ca="1" si="33">H37</f>
        <v>33920392.464488193</v>
      </c>
      <c r="I63" s="411">
        <f t="shared" ca="1" si="33"/>
        <v>34244754.121491976</v>
      </c>
      <c r="J63" s="19"/>
      <c r="K63" s="409" t="s">
        <v>616</v>
      </c>
      <c r="L63" s="413"/>
      <c r="M63" s="414">
        <f t="shared" ca="1" si="28"/>
        <v>0.10421420555602209</v>
      </c>
      <c r="N63" s="414">
        <f t="shared" ca="1" si="28"/>
        <v>-0.1516058497475021</v>
      </c>
      <c r="O63" s="414">
        <f t="shared" ca="1" si="29"/>
        <v>-4.9003752801730811E-2</v>
      </c>
      <c r="P63" s="414">
        <f t="shared" ca="1" si="29"/>
        <v>2.4865415890381052E-2</v>
      </c>
      <c r="Q63" s="414">
        <f t="shared" ca="1" si="29"/>
        <v>0.22718601874717131</v>
      </c>
      <c r="R63" s="414">
        <f t="shared" ca="1" si="29"/>
        <v>-3.1733971216510969E-2</v>
      </c>
      <c r="S63" s="414">
        <f t="shared" ca="1" si="29"/>
        <v>9.5624382100932982E-3</v>
      </c>
    </row>
    <row r="64" spans="1:19">
      <c r="A64" s="409" t="s">
        <v>617</v>
      </c>
      <c r="B64" s="411"/>
      <c r="C64" s="411"/>
      <c r="D64" s="411"/>
      <c r="E64" s="411"/>
      <c r="F64" s="411"/>
      <c r="G64" s="411"/>
      <c r="H64" s="411"/>
      <c r="I64" s="411"/>
      <c r="J64" s="19"/>
      <c r="K64" s="409" t="s">
        <v>617</v>
      </c>
      <c r="L64" s="413"/>
      <c r="M64" s="414" t="str">
        <f t="shared" si="28"/>
        <v/>
      </c>
      <c r="N64" s="414" t="str">
        <f t="shared" si="28"/>
        <v/>
      </c>
      <c r="O64" s="414" t="str">
        <f t="shared" si="29"/>
        <v/>
      </c>
      <c r="P64" s="414" t="str">
        <f t="shared" si="29"/>
        <v/>
      </c>
      <c r="Q64" s="414" t="str">
        <f t="shared" si="29"/>
        <v/>
      </c>
      <c r="R64" s="414" t="str">
        <f t="shared" si="29"/>
        <v/>
      </c>
      <c r="S64" s="414" t="str">
        <f t="shared" si="29"/>
        <v/>
      </c>
    </row>
    <row r="65" spans="1:37">
      <c r="B65" s="16">
        <f t="shared" ref="B65:H65" ca="1" si="34">SUM(B55:B64)</f>
        <v>519594187.79269254</v>
      </c>
      <c r="C65" s="16">
        <f t="shared" ca="1" si="34"/>
        <v>539010873.47492647</v>
      </c>
      <c r="D65" s="16">
        <f t="shared" ca="1" si="34"/>
        <v>538512031.49383068</v>
      </c>
      <c r="E65" s="16">
        <f t="shared" ca="1" si="34"/>
        <v>541922785.78203201</v>
      </c>
      <c r="F65" s="16">
        <f t="shared" ca="1" si="34"/>
        <v>551398490.80279517</v>
      </c>
      <c r="G65" s="16">
        <f t="shared" ca="1" si="34"/>
        <v>560048531.75399339</v>
      </c>
      <c r="H65" s="16">
        <f t="shared" ca="1" si="34"/>
        <v>567477051.67069602</v>
      </c>
      <c r="I65" s="16">
        <f ca="1">SUM(I55:I64)</f>
        <v>591048545.42154515</v>
      </c>
      <c r="J65" s="14">
        <f ca="1">G65/B65-1</f>
        <v>7.7857575992442252E-2</v>
      </c>
    </row>
    <row r="66" spans="1:37">
      <c r="A66" s="19"/>
      <c r="B66" s="19"/>
      <c r="C66" s="417" t="s">
        <v>624</v>
      </c>
      <c r="D66" s="19"/>
      <c r="E66" s="19"/>
      <c r="F66" s="19"/>
      <c r="G66" s="19"/>
      <c r="H66" s="19"/>
      <c r="I66" s="19"/>
      <c r="J66" s="19"/>
      <c r="K66" s="19"/>
      <c r="L66" s="417" t="s">
        <v>625</v>
      </c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</row>
    <row r="67" spans="1:37" ht="39">
      <c r="A67" s="407" t="s">
        <v>563</v>
      </c>
      <c r="B67" s="408" t="str">
        <f>B54</f>
        <v>Historical 2018</v>
      </c>
      <c r="C67" s="408" t="str">
        <f t="shared" ref="C67:I67" si="35">C54</f>
        <v>Historical 2019</v>
      </c>
      <c r="D67" s="408" t="str">
        <f t="shared" si="35"/>
        <v>Historical 2020</v>
      </c>
      <c r="E67" s="408" t="str">
        <f t="shared" si="35"/>
        <v>Historical 2021</v>
      </c>
      <c r="F67" s="408" t="str">
        <f t="shared" si="35"/>
        <v>Historical 2022</v>
      </c>
      <c r="G67" s="408" t="str">
        <f t="shared" si="35"/>
        <v>Historical 2023</v>
      </c>
      <c r="H67" s="408" t="str">
        <f t="shared" si="35"/>
        <v>Bridge Year 2024</v>
      </c>
      <c r="I67" s="408" t="str">
        <f t="shared" si="35"/>
        <v>Test Year 2025</v>
      </c>
      <c r="J67" s="406"/>
      <c r="K67" s="407" t="s">
        <v>563</v>
      </c>
      <c r="L67" s="408" t="str">
        <f t="shared" ref="L67:S67" si="36">B67</f>
        <v>Historical 2018</v>
      </c>
      <c r="M67" s="408" t="str">
        <f t="shared" si="36"/>
        <v>Historical 2019</v>
      </c>
      <c r="N67" s="408" t="str">
        <f t="shared" si="36"/>
        <v>Historical 2020</v>
      </c>
      <c r="O67" s="408" t="str">
        <f t="shared" si="36"/>
        <v>Historical 2021</v>
      </c>
      <c r="P67" s="408" t="str">
        <f t="shared" si="36"/>
        <v>Historical 2022</v>
      </c>
      <c r="Q67" s="408" t="str">
        <f t="shared" si="36"/>
        <v>Historical 2023</v>
      </c>
      <c r="R67" s="408" t="str">
        <f t="shared" si="36"/>
        <v>Bridge Year 2024</v>
      </c>
      <c r="S67" s="408" t="str">
        <f t="shared" si="36"/>
        <v>Test Year 2025</v>
      </c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</row>
    <row r="68" spans="1:37">
      <c r="A68" s="409" t="s">
        <v>133</v>
      </c>
      <c r="B68" s="411"/>
      <c r="C68" s="411"/>
      <c r="D68" s="411"/>
      <c r="E68" s="411"/>
      <c r="F68" s="411"/>
      <c r="G68" s="411"/>
      <c r="H68" s="411"/>
      <c r="I68" s="411"/>
      <c r="J68" s="19"/>
      <c r="K68" s="409" t="s">
        <v>133</v>
      </c>
      <c r="L68" s="413"/>
      <c r="M68" s="414" t="str">
        <f t="shared" ref="M68:N77" si="37">IF(ISERROR((C68-B68)/B68), "", (C68-B68)/B68)</f>
        <v/>
      </c>
      <c r="N68" s="414" t="str">
        <f>IF(ISERROR((D68-C68)/C68), "", (D68-C68)/C68)</f>
        <v/>
      </c>
      <c r="O68" s="414" t="str">
        <f t="shared" ref="O68:S77" si="38">IF(ISERROR((E68-D68)/D68), "", (E68-D68)/D68)</f>
        <v/>
      </c>
      <c r="P68" s="414" t="str">
        <f t="shared" si="38"/>
        <v/>
      </c>
      <c r="Q68" s="414" t="str">
        <f t="shared" si="38"/>
        <v/>
      </c>
      <c r="R68" s="414" t="str">
        <f t="shared" si="38"/>
        <v/>
      </c>
      <c r="S68" s="414" t="str">
        <f t="shared" si="38"/>
        <v/>
      </c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</row>
    <row r="69" spans="1:37">
      <c r="A69" s="409" t="s">
        <v>609</v>
      </c>
      <c r="B69" s="411"/>
      <c r="C69" s="411"/>
      <c r="D69" s="411"/>
      <c r="E69" s="411"/>
      <c r="F69" s="411"/>
      <c r="G69" s="411"/>
      <c r="H69" s="411"/>
      <c r="I69" s="411"/>
      <c r="J69" s="406"/>
      <c r="K69" s="409" t="s">
        <v>609</v>
      </c>
      <c r="L69" s="413"/>
      <c r="M69" s="414" t="str">
        <f t="shared" si="37"/>
        <v/>
      </c>
      <c r="N69" s="414" t="str">
        <f>IF(ISERROR((D69-C69)/C69), "", (D69-C69)/C69)</f>
        <v/>
      </c>
      <c r="O69" s="414" t="str">
        <f t="shared" si="38"/>
        <v/>
      </c>
      <c r="P69" s="414" t="str">
        <f t="shared" si="38"/>
        <v/>
      </c>
      <c r="Q69" s="414" t="str">
        <f t="shared" si="38"/>
        <v/>
      </c>
      <c r="R69" s="414" t="str">
        <f t="shared" si="38"/>
        <v/>
      </c>
      <c r="S69" s="414" t="str">
        <f t="shared" si="38"/>
        <v/>
      </c>
      <c r="T69" s="406"/>
      <c r="U69" s="406"/>
      <c r="V69" s="406"/>
      <c r="W69" s="406"/>
      <c r="X69" s="406"/>
      <c r="Y69" s="406"/>
      <c r="Z69" s="406"/>
      <c r="AA69" s="406"/>
      <c r="AB69" s="406"/>
      <c r="AC69" s="19"/>
      <c r="AD69" s="19"/>
      <c r="AE69" s="19"/>
      <c r="AF69" s="19"/>
      <c r="AG69" s="19"/>
      <c r="AH69" s="19"/>
      <c r="AI69" s="19"/>
      <c r="AJ69" s="19"/>
      <c r="AK69" s="19"/>
    </row>
    <row r="70" spans="1:37">
      <c r="A70" s="409" t="s">
        <v>610</v>
      </c>
      <c r="B70" s="411">
        <f ca="1">OFFSET('kW Forecast'!$D$22,COLUMN()-COLUMN($B$70),0)</f>
        <v>571213.2479340377</v>
      </c>
      <c r="C70" s="411">
        <f ca="1">OFFSET('kW Forecast'!$D$22,COLUMN()-COLUMN($B$70),0)</f>
        <v>582313.77648543031</v>
      </c>
      <c r="D70" s="411">
        <f ca="1">OFFSET('kW Forecast'!$D$22,COLUMN()-COLUMN($B$70),0)</f>
        <v>558879.9117045782</v>
      </c>
      <c r="E70" s="411">
        <f ca="1">OFFSET('kW Forecast'!$D$22,COLUMN()-COLUMN($B$70),0)</f>
        <v>580627.8550701451</v>
      </c>
      <c r="F70" s="411">
        <f ca="1">OFFSET('kW Forecast'!$D$22,COLUMN()-COLUMN($B$70),0)</f>
        <v>597237.19604140904</v>
      </c>
      <c r="G70" s="411">
        <f ca="1">OFFSET('kW Forecast'!$D$22,COLUMN()-COLUMN($B$70),0)</f>
        <v>597465.38062159065</v>
      </c>
      <c r="H70" s="411">
        <f ca="1">H44</f>
        <v>598499.67290900333</v>
      </c>
      <c r="I70" s="411">
        <f ca="1">I44</f>
        <v>697710.87720772857</v>
      </c>
      <c r="J70" s="412"/>
      <c r="K70" s="409" t="s">
        <v>610</v>
      </c>
      <c r="L70" s="413"/>
      <c r="M70" s="414">
        <f t="shared" ca="1" si="37"/>
        <v>1.9433247725855383E-2</v>
      </c>
      <c r="N70" s="414">
        <f t="shared" ca="1" si="37"/>
        <v>-4.024267624628048E-2</v>
      </c>
      <c r="O70" s="414">
        <f t="shared" ca="1" si="38"/>
        <v>3.8913446180657819E-2</v>
      </c>
      <c r="P70" s="414">
        <f t="shared" ca="1" si="38"/>
        <v>2.8605828718392061E-2</v>
      </c>
      <c r="Q70" s="414">
        <f t="shared" ca="1" si="38"/>
        <v>3.8206692699995176E-4</v>
      </c>
      <c r="R70" s="414">
        <f t="shared" ca="1" si="38"/>
        <v>1.7311334195407695E-3</v>
      </c>
      <c r="S70" s="414">
        <f t="shared" ca="1" si="38"/>
        <v>0.16576651381697485</v>
      </c>
      <c r="T70" s="412"/>
      <c r="U70" s="412"/>
      <c r="V70" s="412"/>
      <c r="W70" s="412"/>
      <c r="X70" s="412"/>
      <c r="Y70" s="412"/>
      <c r="Z70" s="412"/>
      <c r="AA70" s="412"/>
      <c r="AB70" s="412"/>
      <c r="AC70" s="19"/>
      <c r="AD70" s="19"/>
      <c r="AE70" s="19"/>
      <c r="AF70" s="19"/>
      <c r="AG70" s="19"/>
      <c r="AH70" s="19"/>
      <c r="AI70" s="19"/>
      <c r="AJ70" s="19"/>
      <c r="AK70" s="19"/>
    </row>
    <row r="71" spans="1:37">
      <c r="A71" s="409" t="s">
        <v>611</v>
      </c>
      <c r="B71" s="411"/>
      <c r="C71" s="411"/>
      <c r="D71" s="411"/>
      <c r="E71" s="411"/>
      <c r="F71" s="411"/>
      <c r="G71" s="411"/>
      <c r="H71" s="411"/>
      <c r="I71" s="411"/>
      <c r="J71" s="412"/>
      <c r="K71" s="409" t="s">
        <v>611</v>
      </c>
      <c r="L71" s="413"/>
      <c r="M71" s="414" t="str">
        <f t="shared" si="37"/>
        <v/>
      </c>
      <c r="N71" s="414" t="str">
        <f t="shared" si="37"/>
        <v/>
      </c>
      <c r="O71" s="414" t="str">
        <f t="shared" si="38"/>
        <v/>
      </c>
      <c r="P71" s="414" t="str">
        <f t="shared" si="38"/>
        <v/>
      </c>
      <c r="Q71" s="414" t="str">
        <f t="shared" si="38"/>
        <v/>
      </c>
      <c r="R71" s="414" t="str">
        <f t="shared" si="38"/>
        <v/>
      </c>
      <c r="S71" s="414" t="str">
        <f t="shared" si="38"/>
        <v/>
      </c>
      <c r="T71" s="412"/>
      <c r="U71" s="412"/>
      <c r="V71" s="412"/>
      <c r="W71" s="412"/>
      <c r="X71" s="412"/>
      <c r="Y71" s="412"/>
      <c r="Z71" s="412"/>
      <c r="AA71" s="412"/>
      <c r="AB71" s="412"/>
      <c r="AC71" s="19"/>
      <c r="AD71" s="19"/>
      <c r="AE71" s="19"/>
      <c r="AF71" s="19"/>
      <c r="AG71" s="19"/>
      <c r="AH71" s="19"/>
      <c r="AI71" s="19"/>
      <c r="AJ71" s="19"/>
      <c r="AK71" s="19"/>
    </row>
    <row r="72" spans="1:37">
      <c r="A72" s="409" t="s">
        <v>612</v>
      </c>
      <c r="B72" s="411"/>
      <c r="C72" s="411"/>
      <c r="D72" s="411"/>
      <c r="E72" s="411"/>
      <c r="F72" s="411"/>
      <c r="G72" s="411"/>
      <c r="H72" s="411"/>
      <c r="I72" s="411"/>
      <c r="J72" s="412"/>
      <c r="K72" s="409" t="s">
        <v>612</v>
      </c>
      <c r="L72" s="413"/>
      <c r="M72" s="414" t="str">
        <f t="shared" si="37"/>
        <v/>
      </c>
      <c r="N72" s="414" t="str">
        <f t="shared" si="37"/>
        <v/>
      </c>
      <c r="O72" s="414" t="str">
        <f t="shared" si="38"/>
        <v/>
      </c>
      <c r="P72" s="414" t="str">
        <f t="shared" si="38"/>
        <v/>
      </c>
      <c r="Q72" s="414" t="str">
        <f t="shared" si="38"/>
        <v/>
      </c>
      <c r="R72" s="414" t="str">
        <f t="shared" si="38"/>
        <v/>
      </c>
      <c r="S72" s="414" t="str">
        <f t="shared" si="38"/>
        <v/>
      </c>
      <c r="T72" s="412"/>
      <c r="U72" s="412"/>
      <c r="V72" s="412"/>
      <c r="W72" s="412"/>
      <c r="X72" s="412"/>
      <c r="Y72" s="412"/>
      <c r="Z72" s="412"/>
      <c r="AA72" s="412"/>
      <c r="AB72" s="412"/>
      <c r="AC72" s="19"/>
      <c r="AD72" s="19"/>
      <c r="AE72" s="19"/>
      <c r="AF72" s="19"/>
      <c r="AG72" s="19"/>
      <c r="AH72" s="19"/>
      <c r="AI72" s="19"/>
      <c r="AJ72" s="19"/>
      <c r="AK72" s="19"/>
    </row>
    <row r="73" spans="1:37">
      <c r="A73" s="409" t="s">
        <v>613</v>
      </c>
      <c r="B73" s="411">
        <f t="shared" ref="B73:G73" ca="1" si="39">B47</f>
        <v>815</v>
      </c>
      <c r="C73" s="411">
        <f t="shared" ca="1" si="39"/>
        <v>781</v>
      </c>
      <c r="D73" s="411">
        <f t="shared" ca="1" si="39"/>
        <v>767</v>
      </c>
      <c r="E73" s="411">
        <f t="shared" ca="1" si="39"/>
        <v>759</v>
      </c>
      <c r="F73" s="411">
        <f t="shared" ca="1" si="39"/>
        <v>744</v>
      </c>
      <c r="G73" s="411">
        <f t="shared" ca="1" si="39"/>
        <v>736.37999999999988</v>
      </c>
      <c r="H73" s="411">
        <f ca="1">H47</f>
        <v>726.72877393329361</v>
      </c>
      <c r="I73" s="411">
        <f ca="1">I47</f>
        <v>716.34708302108174</v>
      </c>
      <c r="J73" s="412"/>
      <c r="K73" s="409" t="s">
        <v>613</v>
      </c>
      <c r="L73" s="413"/>
      <c r="M73" s="414">
        <f t="shared" ca="1" si="37"/>
        <v>-4.1717791411042947E-2</v>
      </c>
      <c r="N73" s="414">
        <f t="shared" ca="1" si="37"/>
        <v>-1.7925736235595392E-2</v>
      </c>
      <c r="O73" s="414">
        <f t="shared" ca="1" si="38"/>
        <v>-1.0430247718383311E-2</v>
      </c>
      <c r="P73" s="414">
        <f t="shared" ca="1" si="38"/>
        <v>-1.9762845849802372E-2</v>
      </c>
      <c r="Q73" s="414">
        <f t="shared" ca="1" si="38"/>
        <v>-1.0241935483871126E-2</v>
      </c>
      <c r="R73" s="414">
        <f t="shared" ca="1" si="38"/>
        <v>-1.3106312049086442E-2</v>
      </c>
      <c r="S73" s="414">
        <f t="shared" ca="1" si="38"/>
        <v>-1.4285509648975039E-2</v>
      </c>
      <c r="T73" s="412"/>
      <c r="U73" s="412"/>
      <c r="V73" s="412"/>
      <c r="W73" s="412"/>
      <c r="X73" s="412"/>
      <c r="Y73" s="412"/>
      <c r="Z73" s="412"/>
      <c r="AA73" s="412"/>
      <c r="AB73" s="412"/>
      <c r="AC73" s="19"/>
      <c r="AD73" s="19"/>
      <c r="AE73" s="19"/>
      <c r="AF73" s="19"/>
      <c r="AG73" s="19"/>
      <c r="AH73" s="19"/>
      <c r="AI73" s="19"/>
      <c r="AJ73" s="19"/>
      <c r="AK73" s="19"/>
    </row>
    <row r="74" spans="1:37">
      <c r="A74" s="409" t="s">
        <v>614</v>
      </c>
      <c r="B74" s="411">
        <f t="shared" ref="B74:G74" ca="1" si="40">B48</f>
        <v>8746</v>
      </c>
      <c r="C74" s="411">
        <f t="shared" ca="1" si="40"/>
        <v>7846</v>
      </c>
      <c r="D74" s="411">
        <f t="shared" ca="1" si="40"/>
        <v>7413</v>
      </c>
      <c r="E74" s="411">
        <f t="shared" ca="1" si="40"/>
        <v>7398</v>
      </c>
      <c r="F74" s="411">
        <f t="shared" ca="1" si="40"/>
        <v>7289</v>
      </c>
      <c r="G74" s="411">
        <f t="shared" ca="1" si="40"/>
        <v>7310.3</v>
      </c>
      <c r="H74" s="411">
        <f ca="1">H48</f>
        <v>7344.6106796243503</v>
      </c>
      <c r="I74" s="411">
        <f ca="1">I48</f>
        <v>7372.4856525959021</v>
      </c>
      <c r="J74" s="412"/>
      <c r="K74" s="409" t="s">
        <v>614</v>
      </c>
      <c r="L74" s="413"/>
      <c r="M74" s="414">
        <f t="shared" ca="1" si="37"/>
        <v>-0.10290418477018065</v>
      </c>
      <c r="N74" s="414">
        <f t="shared" ca="1" si="37"/>
        <v>-5.5187356614835585E-2</v>
      </c>
      <c r="O74" s="414">
        <f t="shared" ca="1" si="38"/>
        <v>-2.0234722784297854E-3</v>
      </c>
      <c r="P74" s="414">
        <f t="shared" ca="1" si="38"/>
        <v>-1.4733711814003785E-2</v>
      </c>
      <c r="Q74" s="414">
        <f t="shared" ca="1" si="38"/>
        <v>2.9222115516532011E-3</v>
      </c>
      <c r="R74" s="414">
        <f t="shared" ca="1" si="38"/>
        <v>4.6934708048028241E-3</v>
      </c>
      <c r="S74" s="414">
        <f t="shared" ca="1" si="38"/>
        <v>3.795296195737576E-3</v>
      </c>
      <c r="T74" s="412"/>
      <c r="U74" s="412"/>
      <c r="V74" s="412"/>
      <c r="W74" s="412"/>
      <c r="X74" s="412"/>
      <c r="Y74" s="412"/>
      <c r="Z74" s="412"/>
      <c r="AA74" s="412"/>
      <c r="AB74" s="412"/>
      <c r="AC74" s="19"/>
      <c r="AD74" s="19"/>
      <c r="AE74" s="19"/>
      <c r="AF74" s="19"/>
      <c r="AG74" s="19"/>
      <c r="AH74" s="19"/>
      <c r="AI74" s="19"/>
      <c r="AJ74" s="19"/>
      <c r="AK74" s="19"/>
    </row>
    <row r="75" spans="1:37">
      <c r="A75" s="409" t="s">
        <v>615</v>
      </c>
      <c r="B75" s="411"/>
      <c r="C75" s="411"/>
      <c r="D75" s="411"/>
      <c r="E75" s="411"/>
      <c r="F75" s="411"/>
      <c r="G75" s="411"/>
      <c r="H75" s="411"/>
      <c r="I75" s="411"/>
      <c r="J75" s="412"/>
      <c r="K75" s="409" t="s">
        <v>615</v>
      </c>
      <c r="L75" s="413"/>
      <c r="M75" s="414" t="str">
        <f t="shared" si="37"/>
        <v/>
      </c>
      <c r="N75" s="414" t="str">
        <f t="shared" si="37"/>
        <v/>
      </c>
      <c r="O75" s="414" t="str">
        <f t="shared" si="38"/>
        <v/>
      </c>
      <c r="P75" s="414" t="str">
        <f t="shared" si="38"/>
        <v/>
      </c>
      <c r="Q75" s="414" t="str">
        <f t="shared" si="38"/>
        <v/>
      </c>
      <c r="R75" s="414" t="str">
        <f t="shared" si="38"/>
        <v/>
      </c>
      <c r="S75" s="414" t="str">
        <f t="shared" si="38"/>
        <v/>
      </c>
      <c r="T75" s="412"/>
      <c r="U75" s="412"/>
      <c r="V75" s="412"/>
      <c r="W75" s="412"/>
      <c r="X75" s="412"/>
      <c r="Y75" s="412"/>
      <c r="Z75" s="412"/>
      <c r="AA75" s="412"/>
      <c r="AB75" s="412"/>
      <c r="AC75" s="19"/>
      <c r="AD75" s="19"/>
      <c r="AE75" s="19"/>
      <c r="AF75" s="19"/>
      <c r="AG75" s="19"/>
      <c r="AH75" s="19"/>
      <c r="AI75" s="19"/>
      <c r="AJ75" s="19"/>
      <c r="AK75" s="19"/>
    </row>
    <row r="76" spans="1:37">
      <c r="A76" s="409" t="s">
        <v>616</v>
      </c>
      <c r="B76" s="411">
        <f ca="1">OFFSET('kW Forecast'!$Y$22,COLUMN()-COLUMN($B$70),0)</f>
        <v>83332.780860760031</v>
      </c>
      <c r="C76" s="411">
        <f ca="1">OFFSET('kW Forecast'!$Y$22,COLUMN()-COLUMN($B$70),0)</f>
        <v>84973.93445421035</v>
      </c>
      <c r="D76" s="411">
        <f ca="1">OFFSET('kW Forecast'!$Y$22,COLUMN()-COLUMN($B$70),0)</f>
        <v>80072.92447541139</v>
      </c>
      <c r="E76" s="411">
        <f ca="1">OFFSET('kW Forecast'!$Y$22,COLUMN()-COLUMN($B$70),0)</f>
        <v>83047.655681049771</v>
      </c>
      <c r="F76" s="411">
        <f ca="1">OFFSET('kW Forecast'!$Y$22,COLUMN()-COLUMN($B$70),0)</f>
        <v>85750.732187909118</v>
      </c>
      <c r="G76" s="411">
        <f ca="1">OFFSET('kW Forecast'!$Y$22,COLUMN()-COLUMN($B$70),0)</f>
        <v>89526.957008953497</v>
      </c>
      <c r="H76" s="411">
        <f ca="1">H50</f>
        <v>90010.53268136234</v>
      </c>
      <c r="I76" s="411">
        <f ca="1">I50</f>
        <v>90871.252838385451</v>
      </c>
      <c r="J76" s="412"/>
      <c r="K76" s="409" t="s">
        <v>616</v>
      </c>
      <c r="L76" s="413"/>
      <c r="M76" s="414">
        <f t="shared" ca="1" si="37"/>
        <v>1.9693973685967679E-2</v>
      </c>
      <c r="N76" s="414">
        <f t="shared" ca="1" si="37"/>
        <v>-5.7676627665627894E-2</v>
      </c>
      <c r="O76" s="414">
        <f t="shared" ca="1" si="38"/>
        <v>3.71502755160623E-2</v>
      </c>
      <c r="P76" s="414">
        <f t="shared" ca="1" si="38"/>
        <v>3.2548498626387451E-2</v>
      </c>
      <c r="Q76" s="414">
        <f t="shared" ca="1" si="38"/>
        <v>4.4037231224677849E-2</v>
      </c>
      <c r="R76" s="414">
        <f t="shared" ca="1" si="38"/>
        <v>5.401453244529248E-3</v>
      </c>
      <c r="S76" s="414">
        <f t="shared" ca="1" si="38"/>
        <v>9.5624382100933103E-3</v>
      </c>
      <c r="T76" s="412"/>
      <c r="U76" s="412"/>
      <c r="V76" s="412"/>
      <c r="W76" s="412"/>
      <c r="X76" s="412"/>
      <c r="Y76" s="412"/>
      <c r="Z76" s="412"/>
      <c r="AA76" s="412"/>
      <c r="AB76" s="412"/>
      <c r="AC76" s="19"/>
      <c r="AD76" s="19"/>
      <c r="AE76" s="19"/>
      <c r="AF76" s="19"/>
      <c r="AG76" s="19"/>
      <c r="AH76" s="19"/>
      <c r="AI76" s="19"/>
      <c r="AJ76" s="19"/>
      <c r="AK76" s="19"/>
    </row>
    <row r="77" spans="1:37">
      <c r="A77" s="409" t="s">
        <v>617</v>
      </c>
      <c r="B77" s="411"/>
      <c r="C77" s="411"/>
      <c r="D77" s="411"/>
      <c r="E77" s="411"/>
      <c r="F77" s="411"/>
      <c r="G77" s="411"/>
      <c r="H77" s="411"/>
      <c r="I77" s="411"/>
      <c r="J77" s="412"/>
      <c r="K77" s="409" t="s">
        <v>617</v>
      </c>
      <c r="L77" s="413"/>
      <c r="M77" s="414" t="str">
        <f t="shared" si="37"/>
        <v/>
      </c>
      <c r="N77" s="414" t="str">
        <f t="shared" si="37"/>
        <v/>
      </c>
      <c r="O77" s="414" t="str">
        <f t="shared" si="38"/>
        <v/>
      </c>
      <c r="P77" s="414" t="str">
        <f t="shared" si="38"/>
        <v/>
      </c>
      <c r="Q77" s="414" t="str">
        <f t="shared" si="38"/>
        <v/>
      </c>
      <c r="R77" s="414" t="str">
        <f t="shared" si="38"/>
        <v/>
      </c>
      <c r="S77" s="414" t="str">
        <f t="shared" si="38"/>
        <v/>
      </c>
      <c r="T77" s="412"/>
      <c r="U77" s="412"/>
      <c r="V77" s="412"/>
      <c r="W77" s="412"/>
      <c r="X77" s="412"/>
      <c r="Y77" s="412"/>
      <c r="Z77" s="412"/>
      <c r="AA77" s="412"/>
      <c r="AB77" s="412"/>
      <c r="AC77" s="19"/>
      <c r="AD77" s="19"/>
      <c r="AE77" s="19"/>
      <c r="AF77" s="19"/>
      <c r="AG77" s="19"/>
      <c r="AH77" s="19"/>
      <c r="AI77" s="19"/>
      <c r="AJ77" s="19"/>
      <c r="AK77" s="19"/>
    </row>
    <row r="78" spans="1:37">
      <c r="A78" s="19"/>
      <c r="B78" s="19"/>
      <c r="C78" s="19"/>
      <c r="D78" s="19"/>
      <c r="E78" s="19"/>
      <c r="F78" s="19"/>
      <c r="G78" s="19"/>
      <c r="H78" s="19"/>
      <c r="I78" s="19"/>
      <c r="J78" s="412"/>
      <c r="K78" s="19"/>
      <c r="L78" s="19"/>
      <c r="M78" s="19"/>
      <c r="N78" s="19"/>
      <c r="O78" s="19"/>
      <c r="P78" s="19"/>
      <c r="Q78" s="19"/>
      <c r="R78" s="19"/>
      <c r="S78" s="19"/>
      <c r="T78" s="412"/>
      <c r="U78" s="412"/>
      <c r="V78" s="412"/>
      <c r="W78" s="412"/>
      <c r="X78" s="412"/>
      <c r="Y78" s="412"/>
      <c r="Z78" s="412"/>
      <c r="AA78" s="412"/>
      <c r="AB78" s="412"/>
      <c r="AC78" s="19"/>
      <c r="AD78" s="19"/>
      <c r="AE78" s="19"/>
      <c r="AF78" s="19"/>
      <c r="AG78" s="19"/>
      <c r="AH78" s="19"/>
      <c r="AI78" s="19"/>
      <c r="AJ78" s="19"/>
      <c r="AK78" s="19"/>
    </row>
    <row r="79" spans="1:37">
      <c r="A79" s="19"/>
      <c r="B79" s="19"/>
      <c r="C79" s="19"/>
      <c r="D79" s="19"/>
      <c r="E79" s="19"/>
      <c r="F79" s="19"/>
      <c r="G79" s="19"/>
      <c r="H79" s="19"/>
      <c r="I79" s="19"/>
      <c r="J79" s="412"/>
      <c r="K79" s="19"/>
      <c r="L79" s="19"/>
      <c r="M79" s="19"/>
      <c r="N79" s="19"/>
      <c r="O79" s="19"/>
      <c r="P79" s="19"/>
      <c r="Q79" s="19"/>
      <c r="R79" s="19"/>
      <c r="S79" s="19"/>
      <c r="T79" s="412"/>
      <c r="U79" s="412"/>
      <c r="V79" s="412"/>
      <c r="W79" s="412"/>
      <c r="X79" s="412"/>
      <c r="Y79" s="412"/>
      <c r="Z79" s="412"/>
      <c r="AA79" s="412"/>
      <c r="AB79" s="412"/>
      <c r="AC79" s="19"/>
      <c r="AD79" s="19"/>
      <c r="AE79" s="19"/>
      <c r="AF79" s="19"/>
      <c r="AG79" s="19"/>
      <c r="AH79" s="19"/>
      <c r="AI79" s="19"/>
      <c r="AJ79" s="19"/>
      <c r="AK79" s="19"/>
    </row>
    <row r="80" spans="1:37">
      <c r="A80" s="19"/>
      <c r="B80" s="19"/>
      <c r="C80" s="19"/>
      <c r="D80" s="19"/>
      <c r="E80" s="19"/>
      <c r="F80" s="19"/>
      <c r="G80" s="19"/>
      <c r="H80" s="19"/>
      <c r="I80" s="19"/>
      <c r="J80" s="412"/>
      <c r="K80" s="19"/>
      <c r="L80" s="19"/>
      <c r="M80" s="19"/>
      <c r="N80" s="19"/>
      <c r="O80" s="19"/>
      <c r="P80" s="19"/>
      <c r="Q80" s="19"/>
      <c r="R80" s="19"/>
      <c r="S80" s="19"/>
      <c r="T80" s="412"/>
      <c r="U80" s="412"/>
      <c r="V80" s="412"/>
      <c r="W80" s="412"/>
      <c r="X80" s="412"/>
      <c r="Y80" s="412"/>
      <c r="Z80" s="412"/>
      <c r="AA80" s="412"/>
      <c r="AB80" s="412"/>
      <c r="AC80" s="19"/>
      <c r="AD80" s="19"/>
      <c r="AE80" s="19"/>
      <c r="AF80" s="418"/>
      <c r="AG80" s="418"/>
      <c r="AH80" s="418"/>
      <c r="AI80" s="418"/>
      <c r="AJ80" s="418"/>
      <c r="AK80" s="418"/>
    </row>
    <row r="82" spans="10:28">
      <c r="J82" s="406"/>
      <c r="K82" s="19"/>
      <c r="L82" s="19"/>
      <c r="M82" s="19"/>
      <c r="N82" s="19"/>
      <c r="O82" s="19"/>
      <c r="P82" s="19"/>
      <c r="Q82" s="19"/>
      <c r="R82" s="19"/>
      <c r="S82" s="19"/>
      <c r="T82" s="406"/>
      <c r="U82" s="406"/>
      <c r="V82" s="406"/>
      <c r="W82" s="406"/>
      <c r="X82" s="406"/>
      <c r="Y82" s="406"/>
      <c r="Z82" s="406"/>
      <c r="AA82" s="406"/>
      <c r="AB82" s="406"/>
    </row>
    <row r="93" spans="10:28">
      <c r="J93" s="406"/>
      <c r="K93" s="19"/>
      <c r="L93" s="19"/>
      <c r="M93" s="19"/>
      <c r="N93" s="19"/>
      <c r="O93" s="19"/>
      <c r="P93" s="19"/>
      <c r="Q93" s="19"/>
      <c r="R93" s="19"/>
      <c r="S93" s="19"/>
      <c r="T93" s="406"/>
      <c r="U93" s="406"/>
      <c r="V93" s="406"/>
      <c r="W93" s="406"/>
      <c r="X93" s="406"/>
      <c r="Y93" s="406"/>
      <c r="Z93" s="406"/>
      <c r="AA93" s="406"/>
      <c r="AB93" s="406"/>
    </row>
    <row r="94" spans="10:28">
      <c r="J94" s="412"/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412"/>
      <c r="Z94" s="412"/>
      <c r="AA94" s="412"/>
      <c r="AB94" s="412"/>
    </row>
    <row r="95" spans="10:28">
      <c r="J95" s="412"/>
      <c r="K95" s="412"/>
      <c r="L95" s="412"/>
      <c r="M95" s="412"/>
      <c r="N95" s="412"/>
      <c r="O95" s="412"/>
      <c r="P95" s="412"/>
      <c r="Q95" s="412"/>
      <c r="R95" s="412"/>
      <c r="S95" s="412"/>
      <c r="T95" s="412"/>
      <c r="U95" s="412"/>
      <c r="V95" s="412"/>
      <c r="W95" s="412"/>
      <c r="X95" s="412"/>
      <c r="Y95" s="412"/>
      <c r="Z95" s="412"/>
      <c r="AA95" s="412"/>
      <c r="AB95" s="412"/>
    </row>
    <row r="96" spans="10:28">
      <c r="J96" s="412"/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412"/>
      <c r="Z96" s="412"/>
      <c r="AA96" s="412"/>
      <c r="AB96" s="412"/>
    </row>
    <row r="97" spans="10:28">
      <c r="J97" s="412"/>
      <c r="K97" s="412"/>
      <c r="L97" s="412"/>
      <c r="M97" s="412"/>
      <c r="N97" s="412"/>
      <c r="O97" s="412"/>
      <c r="P97" s="412"/>
      <c r="Q97" s="412"/>
      <c r="R97" s="412"/>
      <c r="S97" s="412"/>
      <c r="T97" s="412"/>
      <c r="U97" s="412"/>
      <c r="V97" s="412"/>
      <c r="W97" s="412"/>
      <c r="X97" s="412"/>
      <c r="Y97" s="412"/>
      <c r="Z97" s="412"/>
      <c r="AA97" s="412"/>
      <c r="AB97" s="412"/>
    </row>
    <row r="98" spans="10:28">
      <c r="J98" s="412"/>
      <c r="K98" s="412"/>
      <c r="L98" s="412"/>
      <c r="M98" s="412"/>
      <c r="N98" s="412"/>
      <c r="O98" s="412"/>
      <c r="P98" s="412"/>
      <c r="Q98" s="412"/>
      <c r="R98" s="412"/>
      <c r="S98" s="412"/>
      <c r="T98" s="412"/>
      <c r="U98" s="412"/>
      <c r="V98" s="412"/>
      <c r="W98" s="412"/>
      <c r="X98" s="412"/>
      <c r="Y98" s="412"/>
      <c r="Z98" s="412"/>
      <c r="AA98" s="412"/>
      <c r="AB98" s="412"/>
    </row>
    <row r="99" spans="10:28">
      <c r="J99" s="412"/>
      <c r="K99" s="412"/>
      <c r="L99" s="412"/>
      <c r="M99" s="412"/>
      <c r="N99" s="412"/>
      <c r="O99" s="412"/>
      <c r="P99" s="412"/>
      <c r="Q99" s="412"/>
      <c r="R99" s="412"/>
      <c r="S99" s="412"/>
      <c r="T99" s="412"/>
      <c r="U99" s="412"/>
      <c r="V99" s="412"/>
      <c r="W99" s="412"/>
      <c r="X99" s="412"/>
      <c r="Y99" s="412"/>
      <c r="Z99" s="412"/>
      <c r="AA99" s="412"/>
      <c r="AB99" s="412"/>
    </row>
    <row r="100" spans="10:28">
      <c r="J100" s="412"/>
      <c r="K100" s="412"/>
      <c r="L100" s="412"/>
      <c r="M100" s="412"/>
      <c r="N100" s="412"/>
      <c r="O100" s="412"/>
      <c r="P100" s="412"/>
      <c r="Q100" s="412"/>
      <c r="R100" s="412"/>
      <c r="S100" s="412"/>
      <c r="T100" s="412"/>
      <c r="U100" s="412"/>
      <c r="V100" s="412"/>
      <c r="W100" s="412"/>
      <c r="X100" s="412"/>
      <c r="Y100" s="412"/>
      <c r="Z100" s="412"/>
      <c r="AA100" s="412"/>
      <c r="AB100" s="412"/>
    </row>
    <row r="101" spans="10:28">
      <c r="J101" s="412"/>
      <c r="K101" s="412"/>
      <c r="L101" s="412"/>
      <c r="M101" s="412"/>
      <c r="N101" s="412"/>
      <c r="O101" s="412"/>
      <c r="P101" s="412"/>
      <c r="Q101" s="412"/>
      <c r="R101" s="412"/>
      <c r="S101" s="412"/>
      <c r="T101" s="412"/>
      <c r="U101" s="412"/>
      <c r="V101" s="412"/>
      <c r="W101" s="412"/>
      <c r="X101" s="412"/>
      <c r="Y101" s="412"/>
      <c r="Z101" s="412"/>
      <c r="AA101" s="412"/>
      <c r="AB101" s="412"/>
    </row>
  </sheetData>
  <mergeCells count="3">
    <mergeCell ref="A3:P3"/>
    <mergeCell ref="A4:Q4"/>
    <mergeCell ref="A12:S12"/>
  </mergeCells>
  <phoneticPr fontId="2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3803-F07F-425A-BC70-7CA3CF8F4253}">
  <sheetPr codeName="Sheet3">
    <tabColor theme="2" tint="-9.9978637043366805E-2"/>
  </sheetPr>
  <dimension ref="A1:P151"/>
  <sheetViews>
    <sheetView topLeftCell="A117" workbookViewId="0">
      <selection activeCell="C129" sqref="C129"/>
    </sheetView>
  </sheetViews>
  <sheetFormatPr defaultRowHeight="14.45"/>
  <cols>
    <col min="1" max="1" width="15.5703125" bestFit="1" customWidth="1"/>
    <col min="2" max="2" width="11.28515625" bestFit="1" customWidth="1"/>
    <col min="3" max="3" width="16.28515625" bestFit="1" customWidth="1"/>
    <col min="4" max="5" width="11.5703125" bestFit="1" customWidth="1"/>
    <col min="6" max="6" width="10.5703125" bestFit="1" customWidth="1"/>
    <col min="7" max="7" width="13.28515625" bestFit="1" customWidth="1"/>
    <col min="8" max="8" width="11.140625" bestFit="1" customWidth="1"/>
    <col min="9" max="9" width="8.85546875" customWidth="1"/>
    <col min="11" max="11" width="11.5703125" bestFit="1" customWidth="1"/>
    <col min="13" max="13" width="13.42578125" customWidth="1"/>
    <col min="14" max="14" width="13.28515625" bestFit="1" customWidth="1"/>
    <col min="15" max="15" width="11.5703125" bestFit="1" customWidth="1"/>
    <col min="16" max="16" width="33.5703125" bestFit="1" customWidth="1"/>
  </cols>
  <sheetData>
    <row r="1" spans="1:16" ht="15" customHeight="1">
      <c r="M1" s="512" t="s">
        <v>130</v>
      </c>
      <c r="N1" s="512"/>
      <c r="O1" s="512"/>
      <c r="P1" s="512"/>
    </row>
    <row r="2" spans="1:16" s="43" customFormat="1" ht="29.1">
      <c r="A2" s="256" t="s">
        <v>131</v>
      </c>
      <c r="B2" s="256" t="s">
        <v>132</v>
      </c>
      <c r="C2" s="256" t="s">
        <v>133</v>
      </c>
      <c r="D2" s="256" t="s">
        <v>134</v>
      </c>
      <c r="E2" s="256" t="s">
        <v>135</v>
      </c>
      <c r="F2" s="256" t="s">
        <v>136</v>
      </c>
      <c r="G2" s="256" t="s">
        <v>137</v>
      </c>
      <c r="H2" s="256" t="s">
        <v>138</v>
      </c>
      <c r="I2" s="256" t="s">
        <v>139</v>
      </c>
      <c r="J2" s="256"/>
      <c r="K2" s="256" t="s">
        <v>140</v>
      </c>
      <c r="M2" s="255" t="s">
        <v>141</v>
      </c>
      <c r="N2" s="255" t="s">
        <v>142</v>
      </c>
      <c r="O2" s="255" t="s">
        <v>140</v>
      </c>
      <c r="P2" s="262" t="s">
        <v>143</v>
      </c>
    </row>
    <row r="3" spans="1:16">
      <c r="A3">
        <v>2011</v>
      </c>
      <c r="B3">
        <v>2011</v>
      </c>
      <c r="C3" s="6">
        <v>775291.25882300455</v>
      </c>
      <c r="D3" s="6">
        <v>653236.74627989298</v>
      </c>
      <c r="E3" s="6">
        <v>570555.85292775766</v>
      </c>
      <c r="F3" s="6"/>
      <c r="G3" s="6"/>
      <c r="H3" s="6"/>
      <c r="I3" s="6"/>
      <c r="J3" s="6"/>
      <c r="K3" s="6">
        <f>SUM(C3:I3)</f>
        <v>1999083.8580306552</v>
      </c>
      <c r="M3" s="6">
        <v>2053107.14</v>
      </c>
      <c r="N3" s="4">
        <v>-54023.284</v>
      </c>
      <c r="O3" s="261">
        <f>M3+N3</f>
        <v>1999083.8559999999</v>
      </c>
      <c r="P3" t="s">
        <v>144</v>
      </c>
    </row>
    <row r="4" spans="1:16">
      <c r="A4">
        <v>2011</v>
      </c>
      <c r="B4">
        <v>2012</v>
      </c>
      <c r="C4" s="6">
        <v>775291.25882300455</v>
      </c>
      <c r="D4" s="6">
        <v>653236.74627989298</v>
      </c>
      <c r="E4" s="6">
        <v>570555.85292775766</v>
      </c>
      <c r="F4" s="6"/>
      <c r="G4" s="6"/>
      <c r="H4" s="6"/>
      <c r="I4" s="6"/>
      <c r="J4" s="6"/>
      <c r="K4" s="6">
        <f t="shared" ref="K4:K17" si="0">SUM(C4:I4)</f>
        <v>1999083.8580306552</v>
      </c>
      <c r="M4" s="6"/>
    </row>
    <row r="5" spans="1:16">
      <c r="A5">
        <v>2011</v>
      </c>
      <c r="B5">
        <v>2013</v>
      </c>
      <c r="C5" s="6">
        <v>775291.25882300455</v>
      </c>
      <c r="D5" s="6">
        <v>653236.74627989298</v>
      </c>
      <c r="E5" s="6">
        <v>570555.85292775766</v>
      </c>
      <c r="F5" s="6"/>
      <c r="G5" s="6"/>
      <c r="H5" s="6"/>
      <c r="I5" s="6"/>
      <c r="J5" s="6"/>
      <c r="K5" s="6">
        <f t="shared" si="0"/>
        <v>1999083.8580306552</v>
      </c>
      <c r="M5" s="6"/>
    </row>
    <row r="6" spans="1:16">
      <c r="A6">
        <v>2011</v>
      </c>
      <c r="B6">
        <v>2014</v>
      </c>
      <c r="C6" s="6">
        <v>773289.24387761473</v>
      </c>
      <c r="D6" s="6">
        <v>601219.5075402311</v>
      </c>
      <c r="E6" s="6">
        <v>570555.85292775766</v>
      </c>
      <c r="F6" s="6"/>
      <c r="G6" s="6"/>
      <c r="H6" s="6"/>
      <c r="I6" s="6"/>
      <c r="J6" s="6"/>
      <c r="K6" s="6">
        <f t="shared" si="0"/>
        <v>1945064.6043456036</v>
      </c>
      <c r="M6" s="6"/>
    </row>
    <row r="7" spans="1:16">
      <c r="A7">
        <v>2011</v>
      </c>
      <c r="B7">
        <v>2015</v>
      </c>
      <c r="C7" s="6">
        <v>735098.42979980889</v>
      </c>
      <c r="D7" s="6">
        <v>601219.5075402311</v>
      </c>
      <c r="E7" s="6">
        <v>570555.85292775766</v>
      </c>
      <c r="F7" s="6"/>
      <c r="G7" s="6"/>
      <c r="H7" s="6"/>
      <c r="I7" s="6"/>
      <c r="J7" s="6"/>
      <c r="K7" s="6">
        <f t="shared" si="0"/>
        <v>1906873.7902677977</v>
      </c>
      <c r="M7" s="6"/>
    </row>
    <row r="8" spans="1:16">
      <c r="A8">
        <v>2011</v>
      </c>
      <c r="B8">
        <v>2016</v>
      </c>
      <c r="C8" s="6">
        <v>667168.32047908404</v>
      </c>
      <c r="D8" s="6">
        <v>597801.27883521724</v>
      </c>
      <c r="E8" s="6">
        <v>570555.85292775766</v>
      </c>
      <c r="F8" s="6"/>
      <c r="G8" s="6"/>
      <c r="H8" s="6"/>
      <c r="I8" s="6"/>
      <c r="J8" s="6"/>
      <c r="K8" s="6">
        <f t="shared" si="0"/>
        <v>1835525.4522420589</v>
      </c>
      <c r="M8" s="6"/>
    </row>
    <row r="9" spans="1:16">
      <c r="A9">
        <v>2011</v>
      </c>
      <c r="B9">
        <v>2017</v>
      </c>
      <c r="C9" s="6">
        <v>599679.02926908119</v>
      </c>
      <c r="D9" s="6">
        <v>531267.6569893749</v>
      </c>
      <c r="E9" s="6">
        <v>570555.85292775766</v>
      </c>
      <c r="F9" s="6"/>
      <c r="G9" s="6"/>
      <c r="H9" s="6"/>
      <c r="I9" s="6"/>
      <c r="J9" s="6"/>
      <c r="K9" s="6">
        <f t="shared" si="0"/>
        <v>1701502.5391862139</v>
      </c>
      <c r="M9" s="6"/>
    </row>
    <row r="10" spans="1:16">
      <c r="A10">
        <v>2011</v>
      </c>
      <c r="B10">
        <v>2018</v>
      </c>
      <c r="C10" s="6">
        <v>598729.79933832376</v>
      </c>
      <c r="D10" s="6">
        <v>531267.6569893749</v>
      </c>
      <c r="E10" s="6">
        <v>570555.85292775766</v>
      </c>
      <c r="F10" s="6"/>
      <c r="G10" s="6"/>
      <c r="H10" s="6"/>
      <c r="I10" s="6"/>
      <c r="J10" s="6"/>
      <c r="K10" s="6">
        <f t="shared" si="0"/>
        <v>1700553.3092554563</v>
      </c>
      <c r="M10" s="6"/>
    </row>
    <row r="11" spans="1:16">
      <c r="A11">
        <v>2011</v>
      </c>
      <c r="B11">
        <v>2019</v>
      </c>
      <c r="C11" s="6">
        <v>653756.68266430474</v>
      </c>
      <c r="D11" s="6">
        <v>521046.78612827824</v>
      </c>
      <c r="E11" s="6">
        <v>560334.982066661</v>
      </c>
      <c r="F11" s="6"/>
      <c r="G11" s="6"/>
      <c r="H11" s="6"/>
      <c r="I11" s="6"/>
      <c r="J11" s="6"/>
      <c r="K11" s="6">
        <f t="shared" si="0"/>
        <v>1735138.450859244</v>
      </c>
      <c r="M11" s="6"/>
    </row>
    <row r="12" spans="1:16">
      <c r="A12">
        <v>2011</v>
      </c>
      <c r="B12">
        <v>2020</v>
      </c>
      <c r="C12" s="6">
        <v>482489.0616895131</v>
      </c>
      <c r="D12" s="6">
        <v>521046.78612827824</v>
      </c>
      <c r="E12" s="6">
        <v>560334.982066661</v>
      </c>
      <c r="F12" s="6"/>
      <c r="G12" s="6"/>
      <c r="H12" s="6"/>
      <c r="I12" s="6"/>
      <c r="J12" s="6"/>
      <c r="K12" s="6">
        <f t="shared" si="0"/>
        <v>1563870.8298844523</v>
      </c>
      <c r="M12" s="6"/>
    </row>
    <row r="13" spans="1:16">
      <c r="A13">
        <v>2011</v>
      </c>
      <c r="B13">
        <v>2021</v>
      </c>
      <c r="C13" s="6">
        <v>424969.11858787562</v>
      </c>
      <c r="D13" s="6">
        <v>519410.35160529171</v>
      </c>
      <c r="E13" s="6">
        <v>560334.982066661</v>
      </c>
      <c r="F13" s="6"/>
      <c r="G13" s="6"/>
      <c r="H13" s="6"/>
      <c r="I13" s="6"/>
      <c r="J13" s="6"/>
      <c r="K13" s="6">
        <f t="shared" si="0"/>
        <v>1504714.4522598283</v>
      </c>
      <c r="M13" s="6"/>
    </row>
    <row r="14" spans="1:16">
      <c r="A14">
        <v>2011</v>
      </c>
      <c r="B14">
        <v>2022</v>
      </c>
      <c r="C14" s="6">
        <v>420438.2099892674</v>
      </c>
      <c r="D14" s="6">
        <v>519410.35160529171</v>
      </c>
      <c r="E14" s="6">
        <v>560334.982066661</v>
      </c>
      <c r="F14" s="6"/>
      <c r="G14" s="6"/>
      <c r="H14" s="6"/>
      <c r="I14" s="6"/>
      <c r="J14" s="6"/>
      <c r="K14" s="6">
        <f t="shared" si="0"/>
        <v>1500183.54366122</v>
      </c>
      <c r="M14" s="6"/>
    </row>
    <row r="15" spans="1:16">
      <c r="A15">
        <v>2011</v>
      </c>
      <c r="B15">
        <v>2023</v>
      </c>
      <c r="C15" s="6">
        <v>420438.2099892674</v>
      </c>
      <c r="D15" s="6">
        <v>93781.263274932746</v>
      </c>
      <c r="E15" s="6">
        <v>151035.18832650196</v>
      </c>
      <c r="F15" s="6"/>
      <c r="G15" s="6"/>
      <c r="H15" s="6"/>
      <c r="I15" s="6"/>
      <c r="J15" s="6"/>
      <c r="K15" s="6">
        <f t="shared" si="0"/>
        <v>665254.66159070213</v>
      </c>
      <c r="M15" s="6"/>
    </row>
    <row r="16" spans="1:16">
      <c r="A16">
        <v>2011</v>
      </c>
      <c r="B16">
        <v>2024</v>
      </c>
      <c r="C16" s="6">
        <v>415397.26640095847</v>
      </c>
      <c r="D16" s="6">
        <v>0</v>
      </c>
      <c r="E16" s="6">
        <v>1238.6004062892068</v>
      </c>
      <c r="F16" s="6"/>
      <c r="G16" s="6"/>
      <c r="H16" s="6"/>
      <c r="I16" s="6"/>
      <c r="J16" s="6"/>
      <c r="K16" s="6">
        <f t="shared" si="0"/>
        <v>416635.86680724769</v>
      </c>
      <c r="M16" s="6"/>
    </row>
    <row r="17" spans="1:16">
      <c r="A17">
        <v>2011</v>
      </c>
      <c r="B17">
        <v>2025</v>
      </c>
      <c r="C17" s="6">
        <v>415397.26640095847</v>
      </c>
      <c r="D17" s="6">
        <v>0</v>
      </c>
      <c r="E17" s="6">
        <v>1238.6004062892068</v>
      </c>
      <c r="F17" s="6"/>
      <c r="G17" s="6"/>
      <c r="H17" s="6"/>
      <c r="I17" s="6"/>
      <c r="J17" s="6"/>
      <c r="K17" s="6">
        <f t="shared" si="0"/>
        <v>416635.86680724769</v>
      </c>
      <c r="M17" s="6"/>
    </row>
    <row r="18" spans="1:16">
      <c r="C18" s="6"/>
      <c r="D18" s="6"/>
      <c r="E18" s="6"/>
      <c r="F18" s="6"/>
      <c r="G18" s="6"/>
      <c r="H18" s="6"/>
      <c r="I18" s="6"/>
      <c r="J18" s="6"/>
      <c r="K18" s="6"/>
      <c r="M18" s="6"/>
    </row>
    <row r="19" spans="1:16">
      <c r="A19">
        <v>2012</v>
      </c>
      <c r="B19">
        <v>2012</v>
      </c>
      <c r="C19" s="6">
        <v>547199.90561451099</v>
      </c>
      <c r="D19" s="6">
        <v>943425.761758056</v>
      </c>
      <c r="E19" s="6">
        <v>830191.65748362243</v>
      </c>
      <c r="F19" s="6"/>
      <c r="G19" s="6"/>
      <c r="H19" s="6"/>
      <c r="I19" s="6"/>
      <c r="J19" s="6"/>
      <c r="K19" s="6">
        <f>SUM(C19:I19)</f>
        <v>2320817.3248561895</v>
      </c>
      <c r="M19" s="6">
        <v>2185769.2710000002</v>
      </c>
      <c r="N19" s="4">
        <v>135048.054</v>
      </c>
      <c r="O19" s="261">
        <f>M19+N19</f>
        <v>2320817.3250000002</v>
      </c>
      <c r="P19" t="s">
        <v>144</v>
      </c>
    </row>
    <row r="20" spans="1:16">
      <c r="A20">
        <v>2012</v>
      </c>
      <c r="B20">
        <v>2013</v>
      </c>
      <c r="C20" s="6">
        <v>547199.90607227467</v>
      </c>
      <c r="D20" s="6">
        <v>943425.761758056</v>
      </c>
      <c r="E20" s="6">
        <v>830191.65748362243</v>
      </c>
      <c r="F20" s="6"/>
      <c r="G20" s="6"/>
      <c r="H20" s="6"/>
      <c r="I20" s="6"/>
      <c r="J20" s="6"/>
      <c r="K20" s="6">
        <f t="shared" ref="K20:K88" si="1">SUM(C20:I20)</f>
        <v>2320817.3253139532</v>
      </c>
      <c r="M20" s="6"/>
    </row>
    <row r="21" spans="1:16">
      <c r="A21">
        <v>2012</v>
      </c>
      <c r="B21">
        <v>2014</v>
      </c>
      <c r="C21" s="6">
        <v>547199.90607227467</v>
      </c>
      <c r="D21" s="6">
        <v>931928.85629564279</v>
      </c>
      <c r="E21" s="6">
        <v>818663.95201820927</v>
      </c>
      <c r="F21" s="6"/>
      <c r="G21" s="6"/>
      <c r="H21" s="6"/>
      <c r="I21" s="6"/>
      <c r="J21" s="6"/>
      <c r="K21" s="6">
        <f t="shared" si="1"/>
        <v>2297792.714386127</v>
      </c>
      <c r="M21" s="6"/>
    </row>
    <row r="22" spans="1:16">
      <c r="A22">
        <v>2012</v>
      </c>
      <c r="B22">
        <v>2015</v>
      </c>
      <c r="C22" s="6">
        <v>547008.94574439945</v>
      </c>
      <c r="D22" s="6">
        <v>888504.60280639341</v>
      </c>
      <c r="E22" s="6">
        <v>786562.13219362986</v>
      </c>
      <c r="F22" s="6"/>
      <c r="G22" s="6"/>
      <c r="H22" s="6"/>
      <c r="I22" s="6"/>
      <c r="J22" s="6"/>
      <c r="K22" s="6">
        <f t="shared" si="1"/>
        <v>2222075.6807444226</v>
      </c>
      <c r="M22" s="6"/>
    </row>
    <row r="23" spans="1:16">
      <c r="A23">
        <v>2012</v>
      </c>
      <c r="B23">
        <v>2016</v>
      </c>
      <c r="C23" s="6">
        <v>518559.57727285841</v>
      </c>
      <c r="D23" s="6">
        <v>881997.02425007767</v>
      </c>
      <c r="E23" s="6">
        <v>766875.57100068254</v>
      </c>
      <c r="F23" s="6"/>
      <c r="G23" s="6"/>
      <c r="H23" s="6"/>
      <c r="I23" s="6"/>
      <c r="J23" s="6"/>
      <c r="K23" s="6">
        <f t="shared" si="1"/>
        <v>2167432.1725236187</v>
      </c>
      <c r="M23" s="6"/>
    </row>
    <row r="24" spans="1:16">
      <c r="A24">
        <v>2012</v>
      </c>
      <c r="B24">
        <v>2017</v>
      </c>
      <c r="C24" s="6">
        <v>479522.82537373464</v>
      </c>
      <c r="D24" s="6">
        <v>857869.68139444338</v>
      </c>
      <c r="E24" s="6">
        <v>753805.2838602023</v>
      </c>
      <c r="F24" s="6"/>
      <c r="G24" s="6"/>
      <c r="H24" s="6"/>
      <c r="I24" s="6"/>
      <c r="J24" s="6"/>
      <c r="K24" s="6">
        <f t="shared" si="1"/>
        <v>2091197.7906283801</v>
      </c>
      <c r="M24" s="6"/>
    </row>
    <row r="25" spans="1:16">
      <c r="A25">
        <v>2012</v>
      </c>
      <c r="B25">
        <v>2018</v>
      </c>
      <c r="C25" s="6">
        <v>419521.9107655689</v>
      </c>
      <c r="D25" s="6">
        <v>857018.08372917597</v>
      </c>
      <c r="E25" s="6">
        <v>752882.97344193491</v>
      </c>
      <c r="F25" s="6"/>
      <c r="G25" s="6"/>
      <c r="H25" s="6"/>
      <c r="I25" s="6"/>
      <c r="J25" s="6"/>
      <c r="K25" s="6">
        <f t="shared" si="1"/>
        <v>2029422.9679366797</v>
      </c>
      <c r="M25" s="6"/>
    </row>
    <row r="26" spans="1:16">
      <c r="A26">
        <v>2012</v>
      </c>
      <c r="B26">
        <v>2019</v>
      </c>
      <c r="C26" s="6">
        <v>419094.94104896259</v>
      </c>
      <c r="D26" s="6">
        <v>857018.08372917597</v>
      </c>
      <c r="E26" s="6">
        <v>752788.97344193491</v>
      </c>
      <c r="F26" s="6"/>
      <c r="G26" s="6"/>
      <c r="H26" s="6"/>
      <c r="I26" s="6"/>
      <c r="J26" s="6"/>
      <c r="K26" s="6">
        <f t="shared" si="1"/>
        <v>2028901.9982200735</v>
      </c>
      <c r="M26" s="6"/>
    </row>
    <row r="27" spans="1:16">
      <c r="A27">
        <v>2012</v>
      </c>
      <c r="B27">
        <v>2020</v>
      </c>
      <c r="C27" s="6">
        <v>365282.94104896259</v>
      </c>
      <c r="D27" s="6">
        <v>823320.36867381609</v>
      </c>
      <c r="E27" s="6">
        <v>719091.25838657503</v>
      </c>
      <c r="F27" s="6"/>
      <c r="G27" s="6"/>
      <c r="H27" s="6"/>
      <c r="I27" s="6"/>
      <c r="J27" s="6"/>
      <c r="K27" s="6">
        <f t="shared" si="1"/>
        <v>1907694.5681093535</v>
      </c>
      <c r="M27" s="6"/>
    </row>
    <row r="28" spans="1:16">
      <c r="A28">
        <v>2012</v>
      </c>
      <c r="B28">
        <v>2021</v>
      </c>
      <c r="C28" s="6">
        <v>322211.73730238975</v>
      </c>
      <c r="D28" s="6">
        <v>813672.73088061495</v>
      </c>
      <c r="E28" s="6">
        <v>708852.4716523739</v>
      </c>
      <c r="F28" s="6"/>
      <c r="G28" s="6"/>
      <c r="H28" s="6"/>
      <c r="I28" s="6"/>
      <c r="J28" s="6"/>
      <c r="K28" s="6">
        <f t="shared" si="1"/>
        <v>1844736.9398353787</v>
      </c>
      <c r="M28" s="6"/>
    </row>
    <row r="29" spans="1:16">
      <c r="A29">
        <v>2012</v>
      </c>
      <c r="B29">
        <v>2022</v>
      </c>
      <c r="C29" s="6">
        <v>305531.13768753811</v>
      </c>
      <c r="D29" s="6">
        <v>746369.38621051551</v>
      </c>
      <c r="E29" s="6">
        <v>641549.12698227447</v>
      </c>
      <c r="F29" s="6"/>
      <c r="G29" s="6"/>
      <c r="H29" s="6"/>
      <c r="I29" s="6"/>
      <c r="J29" s="6"/>
      <c r="K29" s="6">
        <f t="shared" si="1"/>
        <v>1693449.6508803281</v>
      </c>
      <c r="M29" s="6"/>
    </row>
    <row r="30" spans="1:16">
      <c r="A30">
        <v>2012</v>
      </c>
      <c r="B30">
        <v>2023</v>
      </c>
      <c r="C30" s="6">
        <v>300282.06389719737</v>
      </c>
      <c r="D30" s="6">
        <v>746369.38621051551</v>
      </c>
      <c r="E30" s="6">
        <v>641549.12698227447</v>
      </c>
      <c r="F30" s="6"/>
      <c r="G30" s="6"/>
      <c r="H30" s="6"/>
      <c r="I30" s="6"/>
      <c r="J30" s="6"/>
      <c r="K30" s="6">
        <f t="shared" si="1"/>
        <v>1688200.5770899872</v>
      </c>
      <c r="M30" s="6"/>
    </row>
    <row r="31" spans="1:16">
      <c r="A31">
        <v>2012</v>
      </c>
      <c r="B31">
        <v>2024</v>
      </c>
      <c r="C31" s="6">
        <v>297857.06389719737</v>
      </c>
      <c r="D31" s="6">
        <v>41980.377019254192</v>
      </c>
      <c r="E31" s="6">
        <v>42655.377019254192</v>
      </c>
      <c r="F31" s="6"/>
      <c r="G31" s="6"/>
      <c r="H31" s="6"/>
      <c r="I31" s="6"/>
      <c r="J31" s="6"/>
      <c r="K31" s="6">
        <f t="shared" si="1"/>
        <v>382492.81793570577</v>
      </c>
      <c r="M31" s="6"/>
    </row>
    <row r="32" spans="1:16">
      <c r="A32">
        <v>2012</v>
      </c>
      <c r="B32">
        <v>2025</v>
      </c>
      <c r="C32" s="6">
        <v>295557.7071742905</v>
      </c>
      <c r="D32" s="6">
        <v>15169.962384049531</v>
      </c>
      <c r="E32" s="6">
        <v>15844.962384049531</v>
      </c>
      <c r="F32" s="6"/>
      <c r="G32" s="6"/>
      <c r="H32" s="6"/>
      <c r="I32" s="6"/>
      <c r="J32" s="6"/>
      <c r="K32" s="6">
        <f t="shared" si="1"/>
        <v>326572.63194238959</v>
      </c>
      <c r="M32" s="6"/>
    </row>
    <row r="33" spans="1:16">
      <c r="C33" s="6"/>
      <c r="D33" s="6"/>
      <c r="E33" s="6"/>
      <c r="F33" s="6"/>
      <c r="G33" s="6"/>
      <c r="H33" s="6"/>
      <c r="I33" s="6"/>
      <c r="J33" s="6"/>
      <c r="K33" s="6"/>
      <c r="M33" s="6"/>
    </row>
    <row r="34" spans="1:16">
      <c r="A34">
        <v>2013</v>
      </c>
      <c r="B34">
        <v>2013</v>
      </c>
      <c r="C34" s="6">
        <v>799484.27629717533</v>
      </c>
      <c r="D34" s="6">
        <v>632473.23086333054</v>
      </c>
      <c r="E34" s="6">
        <v>852951.10537533346</v>
      </c>
      <c r="F34" s="6"/>
      <c r="G34" s="6"/>
      <c r="H34" s="6"/>
      <c r="I34" s="6"/>
      <c r="J34" s="6"/>
      <c r="K34" s="6">
        <f t="shared" si="1"/>
        <v>2284908.612535839</v>
      </c>
      <c r="M34" s="6">
        <v>2147015.1260000002</v>
      </c>
      <c r="N34" s="4">
        <v>137893.48564990002</v>
      </c>
      <c r="O34" s="261">
        <f>M34+N34</f>
        <v>2284908.6116499002</v>
      </c>
      <c r="P34" t="s">
        <v>144</v>
      </c>
    </row>
    <row r="35" spans="1:16">
      <c r="A35">
        <v>2013</v>
      </c>
      <c r="B35">
        <v>2014</v>
      </c>
      <c r="C35" s="6">
        <v>790528.00798662833</v>
      </c>
      <c r="D35" s="6">
        <v>619605.91431444406</v>
      </c>
      <c r="E35" s="6">
        <v>840083.78882644698</v>
      </c>
      <c r="F35" s="6"/>
      <c r="G35" s="6"/>
      <c r="H35" s="6"/>
      <c r="I35" s="6"/>
      <c r="J35" s="6"/>
      <c r="K35" s="6">
        <f t="shared" si="1"/>
        <v>2250217.7111275196</v>
      </c>
      <c r="M35" s="6"/>
    </row>
    <row r="36" spans="1:16">
      <c r="A36">
        <v>2013</v>
      </c>
      <c r="B36">
        <v>2015</v>
      </c>
      <c r="C36" s="6">
        <v>771643.28414283833</v>
      </c>
      <c r="D36" s="6">
        <v>605807.36982803</v>
      </c>
      <c r="E36" s="6">
        <v>826436.34534156485</v>
      </c>
      <c r="F36" s="6"/>
      <c r="G36" s="6"/>
      <c r="H36" s="6"/>
      <c r="I36" s="6"/>
      <c r="J36" s="6"/>
      <c r="K36" s="6">
        <f t="shared" si="1"/>
        <v>2203886.9993124334</v>
      </c>
      <c r="M36" s="6"/>
    </row>
    <row r="37" spans="1:16">
      <c r="A37">
        <v>2013</v>
      </c>
      <c r="B37">
        <v>2016</v>
      </c>
      <c r="C37" s="6">
        <v>709072.88770773821</v>
      </c>
      <c r="D37" s="6">
        <v>574941.57529695297</v>
      </c>
      <c r="E37" s="6">
        <v>796392.37138003588</v>
      </c>
      <c r="F37" s="6"/>
      <c r="G37" s="6"/>
      <c r="H37" s="6"/>
      <c r="I37" s="6"/>
      <c r="J37" s="6"/>
      <c r="K37" s="6">
        <f t="shared" si="1"/>
        <v>2080406.8343847268</v>
      </c>
      <c r="M37" s="6"/>
    </row>
    <row r="38" spans="1:16">
      <c r="A38">
        <v>2013</v>
      </c>
      <c r="B38">
        <v>2017</v>
      </c>
      <c r="C38" s="6">
        <v>679585.59169433312</v>
      </c>
      <c r="D38" s="6">
        <v>466792.58075815253</v>
      </c>
      <c r="E38" s="6">
        <v>626531.55353402952</v>
      </c>
      <c r="F38" s="6"/>
      <c r="G38" s="6"/>
      <c r="H38" s="6"/>
      <c r="I38" s="6"/>
      <c r="J38" s="6"/>
      <c r="K38" s="6">
        <f t="shared" si="1"/>
        <v>1772909.7259865152</v>
      </c>
      <c r="M38" s="6"/>
    </row>
    <row r="39" spans="1:16">
      <c r="A39">
        <v>2013</v>
      </c>
      <c r="B39">
        <v>2018</v>
      </c>
      <c r="C39" s="6">
        <v>661772.60961861606</v>
      </c>
      <c r="D39" s="6">
        <v>464426.80303723499</v>
      </c>
      <c r="E39" s="6">
        <v>622982.27581311204</v>
      </c>
      <c r="F39" s="6"/>
      <c r="G39" s="6"/>
      <c r="H39" s="6"/>
      <c r="I39" s="6"/>
      <c r="J39" s="6"/>
      <c r="K39" s="6">
        <f t="shared" si="1"/>
        <v>1749181.6884689631</v>
      </c>
      <c r="M39" s="6"/>
    </row>
    <row r="40" spans="1:16">
      <c r="A40">
        <v>2013</v>
      </c>
      <c r="B40">
        <v>2019</v>
      </c>
      <c r="C40" s="6">
        <v>637559.77712960204</v>
      </c>
      <c r="D40" s="6">
        <v>464426.80303723499</v>
      </c>
      <c r="E40" s="6">
        <v>622982.27581311204</v>
      </c>
      <c r="F40" s="6"/>
      <c r="G40" s="6"/>
      <c r="H40" s="6"/>
      <c r="I40" s="6"/>
      <c r="J40" s="6"/>
      <c r="K40" s="6">
        <f t="shared" si="1"/>
        <v>1724968.855979949</v>
      </c>
      <c r="M40" s="6"/>
    </row>
    <row r="41" spans="1:16">
      <c r="A41">
        <v>2013</v>
      </c>
      <c r="B41">
        <v>2020</v>
      </c>
      <c r="C41" s="6">
        <v>636359.99867444509</v>
      </c>
      <c r="D41" s="6">
        <v>463946.21336945199</v>
      </c>
      <c r="E41" s="6">
        <v>622501.68614532892</v>
      </c>
      <c r="F41" s="6"/>
      <c r="G41" s="6"/>
      <c r="H41" s="6"/>
      <c r="I41" s="6"/>
      <c r="J41" s="6"/>
      <c r="K41" s="6">
        <f t="shared" si="1"/>
        <v>1722807.8981892259</v>
      </c>
      <c r="M41" s="6"/>
    </row>
    <row r="42" spans="1:16">
      <c r="A42">
        <v>2013</v>
      </c>
      <c r="B42">
        <v>2021</v>
      </c>
      <c r="C42" s="6">
        <v>480046.10274867201</v>
      </c>
      <c r="D42" s="6">
        <v>456601.56381460751</v>
      </c>
      <c r="E42" s="6">
        <v>615157.03659048444</v>
      </c>
      <c r="F42" s="6"/>
      <c r="G42" s="6"/>
      <c r="H42" s="6"/>
      <c r="I42" s="6"/>
      <c r="J42" s="6"/>
      <c r="K42" s="6">
        <f t="shared" si="1"/>
        <v>1551804.7031537639</v>
      </c>
      <c r="M42" s="6"/>
    </row>
    <row r="43" spans="1:16">
      <c r="A43">
        <v>2013</v>
      </c>
      <c r="B43">
        <v>2022</v>
      </c>
      <c r="C43" s="6">
        <v>477707.008250991</v>
      </c>
      <c r="D43" s="6">
        <v>439355.62199094152</v>
      </c>
      <c r="E43" s="6">
        <v>597911.09476681845</v>
      </c>
      <c r="F43" s="6"/>
      <c r="G43" s="6"/>
      <c r="H43" s="6"/>
      <c r="I43" s="6"/>
      <c r="J43" s="6"/>
      <c r="K43" s="6">
        <f t="shared" si="1"/>
        <v>1514973.725008751</v>
      </c>
      <c r="M43" s="6"/>
    </row>
    <row r="44" spans="1:16">
      <c r="A44">
        <v>2013</v>
      </c>
      <c r="B44">
        <v>2023</v>
      </c>
      <c r="C44" s="6">
        <v>448843.18290823296</v>
      </c>
      <c r="D44" s="6">
        <v>403180.17426217749</v>
      </c>
      <c r="E44" s="6">
        <v>403958.78268668952</v>
      </c>
      <c r="F44" s="6"/>
      <c r="G44" s="6"/>
      <c r="H44" s="6"/>
      <c r="I44" s="6"/>
      <c r="J44" s="6"/>
      <c r="K44" s="6">
        <f t="shared" si="1"/>
        <v>1255982.1398570999</v>
      </c>
      <c r="M44" s="6"/>
    </row>
    <row r="45" spans="1:16">
      <c r="A45">
        <v>2013</v>
      </c>
      <c r="B45">
        <v>2024</v>
      </c>
      <c r="C45" s="6">
        <v>410987.27619622997</v>
      </c>
      <c r="D45" s="6">
        <v>399195.38278154301</v>
      </c>
      <c r="E45" s="6">
        <v>399973.99120605504</v>
      </c>
      <c r="F45" s="6"/>
      <c r="G45" s="6"/>
      <c r="H45" s="6"/>
      <c r="I45" s="6"/>
      <c r="J45" s="6"/>
      <c r="K45" s="6">
        <f t="shared" si="1"/>
        <v>1210156.6501838281</v>
      </c>
      <c r="M45" s="6"/>
    </row>
    <row r="46" spans="1:16">
      <c r="A46">
        <v>2013</v>
      </c>
      <c r="B46">
        <v>2025</v>
      </c>
      <c r="C46" s="6">
        <v>406746.65821527294</v>
      </c>
      <c r="D46" s="6">
        <v>233397.06422165449</v>
      </c>
      <c r="E46" s="6">
        <v>233397.06422165449</v>
      </c>
      <c r="F46" s="6"/>
      <c r="G46" s="6"/>
      <c r="H46" s="6"/>
      <c r="I46" s="6"/>
      <c r="J46" s="6"/>
      <c r="K46" s="6">
        <f t="shared" si="1"/>
        <v>873540.78665858204</v>
      </c>
      <c r="M46" s="6"/>
    </row>
    <row r="47" spans="1:16">
      <c r="C47" s="6"/>
      <c r="D47" s="6"/>
      <c r="E47" s="6"/>
      <c r="F47" s="6"/>
      <c r="G47" s="6"/>
      <c r="H47" s="6"/>
      <c r="I47" s="6"/>
      <c r="J47" s="6"/>
      <c r="K47" s="6"/>
      <c r="M47" s="6"/>
    </row>
    <row r="48" spans="1:16">
      <c r="A48">
        <v>2014</v>
      </c>
      <c r="B48">
        <v>2014</v>
      </c>
      <c r="C48" s="6">
        <v>1361825.7644870449</v>
      </c>
      <c r="D48" s="6">
        <v>933669.35229000007</v>
      </c>
      <c r="E48" s="6">
        <v>1295536.7175</v>
      </c>
      <c r="F48" s="6"/>
      <c r="G48" s="6"/>
      <c r="H48" s="6"/>
      <c r="I48" s="6"/>
      <c r="J48" s="6"/>
      <c r="K48" s="6">
        <f t="shared" si="1"/>
        <v>3591031.834277045</v>
      </c>
      <c r="M48" s="6">
        <v>3591031.8339999998</v>
      </c>
      <c r="O48" s="261">
        <f>M48+N48</f>
        <v>3591031.8339999998</v>
      </c>
      <c r="P48" t="s">
        <v>144</v>
      </c>
    </row>
    <row r="49" spans="1:16">
      <c r="A49">
        <v>2014</v>
      </c>
      <c r="B49">
        <v>2015</v>
      </c>
      <c r="C49" s="6">
        <v>1242457.5211570449</v>
      </c>
      <c r="D49" s="6">
        <v>922450.59529000008</v>
      </c>
      <c r="E49" s="6">
        <v>1284317.9605</v>
      </c>
      <c r="F49" s="6"/>
      <c r="G49" s="6"/>
      <c r="H49" s="6"/>
      <c r="I49" s="6"/>
      <c r="J49" s="6"/>
      <c r="K49" s="6">
        <f t="shared" si="1"/>
        <v>3449226.076947045</v>
      </c>
      <c r="M49" s="6"/>
    </row>
    <row r="50" spans="1:16">
      <c r="A50">
        <v>2014</v>
      </c>
      <c r="B50">
        <v>2016</v>
      </c>
      <c r="C50" s="6">
        <v>1180535.1014120451</v>
      </c>
      <c r="D50" s="6">
        <v>921467.17012999998</v>
      </c>
      <c r="E50" s="6">
        <v>1284317.9605</v>
      </c>
      <c r="F50" s="6"/>
      <c r="G50" s="6"/>
      <c r="H50" s="6"/>
      <c r="I50" s="6"/>
      <c r="J50" s="6"/>
      <c r="K50" s="6">
        <f t="shared" si="1"/>
        <v>3386320.2320420453</v>
      </c>
      <c r="M50" s="6"/>
    </row>
    <row r="51" spans="1:16">
      <c r="A51">
        <v>2014</v>
      </c>
      <c r="B51">
        <v>2017</v>
      </c>
      <c r="C51" s="6">
        <v>1180397.726030045</v>
      </c>
      <c r="D51" s="6">
        <v>895603.39384000003</v>
      </c>
      <c r="E51" s="6">
        <v>1282542.3914999999</v>
      </c>
      <c r="F51" s="6"/>
      <c r="G51" s="6"/>
      <c r="H51" s="6"/>
      <c r="I51" s="6"/>
      <c r="J51" s="6"/>
      <c r="K51" s="6">
        <f t="shared" si="1"/>
        <v>3358543.5113700451</v>
      </c>
      <c r="M51" s="6"/>
    </row>
    <row r="52" spans="1:16">
      <c r="A52">
        <v>2014</v>
      </c>
      <c r="B52">
        <v>2018</v>
      </c>
      <c r="C52" s="6">
        <v>1163197.7378760369</v>
      </c>
      <c r="D52" s="6">
        <v>895603.39384000003</v>
      </c>
      <c r="E52" s="6">
        <v>1282542.3914999999</v>
      </c>
      <c r="F52" s="6"/>
      <c r="G52" s="6"/>
      <c r="H52" s="6"/>
      <c r="I52" s="6"/>
      <c r="J52" s="6"/>
      <c r="K52" s="6">
        <f t="shared" si="1"/>
        <v>3341343.5232160371</v>
      </c>
      <c r="M52" s="6"/>
    </row>
    <row r="53" spans="1:16">
      <c r="A53">
        <v>2014</v>
      </c>
      <c r="B53">
        <v>2019</v>
      </c>
      <c r="C53" s="6">
        <v>1155823.350785</v>
      </c>
      <c r="D53" s="6">
        <v>895603.39384000003</v>
      </c>
      <c r="E53" s="6">
        <v>1282542.3914999999</v>
      </c>
      <c r="F53" s="6"/>
      <c r="G53" s="6"/>
      <c r="H53" s="6"/>
      <c r="I53" s="6"/>
      <c r="J53" s="6"/>
      <c r="K53" s="6">
        <f t="shared" si="1"/>
        <v>3333969.1361250002</v>
      </c>
      <c r="M53" s="6"/>
    </row>
    <row r="54" spans="1:16">
      <c r="A54">
        <v>2014</v>
      </c>
      <c r="B54">
        <v>2020</v>
      </c>
      <c r="C54" s="6">
        <v>1155492.219116</v>
      </c>
      <c r="D54" s="6">
        <v>876159.64283999999</v>
      </c>
      <c r="E54" s="6">
        <v>1263098.6405</v>
      </c>
      <c r="F54" s="6"/>
      <c r="G54" s="6"/>
      <c r="H54" s="6"/>
      <c r="I54" s="6"/>
      <c r="J54" s="6"/>
      <c r="K54" s="6">
        <f t="shared" si="1"/>
        <v>3294750.5024560001</v>
      </c>
      <c r="M54" s="6"/>
    </row>
    <row r="55" spans="1:16">
      <c r="A55">
        <v>2014</v>
      </c>
      <c r="B55">
        <v>2021</v>
      </c>
      <c r="C55" s="6">
        <v>1154892.874416</v>
      </c>
      <c r="D55" s="6">
        <v>876159.64283999999</v>
      </c>
      <c r="E55" s="6">
        <v>1263098.6405</v>
      </c>
      <c r="F55" s="6"/>
      <c r="G55" s="6"/>
      <c r="H55" s="6"/>
      <c r="I55" s="6"/>
      <c r="J55" s="6"/>
      <c r="K55" s="6">
        <f t="shared" si="1"/>
        <v>3294151.1577559998</v>
      </c>
    </row>
    <row r="56" spans="1:16">
      <c r="A56">
        <v>2014</v>
      </c>
      <c r="B56">
        <v>2022</v>
      </c>
      <c r="C56" s="6">
        <v>1153713.6096154</v>
      </c>
      <c r="D56" s="6">
        <v>818317.44384000008</v>
      </c>
      <c r="E56" s="6">
        <v>1205256.4415000002</v>
      </c>
      <c r="F56" s="6"/>
      <c r="G56" s="6"/>
      <c r="H56" s="6"/>
      <c r="I56" s="6"/>
      <c r="J56" s="6"/>
      <c r="K56" s="6">
        <f t="shared" si="1"/>
        <v>3177287.4949554</v>
      </c>
    </row>
    <row r="57" spans="1:16">
      <c r="A57">
        <v>2014</v>
      </c>
      <c r="B57">
        <v>2023</v>
      </c>
      <c r="C57" s="6">
        <v>1084936.5601154</v>
      </c>
      <c r="D57" s="6">
        <v>720028.25634000008</v>
      </c>
      <c r="E57" s="6">
        <v>1106967.2540000002</v>
      </c>
      <c r="F57" s="6"/>
      <c r="G57" s="6"/>
      <c r="H57" s="6"/>
      <c r="I57" s="6"/>
      <c r="J57" s="6"/>
      <c r="K57" s="6">
        <f t="shared" si="1"/>
        <v>2911932.0704554003</v>
      </c>
    </row>
    <row r="58" spans="1:16">
      <c r="A58">
        <v>2014</v>
      </c>
      <c r="B58">
        <v>2024</v>
      </c>
      <c r="C58" s="6">
        <v>1057588.7152509999</v>
      </c>
      <c r="D58" s="6">
        <v>582356.42681000009</v>
      </c>
      <c r="E58" s="6">
        <v>961288.08150000009</v>
      </c>
      <c r="F58" s="6"/>
      <c r="G58" s="6"/>
      <c r="H58" s="6"/>
      <c r="I58" s="6"/>
      <c r="J58" s="6"/>
      <c r="K58" s="6">
        <f t="shared" si="1"/>
        <v>2601233.2235610001</v>
      </c>
    </row>
    <row r="59" spans="1:16">
      <c r="A59">
        <v>2014</v>
      </c>
      <c r="B59">
        <v>2025</v>
      </c>
      <c r="C59" s="6">
        <v>966414.955051</v>
      </c>
      <c r="D59" s="6">
        <v>523167.43313000002</v>
      </c>
      <c r="E59" s="6">
        <v>905423.04</v>
      </c>
      <c r="F59" s="6"/>
      <c r="G59" s="6"/>
      <c r="H59" s="6"/>
      <c r="I59" s="6"/>
      <c r="J59" s="6"/>
      <c r="K59" s="6">
        <f t="shared" si="1"/>
        <v>2395005.4281810001</v>
      </c>
    </row>
    <row r="60" spans="1:16">
      <c r="C60" s="6"/>
      <c r="D60" s="6"/>
      <c r="E60" s="6"/>
      <c r="F60" s="6"/>
      <c r="G60" s="6"/>
      <c r="H60" s="6"/>
      <c r="I60" s="6"/>
      <c r="J60" s="6"/>
      <c r="K60" s="6"/>
    </row>
    <row r="61" spans="1:16">
      <c r="A61">
        <v>2015</v>
      </c>
      <c r="B61">
        <v>2015</v>
      </c>
      <c r="C61" s="6">
        <v>1448657</v>
      </c>
      <c r="D61" s="6">
        <v>7264794.5</v>
      </c>
      <c r="E61" s="6">
        <v>7600853.5</v>
      </c>
      <c r="F61" s="6"/>
      <c r="G61" s="6"/>
      <c r="H61" s="6"/>
      <c r="I61" s="6"/>
      <c r="J61" s="6"/>
      <c r="K61" s="6">
        <f t="shared" si="1"/>
        <v>16314305</v>
      </c>
      <c r="M61" s="6">
        <v>12809926.929153444</v>
      </c>
      <c r="N61" s="6">
        <v>3504377.3339445461</v>
      </c>
      <c r="O61" s="261">
        <f>M61+N61</f>
        <v>16314304.26309799</v>
      </c>
      <c r="P61" t="s">
        <v>145</v>
      </c>
    </row>
    <row r="62" spans="1:16">
      <c r="A62">
        <v>2015</v>
      </c>
      <c r="B62">
        <v>2016</v>
      </c>
      <c r="C62" s="6">
        <v>1434097</v>
      </c>
      <c r="D62" s="6">
        <v>7264793.5</v>
      </c>
      <c r="E62" s="6">
        <v>7600853.5</v>
      </c>
      <c r="F62" s="6"/>
      <c r="G62" s="6"/>
      <c r="H62" s="6"/>
      <c r="I62" s="6"/>
      <c r="J62" s="6"/>
      <c r="K62" s="6">
        <f>SUM(C62:I62)</f>
        <v>16299744</v>
      </c>
    </row>
    <row r="63" spans="1:16">
      <c r="A63">
        <v>2015</v>
      </c>
      <c r="B63">
        <v>2017</v>
      </c>
      <c r="C63" s="6">
        <v>1434097</v>
      </c>
      <c r="D63" s="6">
        <v>7264794.5</v>
      </c>
      <c r="E63" s="6">
        <v>7559427.5</v>
      </c>
      <c r="F63" s="6"/>
      <c r="G63" s="6"/>
      <c r="H63" s="6"/>
      <c r="I63" s="6"/>
      <c r="J63" s="6"/>
      <c r="K63" s="6">
        <f>SUM(C63:I63)</f>
        <v>16258319</v>
      </c>
    </row>
    <row r="64" spans="1:16">
      <c r="A64">
        <v>2015</v>
      </c>
      <c r="B64">
        <v>2018</v>
      </c>
      <c r="C64" s="6">
        <v>1434097</v>
      </c>
      <c r="D64" s="6">
        <v>7265879.5</v>
      </c>
      <c r="E64" s="6">
        <v>7559527.5</v>
      </c>
      <c r="F64" s="6"/>
      <c r="G64" s="6"/>
      <c r="H64" s="6"/>
      <c r="I64" s="6"/>
      <c r="J64" s="6"/>
      <c r="K64" s="6">
        <f>SUM(C64:I64)</f>
        <v>16259504</v>
      </c>
    </row>
    <row r="65" spans="1:16">
      <c r="A65">
        <v>2015</v>
      </c>
      <c r="B65">
        <v>2019</v>
      </c>
      <c r="C65" s="6">
        <v>1431043</v>
      </c>
      <c r="D65" s="6">
        <v>7265879.5</v>
      </c>
      <c r="E65" s="6">
        <v>7559527.5</v>
      </c>
      <c r="F65" s="6"/>
      <c r="G65" s="6"/>
      <c r="H65" s="6"/>
      <c r="I65" s="6"/>
      <c r="J65" s="6"/>
      <c r="K65" s="6">
        <f t="shared" si="1"/>
        <v>16256450</v>
      </c>
    </row>
    <row r="66" spans="1:16">
      <c r="A66">
        <v>2015</v>
      </c>
      <c r="B66">
        <v>2020</v>
      </c>
      <c r="C66" s="6">
        <v>1424938</v>
      </c>
      <c r="D66" s="6">
        <v>7265879.5</v>
      </c>
      <c r="E66" s="6">
        <v>7559527.5</v>
      </c>
      <c r="F66" s="6"/>
      <c r="G66" s="6"/>
      <c r="H66" s="6"/>
      <c r="I66" s="6"/>
      <c r="J66" s="6"/>
      <c r="K66" s="6">
        <f t="shared" si="1"/>
        <v>16250345</v>
      </c>
    </row>
    <row r="67" spans="1:16">
      <c r="A67">
        <v>2015</v>
      </c>
      <c r="B67">
        <v>2021</v>
      </c>
      <c r="C67" s="6">
        <v>1424938</v>
      </c>
      <c r="D67" s="6">
        <v>7265879.5</v>
      </c>
      <c r="E67" s="6">
        <v>7559527.5</v>
      </c>
      <c r="F67" s="6"/>
      <c r="G67" s="6"/>
      <c r="H67" s="6"/>
      <c r="I67" s="6"/>
      <c r="J67" s="6"/>
      <c r="K67" s="6">
        <f t="shared" si="1"/>
        <v>16250345</v>
      </c>
    </row>
    <row r="68" spans="1:16">
      <c r="A68">
        <v>2015</v>
      </c>
      <c r="B68">
        <v>2022</v>
      </c>
      <c r="C68" s="6">
        <v>1424519</v>
      </c>
      <c r="D68" s="6">
        <v>7265879.5</v>
      </c>
      <c r="E68" s="6">
        <v>7557802.5</v>
      </c>
      <c r="F68" s="6"/>
      <c r="G68" s="6"/>
      <c r="H68" s="6"/>
      <c r="I68" s="6"/>
      <c r="J68" s="6"/>
      <c r="K68" s="6">
        <f t="shared" si="1"/>
        <v>16248201</v>
      </c>
    </row>
    <row r="69" spans="1:16">
      <c r="A69">
        <v>2015</v>
      </c>
      <c r="B69">
        <v>2023</v>
      </c>
      <c r="C69" s="6">
        <v>1424519</v>
      </c>
      <c r="D69" s="6">
        <v>7265479.5</v>
      </c>
      <c r="E69" s="6">
        <v>7557402.5</v>
      </c>
      <c r="F69" s="6"/>
      <c r="G69" s="6"/>
      <c r="H69" s="6"/>
      <c r="I69" s="6"/>
      <c r="J69" s="6"/>
      <c r="K69" s="6">
        <f t="shared" si="1"/>
        <v>16247401</v>
      </c>
    </row>
    <row r="70" spans="1:16">
      <c r="A70">
        <v>2015</v>
      </c>
      <c r="B70">
        <v>2024</v>
      </c>
      <c r="C70" s="6">
        <v>1424519</v>
      </c>
      <c r="D70" s="6">
        <v>7121704.5</v>
      </c>
      <c r="E70" s="6">
        <v>7413627.5</v>
      </c>
      <c r="F70" s="6"/>
      <c r="G70" s="6"/>
      <c r="H70" s="6"/>
      <c r="I70" s="6"/>
      <c r="J70" s="6"/>
      <c r="K70" s="6">
        <f t="shared" si="1"/>
        <v>15959851</v>
      </c>
    </row>
    <row r="71" spans="1:16">
      <c r="A71">
        <v>2015</v>
      </c>
      <c r="B71">
        <v>2025</v>
      </c>
      <c r="C71" s="6">
        <v>1342666</v>
      </c>
      <c r="D71" s="6">
        <v>6443490</v>
      </c>
      <c r="E71" s="6">
        <v>6548850</v>
      </c>
      <c r="F71" s="6"/>
      <c r="G71" s="6"/>
      <c r="H71" s="6"/>
      <c r="I71" s="6"/>
      <c r="J71" s="6"/>
      <c r="K71" s="6">
        <f t="shared" si="1"/>
        <v>14335006</v>
      </c>
    </row>
    <row r="72" spans="1:16">
      <c r="C72" s="6"/>
      <c r="D72" s="6"/>
      <c r="E72" s="6"/>
      <c r="F72" s="6"/>
      <c r="G72" s="6"/>
      <c r="H72" s="6"/>
      <c r="I72" s="6"/>
      <c r="J72" s="6"/>
      <c r="K72" s="6"/>
    </row>
    <row r="73" spans="1:16">
      <c r="A73">
        <v>2016</v>
      </c>
      <c r="B73">
        <v>2016</v>
      </c>
      <c r="C73" s="6">
        <v>3660346.9540137341</v>
      </c>
      <c r="D73" s="6">
        <v>1298149.7540077483</v>
      </c>
      <c r="E73" s="6">
        <v>1304721.2540077483</v>
      </c>
      <c r="F73" s="6"/>
      <c r="G73" s="6"/>
      <c r="H73" s="6">
        <v>3884592.012023245</v>
      </c>
      <c r="I73" s="6"/>
      <c r="J73" s="6"/>
      <c r="K73" s="6">
        <f t="shared" si="1"/>
        <v>10147809.974052476</v>
      </c>
      <c r="M73" s="6">
        <v>7078020.7607057188</v>
      </c>
      <c r="N73" s="6">
        <v>3069788.3018985107</v>
      </c>
      <c r="O73" s="261">
        <f>M73+N73</f>
        <v>10147809.06260423</v>
      </c>
      <c r="P73" t="s">
        <v>145</v>
      </c>
    </row>
    <row r="74" spans="1:16">
      <c r="A74">
        <v>2016</v>
      </c>
      <c r="B74">
        <v>2017</v>
      </c>
      <c r="C74" s="6">
        <v>3660346.6156863705</v>
      </c>
      <c r="D74" s="6">
        <v>1298149.7540077483</v>
      </c>
      <c r="E74" s="6">
        <v>1304721.2540077483</v>
      </c>
      <c r="F74" s="6">
        <v>0</v>
      </c>
      <c r="G74" s="6">
        <v>0</v>
      </c>
      <c r="H74" s="6">
        <v>3884592.012023245</v>
      </c>
      <c r="I74" s="6"/>
      <c r="J74" s="6"/>
      <c r="K74" s="6">
        <f t="shared" si="1"/>
        <v>10147809.635725113</v>
      </c>
    </row>
    <row r="75" spans="1:16">
      <c r="A75">
        <v>2016</v>
      </c>
      <c r="B75">
        <v>2018</v>
      </c>
      <c r="C75" s="6">
        <v>3660346.6156863705</v>
      </c>
      <c r="D75" s="6">
        <v>1298181.3952647552</v>
      </c>
      <c r="E75" s="6">
        <v>1304752.8952647552</v>
      </c>
      <c r="F75" s="6">
        <v>0</v>
      </c>
      <c r="G75" s="6">
        <v>0</v>
      </c>
      <c r="H75" s="6">
        <v>3884686.9357942655</v>
      </c>
      <c r="I75" s="6"/>
      <c r="J75" s="6"/>
      <c r="K75" s="6">
        <f t="shared" si="1"/>
        <v>10147967.842010146</v>
      </c>
    </row>
    <row r="76" spans="1:16">
      <c r="A76">
        <v>2016</v>
      </c>
      <c r="B76">
        <v>2019</v>
      </c>
      <c r="C76" s="6">
        <v>3660346.6156863705</v>
      </c>
      <c r="D76" s="6">
        <v>1298181.3952647552</v>
      </c>
      <c r="E76" s="6">
        <v>1304752.8952647552</v>
      </c>
      <c r="F76" s="6">
        <v>0</v>
      </c>
      <c r="G76" s="6">
        <v>0</v>
      </c>
      <c r="H76" s="6">
        <v>3884686.9357942655</v>
      </c>
      <c r="I76" s="6"/>
      <c r="J76" s="6"/>
      <c r="K76" s="6">
        <f t="shared" si="1"/>
        <v>10147967.842010146</v>
      </c>
    </row>
    <row r="77" spans="1:16">
      <c r="A77">
        <v>2016</v>
      </c>
      <c r="B77">
        <v>2020</v>
      </c>
      <c r="C77" s="6">
        <v>3660346.6156863705</v>
      </c>
      <c r="D77" s="6">
        <v>1298038.4312759798</v>
      </c>
      <c r="E77" s="6">
        <v>1304609.9312759798</v>
      </c>
      <c r="F77" s="6">
        <v>0</v>
      </c>
      <c r="G77" s="6">
        <v>0</v>
      </c>
      <c r="H77" s="6">
        <v>3884258.0438279398</v>
      </c>
      <c r="I77" s="6"/>
      <c r="J77" s="6"/>
      <c r="K77" s="6">
        <f t="shared" si="1"/>
        <v>10147253.022066269</v>
      </c>
    </row>
    <row r="78" spans="1:16">
      <c r="A78">
        <v>2016</v>
      </c>
      <c r="B78">
        <v>2021</v>
      </c>
      <c r="C78" s="6">
        <v>3660346.6156863705</v>
      </c>
      <c r="D78" s="6">
        <v>1297662.1476373381</v>
      </c>
      <c r="E78" s="6">
        <v>1304233.6476373381</v>
      </c>
      <c r="F78" s="6">
        <v>0</v>
      </c>
      <c r="G78" s="6">
        <v>0</v>
      </c>
      <c r="H78" s="6">
        <v>3883129.1929120142</v>
      </c>
      <c r="I78" s="6"/>
      <c r="J78" s="6"/>
      <c r="K78" s="6">
        <f t="shared" si="1"/>
        <v>10145371.603873061</v>
      </c>
    </row>
    <row r="79" spans="1:16">
      <c r="A79">
        <v>2016</v>
      </c>
      <c r="B79">
        <v>2022</v>
      </c>
      <c r="C79" s="6">
        <v>3660346.6156863705</v>
      </c>
      <c r="D79" s="6">
        <v>1297315.573775986</v>
      </c>
      <c r="E79" s="6">
        <v>1303887.073775986</v>
      </c>
      <c r="F79" s="6">
        <v>0</v>
      </c>
      <c r="G79" s="6">
        <v>0</v>
      </c>
      <c r="H79" s="6">
        <v>3882089.4713279572</v>
      </c>
      <c r="I79" s="6"/>
      <c r="J79" s="6"/>
      <c r="K79" s="6">
        <f t="shared" si="1"/>
        <v>10143638.734566299</v>
      </c>
    </row>
    <row r="80" spans="1:16">
      <c r="A80">
        <v>2016</v>
      </c>
      <c r="B80">
        <v>2023</v>
      </c>
      <c r="C80" s="6">
        <v>3659934.6156863705</v>
      </c>
      <c r="D80" s="6">
        <v>1296981.5893695136</v>
      </c>
      <c r="E80" s="6">
        <v>1303553.0893695136</v>
      </c>
      <c r="F80" s="6">
        <v>0</v>
      </c>
      <c r="G80" s="6">
        <v>0</v>
      </c>
      <c r="H80" s="6">
        <v>3881087.5181085402</v>
      </c>
      <c r="I80" s="6"/>
      <c r="J80" s="6"/>
      <c r="K80" s="6">
        <f t="shared" si="1"/>
        <v>10141556.812533937</v>
      </c>
    </row>
    <row r="81" spans="1:16">
      <c r="A81">
        <v>2016</v>
      </c>
      <c r="B81">
        <v>2024</v>
      </c>
      <c r="C81" s="6">
        <v>3659934.6156863705</v>
      </c>
      <c r="D81" s="6">
        <v>1295945.0238250161</v>
      </c>
      <c r="E81" s="6">
        <v>1302516.5238250161</v>
      </c>
      <c r="F81" s="6">
        <v>0</v>
      </c>
      <c r="G81" s="6">
        <v>0</v>
      </c>
      <c r="H81" s="6">
        <v>3877977.8214750481</v>
      </c>
      <c r="I81" s="6"/>
      <c r="J81" s="6"/>
      <c r="K81" s="6">
        <f t="shared" si="1"/>
        <v>10136373.984811451</v>
      </c>
    </row>
    <row r="82" spans="1:16">
      <c r="A82">
        <v>2016</v>
      </c>
      <c r="B82">
        <v>2025</v>
      </c>
      <c r="C82" s="6">
        <v>3638288.6156863705</v>
      </c>
      <c r="D82" s="6">
        <v>1294263.1846084343</v>
      </c>
      <c r="E82" s="6">
        <v>1300834.6846084343</v>
      </c>
      <c r="F82" s="6">
        <v>0</v>
      </c>
      <c r="G82" s="6">
        <v>0</v>
      </c>
      <c r="H82" s="6">
        <v>3872932.303825303</v>
      </c>
      <c r="I82" s="6"/>
      <c r="J82" s="6"/>
      <c r="K82" s="6">
        <f t="shared" si="1"/>
        <v>10106318.788728543</v>
      </c>
    </row>
    <row r="83" spans="1:16">
      <c r="C83" s="6"/>
      <c r="D83" s="6"/>
      <c r="E83" s="6"/>
      <c r="F83" s="6"/>
      <c r="G83" s="6"/>
      <c r="H83" s="6"/>
      <c r="I83" s="6"/>
      <c r="J83" s="6"/>
      <c r="K83" s="6"/>
    </row>
    <row r="84" spans="1:16">
      <c r="A84">
        <v>2017</v>
      </c>
      <c r="B84">
        <v>2017</v>
      </c>
      <c r="C84" s="6">
        <v>6299647.5322825396</v>
      </c>
      <c r="D84" s="6">
        <v>1573061.8074264107</v>
      </c>
      <c r="E84" s="6">
        <v>1789307.4136290755</v>
      </c>
      <c r="F84" s="6"/>
      <c r="G84" s="6"/>
      <c r="H84" s="6"/>
      <c r="I84" s="6"/>
      <c r="J84" s="6"/>
      <c r="K84" s="6">
        <f t="shared" si="1"/>
        <v>9662016.7533380259</v>
      </c>
      <c r="M84" s="6">
        <v>8551564.4670850802</v>
      </c>
      <c r="N84" s="6">
        <v>1110452.7533380252</v>
      </c>
      <c r="O84" s="261">
        <f>M84+N84</f>
        <v>9662017.2204231061</v>
      </c>
      <c r="P84" t="s">
        <v>145</v>
      </c>
    </row>
    <row r="85" spans="1:16">
      <c r="A85">
        <v>2017</v>
      </c>
      <c r="B85">
        <v>2018</v>
      </c>
      <c r="C85" s="6">
        <v>5003695.5806673514</v>
      </c>
      <c r="D85" s="6">
        <v>1625691.9474203826</v>
      </c>
      <c r="E85" s="6">
        <v>1841316.9511021965</v>
      </c>
      <c r="F85" s="6"/>
      <c r="G85" s="6"/>
      <c r="H85" s="6"/>
      <c r="I85" s="6"/>
      <c r="J85" s="6"/>
      <c r="K85" s="6">
        <f t="shared" si="1"/>
        <v>8470704.4791899305</v>
      </c>
      <c r="M85" s="6"/>
    </row>
    <row r="86" spans="1:16">
      <c r="A86">
        <v>2017</v>
      </c>
      <c r="B86">
        <v>2019</v>
      </c>
      <c r="C86" s="6">
        <v>5003684.629052164</v>
      </c>
      <c r="D86" s="6">
        <v>1617458.5874143546</v>
      </c>
      <c r="E86" s="6">
        <v>1839989.9885753174</v>
      </c>
      <c r="F86" s="6"/>
      <c r="G86" s="6"/>
      <c r="H86" s="6"/>
      <c r="I86" s="6"/>
      <c r="J86" s="6"/>
      <c r="K86" s="6">
        <f t="shared" si="1"/>
        <v>8461133.2050418351</v>
      </c>
      <c r="M86" s="6"/>
    </row>
    <row r="87" spans="1:16">
      <c r="A87">
        <v>2017</v>
      </c>
      <c r="B87">
        <v>2020</v>
      </c>
      <c r="C87" s="6">
        <v>5003673.6774369767</v>
      </c>
      <c r="D87" s="6">
        <v>1573439.2274083265</v>
      </c>
      <c r="E87" s="6">
        <v>1838663.0260484382</v>
      </c>
      <c r="F87" s="6"/>
      <c r="G87" s="6"/>
      <c r="H87" s="6"/>
      <c r="I87" s="6"/>
      <c r="J87" s="6"/>
      <c r="K87" s="6">
        <f t="shared" si="1"/>
        <v>8415775.9308937415</v>
      </c>
      <c r="M87" s="6"/>
    </row>
    <row r="88" spans="1:16">
      <c r="A88">
        <v>2017</v>
      </c>
      <c r="B88">
        <v>2021</v>
      </c>
      <c r="C88" s="6">
        <v>5002684.7258217894</v>
      </c>
      <c r="D88" s="6">
        <v>1569264.2274083265</v>
      </c>
      <c r="E88" s="6">
        <v>1838042.4235275872</v>
      </c>
      <c r="F88" s="6"/>
      <c r="G88" s="6"/>
      <c r="H88" s="6"/>
      <c r="I88" s="6"/>
      <c r="J88" s="6"/>
      <c r="K88" s="6">
        <f t="shared" si="1"/>
        <v>8409991.3767577037</v>
      </c>
      <c r="M88" s="6"/>
    </row>
    <row r="89" spans="1:16">
      <c r="A89">
        <v>2017</v>
      </c>
      <c r="B89">
        <v>2022</v>
      </c>
      <c r="C89" s="6">
        <v>5001334.7742066011</v>
      </c>
      <c r="D89" s="6">
        <v>1442161.879869055</v>
      </c>
      <c r="E89" s="6">
        <v>1642440.4734674648</v>
      </c>
      <c r="F89" s="6"/>
      <c r="G89" s="6"/>
      <c r="H89" s="6"/>
      <c r="I89" s="6"/>
      <c r="J89" s="6"/>
      <c r="K89" s="6">
        <f t="shared" ref="K89:K151" si="2">SUM(C89:I89)</f>
        <v>8085937.1275431206</v>
      </c>
      <c r="M89" s="6"/>
    </row>
    <row r="90" spans="1:16">
      <c r="A90">
        <v>2017</v>
      </c>
      <c r="B90">
        <v>2023</v>
      </c>
      <c r="C90" s="6">
        <v>5001323.8225914137</v>
      </c>
      <c r="D90" s="6">
        <v>1365501.879869055</v>
      </c>
      <c r="E90" s="6">
        <v>1641819.8709466138</v>
      </c>
      <c r="F90" s="6"/>
      <c r="G90" s="6"/>
      <c r="H90" s="6"/>
      <c r="I90" s="6"/>
      <c r="J90" s="6"/>
      <c r="K90" s="6">
        <f t="shared" si="2"/>
        <v>8008645.5734070828</v>
      </c>
      <c r="M90" s="6"/>
    </row>
    <row r="91" spans="1:16">
      <c r="A91">
        <v>2017</v>
      </c>
      <c r="B91">
        <v>2024</v>
      </c>
      <c r="C91" s="6">
        <v>5001251.8709762264</v>
      </c>
      <c r="D91" s="6">
        <v>1325029.879869055</v>
      </c>
      <c r="E91" s="6">
        <v>1641199.2684257629</v>
      </c>
      <c r="F91" s="6"/>
      <c r="G91" s="6"/>
      <c r="H91" s="6"/>
      <c r="I91" s="6"/>
      <c r="J91" s="6"/>
      <c r="K91" s="6">
        <f t="shared" si="2"/>
        <v>7967481.0192710441</v>
      </c>
      <c r="M91" s="6"/>
    </row>
    <row r="92" spans="1:16">
      <c r="A92">
        <v>2017</v>
      </c>
      <c r="B92">
        <v>2025</v>
      </c>
      <c r="C92" s="6">
        <v>5001240.9193610391</v>
      </c>
      <c r="D92" s="6">
        <v>1282649.879869055</v>
      </c>
      <c r="E92" s="6">
        <v>1347453.6659049119</v>
      </c>
      <c r="F92" s="6"/>
      <c r="G92" s="6"/>
      <c r="H92" s="6"/>
      <c r="I92" s="6"/>
      <c r="J92" s="6"/>
      <c r="K92" s="6">
        <f t="shared" si="2"/>
        <v>7631344.4651350062</v>
      </c>
      <c r="M92" s="6"/>
    </row>
    <row r="93" spans="1:16">
      <c r="C93" s="6"/>
      <c r="D93" s="6"/>
      <c r="E93" s="6"/>
      <c r="F93" s="6"/>
      <c r="G93" s="6"/>
      <c r="H93" s="6"/>
      <c r="I93" s="6"/>
      <c r="J93" s="6"/>
      <c r="K93" s="6"/>
      <c r="M93" s="6"/>
    </row>
    <row r="94" spans="1:16">
      <c r="A94">
        <v>2018</v>
      </c>
      <c r="B94">
        <v>2018</v>
      </c>
      <c r="C94" s="6">
        <v>1481291.39252375</v>
      </c>
      <c r="D94" s="6">
        <v>738352.01285648311</v>
      </c>
      <c r="E94" s="6">
        <v>561570.51167095825</v>
      </c>
      <c r="F94" s="6"/>
      <c r="G94" s="6"/>
      <c r="H94" s="6"/>
      <c r="I94" s="6"/>
      <c r="J94" s="6"/>
      <c r="K94" s="6">
        <f t="shared" si="2"/>
        <v>2781213.9170511914</v>
      </c>
      <c r="M94" s="6">
        <v>2781224.0945282318</v>
      </c>
      <c r="O94" s="261">
        <f>M94+N94</f>
        <v>2781224.0945282318</v>
      </c>
      <c r="P94" t="s">
        <v>145</v>
      </c>
    </row>
    <row r="95" spans="1:16">
      <c r="A95">
        <v>2018</v>
      </c>
      <c r="B95">
        <v>2019</v>
      </c>
      <c r="C95" s="6">
        <v>1471835.39252375</v>
      </c>
      <c r="D95" s="6">
        <v>685764.55485477182</v>
      </c>
      <c r="E95" s="6">
        <v>558793.48700983578</v>
      </c>
      <c r="F95" s="6"/>
      <c r="G95" s="6"/>
      <c r="H95" s="6"/>
      <c r="I95" s="6"/>
      <c r="J95" s="6"/>
      <c r="K95" s="6">
        <f t="shared" si="2"/>
        <v>2716393.4343883577</v>
      </c>
      <c r="M95" s="6"/>
    </row>
    <row r="96" spans="1:16">
      <c r="A96">
        <v>2018</v>
      </c>
      <c r="B96">
        <v>2020</v>
      </c>
      <c r="C96" s="6">
        <v>1471835.39252375</v>
      </c>
      <c r="D96" s="6">
        <v>685764.55485477182</v>
      </c>
      <c r="E96" s="6">
        <v>558793.48700983578</v>
      </c>
      <c r="F96" s="6"/>
      <c r="G96" s="6"/>
      <c r="H96" s="6"/>
      <c r="I96" s="6"/>
      <c r="J96" s="6"/>
      <c r="K96" s="6">
        <f t="shared" si="2"/>
        <v>2716393.4343883577</v>
      </c>
      <c r="M96" s="6"/>
    </row>
    <row r="97" spans="1:16">
      <c r="A97">
        <v>2018</v>
      </c>
      <c r="B97">
        <v>2021</v>
      </c>
      <c r="C97" s="6">
        <v>1471835.39252375</v>
      </c>
      <c r="D97" s="6">
        <v>685764.55485477182</v>
      </c>
      <c r="E97" s="6">
        <v>558793.48700983578</v>
      </c>
      <c r="F97" s="6"/>
      <c r="G97" s="6"/>
      <c r="H97" s="6"/>
      <c r="I97" s="6"/>
      <c r="J97" s="6"/>
      <c r="K97" s="6">
        <f t="shared" si="2"/>
        <v>2716393.4343883577</v>
      </c>
      <c r="M97" s="6"/>
    </row>
    <row r="98" spans="1:16">
      <c r="A98">
        <v>2018</v>
      </c>
      <c r="B98">
        <v>2022</v>
      </c>
      <c r="C98" s="6">
        <v>1471835.39252375</v>
      </c>
      <c r="D98" s="6">
        <v>685764.55485477182</v>
      </c>
      <c r="E98" s="6">
        <v>558793.48700983578</v>
      </c>
      <c r="F98" s="6"/>
      <c r="G98" s="6"/>
      <c r="H98" s="6"/>
      <c r="I98" s="6"/>
      <c r="J98" s="6"/>
      <c r="K98" s="6">
        <f t="shared" si="2"/>
        <v>2716393.4343883577</v>
      </c>
      <c r="M98" s="6"/>
    </row>
    <row r="99" spans="1:16">
      <c r="A99">
        <v>2018</v>
      </c>
      <c r="B99">
        <v>2023</v>
      </c>
      <c r="C99" s="6">
        <v>1471835.39252375</v>
      </c>
      <c r="D99" s="6">
        <v>685764.55485477182</v>
      </c>
      <c r="E99" s="6">
        <v>558793.48700983578</v>
      </c>
      <c r="F99" s="6"/>
      <c r="G99" s="6"/>
      <c r="H99" s="6"/>
      <c r="I99" s="6"/>
      <c r="J99" s="6"/>
      <c r="K99" s="6">
        <f t="shared" si="2"/>
        <v>2716393.4343883577</v>
      </c>
      <c r="M99" s="6"/>
    </row>
    <row r="100" spans="1:16">
      <c r="A100">
        <v>2018</v>
      </c>
      <c r="B100">
        <v>2024</v>
      </c>
      <c r="C100" s="6">
        <v>1471835.39252375</v>
      </c>
      <c r="D100" s="6">
        <v>685764.55485477182</v>
      </c>
      <c r="E100" s="6">
        <v>558793.48700983578</v>
      </c>
      <c r="F100" s="6"/>
      <c r="G100" s="6"/>
      <c r="H100" s="6"/>
      <c r="I100" s="6"/>
      <c r="J100" s="6"/>
      <c r="K100" s="6">
        <f t="shared" si="2"/>
        <v>2716393.4343883577</v>
      </c>
      <c r="M100" s="6"/>
    </row>
    <row r="101" spans="1:16">
      <c r="A101">
        <v>2018</v>
      </c>
      <c r="B101">
        <v>2025</v>
      </c>
      <c r="C101" s="6">
        <v>1471835.39252375</v>
      </c>
      <c r="D101" s="6">
        <v>685764.55485477182</v>
      </c>
      <c r="E101" s="6">
        <v>558793.48700983578</v>
      </c>
      <c r="F101" s="6"/>
      <c r="G101" s="6"/>
      <c r="H101" s="6"/>
      <c r="I101" s="6"/>
      <c r="J101" s="6"/>
      <c r="K101" s="6">
        <f t="shared" si="2"/>
        <v>2716393.4343883577</v>
      </c>
      <c r="M101" s="6"/>
    </row>
    <row r="102" spans="1:16">
      <c r="C102" s="6"/>
      <c r="D102" s="6"/>
      <c r="E102" s="6"/>
      <c r="F102" s="6"/>
      <c r="G102" s="6"/>
      <c r="H102" s="6"/>
      <c r="I102" s="6"/>
      <c r="J102" s="6"/>
      <c r="K102" s="6"/>
      <c r="M102" s="6"/>
    </row>
    <row r="103" spans="1:16">
      <c r="A103">
        <v>2019</v>
      </c>
      <c r="B103">
        <v>2019</v>
      </c>
      <c r="C103" s="62">
        <v>6330.8613447768794</v>
      </c>
      <c r="D103" s="62">
        <v>96706.150661502703</v>
      </c>
      <c r="E103" s="62">
        <v>0</v>
      </c>
      <c r="F103" s="62"/>
      <c r="G103" s="62"/>
      <c r="H103" s="62"/>
      <c r="I103" s="62"/>
      <c r="J103" s="6"/>
      <c r="K103" s="6">
        <f t="shared" si="2"/>
        <v>103037.01200627958</v>
      </c>
      <c r="M103" s="6">
        <v>103037.01200627958</v>
      </c>
      <c r="O103" s="261">
        <f>M103+N103</f>
        <v>103037.01200627958</v>
      </c>
      <c r="P103" t="s">
        <v>145</v>
      </c>
    </row>
    <row r="104" spans="1:16">
      <c r="A104">
        <v>2019</v>
      </c>
      <c r="B104">
        <v>2020</v>
      </c>
      <c r="C104" s="62">
        <v>6330.8613447768794</v>
      </c>
      <c r="D104" s="62">
        <v>94095.807226207427</v>
      </c>
      <c r="E104" s="62">
        <v>0</v>
      </c>
      <c r="F104" s="62"/>
      <c r="G104" s="62"/>
      <c r="H104" s="62"/>
      <c r="I104" s="62"/>
      <c r="J104" s="6"/>
      <c r="K104" s="6">
        <f t="shared" si="2"/>
        <v>100426.6685709843</v>
      </c>
    </row>
    <row r="105" spans="1:16">
      <c r="A105">
        <v>2019</v>
      </c>
      <c r="B105">
        <v>2021</v>
      </c>
      <c r="C105" s="62">
        <v>6330.8613447768794</v>
      </c>
      <c r="D105" s="62">
        <v>94095.807226207427</v>
      </c>
      <c r="E105" s="62">
        <v>0</v>
      </c>
      <c r="F105" s="62"/>
      <c r="G105" s="62"/>
      <c r="H105" s="62"/>
      <c r="I105" s="62"/>
      <c r="J105" s="6"/>
      <c r="K105" s="6">
        <f t="shared" si="2"/>
        <v>100426.6685709843</v>
      </c>
    </row>
    <row r="106" spans="1:16">
      <c r="A106">
        <v>2019</v>
      </c>
      <c r="B106">
        <v>2022</v>
      </c>
      <c r="C106" s="62">
        <v>6330.8613447768794</v>
      </c>
      <c r="D106" s="62">
        <v>94095.807226207427</v>
      </c>
      <c r="E106" s="62">
        <v>0</v>
      </c>
      <c r="F106" s="62"/>
      <c r="G106" s="62"/>
      <c r="H106" s="62"/>
      <c r="I106" s="62"/>
      <c r="J106" s="6"/>
      <c r="K106" s="6">
        <f t="shared" si="2"/>
        <v>100426.6685709843</v>
      </c>
    </row>
    <row r="107" spans="1:16">
      <c r="A107">
        <v>2019</v>
      </c>
      <c r="B107">
        <v>2023</v>
      </c>
      <c r="C107" s="62">
        <v>6330.8613447768794</v>
      </c>
      <c r="D107" s="62">
        <v>94095.807226207427</v>
      </c>
      <c r="E107" s="62">
        <v>0</v>
      </c>
      <c r="F107" s="62"/>
      <c r="G107" s="62"/>
      <c r="H107" s="62"/>
      <c r="I107" s="62"/>
      <c r="J107" s="6"/>
      <c r="K107" s="6">
        <f t="shared" si="2"/>
        <v>100426.6685709843</v>
      </c>
    </row>
    <row r="108" spans="1:16">
      <c r="A108">
        <v>2019</v>
      </c>
      <c r="B108">
        <v>2024</v>
      </c>
      <c r="C108" s="6">
        <v>6330.8613447768794</v>
      </c>
      <c r="D108" s="6">
        <v>94095.807226207427</v>
      </c>
      <c r="E108" s="6">
        <v>0</v>
      </c>
      <c r="F108" s="6"/>
      <c r="G108" s="6"/>
      <c r="H108" s="6"/>
      <c r="I108" s="6"/>
      <c r="J108" s="6"/>
      <c r="K108" s="6">
        <f t="shared" si="2"/>
        <v>100426.6685709843</v>
      </c>
    </row>
    <row r="109" spans="1:16">
      <c r="A109">
        <v>2019</v>
      </c>
      <c r="B109">
        <v>2025</v>
      </c>
      <c r="C109" s="6">
        <v>6330.8613447768794</v>
      </c>
      <c r="D109" s="6">
        <v>94095.807226207427</v>
      </c>
      <c r="E109" s="6">
        <v>0</v>
      </c>
      <c r="F109" s="6"/>
      <c r="G109" s="6"/>
      <c r="H109" s="6"/>
      <c r="I109" s="6"/>
      <c r="J109" s="6"/>
      <c r="K109" s="6">
        <f t="shared" si="2"/>
        <v>100426.6685709843</v>
      </c>
    </row>
    <row r="110" spans="1:16">
      <c r="C110" s="6"/>
      <c r="D110" s="6"/>
      <c r="E110" s="6"/>
      <c r="F110" s="6"/>
      <c r="G110" s="6"/>
      <c r="H110" s="6"/>
      <c r="I110" s="6"/>
      <c r="J110" s="6"/>
      <c r="K110" s="6"/>
      <c r="P110" s="16"/>
    </row>
    <row r="111" spans="1:16">
      <c r="A111">
        <v>2020</v>
      </c>
      <c r="B111">
        <v>2020</v>
      </c>
      <c r="C111" s="62"/>
      <c r="D111" s="62"/>
      <c r="E111" s="62"/>
      <c r="F111" s="62"/>
      <c r="G111" s="62"/>
      <c r="H111" s="62"/>
      <c r="I111" s="62"/>
      <c r="J111" s="6"/>
      <c r="K111" s="6">
        <f t="shared" si="2"/>
        <v>0</v>
      </c>
      <c r="P111" s="16"/>
    </row>
    <row r="112" spans="1:16">
      <c r="A112">
        <v>2020</v>
      </c>
      <c r="B112">
        <v>2021</v>
      </c>
      <c r="C112" s="62"/>
      <c r="D112" s="62"/>
      <c r="E112" s="62"/>
      <c r="F112" s="62"/>
      <c r="G112" s="62"/>
      <c r="H112" s="62"/>
      <c r="I112" s="62"/>
      <c r="J112" s="6"/>
      <c r="K112" s="6">
        <f t="shared" si="2"/>
        <v>0</v>
      </c>
      <c r="P112" s="16"/>
    </row>
    <row r="113" spans="1:12">
      <c r="A113">
        <v>2020</v>
      </c>
      <c r="B113">
        <v>2022</v>
      </c>
      <c r="C113" s="62"/>
      <c r="D113" s="62"/>
      <c r="E113" s="62"/>
      <c r="F113" s="62"/>
      <c r="G113" s="62"/>
      <c r="H113" s="62"/>
      <c r="I113" s="62"/>
      <c r="J113" s="6"/>
      <c r="K113" s="6">
        <f t="shared" si="2"/>
        <v>0</v>
      </c>
      <c r="L113" t="s">
        <v>146</v>
      </c>
    </row>
    <row r="114" spans="1:12">
      <c r="A114">
        <v>2020</v>
      </c>
      <c r="B114">
        <v>2023</v>
      </c>
      <c r="C114" s="62"/>
      <c r="D114" s="62"/>
      <c r="E114" s="62"/>
      <c r="F114" s="62"/>
      <c r="G114" s="62"/>
      <c r="H114" s="62"/>
      <c r="I114" s="62"/>
      <c r="J114" s="6"/>
      <c r="K114" s="6">
        <f t="shared" si="2"/>
        <v>0</v>
      </c>
    </row>
    <row r="115" spans="1:12">
      <c r="A115">
        <v>2020</v>
      </c>
      <c r="B115">
        <v>2024</v>
      </c>
      <c r="C115" s="6"/>
      <c r="D115" s="6"/>
      <c r="E115" s="6"/>
      <c r="F115" s="6"/>
      <c r="G115" s="6"/>
      <c r="H115" s="6"/>
      <c r="I115" s="6"/>
      <c r="J115" s="6"/>
      <c r="K115" s="6">
        <f t="shared" si="2"/>
        <v>0</v>
      </c>
    </row>
    <row r="116" spans="1:12">
      <c r="A116">
        <v>2020</v>
      </c>
      <c r="B116">
        <v>2025</v>
      </c>
      <c r="C116" s="6"/>
      <c r="D116" s="6"/>
      <c r="E116" s="6"/>
      <c r="F116" s="6"/>
      <c r="G116" s="6"/>
      <c r="H116" s="6"/>
      <c r="I116" s="6"/>
      <c r="J116" s="6"/>
      <c r="K116" s="6">
        <f t="shared" si="2"/>
        <v>0</v>
      </c>
    </row>
    <row r="117" spans="1:12">
      <c r="C117" s="6"/>
      <c r="D117" s="6"/>
      <c r="E117" s="6"/>
      <c r="F117" s="6"/>
      <c r="G117" s="6"/>
      <c r="H117" s="6"/>
      <c r="I117" s="6"/>
      <c r="J117" s="6"/>
      <c r="K117" s="6"/>
    </row>
    <row r="118" spans="1:12">
      <c r="A118">
        <v>2021</v>
      </c>
      <c r="B118">
        <v>2021</v>
      </c>
      <c r="C118" s="6">
        <f>'CDM Framework'!L36</f>
        <v>53752.679812670773</v>
      </c>
      <c r="D118" s="6">
        <f>'CDM Framework'!M36</f>
        <v>107505.35962534155</v>
      </c>
      <c r="E118" s="6">
        <f>'CDM Framework'!L38</f>
        <v>746847.39780046558</v>
      </c>
      <c r="F118" s="6"/>
      <c r="G118" s="6"/>
      <c r="H118" s="6"/>
      <c r="I118" s="6"/>
      <c r="J118" s="6"/>
      <c r="K118" s="6">
        <f t="shared" si="2"/>
        <v>908105.43723847787</v>
      </c>
      <c r="L118" s="224"/>
    </row>
    <row r="119" spans="1:12">
      <c r="A119">
        <f>A118</f>
        <v>2021</v>
      </c>
      <c r="B119">
        <v>2022</v>
      </c>
      <c r="C119" s="16">
        <f>C$118*AVERAGE(C4/C$3,C20/C$19,C35/C$34,C49/C$48,C62/C$61,C74/C$73,C85/C$84,C95/C$94,C104/C$103)</f>
        <v>51835.45180709703</v>
      </c>
      <c r="D119" s="16">
        <f>D$118*AVERAGE(D4/D$3,D20/D$19,D35/D$34,D49/D$48,D62/D$61,D74/D$73,D85/D$84,D95/D$94,D104/D$103)</f>
        <v>106345.27535118631</v>
      </c>
      <c r="E119" s="16">
        <f>MIN(E$118,E$118*AVERAGE(E4/E$3,E20/E$19,E35/E$34,E49/E$48,E62/E$61,E74/E$73,E85/E$84,E95/E$94))</f>
        <v>746847.39780046558</v>
      </c>
      <c r="F119" s="16"/>
      <c r="G119" s="6"/>
      <c r="H119" s="6"/>
      <c r="I119" s="6"/>
      <c r="J119" s="6"/>
      <c r="K119" s="6">
        <f t="shared" si="2"/>
        <v>905028.12495874893</v>
      </c>
      <c r="L119" s="224" t="s">
        <v>147</v>
      </c>
    </row>
    <row r="120" spans="1:12">
      <c r="A120">
        <f>A119</f>
        <v>2021</v>
      </c>
      <c r="B120">
        <v>2023</v>
      </c>
      <c r="C120" s="16">
        <f t="shared" ref="C120:D122" si="3">C$118*AVERAGE(C5/C$3,C21/C$19,C36/C$34,C50/C$48,C63/C$61,C75/C$73,C86/C$84,C96/C$94,C105/C$103)</f>
        <v>51422.792369336661</v>
      </c>
      <c r="D120" s="16">
        <f t="shared" si="3"/>
        <v>105864.29766057983</v>
      </c>
      <c r="E120" s="16">
        <f>MIN(E$118,E$118*AVERAGE(E5/E$3,E21/E$19,E36/E$34,E50/E$48,E63/E$61,E75/E$73,E86/E$84,E96/E$94))</f>
        <v>743516.75428142317</v>
      </c>
      <c r="F120" s="273"/>
      <c r="G120" s="6"/>
      <c r="H120" s="6"/>
      <c r="I120" s="6"/>
      <c r="J120" s="6"/>
      <c r="K120" s="6">
        <f t="shared" si="2"/>
        <v>900803.84431133966</v>
      </c>
      <c r="L120" s="224"/>
    </row>
    <row r="121" spans="1:12">
      <c r="A121">
        <f>A120</f>
        <v>2021</v>
      </c>
      <c r="B121">
        <v>2024</v>
      </c>
      <c r="C121" s="16">
        <f t="shared" si="3"/>
        <v>50937.242533230172</v>
      </c>
      <c r="D121" s="16">
        <f t="shared" si="3"/>
        <v>103116.99694475428</v>
      </c>
      <c r="E121" s="16">
        <f>MIN(E$118,E$118*AVERAGE(E6/E$3,E22/E$19,E37/E$34,E51/E$48,E64/E$61,E76/E$73,E87/E$84,E97/E$94))</f>
        <v>736422.59088534082</v>
      </c>
      <c r="F121" s="273"/>
      <c r="G121" s="6"/>
      <c r="H121" s="6"/>
      <c r="I121" s="6"/>
      <c r="J121" s="6"/>
      <c r="K121" s="6">
        <f t="shared" si="2"/>
        <v>890476.83036332531</v>
      </c>
      <c r="L121" s="224"/>
    </row>
    <row r="122" spans="1:12">
      <c r="A122">
        <f>A121</f>
        <v>2021</v>
      </c>
      <c r="B122">
        <v>2025</v>
      </c>
      <c r="C122" s="16">
        <f t="shared" si="3"/>
        <v>50023.274329158405</v>
      </c>
      <c r="D122" s="16">
        <f t="shared" si="3"/>
        <v>100959.05624702362</v>
      </c>
      <c r="E122" s="16">
        <f>MIN(E$118,E$118*AVERAGE(E7/E$3,E23/E$19,E38/E$34,E52/E$48,E65/E$61,E77/E$73,E88/E$84,E98/E$94))</f>
        <v>715574.8560450963</v>
      </c>
      <c r="F122" s="6"/>
      <c r="G122" s="6"/>
      <c r="H122" s="6"/>
      <c r="I122" s="6"/>
      <c r="J122" s="6"/>
      <c r="K122" s="6">
        <f t="shared" si="2"/>
        <v>866557.18662127829</v>
      </c>
      <c r="L122" s="224"/>
    </row>
    <row r="123" spans="1:12">
      <c r="C123" s="6"/>
      <c r="D123" s="6"/>
      <c r="E123" s="6"/>
      <c r="F123" s="6"/>
      <c r="G123" s="6"/>
      <c r="H123" s="6"/>
      <c r="I123" s="6"/>
      <c r="J123" s="6"/>
      <c r="K123" s="6"/>
      <c r="L123" s="224"/>
    </row>
    <row r="124" spans="1:12">
      <c r="A124">
        <v>2022</v>
      </c>
      <c r="B124">
        <v>2022</v>
      </c>
      <c r="C124" s="6">
        <f>'CDM Framework'!M36</f>
        <v>107505.35962534155</v>
      </c>
      <c r="D124" s="6">
        <f>'CDM Framework'!M37</f>
        <v>1195785.6669227458</v>
      </c>
      <c r="E124" s="6">
        <f>'CDM Framework'!M38</f>
        <v>1331048.0289688304</v>
      </c>
      <c r="F124" s="6"/>
      <c r="G124" s="6"/>
      <c r="H124" s="6"/>
      <c r="I124" s="6"/>
      <c r="J124" s="6"/>
      <c r="K124" s="6">
        <f t="shared" si="2"/>
        <v>2634339.0555169177</v>
      </c>
      <c r="L124" s="224"/>
    </row>
    <row r="125" spans="1:12">
      <c r="A125">
        <v>2022</v>
      </c>
      <c r="B125">
        <v>2023</v>
      </c>
      <c r="C125" s="6">
        <f t="shared" ref="C125:D127" si="4">C$124*AVERAGE(C4/C$3,C20/C$19,C35/C$34,C49/C$48,C62/C$61,C74/C$73,C85/C$84,C95/C$94,C104/C$103)</f>
        <v>103670.90361419406</v>
      </c>
      <c r="D125" s="6">
        <f t="shared" si="4"/>
        <v>1182882.011213935</v>
      </c>
      <c r="E125" s="6">
        <f>MIN(E$124,E$124*AVERAGE(E4/E$3,E20/E$19,E35/E$34,E49/E$48,E62/E$61,E74/E$73,E85/E$84,E95/E$94))</f>
        <v>1331048.0289688304</v>
      </c>
      <c r="F125" s="6"/>
      <c r="G125" s="6"/>
      <c r="H125" s="6"/>
      <c r="I125" s="6"/>
      <c r="J125" s="6"/>
      <c r="K125" s="6">
        <f t="shared" si="2"/>
        <v>2617600.9437969597</v>
      </c>
      <c r="L125" s="224" t="s">
        <v>147</v>
      </c>
    </row>
    <row r="126" spans="1:12">
      <c r="A126">
        <v>2022</v>
      </c>
      <c r="B126">
        <v>2024</v>
      </c>
      <c r="C126" s="6">
        <f t="shared" si="4"/>
        <v>102845.58473867332</v>
      </c>
      <c r="D126" s="6">
        <f t="shared" si="4"/>
        <v>1177532.0804705634</v>
      </c>
      <c r="E126" s="6">
        <f>MIN(E$124,E$124*AVERAGE(E5/E$3,E21/E$19,E36/E$34,E50/E$48,E63/E$61,E75/E$73,E86/E$84,E96/E$94))</f>
        <v>1325112.0820748925</v>
      </c>
      <c r="F126" s="6"/>
      <c r="G126" s="6"/>
      <c r="H126" s="6"/>
      <c r="I126" s="6"/>
      <c r="J126" s="6"/>
      <c r="K126" s="6">
        <f t="shared" si="2"/>
        <v>2605489.7472841293</v>
      </c>
    </row>
    <row r="127" spans="1:12">
      <c r="A127">
        <v>2022</v>
      </c>
      <c r="B127">
        <v>2025</v>
      </c>
      <c r="C127" s="6">
        <f t="shared" si="4"/>
        <v>101874.48506646034</v>
      </c>
      <c r="D127" s="6">
        <f t="shared" si="4"/>
        <v>1146973.7638418879</v>
      </c>
      <c r="E127" s="6">
        <f>MIN(E$124,E$124*AVERAGE(E6/E$3,E22/E$19,E37/E$34,E51/E$48,E64/E$61,E76/E$73,E87/E$84,E97/E$94))</f>
        <v>1312468.7064223192</v>
      </c>
      <c r="F127" s="6"/>
      <c r="G127" s="6"/>
      <c r="H127" s="6"/>
      <c r="I127" s="6"/>
      <c r="J127" s="6"/>
      <c r="K127" s="6">
        <f t="shared" si="2"/>
        <v>2561316.9553306676</v>
      </c>
    </row>
    <row r="128" spans="1:12">
      <c r="C128" s="6"/>
      <c r="D128" s="6"/>
      <c r="E128" s="6"/>
      <c r="F128" s="6"/>
      <c r="G128" s="6"/>
      <c r="H128" s="6"/>
      <c r="I128" s="6"/>
      <c r="J128" s="6"/>
      <c r="K128" s="6"/>
    </row>
    <row r="129" spans="1:12">
      <c r="A129">
        <v>2023</v>
      </c>
      <c r="B129">
        <v>2023</v>
      </c>
      <c r="C129" s="6">
        <f>'CDM Framework'!N36</f>
        <v>376268.7586886955</v>
      </c>
      <c r="D129" s="6">
        <f>'CDM Framework'!N37</f>
        <v>811159.25705550576</v>
      </c>
      <c r="E129" s="6">
        <f>'CDM Framework'!N38</f>
        <v>5103762.5697761057</v>
      </c>
      <c r="F129" s="6"/>
      <c r="G129" s="6"/>
      <c r="H129" s="6"/>
      <c r="I129" s="6"/>
      <c r="J129" s="6"/>
      <c r="K129" s="6">
        <f t="shared" si="2"/>
        <v>6291190.5855203066</v>
      </c>
    </row>
    <row r="130" spans="1:12">
      <c r="A130">
        <v>2023</v>
      </c>
      <c r="B130">
        <v>2024</v>
      </c>
      <c r="C130" s="6">
        <f>C$129*AVERAGE(C4/C$3,C20/C$19,C35/C$34,C49/C$48,C62/C$61,C74/C$73,C85/C$84,C95/C$94,C104/C$103)</f>
        <v>362848.16264967929</v>
      </c>
      <c r="D130" s="6">
        <f>D$129*AVERAGE(D4/D$3,D20/D$19,D35/D$34,D49/D$48,D62/D$61,D74/D$73,D85/D$84,D95/D$94,D104/D$103)</f>
        <v>802406.08324886963</v>
      </c>
      <c r="E130" s="6">
        <f>MIN(E$129,E$129*AVERAGE(E4/E$3,E20/E$19,E35/E$34,E49/E$48,E62/E$61,E74/E$73,E85/E$84,E95/E$94))</f>
        <v>5103762.5697761057</v>
      </c>
      <c r="F130" s="6"/>
      <c r="G130" s="6"/>
      <c r="H130" s="6"/>
      <c r="I130" s="6"/>
      <c r="J130" s="6"/>
      <c r="K130" s="6">
        <f t="shared" si="2"/>
        <v>6269016.8156746551</v>
      </c>
      <c r="L130" s="224" t="s">
        <v>147</v>
      </c>
    </row>
    <row r="131" spans="1:12">
      <c r="A131">
        <v>2023</v>
      </c>
      <c r="B131">
        <v>2025</v>
      </c>
      <c r="C131" s="6">
        <f>C$129*AVERAGE(C5/C$3,C21/C$19,C36/C$34,C50/C$48,C63/C$61,C75/C$73,C86/C$84,C96/C$94,C105/C$103)</f>
        <v>359959.5465853567</v>
      </c>
      <c r="D131" s="6">
        <f>D$129*AVERAGE(D5/D$3,D21/D$19,D36/D$34,D50/D$48,D63/D$61,D75/D$73,D86/D$84,D96/D$94,D105/D$103)</f>
        <v>798776.96645383444</v>
      </c>
      <c r="E131" s="6">
        <f>MIN(E$129,E$129*AVERAGE(E5/E$3,E21/E$19,E36/E$34,E50/E$48,E63/E$61,E75/E$73,E86/E$84,E96/E$94))</f>
        <v>5081001.8106493829</v>
      </c>
      <c r="F131" s="6"/>
      <c r="G131" s="6"/>
      <c r="H131" s="6"/>
      <c r="I131" s="6"/>
      <c r="J131" s="6"/>
      <c r="K131" s="6">
        <f t="shared" si="2"/>
        <v>6239738.3236885741</v>
      </c>
    </row>
    <row r="132" spans="1:12">
      <c r="C132" s="6"/>
      <c r="D132" s="6"/>
      <c r="E132" s="6"/>
      <c r="F132" s="6"/>
      <c r="G132" s="6"/>
      <c r="H132" s="6"/>
      <c r="I132" s="6"/>
      <c r="J132" s="6"/>
      <c r="K132" s="6"/>
    </row>
    <row r="133" spans="1:12">
      <c r="C133" s="6"/>
      <c r="D133" s="6"/>
      <c r="E133" s="6"/>
      <c r="F133" s="6"/>
      <c r="G133" s="6"/>
      <c r="H133" s="6"/>
      <c r="I133" s="6"/>
      <c r="J133" s="6"/>
      <c r="K133" s="6"/>
    </row>
    <row r="134" spans="1:12">
      <c r="C134" t="str">
        <f t="shared" ref="C134:I134" si="5">C2</f>
        <v>Residential</v>
      </c>
      <c r="D134" t="str">
        <f t="shared" si="5"/>
        <v>GS&lt;50</v>
      </c>
      <c r="E134" t="str">
        <f t="shared" si="5"/>
        <v>GS&gt;50</v>
      </c>
      <c r="F134" t="str">
        <f t="shared" si="5"/>
        <v>Embedded Distributor</v>
      </c>
      <c r="G134" t="str">
        <f t="shared" si="5"/>
        <v>Sentinel Light</v>
      </c>
      <c r="H134" t="str">
        <f t="shared" si="5"/>
        <v>Street Light</v>
      </c>
      <c r="I134" t="str">
        <f t="shared" si="5"/>
        <v>USL</v>
      </c>
      <c r="K134" t="str">
        <f>K2</f>
        <v>Total</v>
      </c>
    </row>
    <row r="135" spans="1:12">
      <c r="B135">
        <v>2011</v>
      </c>
      <c r="C135" s="16">
        <f t="shared" ref="C135:I147" si="6">SUMIF($B$3:$B$131,$B135,C$3:C$131)-SUMIFS(C$3:C$131,$B$3:$B$131,$B135,$A$3:$A$131,$B135)/2</f>
        <v>387645.62941150228</v>
      </c>
      <c r="D135" s="16">
        <f t="shared" si="6"/>
        <v>326618.37313994649</v>
      </c>
      <c r="E135" s="16">
        <f t="shared" si="6"/>
        <v>285277.92646387883</v>
      </c>
      <c r="F135" s="16">
        <f t="shared" si="6"/>
        <v>0</v>
      </c>
      <c r="G135" s="16">
        <f t="shared" si="6"/>
        <v>0</v>
      </c>
      <c r="H135" s="16">
        <f t="shared" si="6"/>
        <v>0</v>
      </c>
      <c r="I135" s="16">
        <f t="shared" si="6"/>
        <v>0</v>
      </c>
      <c r="K135" s="16">
        <f t="shared" ref="K135:K146" si="7">SUM(C135:I135)</f>
        <v>999541.92901532759</v>
      </c>
    </row>
    <row r="136" spans="1:12">
      <c r="B136">
        <v>2012</v>
      </c>
      <c r="C136" s="16">
        <f t="shared" si="6"/>
        <v>1048891.2116302601</v>
      </c>
      <c r="D136" s="16">
        <f t="shared" si="6"/>
        <v>1124949.627158921</v>
      </c>
      <c r="E136" s="16">
        <f t="shared" si="6"/>
        <v>985651.68166956888</v>
      </c>
      <c r="F136" s="16">
        <f t="shared" si="6"/>
        <v>0</v>
      </c>
      <c r="G136" s="16">
        <f t="shared" si="6"/>
        <v>0</v>
      </c>
      <c r="H136" s="16">
        <f t="shared" si="6"/>
        <v>0</v>
      </c>
      <c r="I136" s="16">
        <f t="shared" si="6"/>
        <v>0</v>
      </c>
      <c r="K136" s="16">
        <f t="shared" si="7"/>
        <v>3159492.5204587495</v>
      </c>
    </row>
    <row r="137" spans="1:12">
      <c r="B137">
        <v>2013</v>
      </c>
      <c r="C137" s="16">
        <f t="shared" si="6"/>
        <v>1722233.303043867</v>
      </c>
      <c r="D137" s="16">
        <f t="shared" si="6"/>
        <v>1912899.1234696142</v>
      </c>
      <c r="E137" s="16">
        <f t="shared" si="6"/>
        <v>1827223.0630990467</v>
      </c>
      <c r="F137" s="16">
        <f t="shared" si="6"/>
        <v>0</v>
      </c>
      <c r="G137" s="16">
        <f t="shared" si="6"/>
        <v>0</v>
      </c>
      <c r="H137" s="16">
        <f t="shared" si="6"/>
        <v>0</v>
      </c>
      <c r="I137" s="16">
        <f t="shared" si="6"/>
        <v>0</v>
      </c>
      <c r="K137" s="16">
        <f t="shared" si="7"/>
        <v>5462355.4896125272</v>
      </c>
    </row>
    <row r="138" spans="1:12">
      <c r="A138" t="s">
        <v>140</v>
      </c>
      <c r="B138">
        <v>2014</v>
      </c>
      <c r="C138" s="16">
        <f t="shared" si="6"/>
        <v>2791930.0401800401</v>
      </c>
      <c r="D138" s="16">
        <f t="shared" si="6"/>
        <v>2619588.9542953181</v>
      </c>
      <c r="E138" s="16">
        <f t="shared" si="6"/>
        <v>2877071.9525224143</v>
      </c>
      <c r="F138" s="16">
        <f t="shared" si="6"/>
        <v>0</v>
      </c>
      <c r="G138" s="16">
        <f t="shared" si="6"/>
        <v>0</v>
      </c>
      <c r="H138" s="16">
        <f t="shared" si="6"/>
        <v>0</v>
      </c>
      <c r="I138" s="16">
        <f t="shared" si="6"/>
        <v>0</v>
      </c>
      <c r="K138" s="16">
        <f t="shared" si="7"/>
        <v>8288590.9469977729</v>
      </c>
    </row>
    <row r="139" spans="1:12">
      <c r="B139">
        <v>2015</v>
      </c>
      <c r="C139" s="16">
        <f t="shared" si="6"/>
        <v>4020536.6808440918</v>
      </c>
      <c r="D139" s="16">
        <f t="shared" si="6"/>
        <v>6650379.3254646547</v>
      </c>
      <c r="E139" s="16">
        <f t="shared" si="6"/>
        <v>7268299.0409629531</v>
      </c>
      <c r="F139" s="16">
        <f t="shared" si="6"/>
        <v>0</v>
      </c>
      <c r="G139" s="16">
        <f t="shared" si="6"/>
        <v>0</v>
      </c>
      <c r="H139" s="16">
        <f t="shared" si="6"/>
        <v>0</v>
      </c>
      <c r="I139" s="16">
        <f t="shared" si="6"/>
        <v>0</v>
      </c>
      <c r="K139" s="16">
        <f t="shared" si="7"/>
        <v>17939215.047271699</v>
      </c>
    </row>
    <row r="140" spans="1:12">
      <c r="B140">
        <v>2016</v>
      </c>
      <c r="C140" s="16">
        <f t="shared" si="6"/>
        <v>6339606.3638785928</v>
      </c>
      <c r="D140" s="16">
        <f t="shared" si="6"/>
        <v>10890075.425516121</v>
      </c>
      <c r="E140" s="16">
        <f t="shared" si="6"/>
        <v>11671355.882812351</v>
      </c>
      <c r="F140" s="16">
        <f t="shared" si="6"/>
        <v>0</v>
      </c>
      <c r="G140" s="16">
        <f t="shared" si="6"/>
        <v>0</v>
      </c>
      <c r="H140" s="16">
        <f t="shared" si="6"/>
        <v>1942296.0060116225</v>
      </c>
      <c r="I140" s="16">
        <f t="shared" si="6"/>
        <v>0</v>
      </c>
      <c r="K140" s="16">
        <f t="shared" si="7"/>
        <v>30843333.678218689</v>
      </c>
    </row>
    <row r="141" spans="1:12">
      <c r="B141">
        <v>2017</v>
      </c>
      <c r="C141" s="16">
        <f t="shared" si="6"/>
        <v>11183452.554194834</v>
      </c>
      <c r="D141" s="16">
        <f t="shared" si="6"/>
        <v>12101008.470702926</v>
      </c>
      <c r="E141" s="16">
        <f t="shared" si="6"/>
        <v>12992237.542644277</v>
      </c>
      <c r="F141" s="16">
        <f t="shared" si="6"/>
        <v>0</v>
      </c>
      <c r="G141" s="16">
        <f t="shared" si="6"/>
        <v>0</v>
      </c>
      <c r="H141" s="16">
        <f t="shared" si="6"/>
        <v>3884592.012023245</v>
      </c>
      <c r="I141" s="16">
        <f t="shared" si="6"/>
        <v>0</v>
      </c>
      <c r="K141" s="16">
        <f t="shared" si="7"/>
        <v>40161290.579565287</v>
      </c>
    </row>
    <row r="142" spans="1:12">
      <c r="B142">
        <v>2018</v>
      </c>
      <c r="C142" s="16">
        <f t="shared" si="6"/>
        <v>13682006.950214144</v>
      </c>
      <c r="D142" s="16">
        <f t="shared" si="6"/>
        <v>13307244.786709167</v>
      </c>
      <c r="E142" s="16">
        <f t="shared" si="6"/>
        <v>14215346.095885238</v>
      </c>
      <c r="F142" s="16">
        <f t="shared" si="6"/>
        <v>0</v>
      </c>
      <c r="G142" s="16">
        <f t="shared" si="6"/>
        <v>0</v>
      </c>
      <c r="H142" s="16">
        <f t="shared" si="6"/>
        <v>3884686.9357942655</v>
      </c>
      <c r="I142" s="16">
        <f t="shared" si="6"/>
        <v>0</v>
      </c>
      <c r="K142" s="16">
        <f t="shared" si="7"/>
        <v>45089284.768602811</v>
      </c>
    </row>
    <row r="143" spans="1:12">
      <c r="B143">
        <v>2019</v>
      </c>
      <c r="C143" s="16">
        <f t="shared" si="6"/>
        <v>14436309.819562543</v>
      </c>
      <c r="D143" s="16">
        <f t="shared" si="6"/>
        <v>13653732.179599322</v>
      </c>
      <c r="E143" s="16">
        <f t="shared" si="6"/>
        <v>14481712.493671617</v>
      </c>
      <c r="F143" s="16">
        <f t="shared" si="6"/>
        <v>0</v>
      </c>
      <c r="G143" s="16">
        <f t="shared" si="6"/>
        <v>0</v>
      </c>
      <c r="H143" s="16">
        <f t="shared" si="6"/>
        <v>3884686.9357942655</v>
      </c>
      <c r="I143" s="16">
        <f t="shared" si="6"/>
        <v>0</v>
      </c>
      <c r="K143" s="16">
        <f t="shared" si="7"/>
        <v>46456441.428627744</v>
      </c>
    </row>
    <row r="144" spans="1:12">
      <c r="B144">
        <v>2020</v>
      </c>
      <c r="C144" s="16">
        <f t="shared" si="6"/>
        <v>14206748.767520797</v>
      </c>
      <c r="D144" s="16">
        <f t="shared" si="6"/>
        <v>13601690.531776832</v>
      </c>
      <c r="E144" s="16">
        <f t="shared" si="6"/>
        <v>14426620.511432821</v>
      </c>
      <c r="F144" s="16">
        <f t="shared" si="6"/>
        <v>0</v>
      </c>
      <c r="G144" s="16">
        <f t="shared" si="6"/>
        <v>0</v>
      </c>
      <c r="H144" s="16">
        <f t="shared" si="6"/>
        <v>3884258.0438279398</v>
      </c>
      <c r="I144" s="16">
        <f t="shared" si="6"/>
        <v>0</v>
      </c>
      <c r="K144" s="16">
        <f t="shared" si="7"/>
        <v>46119317.854558393</v>
      </c>
    </row>
    <row r="145" spans="1:11">
      <c r="B145">
        <v>2021</v>
      </c>
      <c r="C145" s="16">
        <f t="shared" si="6"/>
        <v>13975131.768337961</v>
      </c>
      <c r="D145" s="16">
        <f t="shared" si="6"/>
        <v>13632263.206079828</v>
      </c>
      <c r="E145" s="16">
        <f t="shared" si="6"/>
        <v>14781463.887884514</v>
      </c>
      <c r="F145" s="16">
        <f t="shared" si="6"/>
        <v>0</v>
      </c>
      <c r="G145" s="16">
        <f t="shared" si="6"/>
        <v>0</v>
      </c>
      <c r="H145" s="16">
        <f t="shared" si="6"/>
        <v>3883129.1929120142</v>
      </c>
      <c r="I145" s="16">
        <f t="shared" si="6"/>
        <v>0</v>
      </c>
      <c r="K145" s="16">
        <f t="shared" si="7"/>
        <v>46271988.055214316</v>
      </c>
    </row>
    <row r="146" spans="1:11">
      <c r="B146">
        <v>2022</v>
      </c>
      <c r="C146" s="16">
        <f t="shared" si="6"/>
        <v>14027344.740924463</v>
      </c>
      <c r="D146" s="16">
        <f t="shared" si="6"/>
        <v>14012908.22818533</v>
      </c>
      <c r="E146" s="16">
        <f t="shared" si="6"/>
        <v>15480346.591853924</v>
      </c>
      <c r="F146" s="16">
        <f t="shared" si="6"/>
        <v>0</v>
      </c>
      <c r="G146" s="16">
        <f t="shared" si="6"/>
        <v>0</v>
      </c>
      <c r="H146" s="16">
        <f t="shared" si="6"/>
        <v>3882089.4713279572</v>
      </c>
      <c r="I146" s="16">
        <f t="shared" si="6"/>
        <v>0</v>
      </c>
      <c r="K146" s="16">
        <f t="shared" si="7"/>
        <v>47402689.032291681</v>
      </c>
    </row>
    <row r="147" spans="1:11">
      <c r="B147">
        <v>2023</v>
      </c>
      <c r="C147" s="16">
        <f t="shared" si="6"/>
        <v>14161671.784384288</v>
      </c>
      <c r="D147" s="16">
        <f t="shared" si="6"/>
        <v>14365508.34880944</v>
      </c>
      <c r="E147" s="16">
        <f t="shared" si="6"/>
        <v>17991525.367459737</v>
      </c>
      <c r="F147" s="16">
        <f t="shared" si="6"/>
        <v>0</v>
      </c>
      <c r="G147" s="16">
        <f t="shared" si="6"/>
        <v>0</v>
      </c>
      <c r="H147" s="16">
        <f t="shared" si="6"/>
        <v>3881087.5181085402</v>
      </c>
      <c r="I147" s="16">
        <f t="shared" si="6"/>
        <v>0</v>
      </c>
      <c r="K147" s="16">
        <f>SUM(C147:I147)</f>
        <v>50399793.018762</v>
      </c>
    </row>
    <row r="148" spans="1:11">
      <c r="K148" s="16"/>
    </row>
    <row r="149" spans="1:11">
      <c r="A149" t="s">
        <v>148</v>
      </c>
      <c r="B149">
        <v>2023</v>
      </c>
      <c r="C149" s="6">
        <f t="shared" ref="C149:E151" si="8">SUMIFS(C$3:C$131,$B$3:$B$131,$B149)-C129/2</f>
        <v>14161671.784384288</v>
      </c>
      <c r="D149" s="6">
        <f t="shared" si="8"/>
        <v>14365508.34880944</v>
      </c>
      <c r="E149" s="6">
        <f t="shared" si="8"/>
        <v>17991525.367459737</v>
      </c>
      <c r="F149" s="6">
        <f>SUMIFS(F$3:F$131,$B$3:$B$131,$B149)-F129/2</f>
        <v>0</v>
      </c>
      <c r="G149" s="6">
        <f>SUMIFS(G$3:G$131,$B$3:$B$131,$B149)-G129/2</f>
        <v>0</v>
      </c>
      <c r="H149" s="6">
        <f>SUMIFS(H$3:H$131,$B$3:$B$131,$B149)-H129/2</f>
        <v>3881087.5181085402</v>
      </c>
      <c r="I149" s="6">
        <f>SUMIFS(I$3:I$131,$B$3:$B$131,$B149)-I129/2</f>
        <v>0</v>
      </c>
      <c r="J149" s="6"/>
      <c r="K149" s="16">
        <f t="shared" si="2"/>
        <v>50399793.018762</v>
      </c>
    </row>
    <row r="150" spans="1:11">
      <c r="A150" t="s">
        <v>149</v>
      </c>
      <c r="B150">
        <v>2024</v>
      </c>
      <c r="C150" s="6">
        <f t="shared" si="8"/>
        <v>14080908.970873253</v>
      </c>
      <c r="D150" s="6">
        <f t="shared" si="8"/>
        <v>13227924.0714256</v>
      </c>
      <c r="E150" s="6">
        <f t="shared" si="8"/>
        <v>16934708.787240501</v>
      </c>
      <c r="F150" s="6">
        <f>SUMIFS(F$3:F$131,$B$3:$B$131,$B150)-F130/2</f>
        <v>0</v>
      </c>
      <c r="G150" s="6">
        <f t="shared" ref="F150:I151" si="9">SUMIFS(G$3:G$131,$B$3:$B$131,$B150)-G130/2</f>
        <v>0</v>
      </c>
      <c r="H150" s="6">
        <f t="shared" si="9"/>
        <v>3877977.8214750481</v>
      </c>
      <c r="I150" s="6">
        <f t="shared" si="9"/>
        <v>0</v>
      </c>
      <c r="J150" s="6"/>
      <c r="K150" s="16">
        <f t="shared" si="2"/>
        <v>48121519.65101441</v>
      </c>
    </row>
    <row r="151" spans="1:11">
      <c r="A151" t="s">
        <v>150</v>
      </c>
      <c r="B151">
        <v>2025</v>
      </c>
      <c r="C151" s="6">
        <f t="shared" si="8"/>
        <v>13876355.908445757</v>
      </c>
      <c r="D151" s="6">
        <f t="shared" si="8"/>
        <v>12219319.189610001</v>
      </c>
      <c r="E151" s="6">
        <f t="shared" si="8"/>
        <v>15480379.972327283</v>
      </c>
      <c r="F151" s="6">
        <f t="shared" si="9"/>
        <v>0</v>
      </c>
      <c r="G151" s="6">
        <f t="shared" si="9"/>
        <v>0</v>
      </c>
      <c r="H151" s="6">
        <f t="shared" si="9"/>
        <v>3872932.303825303</v>
      </c>
      <c r="I151" s="6">
        <f t="shared" si="9"/>
        <v>0</v>
      </c>
      <c r="K151" s="16">
        <f t="shared" si="2"/>
        <v>45448987.374208346</v>
      </c>
    </row>
  </sheetData>
  <mergeCells count="1">
    <mergeCell ref="M1:P1"/>
  </mergeCells>
  <pageMargins left="0.7" right="0.7" top="0.75" bottom="0.75" header="0.3" footer="0.3"/>
  <ignoredErrors>
    <ignoredError sqref="K64:K71 K73:K82 K84:K92 K94:K101 K103:K109 K111:K116 K3:K17 K19:K32 K34:K46 K48:K59 K61:K63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446E-CF84-4C17-A92D-9CFBBEEEC1EB}">
  <sheetPr>
    <tabColor rgb="FF7030A0"/>
  </sheetPr>
  <dimension ref="A2:Z144"/>
  <sheetViews>
    <sheetView topLeftCell="A113" workbookViewId="0">
      <selection activeCell="I40" sqref="I40"/>
    </sheetView>
  </sheetViews>
  <sheetFormatPr defaultColWidth="9.140625" defaultRowHeight="12.6"/>
  <cols>
    <col min="1" max="1" width="11.140625" style="19" customWidth="1"/>
    <col min="2" max="2" width="15.28515625" style="19" customWidth="1"/>
    <col min="3" max="3" width="14" style="19" bestFit="1" customWidth="1"/>
    <col min="4" max="4" width="14" style="19" customWidth="1"/>
    <col min="5" max="6" width="12.28515625" style="19" bestFit="1" customWidth="1"/>
    <col min="7" max="7" width="15.28515625" style="19" customWidth="1"/>
    <col min="8" max="8" width="12.5703125" style="19" bestFit="1" customWidth="1"/>
    <col min="9" max="9" width="12.28515625" style="19" bestFit="1" customWidth="1"/>
    <col min="10" max="10" width="12.28515625" style="19" customWidth="1"/>
    <col min="11" max="11" width="12.28515625" style="19" bestFit="1" customWidth="1"/>
    <col min="12" max="12" width="14.28515625" style="19" customWidth="1"/>
    <col min="13" max="14" width="14" style="19" bestFit="1" customWidth="1"/>
    <col min="15" max="15" width="18.28515625" style="19" customWidth="1"/>
    <col min="16" max="16" width="12.140625" style="19" customWidth="1"/>
    <col min="17" max="17" width="9.140625" style="19"/>
    <col min="18" max="18" width="14.85546875" style="19" bestFit="1" customWidth="1"/>
    <col min="19" max="19" width="21.28515625" style="19" bestFit="1" customWidth="1"/>
    <col min="20" max="20" width="14.85546875" style="19" bestFit="1" customWidth="1"/>
    <col min="21" max="21" width="13.85546875" style="19" bestFit="1" customWidth="1"/>
    <col min="22" max="22" width="12.7109375" style="19" bestFit="1" customWidth="1"/>
    <col min="23" max="23" width="11.140625" style="19" bestFit="1" customWidth="1"/>
    <col min="24" max="24" width="12.7109375" style="19" bestFit="1" customWidth="1"/>
    <col min="25" max="25" width="14.85546875" style="19" bestFit="1" customWidth="1"/>
    <col min="26" max="26" width="17.85546875" style="19" customWidth="1"/>
    <col min="27" max="16384" width="9.140625" style="19"/>
  </cols>
  <sheetData>
    <row r="2" spans="1:26">
      <c r="C2" s="19" t="s">
        <v>484</v>
      </c>
      <c r="D2" s="19" t="s">
        <v>484</v>
      </c>
      <c r="E2" s="19" t="s">
        <v>484</v>
      </c>
      <c r="F2" s="19" t="s">
        <v>484</v>
      </c>
      <c r="G2" s="19" t="s">
        <v>484</v>
      </c>
      <c r="H2" s="19" t="s">
        <v>484</v>
      </c>
      <c r="I2" s="19" t="s">
        <v>484</v>
      </c>
      <c r="J2" s="19" t="s">
        <v>484</v>
      </c>
      <c r="K2" s="19" t="s">
        <v>484</v>
      </c>
      <c r="L2" s="19" t="s">
        <v>484</v>
      </c>
      <c r="M2" s="19" t="s">
        <v>626</v>
      </c>
      <c r="N2" s="419" t="s">
        <v>627</v>
      </c>
      <c r="O2" s="419"/>
    </row>
    <row r="3" spans="1:26">
      <c r="C3" s="19">
        <v>2014</v>
      </c>
      <c r="D3" s="19">
        <f>C3+1</f>
        <v>2015</v>
      </c>
      <c r="E3" s="19">
        <f t="shared" ref="E3:N3" si="0">D3+1</f>
        <v>2016</v>
      </c>
      <c r="F3" s="19">
        <f t="shared" si="0"/>
        <v>2017</v>
      </c>
      <c r="G3" s="19">
        <f t="shared" si="0"/>
        <v>2018</v>
      </c>
      <c r="H3" s="19">
        <f t="shared" si="0"/>
        <v>2019</v>
      </c>
      <c r="I3" s="19">
        <f t="shared" si="0"/>
        <v>2020</v>
      </c>
      <c r="J3" s="19">
        <f t="shared" si="0"/>
        <v>2021</v>
      </c>
      <c r="K3" s="19">
        <f t="shared" si="0"/>
        <v>2022</v>
      </c>
      <c r="L3" s="19">
        <f t="shared" si="0"/>
        <v>2023</v>
      </c>
      <c r="M3" s="19">
        <f t="shared" si="0"/>
        <v>2024</v>
      </c>
      <c r="N3" s="19">
        <f t="shared" si="0"/>
        <v>2025</v>
      </c>
    </row>
    <row r="4" spans="1:26" ht="14.45">
      <c r="B4" s="19" t="s">
        <v>133</v>
      </c>
      <c r="C4" s="410">
        <f ca="1">OFFSET('Normalized Annual Summary'!$C$5,COLUMN()-COLUMN($C$4),0)</f>
        <v>245551953</v>
      </c>
      <c r="D4" s="410">
        <f ca="1">OFFSET('Normalized Annual Summary'!$C$5,COLUMN()-COLUMN($C$4),0)</f>
        <v>244757238</v>
      </c>
      <c r="E4" s="410">
        <f ca="1">OFFSET('Normalized Annual Summary'!$C$5,COLUMN()-COLUMN($C$4),0)</f>
        <v>255390423</v>
      </c>
      <c r="F4" s="410">
        <f ca="1">OFFSET('Normalized Annual Summary'!$C$5,COLUMN()-COLUMN($C$4),0)</f>
        <v>240232071</v>
      </c>
      <c r="G4" s="410">
        <f ca="1">OFFSET('Normalized Annual Summary'!$C$5,COLUMN()-COLUMN($C$4),0)</f>
        <v>259974120</v>
      </c>
      <c r="H4" s="410">
        <f ca="1">OFFSET('Normalized Annual Summary'!$C$5,COLUMN()-COLUMN($C$4),0)</f>
        <v>252809094</v>
      </c>
      <c r="I4" s="410">
        <f ca="1">OFFSET('Normalized Annual Summary'!$C$5,COLUMN()-COLUMN($C$4),0)</f>
        <v>271898869</v>
      </c>
      <c r="J4" s="410">
        <f ca="1">OFFSET('Normalized Annual Summary'!$C$5,COLUMN()-COLUMN($C$4),0)</f>
        <v>277378582</v>
      </c>
      <c r="K4" s="410">
        <f ca="1">OFFSET('Normalized Annual Summary'!$C$5,COLUMN()-COLUMN($C$4),0)</f>
        <v>272607146</v>
      </c>
      <c r="L4" s="410">
        <f ca="1">OFFSET('Normalized Annual Summary'!$C$5,COLUMN()-COLUMN($C$4),0)</f>
        <v>259000633.64553002</v>
      </c>
      <c r="M4" s="410">
        <f ca="1">'Summary Tables'!N3-'CDM Adjustment'!E7-'CDM Adjustment'!F7/2</f>
        <v>276307255.21060741</v>
      </c>
      <c r="N4" s="410">
        <f ca="1">'Summary Tables'!E14</f>
        <v>284227345.6084224</v>
      </c>
      <c r="O4" s="130"/>
      <c r="Q4" s="19">
        <v>269334692</v>
      </c>
      <c r="R4" s="19">
        <v>280504031</v>
      </c>
      <c r="S4" s="19">
        <v>261473210</v>
      </c>
      <c r="T4" s="19">
        <v>268580809</v>
      </c>
      <c r="U4" s="19">
        <v>280221443</v>
      </c>
      <c r="V4" s="19">
        <v>280998338.81585109</v>
      </c>
      <c r="W4" s="19">
        <v>285848386.87134713</v>
      </c>
      <c r="X4" s="19">
        <v>299990451.33059371</v>
      </c>
    </row>
    <row r="5" spans="1:26">
      <c r="B5" s="19" t="s">
        <v>461</v>
      </c>
      <c r="C5" s="410">
        <f ca="1">OFFSET('Normalized Annual Summary'!$N$5,COLUMN()-COLUMN($C$4),0)</f>
        <v>65242009</v>
      </c>
      <c r="D5" s="410">
        <f ca="1">OFFSET('Normalized Annual Summary'!$N$5,COLUMN()-COLUMN($C$4),0)</f>
        <v>65329578</v>
      </c>
      <c r="E5" s="410">
        <f ca="1">OFFSET('Normalized Annual Summary'!$N$5,COLUMN()-COLUMN($C$4),0)</f>
        <v>66808994</v>
      </c>
      <c r="F5" s="410">
        <f ca="1">OFFSET('Normalized Annual Summary'!$N$5,COLUMN()-COLUMN($C$4),0)</f>
        <v>65115315</v>
      </c>
      <c r="G5" s="410">
        <f ca="1">OFFSET('Normalized Annual Summary'!$N$5,COLUMN()-COLUMN($C$4),0)</f>
        <v>66321666</v>
      </c>
      <c r="H5" s="410">
        <f ca="1">OFFSET('Normalized Annual Summary'!$N$5,COLUMN()-COLUMN($C$4),0)</f>
        <v>65058987</v>
      </c>
      <c r="I5" s="410">
        <f ca="1">OFFSET('Normalized Annual Summary'!$N$5,COLUMN()-COLUMN($C$4),0)</f>
        <v>60802781</v>
      </c>
      <c r="J5" s="410">
        <f ca="1">OFFSET('Normalized Annual Summary'!$N$5,COLUMN()-COLUMN($C$4),0)</f>
        <v>62043606</v>
      </c>
      <c r="K5" s="410">
        <f ca="1">OFFSET('Normalized Annual Summary'!$N$5,COLUMN()-COLUMN($C$4),0)</f>
        <v>67628825</v>
      </c>
      <c r="L5" s="410">
        <f ca="1">OFFSET('Normalized Annual Summary'!$N$5,COLUMN()-COLUMN($C$4),0)</f>
        <v>63293408.089218006</v>
      </c>
      <c r="M5" s="410">
        <f ca="1">'Summary Tables'!N4-'CDM Adjustment'!E8-'CDM Adjustment'!F8/2</f>
        <v>68358838.666362375</v>
      </c>
      <c r="N5" s="410">
        <f ca="1">'Summary Tables'!E15</f>
        <v>70720586.946188062</v>
      </c>
    </row>
    <row r="6" spans="1:26">
      <c r="B6" s="19" t="s">
        <v>500</v>
      </c>
      <c r="C6" s="410">
        <f ca="1">OFFSET('Normalized Annual Summary'!$Y$5,COLUMN()-COLUMN($C$4),0)</f>
        <v>167236927</v>
      </c>
      <c r="D6" s="410">
        <f ca="1">OFFSET('Normalized Annual Summary'!$Y$5,COLUMN()-COLUMN($C$4),0)</f>
        <v>171977957</v>
      </c>
      <c r="E6" s="410">
        <f ca="1">OFFSET('Normalized Annual Summary'!$Y$5,COLUMN()-COLUMN($C$4),0)</f>
        <v>187031606</v>
      </c>
      <c r="F6" s="410">
        <f ca="1">OFFSET('Normalized Annual Summary'!$Y$5,COLUMN()-COLUMN($C$4),0)</f>
        <v>166511229</v>
      </c>
      <c r="G6" s="410">
        <f ca="1">OFFSET('Normalized Annual Summary'!$Y$5,COLUMN()-COLUMN($C$4),0)</f>
        <v>171089785</v>
      </c>
      <c r="H6" s="410">
        <f ca="1">OFFSET('Normalized Annual Summary'!$Y$5,COLUMN()-COLUMN($C$4),0)</f>
        <v>180918659</v>
      </c>
      <c r="I6" s="410">
        <f ca="1">OFFSET('Normalized Annual Summary'!$Y$5,COLUMN()-COLUMN($C$4),0)</f>
        <v>171481742</v>
      </c>
      <c r="J6" s="410">
        <f ca="1">OFFSET('Normalized Annual Summary'!$Y$5,COLUMN()-COLUMN($C$4),0)</f>
        <v>178461520</v>
      </c>
      <c r="K6" s="410">
        <f ca="1">OFFSET('Normalized Annual Summary'!$Y$5,COLUMN()-COLUMN($C$4),0)</f>
        <v>183800048</v>
      </c>
      <c r="L6" s="410">
        <f ca="1">OFFSET('Normalized Annual Summary'!$Y$5,COLUMN()-COLUMN($C$4),0)</f>
        <v>183420702.72663307</v>
      </c>
      <c r="M6" s="410">
        <f ca="1">'Summary Tables'!N5-'CDM Adjustment'!E9-'CDM Adjustment'!F9/2</f>
        <v>184803962.4068284</v>
      </c>
      <c r="N6" s="410">
        <f ca="1">'Summary Tables'!E16</f>
        <v>197776368.21230128</v>
      </c>
    </row>
    <row r="7" spans="1:26">
      <c r="A7" s="19" t="s">
        <v>452</v>
      </c>
      <c r="B7" s="19" t="s">
        <v>136</v>
      </c>
      <c r="C7" s="410">
        <f ca="1">OFFSET('Normalized Annual Summary'!$AJ$5,COLUMN()-COLUMN($C$4),0)</f>
        <v>38058829</v>
      </c>
      <c r="D7" s="410">
        <f ca="1">OFFSET('Normalized Annual Summary'!$AJ$5,COLUMN()-COLUMN($C$4),0)</f>
        <v>38655618</v>
      </c>
      <c r="E7" s="410">
        <f ca="1">OFFSET('Normalized Annual Summary'!$AJ$5,COLUMN()-COLUMN($C$4),0)</f>
        <v>32586842</v>
      </c>
      <c r="F7" s="410">
        <f ca="1">OFFSET('Normalized Annual Summary'!$AJ$5,COLUMN()-COLUMN($C$4),0)</f>
        <v>33420007</v>
      </c>
      <c r="G7" s="410">
        <f ca="1">OFFSET('Normalized Annual Summary'!$AJ$5,COLUMN()-COLUMN($C$4),0)</f>
        <v>31923241</v>
      </c>
      <c r="H7" s="410">
        <f ca="1">OFFSET('Normalized Annual Summary'!$AJ$5,COLUMN()-COLUMN($C$4),0)</f>
        <v>34526385</v>
      </c>
      <c r="I7" s="410">
        <f ca="1">OFFSET('Normalized Annual Summary'!$AJ$5,COLUMN()-COLUMN($C$4),0)</f>
        <v>29188687</v>
      </c>
      <c r="J7" s="410">
        <f ca="1">OFFSET('Normalized Annual Summary'!$AJ$5,COLUMN()-COLUMN($C$4),0)</f>
        <v>28075683</v>
      </c>
      <c r="K7" s="410">
        <f ca="1">OFFSET('Normalized Annual Summary'!$AJ$5,COLUMN()-COLUMN($C$4),0)</f>
        <v>28792570</v>
      </c>
      <c r="L7" s="410">
        <f ca="1">OFFSET('Normalized Annual Summary'!$AJ$5,COLUMN()-COLUMN($C$4),0)</f>
        <v>34284228</v>
      </c>
      <c r="M7" s="410">
        <f ca="1">'Summary Tables'!N6-'CDM Adjustment'!E10-'CDM Adjustment'!F10/2</f>
        <v>33920392.464488193</v>
      </c>
      <c r="N7" s="410">
        <f ca="1">'Summary Tables'!E17</f>
        <v>34244754.121491976</v>
      </c>
    </row>
    <row r="8" spans="1:26">
      <c r="B8" s="19" t="s">
        <v>138</v>
      </c>
      <c r="C8" s="410">
        <f ca="1">OFFSET('Normalized Annual Summary'!$AP$5,COLUMN()-COLUMN($C$4),0)</f>
        <v>6286758</v>
      </c>
      <c r="D8" s="410">
        <f ca="1">OFFSET('Normalized Annual Summary'!$AP$5,COLUMN()-COLUMN($C$4),0)</f>
        <v>6227064</v>
      </c>
      <c r="E8" s="410">
        <f ca="1">OFFSET('Normalized Annual Summary'!$AP$5,COLUMN()-COLUMN($C$4),0)</f>
        <v>4268689</v>
      </c>
      <c r="F8" s="410">
        <f ca="1">OFFSET('Normalized Annual Summary'!$AP$5,COLUMN()-COLUMN($C$4),0)</f>
        <v>2875901</v>
      </c>
      <c r="G8" s="410">
        <f ca="1">OFFSET('Normalized Annual Summary'!$AP$5,COLUMN()-COLUMN($C$4),0)</f>
        <v>2887551</v>
      </c>
      <c r="H8" s="410">
        <f ca="1">OFFSET('Normalized Annual Summary'!$AP$5,COLUMN()-COLUMN($C$4),0)</f>
        <v>2576355</v>
      </c>
      <c r="I8" s="410">
        <f ca="1">OFFSET('Normalized Annual Summary'!$AP$5,COLUMN()-COLUMN($C$4),0)</f>
        <v>2455697</v>
      </c>
      <c r="J8" s="410">
        <f ca="1">OFFSET('Normalized Annual Summary'!$AP$5,COLUMN()-COLUMN($C$4),0)</f>
        <v>2444025</v>
      </c>
      <c r="K8" s="410">
        <f ca="1">OFFSET('Normalized Annual Summary'!$AP$5,COLUMN()-COLUMN($C$4),0)</f>
        <v>2406027</v>
      </c>
      <c r="L8" s="410">
        <f ca="1">OFFSET('Normalized Annual Summary'!$AP$5,COLUMN()-COLUMN($C$4),0)</f>
        <v>2415232.6883003376</v>
      </c>
      <c r="M8" s="410">
        <f ca="1">'Summary Tables'!N7-'CDM Adjustment'!E11-'CDM Adjustment'!F11/2</f>
        <v>2424399.2117340649</v>
      </c>
      <c r="N8" s="410">
        <f ca="1">'Summary Tables'!E18</f>
        <v>2433600.5248393081</v>
      </c>
    </row>
    <row r="9" spans="1:26">
      <c r="B9" s="19" t="s">
        <v>137</v>
      </c>
      <c r="C9" s="410">
        <f ca="1">OFFSET('Normalized Annual Summary'!$AV$5,COLUMN()-COLUMN($C$4),0)</f>
        <v>350518</v>
      </c>
      <c r="D9" s="410">
        <f ca="1">OFFSET('Normalized Annual Summary'!$AV$5,COLUMN()-COLUMN($C$4),0)</f>
        <v>341134</v>
      </c>
      <c r="E9" s="410">
        <f ca="1">OFFSET('Normalized Annual Summary'!$AV$5,COLUMN()-COLUMN($C$4),0)</f>
        <v>335758</v>
      </c>
      <c r="F9" s="410">
        <f ca="1">OFFSET('Normalized Annual Summary'!$AV$5,COLUMN()-COLUMN($C$4),0)</f>
        <v>304470</v>
      </c>
      <c r="G9" s="410">
        <f ca="1">OFFSET('Normalized Annual Summary'!$AV$5,COLUMN()-COLUMN($C$4),0)</f>
        <v>293755</v>
      </c>
      <c r="H9" s="410">
        <f ca="1">OFFSET('Normalized Annual Summary'!$AV$5,COLUMN()-COLUMN($C$4),0)</f>
        <v>285985</v>
      </c>
      <c r="I9" s="410">
        <f ca="1">OFFSET('Normalized Annual Summary'!$AV$5,COLUMN()-COLUMN($C$4),0)</f>
        <v>281018</v>
      </c>
      <c r="J9" s="410">
        <f ca="1">OFFSET('Normalized Annual Summary'!$AV$5,COLUMN()-COLUMN($C$4),0)</f>
        <v>278297</v>
      </c>
      <c r="K9" s="410">
        <f ca="1">OFFSET('Normalized Annual Summary'!$AV$5,COLUMN()-COLUMN($C$4),0)</f>
        <v>271670</v>
      </c>
      <c r="L9" s="410">
        <f ca="1">OFFSET('Normalized Annual Summary'!$AV$5,COLUMN()-COLUMN($C$4),0)</f>
        <v>269986.47996137134</v>
      </c>
      <c r="M9" s="410">
        <f ca="1">'Summary Tables'!N8-'CDM Adjustment'!E12-'CDM Adjustment'!F12/2</f>
        <v>266129.58549679042</v>
      </c>
      <c r="N9" s="410">
        <f ca="1">'Summary Tables'!E19</f>
        <v>262327.78873529832</v>
      </c>
    </row>
    <row r="10" spans="1:26">
      <c r="B10" s="19" t="s">
        <v>139</v>
      </c>
      <c r="C10" s="410">
        <f ca="1">OFFSET('Normalized Annual Summary'!$BB$5,COLUMN()-COLUMN($C$4),0)</f>
        <v>1555546</v>
      </c>
      <c r="D10" s="410">
        <f ca="1">OFFSET('Normalized Annual Summary'!$BB$5,COLUMN()-COLUMN($C$4),0)</f>
        <v>1558152</v>
      </c>
      <c r="E10" s="410">
        <f ca="1">OFFSET('Normalized Annual Summary'!$BB$5,COLUMN()-COLUMN($C$4),0)</f>
        <v>1554368</v>
      </c>
      <c r="F10" s="410">
        <f ca="1">OFFSET('Normalized Annual Summary'!$BB$5,COLUMN()-COLUMN($C$4),0)</f>
        <v>1549260</v>
      </c>
      <c r="G10" s="410">
        <f ca="1">OFFSET('Normalized Annual Summary'!$BB$5,COLUMN()-COLUMN($C$4),0)</f>
        <v>1547236</v>
      </c>
      <c r="H10" s="410">
        <f ca="1">OFFSET('Normalized Annual Summary'!$BB$5,COLUMN()-COLUMN($C$4),0)</f>
        <v>1541978</v>
      </c>
      <c r="I10" s="410">
        <f ca="1">OFFSET('Normalized Annual Summary'!$BB$5,COLUMN()-COLUMN($C$4),0)</f>
        <v>1442699</v>
      </c>
      <c r="J10" s="410">
        <f ca="1">OFFSET('Normalized Annual Summary'!$BB$5,COLUMN()-COLUMN($C$4),0)</f>
        <v>1408704</v>
      </c>
      <c r="K10" s="410">
        <f ca="1">OFFSET('Normalized Annual Summary'!$BB$5,COLUMN()-COLUMN($C$4),0)</f>
        <v>1408704</v>
      </c>
      <c r="L10" s="410">
        <f ca="1">OFFSET('Normalized Annual Summary'!$BB$5,COLUMN()-COLUMN($C$4),0)</f>
        <v>1408699.1791405117</v>
      </c>
      <c r="M10" s="410">
        <f ca="1">'Summary Tables'!N9-'CDM Adjustment'!E13-'CDM Adjustment'!F13/2</f>
        <v>1396074.1251787506</v>
      </c>
      <c r="N10" s="410">
        <f ca="1">'Summary Tables'!E20</f>
        <v>1383562.2195668274</v>
      </c>
    </row>
    <row r="11" spans="1:26" ht="12.95">
      <c r="B11" s="44" t="s">
        <v>140</v>
      </c>
      <c r="C11" s="420">
        <f t="shared" ref="C11:N11" ca="1" si="1">SUM(C4:C10)</f>
        <v>524282540</v>
      </c>
      <c r="D11" s="420">
        <f t="shared" ca="1" si="1"/>
        <v>528846741</v>
      </c>
      <c r="E11" s="420">
        <f t="shared" ca="1" si="1"/>
        <v>547976680</v>
      </c>
      <c r="F11" s="420">
        <f t="shared" ca="1" si="1"/>
        <v>510008253</v>
      </c>
      <c r="G11" s="420">
        <f t="shared" ca="1" si="1"/>
        <v>534037354</v>
      </c>
      <c r="H11" s="420">
        <f t="shared" ca="1" si="1"/>
        <v>537717443</v>
      </c>
      <c r="I11" s="420">
        <f t="shared" ca="1" si="1"/>
        <v>537551493</v>
      </c>
      <c r="J11" s="420">
        <f t="shared" ca="1" si="1"/>
        <v>550090417</v>
      </c>
      <c r="K11" s="420">
        <f t="shared" ca="1" si="1"/>
        <v>556914990</v>
      </c>
      <c r="L11" s="420">
        <f t="shared" ca="1" si="1"/>
        <v>544092890.80878341</v>
      </c>
      <c r="M11" s="420">
        <f t="shared" ca="1" si="1"/>
        <v>567477051.6706959</v>
      </c>
      <c r="N11" s="420">
        <f t="shared" ca="1" si="1"/>
        <v>591048545.42154515</v>
      </c>
    </row>
    <row r="12" spans="1:26">
      <c r="G12" s="423">
        <f ca="1">G5+G6+G7</f>
        <v>269334692</v>
      </c>
      <c r="H12" s="423">
        <f t="shared" ref="H12:N12" ca="1" si="2">H5+H6+H7</f>
        <v>280504031</v>
      </c>
      <c r="I12" s="423">
        <f t="shared" ca="1" si="2"/>
        <v>261473210</v>
      </c>
      <c r="J12" s="423">
        <f t="shared" ca="1" si="2"/>
        <v>268580809</v>
      </c>
      <c r="K12" s="423">
        <f t="shared" ca="1" si="2"/>
        <v>280221443</v>
      </c>
      <c r="L12" s="423">
        <f t="shared" ca="1" si="2"/>
        <v>280998338.81585109</v>
      </c>
      <c r="M12" s="423">
        <f t="shared" ca="1" si="2"/>
        <v>287083193.53767896</v>
      </c>
      <c r="N12" s="423">
        <f t="shared" ca="1" si="2"/>
        <v>302741709.27998132</v>
      </c>
      <c r="R12" s="34" t="s">
        <v>140</v>
      </c>
      <c r="S12" s="34"/>
      <c r="T12" s="34"/>
      <c r="U12" s="34"/>
      <c r="V12" s="34"/>
      <c r="W12" s="34"/>
      <c r="X12" s="34"/>
    </row>
    <row r="13" spans="1:26">
      <c r="P13" s="19" t="s">
        <v>484</v>
      </c>
      <c r="Q13" s="19">
        <v>2018</v>
      </c>
      <c r="R13" s="49">
        <v>534037354</v>
      </c>
      <c r="T13" s="448">
        <v>5.693808513477383E-2</v>
      </c>
      <c r="U13" s="448">
        <v>-0.11555711718285722</v>
      </c>
      <c r="V13" s="49">
        <v>29873.25</v>
      </c>
      <c r="W13" s="49"/>
      <c r="X13" s="49"/>
    </row>
    <row r="14" spans="1:26">
      <c r="P14" s="19" t="s">
        <v>484</v>
      </c>
      <c r="Q14" s="19">
        <v>2019</v>
      </c>
      <c r="R14" s="49">
        <v>537717443</v>
      </c>
      <c r="S14" s="448">
        <f>R14/R13-1</f>
        <v>6.8910703950495478E-3</v>
      </c>
      <c r="T14" s="448">
        <v>4.8660051845871077E-2</v>
      </c>
      <c r="U14" s="448">
        <v>0.24134619635454624</v>
      </c>
      <c r="V14" s="49">
        <v>30193.583333333332</v>
      </c>
      <c r="W14" s="448">
        <f>V14/V13-1</f>
        <v>1.07230828026188E-2</v>
      </c>
      <c r="X14" s="49"/>
      <c r="Y14" s="30"/>
      <c r="Z14" s="30"/>
    </row>
    <row r="15" spans="1:26">
      <c r="C15" s="19">
        <f t="shared" ref="C15:N15" si="3">C3</f>
        <v>2014</v>
      </c>
      <c r="D15" s="19">
        <f t="shared" si="3"/>
        <v>2015</v>
      </c>
      <c r="E15" s="19">
        <f t="shared" si="3"/>
        <v>2016</v>
      </c>
      <c r="F15" s="19">
        <f t="shared" si="3"/>
        <v>2017</v>
      </c>
      <c r="G15" s="19">
        <f t="shared" si="3"/>
        <v>2018</v>
      </c>
      <c r="H15" s="19">
        <f t="shared" si="3"/>
        <v>2019</v>
      </c>
      <c r="I15" s="19">
        <f t="shared" si="3"/>
        <v>2020</v>
      </c>
      <c r="J15" s="19">
        <f t="shared" si="3"/>
        <v>2021</v>
      </c>
      <c r="K15" s="19">
        <f t="shared" si="3"/>
        <v>2022</v>
      </c>
      <c r="L15" s="19">
        <f t="shared" si="3"/>
        <v>2023</v>
      </c>
      <c r="M15" s="19">
        <f t="shared" si="3"/>
        <v>2024</v>
      </c>
      <c r="N15" s="19">
        <f t="shared" si="3"/>
        <v>2025</v>
      </c>
      <c r="P15" s="19" t="s">
        <v>484</v>
      </c>
      <c r="Q15" s="19">
        <v>2020</v>
      </c>
      <c r="R15" s="49">
        <v>537551493</v>
      </c>
      <c r="S15" s="448">
        <f t="shared" ref="S15:S20" si="4">R15/R14-1</f>
        <v>-3.0861933560155652E-4</v>
      </c>
      <c r="T15" s="448">
        <v>-3.6342899132152606E-2</v>
      </c>
      <c r="U15" s="448">
        <v>-3.6688965929331685E-2</v>
      </c>
      <c r="V15" s="49">
        <v>30543.416666666664</v>
      </c>
      <c r="W15" s="448">
        <f t="shared" ref="W15:W20" si="5">V15/V14-1</f>
        <v>1.1586346988736507E-2</v>
      </c>
      <c r="X15" s="49"/>
      <c r="Y15" s="30"/>
      <c r="Z15" s="30"/>
    </row>
    <row r="16" spans="1:26">
      <c r="B16" s="19" t="str">
        <f>B6</f>
        <v>GS &gt; 50</v>
      </c>
      <c r="C16" s="421">
        <f ca="1">'Summary Tables'!C25</f>
        <v>400144</v>
      </c>
      <c r="D16" s="421">
        <f ca="1">'Summary Tables'!D25</f>
        <v>463529</v>
      </c>
      <c r="E16" s="421">
        <f ca="1">'Summary Tables'!E25</f>
        <v>476120</v>
      </c>
      <c r="F16" s="421">
        <f ca="1">'Summary Tables'!F25</f>
        <v>499500</v>
      </c>
      <c r="G16" s="421">
        <f ca="1">'Summary Tables'!G25</f>
        <v>536823</v>
      </c>
      <c r="H16" s="421">
        <f ca="1">'Summary Tables'!H25</f>
        <v>592797</v>
      </c>
      <c r="I16" s="421">
        <f ca="1">'Summary Tables'!I25</f>
        <v>580474</v>
      </c>
      <c r="J16" s="421">
        <f ca="1">'Summary Tables'!J25</f>
        <v>574683</v>
      </c>
      <c r="K16" s="421">
        <f ca="1">'Summary Tables'!K25</f>
        <v>592472</v>
      </c>
      <c r="L16" s="421">
        <f ca="1">'Summary Tables'!L25</f>
        <v>566314.55000000005</v>
      </c>
      <c r="M16" s="421">
        <f ca="1">M6*'kW Forecast'!$E$28</f>
        <v>598499.67290900333</v>
      </c>
      <c r="N16" s="421">
        <f ca="1">'Summary Tables'!E33</f>
        <v>697710.87720772857</v>
      </c>
      <c r="P16" s="19" t="s">
        <v>484</v>
      </c>
      <c r="Q16" s="19">
        <v>2021</v>
      </c>
      <c r="R16" s="49">
        <v>550090417</v>
      </c>
      <c r="S16" s="448">
        <f t="shared" si="4"/>
        <v>2.3325996045554742E-2</v>
      </c>
      <c r="T16" s="448">
        <v>-6.7609254696503474E-2</v>
      </c>
      <c r="U16" s="448">
        <v>6.837049810072493E-2</v>
      </c>
      <c r="V16" s="49">
        <v>30789.75</v>
      </c>
      <c r="W16" s="448">
        <f t="shared" si="5"/>
        <v>8.0650221951812373E-3</v>
      </c>
      <c r="X16" s="49"/>
      <c r="Y16" s="30"/>
      <c r="Z16" s="30"/>
    </row>
    <row r="17" spans="1:26">
      <c r="A17" s="19" t="s">
        <v>453</v>
      </c>
      <c r="B17" s="19" t="str">
        <f>B7</f>
        <v>Embedded Distributor</v>
      </c>
      <c r="C17" s="421">
        <f ca="1">'Summary Tables'!C26</f>
        <v>84453</v>
      </c>
      <c r="D17" s="421">
        <f ca="1">'Summary Tables'!D26</f>
        <v>106797</v>
      </c>
      <c r="E17" s="421">
        <f ca="1">'Summary Tables'!E26</f>
        <v>87829</v>
      </c>
      <c r="F17" s="421">
        <f ca="1">'Summary Tables'!F26</f>
        <v>87518</v>
      </c>
      <c r="G17" s="421">
        <f ca="1">'Summary Tables'!G26</f>
        <v>96861</v>
      </c>
      <c r="H17" s="421">
        <f ca="1">'Summary Tables'!H26</f>
        <v>94142</v>
      </c>
      <c r="I17" s="421">
        <f ca="1">'Summary Tables'!I26</f>
        <v>92507</v>
      </c>
      <c r="J17" s="421">
        <f ca="1">'Summary Tables'!J26</f>
        <v>89242</v>
      </c>
      <c r="K17" s="421">
        <f ca="1">'Summary Tables'!K26</f>
        <v>83614</v>
      </c>
      <c r="L17" s="421">
        <f ca="1">'Summary Tables'!L26</f>
        <v>90976</v>
      </c>
      <c r="M17" s="421">
        <f ca="1">M7*'kW Forecast'!$Z$28</f>
        <v>90010.53268136234</v>
      </c>
      <c r="N17" s="421">
        <f ca="1">'Summary Tables'!E34</f>
        <v>90871.252838385451</v>
      </c>
      <c r="P17" s="19" t="s">
        <v>484</v>
      </c>
      <c r="Q17" s="19">
        <v>2022</v>
      </c>
      <c r="R17" s="49">
        <v>556914990</v>
      </c>
      <c r="S17" s="448">
        <f t="shared" si="4"/>
        <v>1.2406275021511703E-2</v>
      </c>
      <c r="T17" s="448">
        <v>2.7251808838897329E-2</v>
      </c>
      <c r="U17" s="448">
        <v>0.18242221485288201</v>
      </c>
      <c r="V17" s="49">
        <v>31024.499999999996</v>
      </c>
      <c r="W17" s="448">
        <f t="shared" si="5"/>
        <v>7.6242905512384773E-3</v>
      </c>
      <c r="X17" s="49"/>
      <c r="Y17" s="30"/>
      <c r="Z17" s="30"/>
    </row>
    <row r="18" spans="1:26">
      <c r="B18" s="19" t="str">
        <f>B8</f>
        <v>Street Light</v>
      </c>
      <c r="C18" s="421">
        <f ca="1">'Summary Tables'!C27</f>
        <v>15873</v>
      </c>
      <c r="D18" s="421">
        <f ca="1">'Summary Tables'!D27</f>
        <v>18022</v>
      </c>
      <c r="E18" s="421">
        <f ca="1">'Summary Tables'!E27</f>
        <v>13492</v>
      </c>
      <c r="F18" s="421">
        <f ca="1">'Summary Tables'!F27</f>
        <v>8732</v>
      </c>
      <c r="G18" s="421">
        <f ca="1">'Summary Tables'!G27</f>
        <v>8746</v>
      </c>
      <c r="H18" s="421">
        <f ca="1">'Summary Tables'!H27</f>
        <v>7846</v>
      </c>
      <c r="I18" s="421">
        <f ca="1">'Summary Tables'!I27</f>
        <v>7413</v>
      </c>
      <c r="J18" s="421">
        <f ca="1">'Summary Tables'!J27</f>
        <v>7398</v>
      </c>
      <c r="K18" s="421">
        <f ca="1">'Summary Tables'!K27</f>
        <v>7289</v>
      </c>
      <c r="L18" s="421">
        <f ca="1">'Summary Tables'!L27</f>
        <v>7310.3</v>
      </c>
      <c r="M18" s="421">
        <f ca="1">'Summary Tables'!N27</f>
        <v>7344.6106796243503</v>
      </c>
      <c r="N18" s="421">
        <f ca="1">'Summary Tables'!E35</f>
        <v>7372.4856525959021</v>
      </c>
      <c r="P18" s="19" t="s">
        <v>484</v>
      </c>
      <c r="Q18" s="19">
        <v>2023</v>
      </c>
      <c r="R18" s="49">
        <v>544092890.80878341</v>
      </c>
      <c r="S18" s="448">
        <f t="shared" si="4"/>
        <v>-2.3023440599464928E-2</v>
      </c>
      <c r="T18" s="448">
        <v>-0.11360312057413025</v>
      </c>
      <c r="U18" s="448">
        <v>6.1654830319113563E-2</v>
      </c>
      <c r="V18" s="49">
        <v>31208.083333333332</v>
      </c>
      <c r="W18" s="448">
        <f t="shared" si="5"/>
        <v>5.9173663824827472E-3</v>
      </c>
      <c r="X18" s="49"/>
      <c r="Y18" s="30"/>
      <c r="Z18" s="30"/>
    </row>
    <row r="19" spans="1:26">
      <c r="B19" s="19" t="str">
        <f>B9</f>
        <v>Sentinel Light</v>
      </c>
      <c r="C19" s="421">
        <f ca="1">'Summary Tables'!C28</f>
        <v>876</v>
      </c>
      <c r="D19" s="421">
        <f ca="1">'Summary Tables'!D28</f>
        <v>878</v>
      </c>
      <c r="E19" s="421">
        <f ca="1">'Summary Tables'!E28</f>
        <v>868</v>
      </c>
      <c r="F19" s="421">
        <f ca="1">'Summary Tables'!F28</f>
        <v>852</v>
      </c>
      <c r="G19" s="421">
        <f ca="1">'Summary Tables'!G28</f>
        <v>815</v>
      </c>
      <c r="H19" s="421">
        <f ca="1">'Summary Tables'!H28</f>
        <v>781</v>
      </c>
      <c r="I19" s="421">
        <f ca="1">'Summary Tables'!I28</f>
        <v>767</v>
      </c>
      <c r="J19" s="421">
        <f ca="1">'Summary Tables'!J28</f>
        <v>759</v>
      </c>
      <c r="K19" s="421">
        <f ca="1">'Summary Tables'!K28</f>
        <v>744</v>
      </c>
      <c r="L19" s="421">
        <f ca="1">'Summary Tables'!L28</f>
        <v>736.37999999999988</v>
      </c>
      <c r="M19" s="421">
        <f ca="1">'Summary Tables'!N28</f>
        <v>726.72877393329361</v>
      </c>
      <c r="N19" s="421">
        <f ca="1">'Summary Tables'!E36</f>
        <v>716.34708302108174</v>
      </c>
      <c r="P19" s="19" t="s">
        <v>626</v>
      </c>
      <c r="Q19" s="19">
        <v>2024</v>
      </c>
      <c r="R19" s="49">
        <f ca="1">M11</f>
        <v>567477051.6706959</v>
      </c>
      <c r="S19" s="448">
        <f t="shared" ca="1" si="4"/>
        <v>4.2978251061417838E-2</v>
      </c>
      <c r="T19" s="448">
        <v>0</v>
      </c>
      <c r="U19" s="448">
        <v>0</v>
      </c>
      <c r="V19" s="49">
        <v>31497.968642008254</v>
      </c>
      <c r="W19" s="448">
        <f t="shared" si="5"/>
        <v>9.2887892402317984E-3</v>
      </c>
      <c r="X19" s="49"/>
      <c r="Y19" s="30"/>
      <c r="Z19" s="30"/>
    </row>
    <row r="20" spans="1:26" ht="12.95">
      <c r="B20" s="44" t="s">
        <v>140</v>
      </c>
      <c r="C20" s="420">
        <f t="shared" ref="C20:N20" ca="1" si="6">SUM(C16:C19)</f>
        <v>501346</v>
      </c>
      <c r="D20" s="420">
        <f t="shared" ca="1" si="6"/>
        <v>589226</v>
      </c>
      <c r="E20" s="420">
        <f t="shared" ca="1" si="6"/>
        <v>578309</v>
      </c>
      <c r="F20" s="420">
        <f t="shared" ca="1" si="6"/>
        <v>596602</v>
      </c>
      <c r="G20" s="420">
        <f t="shared" ca="1" si="6"/>
        <v>643245</v>
      </c>
      <c r="H20" s="420">
        <f t="shared" ca="1" si="6"/>
        <v>695566</v>
      </c>
      <c r="I20" s="420">
        <f t="shared" ca="1" si="6"/>
        <v>681161</v>
      </c>
      <c r="J20" s="420">
        <f t="shared" ca="1" si="6"/>
        <v>672082</v>
      </c>
      <c r="K20" s="420">
        <f t="shared" ca="1" si="6"/>
        <v>684119</v>
      </c>
      <c r="L20" s="420">
        <f t="shared" ca="1" si="6"/>
        <v>665337.2300000001</v>
      </c>
      <c r="M20" s="420">
        <f t="shared" ca="1" si="6"/>
        <v>696581.54504392331</v>
      </c>
      <c r="N20" s="420">
        <f t="shared" ca="1" si="6"/>
        <v>796670.96278173092</v>
      </c>
      <c r="P20" s="19" t="s">
        <v>627</v>
      </c>
      <c r="Q20" s="19">
        <v>2025</v>
      </c>
      <c r="R20" s="49">
        <f ca="1">N11</f>
        <v>591048545.42154515</v>
      </c>
      <c r="S20" s="448">
        <f t="shared" ca="1" si="4"/>
        <v>4.1537351477831441E-2</v>
      </c>
      <c r="T20" s="448">
        <v>0</v>
      </c>
      <c r="U20" s="448">
        <v>0</v>
      </c>
      <c r="V20" s="49">
        <v>31790.548136809535</v>
      </c>
      <c r="W20" s="448">
        <f t="shared" si="5"/>
        <v>9.2888369445853769E-3</v>
      </c>
      <c r="X20" s="49"/>
      <c r="Y20" s="30"/>
      <c r="Z20" s="30"/>
    </row>
    <row r="22" spans="1:26">
      <c r="S22" s="444" cm="1">
        <f t="array" aca="1" ref="S22" ca="1">GEOMEAN(1+S14:S20)</f>
        <v>1.0145958320764263</v>
      </c>
      <c r="U22" s="444"/>
      <c r="W22" s="444" cm="1">
        <f t="array" ref="W22">GEOMEAN(1+W14:W20)</f>
        <v>1.0089261145682644</v>
      </c>
      <c r="Y22" s="444"/>
      <c r="Z22" s="444"/>
    </row>
    <row r="23" spans="1:26">
      <c r="C23" s="19">
        <f t="shared" ref="C23:N23" si="7">C15</f>
        <v>2014</v>
      </c>
      <c r="D23" s="19">
        <f t="shared" si="7"/>
        <v>2015</v>
      </c>
      <c r="E23" s="19">
        <f t="shared" si="7"/>
        <v>2016</v>
      </c>
      <c r="F23" s="19">
        <f t="shared" si="7"/>
        <v>2017</v>
      </c>
      <c r="G23" s="19">
        <f t="shared" si="7"/>
        <v>2018</v>
      </c>
      <c r="H23" s="19">
        <f t="shared" si="7"/>
        <v>2019</v>
      </c>
      <c r="I23" s="19">
        <f t="shared" si="7"/>
        <v>2020</v>
      </c>
      <c r="J23" s="19">
        <f t="shared" si="7"/>
        <v>2021</v>
      </c>
      <c r="K23" s="19">
        <f t="shared" si="7"/>
        <v>2022</v>
      </c>
      <c r="L23" s="19">
        <f t="shared" si="7"/>
        <v>2023</v>
      </c>
      <c r="M23" s="19">
        <f t="shared" si="7"/>
        <v>2024</v>
      </c>
      <c r="N23" s="19">
        <f t="shared" si="7"/>
        <v>2025</v>
      </c>
      <c r="R23" s="448">
        <f>R18/R13-1</f>
        <v>1.8829276142326545E-2</v>
      </c>
      <c r="S23" s="450">
        <f ca="1">S22-1</f>
        <v>1.4595832076426341E-2</v>
      </c>
      <c r="U23" s="449"/>
      <c r="W23" s="450">
        <f>W22-1</f>
        <v>8.9261145682644205E-3</v>
      </c>
      <c r="Y23" s="450"/>
      <c r="Z23" s="450"/>
    </row>
    <row r="24" spans="1:26" ht="14.45">
      <c r="B24" s="19" t="str">
        <f t="shared" ref="B24:B31" si="8">B4</f>
        <v>Residential</v>
      </c>
      <c r="C24" s="130">
        <f ca="1">'Summary Tables'!C41</f>
        <v>26590.166666666668</v>
      </c>
      <c r="D24" s="130">
        <f ca="1">'Summary Tables'!D41</f>
        <v>26815.083333333332</v>
      </c>
      <c r="E24" s="130">
        <f ca="1">'Summary Tables'!E41</f>
        <v>26920.416666666668</v>
      </c>
      <c r="F24" s="130">
        <f ca="1">'Summary Tables'!F41</f>
        <v>27320.666666666668</v>
      </c>
      <c r="G24" s="130">
        <f ca="1">'Summary Tables'!G41</f>
        <v>27640.416666666668</v>
      </c>
      <c r="H24" s="130">
        <f ca="1">'Summary Tables'!H41</f>
        <v>27931.833333333332</v>
      </c>
      <c r="I24" s="130">
        <f ca="1">'Summary Tables'!I41</f>
        <v>28265.333333333332</v>
      </c>
      <c r="J24" s="130">
        <f ca="1">'Summary Tables'!J41</f>
        <v>28511.916666666668</v>
      </c>
      <c r="K24" s="130">
        <f ca="1">'Summary Tables'!K41</f>
        <v>28745.333333333332</v>
      </c>
      <c r="L24" s="130">
        <f ca="1">'Summary Tables'!L41</f>
        <v>28911.5</v>
      </c>
      <c r="M24" s="130">
        <f ca="1">'Summary Tables'!M41</f>
        <v>29181.624519563167</v>
      </c>
      <c r="N24" s="130">
        <f ca="1">'Summary Tables'!N41</f>
        <v>29454.272853389488</v>
      </c>
    </row>
    <row r="25" spans="1:26" ht="14.45">
      <c r="A25" s="19" t="s">
        <v>504</v>
      </c>
      <c r="B25" s="19" t="str">
        <f t="shared" si="8"/>
        <v>GS &lt; 50</v>
      </c>
      <c r="C25" s="130">
        <f ca="1">'Summary Tables'!C42</f>
        <v>1909.75</v>
      </c>
      <c r="D25" s="130">
        <f ca="1">'Summary Tables'!D42</f>
        <v>1935.6666666666667</v>
      </c>
      <c r="E25" s="130">
        <f ca="1">'Summary Tables'!E42</f>
        <v>1933.5</v>
      </c>
      <c r="F25" s="130">
        <f ca="1">'Summary Tables'!F42</f>
        <v>1965.6666666666667</v>
      </c>
      <c r="G25" s="130">
        <f ca="1">'Summary Tables'!G42</f>
        <v>1978.8333333333333</v>
      </c>
      <c r="H25" s="130">
        <f ca="1">'Summary Tables'!H42</f>
        <v>1996.25</v>
      </c>
      <c r="I25" s="130">
        <f ca="1">'Summary Tables'!I42</f>
        <v>2017.75</v>
      </c>
      <c r="J25" s="130">
        <f ca="1">'Summary Tables'!J42</f>
        <v>2039.5833333333333</v>
      </c>
      <c r="K25" s="130">
        <f ca="1">'Summary Tables'!K42</f>
        <v>2065.0833333333335</v>
      </c>
      <c r="L25" s="130">
        <f ca="1">'Summary Tables'!L42</f>
        <v>2062.25</v>
      </c>
      <c r="M25" s="130">
        <f ca="1">'Summary Tables'!M42</f>
        <v>2079.9290063577705</v>
      </c>
      <c r="N25" s="130">
        <f ca="1">'Summary Tables'!N42</f>
        <v>2097.7595691542842</v>
      </c>
      <c r="S25" s="19" cm="1">
        <f t="array" ref="S25">GEOMEAN(1+S14:S18)</f>
        <v>1.0037378081698898</v>
      </c>
      <c r="W25" s="19">
        <f t="array" ref="W25">GEOMEAN(1+W14:W18)</f>
        <v>1.0087810716562959</v>
      </c>
    </row>
    <row r="26" spans="1:26" ht="14.45">
      <c r="A26" s="419" t="s">
        <v>628</v>
      </c>
      <c r="B26" s="19" t="str">
        <f t="shared" si="8"/>
        <v>GS &gt; 50</v>
      </c>
      <c r="C26" s="130">
        <f ca="1">'Summary Tables'!C43</f>
        <v>212.41666666666666</v>
      </c>
      <c r="D26" s="130">
        <f ca="1">'Summary Tables'!D43</f>
        <v>212.08333333333334</v>
      </c>
      <c r="E26" s="130">
        <f ca="1">'Summary Tables'!E43</f>
        <v>254.5</v>
      </c>
      <c r="F26" s="130">
        <f ca="1">'Summary Tables'!F43</f>
        <v>250</v>
      </c>
      <c r="G26" s="130">
        <f ca="1">'Summary Tables'!G43</f>
        <v>249.25</v>
      </c>
      <c r="H26" s="130">
        <f ca="1">'Summary Tables'!H43</f>
        <v>261.5</v>
      </c>
      <c r="I26" s="130">
        <f ca="1">'Summary Tables'!I43</f>
        <v>256.33333333333331</v>
      </c>
      <c r="J26" s="130">
        <f ca="1">'Summary Tables'!J43</f>
        <v>234.25</v>
      </c>
      <c r="K26" s="130">
        <f ca="1">'Summary Tables'!K43</f>
        <v>210.08333333333334</v>
      </c>
      <c r="L26" s="130">
        <f ca="1">'Summary Tables'!L43</f>
        <v>230.33333333333334</v>
      </c>
      <c r="M26" s="130">
        <f ca="1">'Summary Tables'!M43</f>
        <v>232.41511608731571</v>
      </c>
      <c r="N26" s="130">
        <f ca="1">'Summary Tables'!N43</f>
        <v>234.51571426576166</v>
      </c>
      <c r="S26" s="450">
        <f>S25-1</f>
        <v>3.737808169889778E-3</v>
      </c>
      <c r="U26" s="450"/>
      <c r="W26" s="450">
        <f>W25-1</f>
        <v>8.7810716562959357E-3</v>
      </c>
      <c r="Y26" s="450"/>
      <c r="Z26" s="450"/>
    </row>
    <row r="27" spans="1:26" ht="14.45">
      <c r="B27" s="19" t="str">
        <f t="shared" si="8"/>
        <v>Embedded Distributor</v>
      </c>
      <c r="C27" s="130">
        <f ca="1">'Summary Tables'!C44</f>
        <v>6</v>
      </c>
      <c r="D27" s="130">
        <f ca="1">'Summary Tables'!D44</f>
        <v>5.666666666666667</v>
      </c>
      <c r="E27" s="130">
        <f ca="1">'Summary Tables'!E44</f>
        <v>3</v>
      </c>
      <c r="F27" s="130">
        <f ca="1">'Summary Tables'!F44</f>
        <v>4.083333333333333</v>
      </c>
      <c r="G27" s="130">
        <f ca="1">'Summary Tables'!G44</f>
        <v>4.75</v>
      </c>
      <c r="H27" s="130">
        <f ca="1">'Summary Tables'!H44</f>
        <v>4</v>
      </c>
      <c r="I27" s="130">
        <f ca="1">'Summary Tables'!I44</f>
        <v>4</v>
      </c>
      <c r="J27" s="130">
        <f ca="1">'Summary Tables'!J44</f>
        <v>4</v>
      </c>
      <c r="K27" s="130">
        <f ca="1">'Summary Tables'!K44</f>
        <v>4</v>
      </c>
      <c r="L27" s="130">
        <f ca="1">'Summary Tables'!L44</f>
        <v>4</v>
      </c>
      <c r="M27" s="130">
        <f ca="1">'Summary Tables'!M44</f>
        <v>4</v>
      </c>
      <c r="N27" s="130">
        <f ca="1">'Summary Tables'!N44</f>
        <v>4</v>
      </c>
    </row>
    <row r="28" spans="1:26" ht="14.45">
      <c r="B28" s="19" t="str">
        <f t="shared" si="8"/>
        <v>Street Light</v>
      </c>
      <c r="C28" s="130">
        <f ca="1">'Summary Tables'!C45</f>
        <v>2712.8333333333335</v>
      </c>
      <c r="D28" s="130">
        <f ca="1">'Summary Tables'!D45</f>
        <v>2700.5833333333335</v>
      </c>
      <c r="E28" s="130">
        <f ca="1">'Summary Tables'!E45</f>
        <v>2719.8333333333335</v>
      </c>
      <c r="F28" s="130">
        <f ca="1">'Summary Tables'!F45</f>
        <v>2753.3333333333335</v>
      </c>
      <c r="G28" s="130">
        <f ca="1">'Summary Tables'!G45</f>
        <v>2760.8333333333335</v>
      </c>
      <c r="H28" s="130">
        <f ca="1">'Summary Tables'!H45</f>
        <v>2770</v>
      </c>
      <c r="I28" s="130">
        <f ca="1">'Summary Tables'!I45</f>
        <v>2777.3333333333335</v>
      </c>
      <c r="J28" s="130">
        <f ca="1">'Summary Tables'!J45</f>
        <v>2784.6666666666665</v>
      </c>
      <c r="K28" s="130">
        <f ca="1">'Summary Tables'!K45</f>
        <v>2793.3333333333335</v>
      </c>
      <c r="L28" s="130">
        <f ca="1">'Summary Tables'!L45</f>
        <v>2806.9166666666665</v>
      </c>
      <c r="M28" s="130">
        <f ca="1">'Summary Tables'!M45</f>
        <v>2817.5697468134185</v>
      </c>
      <c r="N28" s="130">
        <f ca="1">'Summary Tables'!N45</f>
        <v>2828.2632585547244</v>
      </c>
    </row>
    <row r="29" spans="1:26" ht="14.45">
      <c r="B29" s="19" t="str">
        <f t="shared" si="8"/>
        <v>Sentinel Light</v>
      </c>
      <c r="C29" s="130">
        <f ca="1">'Summary Tables'!C46</f>
        <v>172.33333333333334</v>
      </c>
      <c r="D29" s="130">
        <f ca="1">'Summary Tables'!D46</f>
        <v>174</v>
      </c>
      <c r="E29" s="130">
        <f ca="1">'Summary Tables'!E46</f>
        <v>181</v>
      </c>
      <c r="F29" s="130">
        <f ca="1">'Summary Tables'!F46</f>
        <v>253.41666666666666</v>
      </c>
      <c r="G29" s="130">
        <f ca="1">'Summary Tables'!G46</f>
        <v>242.58333333333334</v>
      </c>
      <c r="H29" s="130">
        <f ca="1">'Summary Tables'!H46</f>
        <v>235.41666666666666</v>
      </c>
      <c r="I29" s="130">
        <f ca="1">'Summary Tables'!I46</f>
        <v>228.08333333333334</v>
      </c>
      <c r="J29" s="130">
        <f ca="1">'Summary Tables'!J46</f>
        <v>228</v>
      </c>
      <c r="K29" s="130">
        <f ca="1">'Summary Tables'!K46</f>
        <v>226.66666666666666</v>
      </c>
      <c r="L29" s="130">
        <f ca="1">'Summary Tables'!L46</f>
        <v>222.25</v>
      </c>
      <c r="M29" s="130">
        <f ca="1">'Summary Tables'!M46</f>
        <v>219.07504548051534</v>
      </c>
      <c r="N29" s="130">
        <f ca="1">'Summary Tables'!N46</f>
        <v>215.94544680445384</v>
      </c>
      <c r="R29" s="34" t="s">
        <v>140</v>
      </c>
      <c r="S29" s="34"/>
      <c r="T29" s="34"/>
      <c r="U29" s="34"/>
      <c r="V29" s="34"/>
      <c r="W29" s="34"/>
      <c r="X29" s="34"/>
    </row>
    <row r="30" spans="1:26" ht="14.45">
      <c r="B30" s="19" t="str">
        <f t="shared" si="8"/>
        <v>USL</v>
      </c>
      <c r="C30" s="130">
        <f ca="1">'Summary Tables'!C47</f>
        <v>139.83333333333334</v>
      </c>
      <c r="D30" s="130">
        <f ca="1">'Summary Tables'!D47</f>
        <v>141</v>
      </c>
      <c r="E30" s="130">
        <f ca="1">'Summary Tables'!E47</f>
        <v>139.08333333333334</v>
      </c>
      <c r="F30" s="130">
        <f ca="1">'Summary Tables'!F47</f>
        <v>132</v>
      </c>
      <c r="G30" s="130">
        <f ca="1">'Summary Tables'!G47</f>
        <v>131.08333333333334</v>
      </c>
      <c r="H30" s="130">
        <f ca="1">'Summary Tables'!H47</f>
        <v>129.58333333333334</v>
      </c>
      <c r="I30" s="130">
        <f ca="1">'Summary Tables'!I47</f>
        <v>125.83333333333333</v>
      </c>
      <c r="J30" s="130">
        <f ca="1">'Summary Tables'!J47</f>
        <v>125</v>
      </c>
      <c r="K30" s="130">
        <f ca="1">'Summary Tables'!K47</f>
        <v>125</v>
      </c>
      <c r="L30" s="130">
        <f ca="1">'Summary Tables'!L47</f>
        <v>125</v>
      </c>
      <c r="M30" s="130">
        <f ca="1">'Summary Tables'!M47</f>
        <v>123.87972409682031</v>
      </c>
      <c r="N30" s="130">
        <f ca="1">'Summary Tables'!N47</f>
        <v>122.76948833843458</v>
      </c>
      <c r="P30" s="19" t="s">
        <v>484</v>
      </c>
      <c r="Q30" s="19">
        <v>2018</v>
      </c>
      <c r="R30" s="49">
        <v>259974120</v>
      </c>
      <c r="T30" s="448">
        <v>5.693808513477383E-2</v>
      </c>
      <c r="U30" s="448">
        <v>-0.11555711718285722</v>
      </c>
      <c r="V30" s="49">
        <v>27640.416666666668</v>
      </c>
      <c r="W30" s="49"/>
      <c r="X30" s="49"/>
    </row>
    <row r="31" spans="1:26" ht="12.95">
      <c r="B31" s="44" t="str">
        <f t="shared" si="8"/>
        <v>Total</v>
      </c>
      <c r="C31" s="422">
        <f t="shared" ref="C31:N31" ca="1" si="9">SUM(C24:C30)</f>
        <v>31743.333333333332</v>
      </c>
      <c r="D31" s="422">
        <f t="shared" ca="1" si="9"/>
        <v>31984.083333333332</v>
      </c>
      <c r="E31" s="422">
        <f t="shared" ca="1" si="9"/>
        <v>32151.333333333332</v>
      </c>
      <c r="F31" s="422">
        <f t="shared" ca="1" si="9"/>
        <v>32679.166666666668</v>
      </c>
      <c r="G31" s="422">
        <f t="shared" ca="1" si="9"/>
        <v>33007.75</v>
      </c>
      <c r="H31" s="422">
        <f t="shared" ca="1" si="9"/>
        <v>33328.583333333328</v>
      </c>
      <c r="I31" s="422">
        <f t="shared" ca="1" si="9"/>
        <v>33674.666666666672</v>
      </c>
      <c r="J31" s="422">
        <f t="shared" ca="1" si="9"/>
        <v>33927.416666666664</v>
      </c>
      <c r="K31" s="422">
        <f t="shared" ca="1" si="9"/>
        <v>34169.499999999993</v>
      </c>
      <c r="L31" s="422">
        <f t="shared" ca="1" si="9"/>
        <v>34362.25</v>
      </c>
      <c r="M31" s="422">
        <f t="shared" ca="1" si="9"/>
        <v>34658.493158399011</v>
      </c>
      <c r="N31" s="422">
        <f t="shared" ca="1" si="9"/>
        <v>34957.526330507149</v>
      </c>
      <c r="P31" s="19" t="s">
        <v>484</v>
      </c>
      <c r="Q31" s="19">
        <v>2019</v>
      </c>
      <c r="R31" s="49">
        <v>252809094</v>
      </c>
      <c r="S31" s="448">
        <f>R31/R30-1</f>
        <v>-2.7560535641009243E-2</v>
      </c>
      <c r="T31" s="448">
        <v>4.8660051845871077E-2</v>
      </c>
      <c r="U31" s="448">
        <v>0.24134619635454624</v>
      </c>
      <c r="V31" s="49">
        <v>27931.833333333332</v>
      </c>
      <c r="W31" s="448">
        <f>V31/V30-1</f>
        <v>1.0543135806563297E-2</v>
      </c>
      <c r="X31" s="49"/>
    </row>
    <row r="32" spans="1:26" ht="12.95">
      <c r="B32" s="44"/>
      <c r="C32" s="422"/>
      <c r="D32" s="422"/>
      <c r="E32" s="422"/>
      <c r="F32" s="422"/>
      <c r="G32" s="422">
        <f t="shared" ref="G32:M32" ca="1" si="10">G25+G26+G27</f>
        <v>2232.833333333333</v>
      </c>
      <c r="H32" s="422">
        <f t="shared" ca="1" si="10"/>
        <v>2261.75</v>
      </c>
      <c r="I32" s="422">
        <f t="shared" ca="1" si="10"/>
        <v>2278.0833333333335</v>
      </c>
      <c r="J32" s="422">
        <f t="shared" ca="1" si="10"/>
        <v>2277.833333333333</v>
      </c>
      <c r="K32" s="422">
        <f t="shared" ca="1" si="10"/>
        <v>2279.166666666667</v>
      </c>
      <c r="L32" s="422">
        <f t="shared" ca="1" si="10"/>
        <v>2296.5833333333335</v>
      </c>
      <c r="M32" s="422">
        <f t="shared" ca="1" si="10"/>
        <v>2316.3441224450862</v>
      </c>
      <c r="N32" s="422">
        <f ca="1">N25+N26+N27</f>
        <v>2336.275283420046</v>
      </c>
      <c r="P32" s="19" t="s">
        <v>484</v>
      </c>
      <c r="Q32" s="19">
        <v>2020</v>
      </c>
      <c r="R32" s="49">
        <v>271898869</v>
      </c>
      <c r="S32" s="448">
        <f t="shared" ref="S32:S37" si="11">R32/R31-1</f>
        <v>7.5510634122995635E-2</v>
      </c>
      <c r="T32" s="448">
        <v>-3.6342899132152606E-2</v>
      </c>
      <c r="U32" s="448">
        <v>-3.6688965929331685E-2</v>
      </c>
      <c r="V32" s="49">
        <v>28265.333333333332</v>
      </c>
      <c r="W32" s="448">
        <f t="shared" ref="W32:W37" si="12">V32/V31-1</f>
        <v>1.193978196919887E-2</v>
      </c>
      <c r="X32" s="49"/>
    </row>
    <row r="33" spans="2:24">
      <c r="P33" s="19" t="s">
        <v>484</v>
      </c>
      <c r="Q33" s="19">
        <v>2021</v>
      </c>
      <c r="R33" s="49">
        <v>277378582</v>
      </c>
      <c r="S33" s="448">
        <f t="shared" si="11"/>
        <v>2.0153496850330743E-2</v>
      </c>
      <c r="T33" s="448">
        <v>-6.7609254696503474E-2</v>
      </c>
      <c r="U33" s="448">
        <v>6.837049810072493E-2</v>
      </c>
      <c r="V33" s="49">
        <v>28511.916666666668</v>
      </c>
      <c r="W33" s="448">
        <f t="shared" si="12"/>
        <v>8.7238784848342465E-3</v>
      </c>
      <c r="X33" s="49"/>
    </row>
    <row r="34" spans="2:24">
      <c r="P34" s="19" t="s">
        <v>484</v>
      </c>
      <c r="Q34" s="19">
        <v>2022</v>
      </c>
      <c r="R34" s="49">
        <v>272607146</v>
      </c>
      <c r="S34" s="448">
        <f t="shared" si="11"/>
        <v>-1.7201890519434548E-2</v>
      </c>
      <c r="T34" s="448">
        <v>2.7251808838897329E-2</v>
      </c>
      <c r="U34" s="448">
        <v>0.18242221485288201</v>
      </c>
      <c r="V34" s="49">
        <v>28745.333333333332</v>
      </c>
      <c r="W34" s="448">
        <f t="shared" si="12"/>
        <v>8.1866354126782781E-3</v>
      </c>
      <c r="X34" s="49"/>
    </row>
    <row r="35" spans="2:24">
      <c r="M35" s="19" t="s">
        <v>626</v>
      </c>
      <c r="N35" s="19" t="str">
        <f>N2</f>
        <v>Test</v>
      </c>
      <c r="P35" s="19" t="s">
        <v>484</v>
      </c>
      <c r="Q35" s="19">
        <v>2023</v>
      </c>
      <c r="R35" s="49">
        <v>259000633.64553002</v>
      </c>
      <c r="S35" s="448">
        <f t="shared" si="11"/>
        <v>-4.9912530005614686E-2</v>
      </c>
      <c r="T35" s="448">
        <v>-0.11360312057413025</v>
      </c>
      <c r="U35" s="448">
        <v>6.1654830319113563E-2</v>
      </c>
      <c r="V35" s="49">
        <v>28911.5</v>
      </c>
      <c r="W35" s="448">
        <f t="shared" si="12"/>
        <v>5.7806484530822377E-3</v>
      </c>
      <c r="X35" s="49"/>
    </row>
    <row r="36" spans="2:24">
      <c r="D36" s="19">
        <f t="shared" ref="D36:N36" si="13">D23</f>
        <v>2015</v>
      </c>
      <c r="E36" s="19">
        <f t="shared" si="13"/>
        <v>2016</v>
      </c>
      <c r="F36" s="19">
        <f t="shared" si="13"/>
        <v>2017</v>
      </c>
      <c r="G36" s="19">
        <f t="shared" si="13"/>
        <v>2018</v>
      </c>
      <c r="H36" s="19">
        <f t="shared" si="13"/>
        <v>2019</v>
      </c>
      <c r="I36" s="19">
        <f t="shared" si="13"/>
        <v>2020</v>
      </c>
      <c r="J36" s="19">
        <f t="shared" si="13"/>
        <v>2021</v>
      </c>
      <c r="K36" s="19">
        <f t="shared" si="13"/>
        <v>2022</v>
      </c>
      <c r="L36" s="19">
        <f t="shared" si="13"/>
        <v>2023</v>
      </c>
      <c r="M36" s="19">
        <f t="shared" si="13"/>
        <v>2024</v>
      </c>
      <c r="N36" s="19">
        <f t="shared" si="13"/>
        <v>2025</v>
      </c>
      <c r="P36" s="19" t="s">
        <v>626</v>
      </c>
      <c r="Q36" s="19">
        <v>2024</v>
      </c>
      <c r="R36" s="49">
        <f ca="1">M4</f>
        <v>276307255.21060741</v>
      </c>
      <c r="S36" s="448">
        <f t="shared" ca="1" si="11"/>
        <v>6.6820769206160868E-2</v>
      </c>
      <c r="T36" s="448">
        <v>0</v>
      </c>
      <c r="U36" s="448">
        <v>0</v>
      </c>
      <c r="V36" s="49">
        <v>29181.624519563167</v>
      </c>
      <c r="W36" s="448">
        <f t="shared" si="12"/>
        <v>9.3431513260524568E-3</v>
      </c>
      <c r="X36" s="49"/>
    </row>
    <row r="37" spans="2:24" ht="14.45">
      <c r="B37" s="19" t="s">
        <v>629</v>
      </c>
      <c r="C37" s="445">
        <f ca="1">OFFSET('Weather Data'!$AW$6,COLUMN()-COLUMN($C$37),)</f>
        <v>3872.4000000000015</v>
      </c>
      <c r="D37" s="445">
        <f ca="1">OFFSET('Weather Data'!$AW$6,COLUMN()-COLUMN($C$37),)</f>
        <v>3496.5</v>
      </c>
      <c r="E37" s="445">
        <f ca="1">OFFSET('Weather Data'!$AW$6,COLUMN()-COLUMN($C$37),)</f>
        <v>3196.1</v>
      </c>
      <c r="F37" s="445">
        <f ca="1">OFFSET('Weather Data'!$AW$6,COLUMN()-COLUMN($C$37),)</f>
        <v>3170.1355229914097</v>
      </c>
      <c r="G37" s="445">
        <f ca="1">OFFSET('Weather Data'!$AW$6,COLUMN()-COLUMN($C$37),)</f>
        <v>3554.0355229914103</v>
      </c>
      <c r="H37" s="445">
        <f ca="1">OFFSET('Weather Data'!$AW$6,COLUMN()-COLUMN($C$37),)</f>
        <v>3526.2</v>
      </c>
      <c r="I37" s="445">
        <f ca="1">OFFSET('Weather Data'!$AW$6,COLUMN()-COLUMN($C$37),)</f>
        <v>3240.3710459828199</v>
      </c>
      <c r="J37" s="445">
        <f ca="1">OFFSET('Weather Data'!$AW$6,COLUMN()-COLUMN($C$37),)</f>
        <v>3135.2355229914106</v>
      </c>
      <c r="K37" s="445">
        <f ca="1">OFFSET('Weather Data'!$AW$6,COLUMN()-COLUMN($C$37),)</f>
        <v>3454.213137948459</v>
      </c>
      <c r="L37" s="445">
        <f ca="1">OFFSET('Weather Data'!$AW$6,COLUMN()-COLUMN($C$37),)</f>
        <v>2980.5776149570493</v>
      </c>
      <c r="M37" s="445">
        <f>'Weather Data'!AW17</f>
        <v>3362.5768367862556</v>
      </c>
      <c r="N37" s="445">
        <f>M37</f>
        <v>3362.5768367862556</v>
      </c>
      <c r="O37" s="130"/>
      <c r="P37" s="19" t="s">
        <v>627</v>
      </c>
      <c r="Q37" s="19">
        <v>2025</v>
      </c>
      <c r="R37" s="49">
        <f ca="1">N4</f>
        <v>284227345.6084224</v>
      </c>
      <c r="S37" s="448">
        <f t="shared" ca="1" si="11"/>
        <v>2.8664069612569953E-2</v>
      </c>
      <c r="T37" s="448">
        <v>0</v>
      </c>
      <c r="U37" s="448">
        <v>0</v>
      </c>
      <c r="V37" s="49">
        <v>29454.272853389488</v>
      </c>
      <c r="W37" s="448">
        <f t="shared" si="12"/>
        <v>9.3431513260524568E-3</v>
      </c>
      <c r="X37" s="49"/>
    </row>
    <row r="38" spans="2:24" ht="14.45">
      <c r="B38" s="19" t="s">
        <v>630</v>
      </c>
      <c r="C38" s="445">
        <f ca="1">OFFSET('Weather Data'!$AW$21,COLUMN()-COLUMN($C$38),)</f>
        <v>459.70000000000005</v>
      </c>
      <c r="D38" s="445">
        <f ca="1">OFFSET('Weather Data'!$AW$21,COLUMN()-COLUMN($C$38),)</f>
        <v>342.3</v>
      </c>
      <c r="E38" s="445">
        <f ca="1">OFFSET('Weather Data'!$AW$21,COLUMN()-COLUMN($C$38),)</f>
        <v>399.69999999999993</v>
      </c>
      <c r="F38" s="445">
        <f ca="1">OFFSET('Weather Data'!$AW$21,COLUMN()-COLUMN($C$38),)</f>
        <v>566.70000000000016</v>
      </c>
      <c r="G38" s="445">
        <f ca="1">OFFSET('Weather Data'!$AW$21,COLUMN()-COLUMN($C$38),)</f>
        <v>407.40000000000009</v>
      </c>
      <c r="H38" s="445">
        <f ca="1">OFFSET('Weather Data'!$AW$21,COLUMN()-COLUMN($C$38),)</f>
        <v>571.80000000000007</v>
      </c>
      <c r="I38" s="445">
        <f ca="1">OFFSET('Weather Data'!$AW$21,COLUMN()-COLUMN($C$38),)</f>
        <v>443.72895401718034</v>
      </c>
      <c r="J38" s="445">
        <f ca="1">OFFSET('Weather Data'!$AW$21,COLUMN()-COLUMN($C$38),)</f>
        <v>492.12238504295095</v>
      </c>
      <c r="K38" s="445">
        <f ca="1">OFFSET('Weather Data'!$AW$21,COLUMN()-COLUMN($C$38),)</f>
        <v>544.65790803436073</v>
      </c>
      <c r="L38" s="445">
        <f ca="1">OFFSET('Weather Data'!$AW$21,COLUMN()-COLUMN($C$38),)</f>
        <v>489.02895401718035</v>
      </c>
      <c r="M38" s="445">
        <f>'Weather Data'!AW33</f>
        <v>460.62895401718038</v>
      </c>
      <c r="N38" s="445">
        <f>M38</f>
        <v>460.62895401718038</v>
      </c>
      <c r="O38" s="130"/>
    </row>
    <row r="39" spans="2:24">
      <c r="G39" s="82">
        <f ca="1">G37/$M$37-1</f>
        <v>5.693808513477383E-2</v>
      </c>
      <c r="H39" s="82">
        <f t="shared" ref="H39:N39" ca="1" si="14">H37/$M$37-1</f>
        <v>4.8660051845871077E-2</v>
      </c>
      <c r="I39" s="82">
        <f t="shared" ca="1" si="14"/>
        <v>-3.6342899132152606E-2</v>
      </c>
      <c r="J39" s="82">
        <f t="shared" ca="1" si="14"/>
        <v>-6.7609254696503474E-2</v>
      </c>
      <c r="K39" s="82">
        <f t="shared" ca="1" si="14"/>
        <v>2.7251808838897329E-2</v>
      </c>
      <c r="L39" s="82">
        <f t="shared" ca="1" si="14"/>
        <v>-0.11360312057413025</v>
      </c>
      <c r="M39" s="82">
        <f t="shared" si="14"/>
        <v>0</v>
      </c>
      <c r="N39" s="82">
        <f t="shared" si="14"/>
        <v>0</v>
      </c>
      <c r="S39" s="444" cm="1">
        <f t="array" aca="1" ref="S39" ca="1">GEOMEAN(1+S31:S37)</f>
        <v>1.0128232854328758</v>
      </c>
      <c r="U39" s="444"/>
      <c r="W39" s="444" cm="1">
        <f t="array" ref="W39">GEOMEAN(1+W31:W37)</f>
        <v>1.0091213359149505</v>
      </c>
    </row>
    <row r="40" spans="2:24">
      <c r="G40" s="82">
        <f ca="1">G38/$M$38-1</f>
        <v>-0.11555711718285722</v>
      </c>
      <c r="H40" s="82">
        <f t="shared" ref="H40:N40" ca="1" si="15">H38/$M$38-1</f>
        <v>0.24134619635454624</v>
      </c>
      <c r="I40" s="82">
        <f t="shared" ca="1" si="15"/>
        <v>-3.6688965929331685E-2</v>
      </c>
      <c r="J40" s="82">
        <f t="shared" ca="1" si="15"/>
        <v>6.837049810072493E-2</v>
      </c>
      <c r="K40" s="82">
        <f t="shared" ca="1" si="15"/>
        <v>0.18242221485288201</v>
      </c>
      <c r="L40" s="82">
        <f t="shared" ca="1" si="15"/>
        <v>6.1654830319113563E-2</v>
      </c>
      <c r="M40" s="82">
        <f t="shared" si="15"/>
        <v>0</v>
      </c>
      <c r="N40" s="82">
        <f t="shared" si="15"/>
        <v>0</v>
      </c>
      <c r="S40" s="450">
        <f ca="1">S39-1</f>
        <v>1.2823285432875808E-2</v>
      </c>
      <c r="U40" s="449"/>
      <c r="W40" s="450">
        <f>W39-1</f>
        <v>9.1213359149504569E-3</v>
      </c>
    </row>
    <row r="41" spans="2:24">
      <c r="H41" s="19" t="s">
        <v>631</v>
      </c>
      <c r="I41" s="19" t="s">
        <v>632</v>
      </c>
    </row>
    <row r="42" spans="2:24" ht="14.45">
      <c r="E42" s="19" t="s">
        <v>629</v>
      </c>
      <c r="F42" s="423">
        <f>AVERAGE('Weather Data'!AW5:AW9)</f>
        <v>3441.8471045982819</v>
      </c>
      <c r="G42" s="423">
        <f ca="1">G37</f>
        <v>3554.0355229914103</v>
      </c>
      <c r="H42" s="424">
        <f ca="1">G42-F42</f>
        <v>112.18841839312836</v>
      </c>
      <c r="I42" s="425">
        <f ca="1">H42/F42</f>
        <v>3.2595410250282612E-2</v>
      </c>
      <c r="S42" s="19" cm="1">
        <f t="array" ref="S42">GEOMEAN(1+S31:S35)</f>
        <v>0.999249965537506</v>
      </c>
      <c r="W42" s="19">
        <f t="array" ref="W42">GEOMEAN(1+W31:W35)</f>
        <v>1.0090326234001656</v>
      </c>
    </row>
    <row r="43" spans="2:24" ht="15" thickBot="1">
      <c r="E43" s="19" t="s">
        <v>630</v>
      </c>
      <c r="F43" s="423">
        <f>AVERAGE('Weather Data'!AW21:AW25)</f>
        <v>435.16</v>
      </c>
      <c r="G43" s="423">
        <f ca="1">G38</f>
        <v>407.40000000000009</v>
      </c>
      <c r="H43" s="424">
        <f ca="1">G43-F43</f>
        <v>-27.759999999999934</v>
      </c>
      <c r="I43" s="425">
        <f ca="1">H43/F43</f>
        <v>-6.3792627998896803E-2</v>
      </c>
      <c r="S43" s="450">
        <f>S42-1</f>
        <v>-7.5003446249399808E-4</v>
      </c>
      <c r="U43" s="450"/>
      <c r="W43" s="450">
        <f>W42-1</f>
        <v>9.0326234001656402E-3</v>
      </c>
    </row>
    <row r="44" spans="2:24" ht="15.75" customHeight="1" thickBot="1">
      <c r="B44" s="426"/>
      <c r="C44" s="576" t="s">
        <v>633</v>
      </c>
      <c r="D44" s="577"/>
      <c r="E44" s="579"/>
      <c r="F44" s="576" t="s">
        <v>634</v>
      </c>
      <c r="G44" s="577"/>
      <c r="H44" s="579"/>
      <c r="I44" s="580" t="s">
        <v>635</v>
      </c>
      <c r="S44" s="28"/>
      <c r="T44" s="28"/>
      <c r="W44" s="28"/>
    </row>
    <row r="45" spans="2:24" ht="28.5" thickBot="1">
      <c r="B45" s="427" t="s">
        <v>563</v>
      </c>
      <c r="C45" s="427" t="s">
        <v>636</v>
      </c>
      <c r="D45" s="428" t="str">
        <f>G3&amp;" "&amp;G2</f>
        <v>2018 Actual</v>
      </c>
      <c r="E45" s="428" t="s">
        <v>637</v>
      </c>
      <c r="F45" s="427" t="str">
        <f>C45</f>
        <v>2018 Approved</v>
      </c>
      <c r="G45" s="428" t="str">
        <f>D45</f>
        <v>2018 Actual</v>
      </c>
      <c r="H45" s="428" t="s">
        <v>638</v>
      </c>
      <c r="I45" s="581"/>
      <c r="L45" s="429"/>
      <c r="M45" s="429"/>
      <c r="N45" s="429"/>
      <c r="O45" s="429"/>
    </row>
    <row r="46" spans="2:24" ht="15" thickBot="1">
      <c r="B46" s="430" t="s">
        <v>133</v>
      </c>
      <c r="C46" s="431">
        <v>27784</v>
      </c>
      <c r="D46" s="432">
        <f ca="1">G24</f>
        <v>27640.416666666668</v>
      </c>
      <c r="E46" s="432">
        <f ca="1">D46-C46</f>
        <v>-143.58333333333212</v>
      </c>
      <c r="F46" s="431">
        <v>234935416</v>
      </c>
      <c r="G46" s="432">
        <f ca="1">G4</f>
        <v>259974120</v>
      </c>
      <c r="H46" s="447" t="s">
        <v>452</v>
      </c>
      <c r="I46" s="432">
        <f t="shared" ref="I46:I52" ca="1" si="16">G46-F46</f>
        <v>25038704</v>
      </c>
      <c r="J46" s="433">
        <f ca="1">E46/C46</f>
        <v>-5.1678424033016167E-3</v>
      </c>
      <c r="K46" s="433">
        <f ca="1">I46/F46</f>
        <v>0.10657696666729889</v>
      </c>
      <c r="L46" s="434"/>
      <c r="M46" s="435"/>
      <c r="N46" s="435"/>
      <c r="O46" s="435"/>
      <c r="R46" s="34" t="s">
        <v>140</v>
      </c>
      <c r="S46" s="34"/>
      <c r="T46" s="34"/>
      <c r="U46" s="34"/>
      <c r="V46" s="34"/>
      <c r="W46" s="34"/>
      <c r="X46" s="34"/>
    </row>
    <row r="47" spans="2:24" ht="15" thickBot="1">
      <c r="B47" s="430" t="s">
        <v>639</v>
      </c>
      <c r="C47" s="431">
        <v>1997</v>
      </c>
      <c r="D47" s="432">
        <f t="shared" ref="D47:D52" ca="1" si="17">G25</f>
        <v>1978.8333333333333</v>
      </c>
      <c r="E47" s="432">
        <f t="shared" ref="E47:E52" ca="1" si="18">D47-C47</f>
        <v>-18.166666666666742</v>
      </c>
      <c r="F47" s="431">
        <v>64810159</v>
      </c>
      <c r="G47" s="432">
        <f t="shared" ref="G47:G52" ca="1" si="19">G5</f>
        <v>66321666</v>
      </c>
      <c r="H47" s="447" t="s">
        <v>452</v>
      </c>
      <c r="I47" s="432">
        <f t="shared" ca="1" si="16"/>
        <v>1511507</v>
      </c>
      <c r="J47" s="433">
        <f t="shared" ref="J47:J52" ca="1" si="20">E47/C47</f>
        <v>-9.096978801535675E-3</v>
      </c>
      <c r="K47" s="433">
        <f t="shared" ref="K47:K52" ca="1" si="21">I47/F47</f>
        <v>2.332206899847291E-2</v>
      </c>
      <c r="L47" s="434"/>
      <c r="M47" s="435"/>
      <c r="N47" s="435"/>
      <c r="O47" s="435"/>
      <c r="P47" s="19" t="s">
        <v>484</v>
      </c>
      <c r="Q47" s="19">
        <v>2018</v>
      </c>
      <c r="R47" s="49">
        <v>269334692</v>
      </c>
      <c r="T47" s="448">
        <v>5.693808513477383E-2</v>
      </c>
      <c r="U47" s="448">
        <v>-0.11555711718285722</v>
      </c>
      <c r="V47" s="49">
        <v>2232.833333333333</v>
      </c>
      <c r="W47" s="49"/>
      <c r="X47" s="49"/>
    </row>
    <row r="48" spans="2:24" ht="15" thickBot="1">
      <c r="B48" s="430" t="s">
        <v>640</v>
      </c>
      <c r="C48" s="431">
        <v>217</v>
      </c>
      <c r="D48" s="432">
        <f t="shared" ca="1" si="17"/>
        <v>249.25</v>
      </c>
      <c r="E48" s="432">
        <f t="shared" ca="1" si="18"/>
        <v>32.25</v>
      </c>
      <c r="F48" s="431">
        <v>448468</v>
      </c>
      <c r="G48" s="432">
        <f ca="1">G16</f>
        <v>536823</v>
      </c>
      <c r="H48" s="447" t="s">
        <v>453</v>
      </c>
      <c r="I48" s="432">
        <f t="shared" ca="1" si="16"/>
        <v>88355</v>
      </c>
      <c r="J48" s="433">
        <f t="shared" ca="1" si="20"/>
        <v>0.14861751152073732</v>
      </c>
      <c r="K48" s="433">
        <f t="shared" ca="1" si="21"/>
        <v>0.1970151716510431</v>
      </c>
      <c r="L48" s="434"/>
      <c r="M48" s="435"/>
      <c r="N48" s="435"/>
      <c r="O48" s="435"/>
      <c r="P48" s="19" t="s">
        <v>484</v>
      </c>
      <c r="Q48" s="19">
        <v>2019</v>
      </c>
      <c r="R48" s="49">
        <v>280504031</v>
      </c>
      <c r="S48" s="448">
        <f>R48/R47-1</f>
        <v>4.1470108871084488E-2</v>
      </c>
      <c r="T48" s="448">
        <v>4.8660051845871077E-2</v>
      </c>
      <c r="U48" s="448">
        <v>0.24134619635454624</v>
      </c>
      <c r="V48" s="49">
        <v>2261.75</v>
      </c>
      <c r="W48" s="448">
        <f>V48/V47-1</f>
        <v>1.2950660595655972E-2</v>
      </c>
      <c r="X48" s="49"/>
    </row>
    <row r="49" spans="2:24" ht="28.5" thickBot="1">
      <c r="B49" s="430" t="str">
        <f>B27</f>
        <v>Embedded Distributor</v>
      </c>
      <c r="C49" s="431">
        <v>3</v>
      </c>
      <c r="D49" s="432">
        <f t="shared" ca="1" si="17"/>
        <v>4.75</v>
      </c>
      <c r="E49" s="432">
        <f t="shared" ca="1" si="18"/>
        <v>1.75</v>
      </c>
      <c r="F49" s="431">
        <v>80869</v>
      </c>
      <c r="G49" s="432">
        <f t="shared" ref="G49:G51" ca="1" si="22">G17</f>
        <v>96861</v>
      </c>
      <c r="H49" s="447" t="s">
        <v>453</v>
      </c>
      <c r="I49" s="432">
        <f t="shared" ca="1" si="16"/>
        <v>15992</v>
      </c>
      <c r="J49" s="433">
        <f ca="1">E49/C49</f>
        <v>0.58333333333333337</v>
      </c>
      <c r="K49" s="433">
        <f t="shared" ca="1" si="21"/>
        <v>0.19775191977148227</v>
      </c>
      <c r="L49" s="434"/>
      <c r="M49" s="435"/>
      <c r="N49" s="435"/>
      <c r="O49" s="435"/>
      <c r="P49" s="19" t="s">
        <v>484</v>
      </c>
      <c r="Q49" s="19">
        <v>2020</v>
      </c>
      <c r="R49" s="49">
        <v>261473210</v>
      </c>
      <c r="S49" s="448">
        <f t="shared" ref="S49:S54" si="23">R49/R48-1</f>
        <v>-6.7845089185188945E-2</v>
      </c>
      <c r="T49" s="448">
        <v>-3.6342899132152606E-2</v>
      </c>
      <c r="U49" s="448">
        <v>-3.6688965929331685E-2</v>
      </c>
      <c r="V49" s="49">
        <v>2278.0833333333335</v>
      </c>
      <c r="W49" s="448">
        <f t="shared" ref="W49:W54" si="24">V49/V48-1</f>
        <v>7.2215467374083797E-3</v>
      </c>
      <c r="X49" s="49"/>
    </row>
    <row r="50" spans="2:24" ht="15" thickBot="1">
      <c r="B50" s="430" t="str">
        <f>B28</f>
        <v>Street Light</v>
      </c>
      <c r="C50" s="431">
        <v>2758</v>
      </c>
      <c r="D50" s="432">
        <f t="shared" ca="1" si="17"/>
        <v>2760.8333333333335</v>
      </c>
      <c r="E50" s="432">
        <f t="shared" ca="1" si="18"/>
        <v>2.8333333333334849</v>
      </c>
      <c r="F50" s="431">
        <v>7877</v>
      </c>
      <c r="G50" s="432">
        <f ca="1">G18</f>
        <v>8746</v>
      </c>
      <c r="H50" s="447" t="s">
        <v>453</v>
      </c>
      <c r="I50" s="432">
        <f t="shared" ca="1" si="16"/>
        <v>869</v>
      </c>
      <c r="J50" s="433">
        <f t="shared" ca="1" si="20"/>
        <v>1.0273144790911837E-3</v>
      </c>
      <c r="K50" s="433">
        <f t="shared" ca="1" si="21"/>
        <v>0.11032118826964581</v>
      </c>
      <c r="L50" s="434"/>
      <c r="M50" s="435"/>
      <c r="N50" s="435"/>
      <c r="O50" s="435"/>
      <c r="P50" s="19" t="s">
        <v>484</v>
      </c>
      <c r="Q50" s="19">
        <v>2021</v>
      </c>
      <c r="R50" s="49">
        <v>268580809</v>
      </c>
      <c r="S50" s="448">
        <f t="shared" si="23"/>
        <v>2.7182895716161504E-2</v>
      </c>
      <c r="T50" s="448">
        <v>-6.7609254696503474E-2</v>
      </c>
      <c r="U50" s="448">
        <v>6.837049810072493E-2</v>
      </c>
      <c r="V50" s="49">
        <v>2277.833333333333</v>
      </c>
      <c r="W50" s="448">
        <f t="shared" si="24"/>
        <v>-1.0974137615704649E-4</v>
      </c>
      <c r="X50" s="49"/>
    </row>
    <row r="51" spans="2:24" ht="15" thickBot="1">
      <c r="B51" s="430" t="str">
        <f>B29</f>
        <v>Sentinel Light</v>
      </c>
      <c r="C51" s="431">
        <v>173</v>
      </c>
      <c r="D51" s="432">
        <f t="shared" ca="1" si="17"/>
        <v>242.58333333333334</v>
      </c>
      <c r="E51" s="432">
        <f t="shared" ca="1" si="18"/>
        <v>69.583333333333343</v>
      </c>
      <c r="F51" s="431">
        <v>2080</v>
      </c>
      <c r="G51" s="432">
        <f t="shared" ca="1" si="22"/>
        <v>815</v>
      </c>
      <c r="H51" s="447" t="s">
        <v>453</v>
      </c>
      <c r="I51" s="432">
        <f t="shared" ca="1" si="16"/>
        <v>-1265</v>
      </c>
      <c r="J51" s="433">
        <f t="shared" ca="1" si="20"/>
        <v>0.4022157996146436</v>
      </c>
      <c r="K51" s="433">
        <f t="shared" ca="1" si="21"/>
        <v>-0.60817307692307687</v>
      </c>
      <c r="L51" s="434"/>
      <c r="M51" s="435"/>
      <c r="N51" s="435"/>
      <c r="O51" s="435"/>
      <c r="P51" s="19" t="s">
        <v>484</v>
      </c>
      <c r="Q51" s="19">
        <v>2022</v>
      </c>
      <c r="R51" s="49">
        <v>280221443</v>
      </c>
      <c r="S51" s="448">
        <f t="shared" si="23"/>
        <v>4.3341272384059382E-2</v>
      </c>
      <c r="T51" s="448">
        <v>2.7251808838897329E-2</v>
      </c>
      <c r="U51" s="448">
        <v>0.18242221485288201</v>
      </c>
      <c r="V51" s="49">
        <v>2279.166666666667</v>
      </c>
      <c r="W51" s="448">
        <f t="shared" si="24"/>
        <v>5.8535157679107108E-4</v>
      </c>
      <c r="X51" s="49"/>
    </row>
    <row r="52" spans="2:24" ht="15" thickBot="1">
      <c r="B52" s="430" t="s">
        <v>139</v>
      </c>
      <c r="C52" s="431">
        <v>141</v>
      </c>
      <c r="D52" s="432">
        <f t="shared" ca="1" si="17"/>
        <v>131.08333333333334</v>
      </c>
      <c r="E52" s="432">
        <f t="shared" ca="1" si="18"/>
        <v>-9.9166666666666572</v>
      </c>
      <c r="F52" s="431">
        <v>1554368</v>
      </c>
      <c r="G52" s="432">
        <f t="shared" ca="1" si="19"/>
        <v>1547236</v>
      </c>
      <c r="H52" s="447" t="s">
        <v>452</v>
      </c>
      <c r="I52" s="432">
        <f t="shared" ca="1" si="16"/>
        <v>-7132</v>
      </c>
      <c r="J52" s="433">
        <f t="shared" ca="1" si="20"/>
        <v>-7.0330969267139415E-2</v>
      </c>
      <c r="K52" s="433">
        <f t="shared" ca="1" si="21"/>
        <v>-4.5883600279985181E-3</v>
      </c>
      <c r="L52" s="434"/>
      <c r="M52" s="435"/>
      <c r="N52" s="435"/>
      <c r="O52" s="435"/>
      <c r="P52" s="19" t="s">
        <v>484</v>
      </c>
      <c r="Q52" s="19">
        <v>2023</v>
      </c>
      <c r="R52" s="49">
        <v>280998338.81585109</v>
      </c>
      <c r="S52" s="448">
        <f t="shared" si="23"/>
        <v>2.7724352838018884E-3</v>
      </c>
      <c r="T52" s="448">
        <v>-0.11360312057413025</v>
      </c>
      <c r="U52" s="448">
        <v>6.1654830319113563E-2</v>
      </c>
      <c r="V52" s="49">
        <v>2296.5833333333335</v>
      </c>
      <c r="W52" s="448">
        <f t="shared" si="24"/>
        <v>7.6416819012796733E-3</v>
      </c>
      <c r="X52" s="49"/>
    </row>
    <row r="53" spans="2:24" ht="14.45" thickBot="1">
      <c r="B53" s="437" t="s">
        <v>140</v>
      </c>
      <c r="C53" s="438">
        <f>SUM(C46:C52)</f>
        <v>33073</v>
      </c>
      <c r="D53" s="439">
        <f ca="1">SUM(D46:D52)</f>
        <v>33007.75</v>
      </c>
      <c r="E53" s="439">
        <f ca="1">SUM(E46:E52)</f>
        <v>-65.249999999998693</v>
      </c>
      <c r="F53" s="438">
        <f>SUM(F46:F52)</f>
        <v>301839237</v>
      </c>
      <c r="G53" s="439">
        <f ca="1">SUM(G46:G52)</f>
        <v>328486267</v>
      </c>
      <c r="H53" s="439"/>
      <c r="I53" s="440"/>
      <c r="L53" s="441"/>
      <c r="M53" s="442"/>
      <c r="N53" s="442"/>
      <c r="O53" s="442"/>
      <c r="P53" s="19" t="s">
        <v>626</v>
      </c>
      <c r="Q53" s="19">
        <v>2024</v>
      </c>
      <c r="R53" s="49">
        <f ca="1">M12</f>
        <v>287083193.53767896</v>
      </c>
      <c r="S53" s="448">
        <f t="shared" ca="1" si="23"/>
        <v>2.1654415280424555E-2</v>
      </c>
      <c r="T53" s="448">
        <v>0</v>
      </c>
      <c r="U53" s="448">
        <v>0</v>
      </c>
      <c r="V53" s="49">
        <v>2316.3441224450862</v>
      </c>
      <c r="W53" s="448">
        <f t="shared" si="24"/>
        <v>8.6044293820906059E-3</v>
      </c>
      <c r="X53" s="49"/>
    </row>
    <row r="54" spans="2:24">
      <c r="P54" s="19" t="s">
        <v>627</v>
      </c>
      <c r="Q54" s="19">
        <v>2025</v>
      </c>
      <c r="R54" s="49">
        <f ca="1">N12</f>
        <v>302741709.27998132</v>
      </c>
      <c r="S54" s="448">
        <f t="shared" ca="1" si="23"/>
        <v>5.454347762174816E-2</v>
      </c>
      <c r="T54" s="448">
        <v>0</v>
      </c>
      <c r="U54" s="448">
        <v>0</v>
      </c>
      <c r="V54" s="49">
        <v>2336.275283420046</v>
      </c>
      <c r="W54" s="448">
        <f t="shared" si="24"/>
        <v>8.6045768337394968E-3</v>
      </c>
      <c r="X54" s="49"/>
    </row>
    <row r="55" spans="2:24" ht="14.45">
      <c r="E55" s="19" t="s">
        <v>629</v>
      </c>
      <c r="F55" s="423">
        <f ca="1">G42</f>
        <v>3554.0355229914103</v>
      </c>
      <c r="G55" s="423">
        <f ca="1">OFFSET($H$37,0,(ROW()-ROW($G$55))/13)</f>
        <v>3526.2</v>
      </c>
      <c r="H55" s="424">
        <f ca="1">G55-F55</f>
        <v>-27.835522991410471</v>
      </c>
      <c r="I55" s="425">
        <f ca="1">H55/F55</f>
        <v>-7.8320891311692564E-3</v>
      </c>
    </row>
    <row r="56" spans="2:24" ht="15" thickBot="1">
      <c r="E56" s="19" t="s">
        <v>630</v>
      </c>
      <c r="F56" s="423">
        <f ca="1">G43</f>
        <v>407.40000000000009</v>
      </c>
      <c r="G56" s="423">
        <f ca="1">OFFSET($H$38,0,(ROW()-ROW($G$55))/13)</f>
        <v>571.80000000000007</v>
      </c>
      <c r="H56" s="424">
        <f ca="1">G56-F56</f>
        <v>164.39999999999998</v>
      </c>
      <c r="I56" s="425">
        <f ca="1">H56/F56</f>
        <v>0.40353460972017657</v>
      </c>
      <c r="S56" s="444" cm="1">
        <f t="array" aca="1" ref="S56" ca="1">GEOMEAN(1+S48:S54)</f>
        <v>1.0168438826511208</v>
      </c>
      <c r="U56" s="444"/>
      <c r="W56" s="444" cm="1">
        <f t="array" ref="W56">GEOMEAN(1+W48:W54)</f>
        <v>1.0064904824662566</v>
      </c>
    </row>
    <row r="57" spans="2:24" ht="14.45" thickBot="1">
      <c r="B57" s="426"/>
      <c r="C57" s="576" t="s">
        <v>633</v>
      </c>
      <c r="D57" s="577"/>
      <c r="E57" s="578"/>
      <c r="F57" s="576" t="s">
        <v>634</v>
      </c>
      <c r="G57" s="577"/>
      <c r="H57" s="579"/>
      <c r="I57" s="580" t="s">
        <v>635</v>
      </c>
      <c r="S57" s="450">
        <f ca="1">S56-1</f>
        <v>1.6843882651120801E-2</v>
      </c>
      <c r="U57" s="449"/>
      <c r="W57" s="450">
        <f>W56-1</f>
        <v>6.4904824662566085E-3</v>
      </c>
    </row>
    <row r="58" spans="2:24" ht="43.5" customHeight="1" thickBot="1">
      <c r="B58" s="427" t="str">
        <f t="shared" ref="B58:B65" si="25">B45</f>
        <v>Rate Class</v>
      </c>
      <c r="C58" s="428" t="str">
        <f t="shared" ref="C58:C65" si="26">D45</f>
        <v>2018 Actual</v>
      </c>
      <c r="D58" s="428" t="str">
        <f ca="1">OFFSET($H$3,0,(ROW()-ROW($D$58))/14)&amp;" "&amp;OFFSET($H$2,0,(ROW()-ROW($D$58))/13)</f>
        <v>2019 Actual</v>
      </c>
      <c r="E58" s="428" t="s">
        <v>637</v>
      </c>
      <c r="F58" s="428" t="str">
        <f t="shared" ref="F58:F65" si="27">G45</f>
        <v>2018 Actual</v>
      </c>
      <c r="G58" s="428" t="str">
        <f ca="1">D58</f>
        <v>2019 Actual</v>
      </c>
      <c r="H58" s="426" t="s">
        <v>638</v>
      </c>
      <c r="I58" s="581"/>
      <c r="L58" s="429"/>
      <c r="M58" s="429"/>
      <c r="N58" s="429"/>
      <c r="O58" s="429"/>
    </row>
    <row r="59" spans="2:24" ht="15" thickBot="1">
      <c r="B59" s="430" t="str">
        <f t="shared" si="25"/>
        <v>Residential</v>
      </c>
      <c r="C59" s="432">
        <f t="shared" ca="1" si="26"/>
        <v>27640.416666666668</v>
      </c>
      <c r="D59" s="432">
        <f ca="1">OFFSET($H$24,0,(ROW()-ROW($D$59))/13)</f>
        <v>27931.833333333332</v>
      </c>
      <c r="E59" s="432">
        <f ca="1">D59-C59</f>
        <v>291.41666666666424</v>
      </c>
      <c r="F59" s="432">
        <f t="shared" ca="1" si="27"/>
        <v>259974120</v>
      </c>
      <c r="G59" s="432">
        <f ca="1">OFFSET($H$4,0,(ROW()-ROW($H$59))/13)</f>
        <v>252809094</v>
      </c>
      <c r="H59" s="447" t="str">
        <f t="shared" ref="H59:H65" si="28">H46</f>
        <v>kWh</v>
      </c>
      <c r="I59" s="432">
        <f ca="1">G59-F59</f>
        <v>-7165026</v>
      </c>
      <c r="J59" s="433">
        <f ca="1">E59/C59</f>
        <v>1.0543135806563369E-2</v>
      </c>
      <c r="K59" s="433">
        <f ca="1">I59/F59</f>
        <v>-2.7560535641009191E-2</v>
      </c>
      <c r="L59" s="434"/>
      <c r="M59" s="435"/>
      <c r="N59" s="435"/>
      <c r="O59" s="435"/>
      <c r="S59" s="19" cm="1">
        <f t="array" ref="S59">GEOMEAN(1+S48:S52)</f>
        <v>1.0085148353808198</v>
      </c>
      <c r="W59" s="19">
        <f t="array" ref="W59">GEOMEAN(1+W48:W52)</f>
        <v>1.0056461153981002</v>
      </c>
    </row>
    <row r="60" spans="2:24" ht="15" thickBot="1">
      <c r="B60" s="430" t="str">
        <f t="shared" si="25"/>
        <v>GS &lt; 50 kW</v>
      </c>
      <c r="C60" s="432">
        <f t="shared" ca="1" si="26"/>
        <v>1978.8333333333333</v>
      </c>
      <c r="D60" s="432">
        <f ca="1">OFFSET($H$25,0,(ROW()-ROW($D$60))/13)</f>
        <v>1996.25</v>
      </c>
      <c r="E60" s="432">
        <f t="shared" ref="E60:E65" ca="1" si="29">D60-C60</f>
        <v>17.416666666666742</v>
      </c>
      <c r="F60" s="432">
        <f t="shared" ca="1" si="27"/>
        <v>66321666</v>
      </c>
      <c r="G60" s="432">
        <f ca="1">OFFSET($H$5,0,(ROW()-ROW($H$60))/13)</f>
        <v>65058987</v>
      </c>
      <c r="H60" s="447" t="str">
        <f t="shared" si="28"/>
        <v>kWh</v>
      </c>
      <c r="I60" s="432">
        <f t="shared" ref="I60:I65" ca="1" si="30">G60-F60</f>
        <v>-1262679</v>
      </c>
      <c r="J60" s="433">
        <f t="shared" ref="J60:J65" ca="1" si="31">E60/C60</f>
        <v>8.8014823549229723E-3</v>
      </c>
      <c r="K60" s="433">
        <f t="shared" ref="K60:K65" ca="1" si="32">I60/F60</f>
        <v>-1.9038710517314206E-2</v>
      </c>
      <c r="L60" s="434"/>
      <c r="M60" s="435"/>
      <c r="N60" s="435"/>
      <c r="O60" s="435"/>
      <c r="S60" s="450">
        <f>S59-1</f>
        <v>8.514835380819763E-3</v>
      </c>
      <c r="U60" s="450"/>
      <c r="W60" s="450">
        <f>W59-1</f>
        <v>5.6461153981002266E-3</v>
      </c>
    </row>
    <row r="61" spans="2:24" ht="15" thickBot="1">
      <c r="B61" s="430" t="str">
        <f t="shared" si="25"/>
        <v>GS &gt; 50 kW</v>
      </c>
      <c r="C61" s="432">
        <f t="shared" ca="1" si="26"/>
        <v>249.25</v>
      </c>
      <c r="D61" s="432">
        <f ca="1">OFFSET($H$26,0,(ROW()-ROW($D$61))/13)</f>
        <v>261.5</v>
      </c>
      <c r="E61" s="432">
        <f t="shared" ca="1" si="29"/>
        <v>12.25</v>
      </c>
      <c r="F61" s="432">
        <f t="shared" ca="1" si="27"/>
        <v>536823</v>
      </c>
      <c r="G61" s="432">
        <f ca="1">OFFSET($H$16,0,(ROW()-ROW($H$61))/13)</f>
        <v>592797</v>
      </c>
      <c r="H61" s="447" t="str">
        <f t="shared" si="28"/>
        <v>kW</v>
      </c>
      <c r="I61" s="432">
        <f t="shared" ca="1" si="30"/>
        <v>55974</v>
      </c>
      <c r="J61" s="433">
        <f t="shared" ca="1" si="31"/>
        <v>4.9147442326980942E-2</v>
      </c>
      <c r="K61" s="433">
        <f t="shared" ca="1" si="32"/>
        <v>0.10426900486752617</v>
      </c>
      <c r="L61" s="434"/>
      <c r="M61" s="435"/>
      <c r="N61" s="435"/>
      <c r="O61" s="435"/>
      <c r="P61" s="436"/>
    </row>
    <row r="62" spans="2:24" ht="28.5" thickBot="1">
      <c r="B62" s="430" t="str">
        <f t="shared" si="25"/>
        <v>Embedded Distributor</v>
      </c>
      <c r="C62" s="432">
        <f t="shared" ca="1" si="26"/>
        <v>4.75</v>
      </c>
      <c r="D62" s="432">
        <f ca="1">OFFSET($H$27,0,(ROW()-ROW($D$62))/13)</f>
        <v>4</v>
      </c>
      <c r="E62" s="432">
        <f t="shared" ca="1" si="29"/>
        <v>-0.75</v>
      </c>
      <c r="F62" s="432">
        <f t="shared" ca="1" si="27"/>
        <v>96861</v>
      </c>
      <c r="G62" s="432">
        <f ca="1">OFFSET($H$17,0,(ROW()-ROW($H$62))/13)</f>
        <v>94142</v>
      </c>
      <c r="H62" s="447" t="str">
        <f t="shared" si="28"/>
        <v>kW</v>
      </c>
      <c r="I62" s="432">
        <f t="shared" ca="1" si="30"/>
        <v>-2719</v>
      </c>
      <c r="J62" s="433">
        <f t="shared" ca="1" si="31"/>
        <v>-0.15789473684210525</v>
      </c>
      <c r="K62" s="433">
        <f t="shared" ca="1" si="32"/>
        <v>-2.8071153508636086E-2</v>
      </c>
      <c r="L62" s="434"/>
      <c r="M62" s="435"/>
      <c r="N62" s="435"/>
      <c r="O62" s="435"/>
      <c r="P62" s="436"/>
    </row>
    <row r="63" spans="2:24" ht="15" thickBot="1">
      <c r="B63" s="430" t="str">
        <f t="shared" si="25"/>
        <v>Street Light</v>
      </c>
      <c r="C63" s="432">
        <f t="shared" ca="1" si="26"/>
        <v>2760.8333333333335</v>
      </c>
      <c r="D63" s="432">
        <f ca="1">OFFSET($H$28,0,(ROW()-ROW($D$63))/13)</f>
        <v>2770</v>
      </c>
      <c r="E63" s="432">
        <f t="shared" ca="1" si="29"/>
        <v>9.1666666666665151</v>
      </c>
      <c r="F63" s="432">
        <f t="shared" ca="1" si="27"/>
        <v>8746</v>
      </c>
      <c r="G63" s="432">
        <f ca="1">OFFSET($H$18,0,(ROW()-ROW($H$63))/13)</f>
        <v>7846</v>
      </c>
      <c r="H63" s="447" t="str">
        <f t="shared" si="28"/>
        <v>kW</v>
      </c>
      <c r="I63" s="432">
        <f t="shared" ca="1" si="30"/>
        <v>-900</v>
      </c>
      <c r="J63" s="433">
        <f t="shared" ca="1" si="31"/>
        <v>3.3202535466344153E-3</v>
      </c>
      <c r="K63" s="433">
        <f t="shared" ca="1" si="32"/>
        <v>-0.10290418477018065</v>
      </c>
      <c r="L63" s="434"/>
      <c r="M63" s="435"/>
      <c r="N63" s="435"/>
      <c r="O63" s="435"/>
      <c r="P63" s="436"/>
    </row>
    <row r="64" spans="2:24" ht="15" thickBot="1">
      <c r="B64" s="430" t="str">
        <f t="shared" si="25"/>
        <v>Sentinel Light</v>
      </c>
      <c r="C64" s="432">
        <f t="shared" ca="1" si="26"/>
        <v>242.58333333333334</v>
      </c>
      <c r="D64" s="432">
        <f ca="1">OFFSET($H$29,0,(ROW()-ROW($D$64))/13)</f>
        <v>235.41666666666666</v>
      </c>
      <c r="E64" s="432">
        <f t="shared" ca="1" si="29"/>
        <v>-7.1666666666666856</v>
      </c>
      <c r="F64" s="432">
        <f t="shared" ca="1" si="27"/>
        <v>815</v>
      </c>
      <c r="G64" s="432">
        <f ca="1">OFFSET($H$19,0,(ROW()-ROW($H$64))/13)</f>
        <v>781</v>
      </c>
      <c r="H64" s="447" t="str">
        <f t="shared" si="28"/>
        <v>kW</v>
      </c>
      <c r="I64" s="432">
        <f t="shared" ca="1" si="30"/>
        <v>-34</v>
      </c>
      <c r="J64" s="433">
        <f t="shared" ca="1" si="31"/>
        <v>-2.9543112332531853E-2</v>
      </c>
      <c r="K64" s="433">
        <f t="shared" ca="1" si="32"/>
        <v>-4.1717791411042947E-2</v>
      </c>
      <c r="L64" s="434"/>
      <c r="M64" s="435"/>
      <c r="N64" s="435"/>
      <c r="O64" s="435"/>
      <c r="P64" s="436"/>
    </row>
    <row r="65" spans="2:16" ht="15" thickBot="1">
      <c r="B65" s="430" t="str">
        <f t="shared" si="25"/>
        <v>USL</v>
      </c>
      <c r="C65" s="432">
        <f t="shared" ca="1" si="26"/>
        <v>131.08333333333334</v>
      </c>
      <c r="D65" s="432">
        <f ca="1">OFFSET($H$30,0,(ROW()-ROW($D$65))/13)</f>
        <v>129.58333333333334</v>
      </c>
      <c r="E65" s="432">
        <f t="shared" ca="1" si="29"/>
        <v>-1.5</v>
      </c>
      <c r="F65" s="432">
        <f t="shared" ca="1" si="27"/>
        <v>1547236</v>
      </c>
      <c r="G65" s="432">
        <f ca="1">OFFSET($H$10,0,(ROW()-ROW($H$65))/13)</f>
        <v>1541978</v>
      </c>
      <c r="H65" s="447" t="str">
        <f t="shared" si="28"/>
        <v>kWh</v>
      </c>
      <c r="I65" s="432">
        <f t="shared" ca="1" si="30"/>
        <v>-5258</v>
      </c>
      <c r="J65" s="433">
        <f t="shared" ca="1" si="31"/>
        <v>-1.1443102352193261E-2</v>
      </c>
      <c r="K65" s="433">
        <f t="shared" ca="1" si="32"/>
        <v>-3.3983180329309813E-3</v>
      </c>
      <c r="L65" s="434"/>
      <c r="M65" s="435"/>
      <c r="N65" s="435"/>
      <c r="O65" s="435"/>
      <c r="P65" s="436"/>
    </row>
    <row r="66" spans="2:16" ht="14.45" thickBot="1">
      <c r="B66" s="437" t="s">
        <v>140</v>
      </c>
      <c r="C66" s="439">
        <f ca="1">SUM(C59:C65)</f>
        <v>33007.75</v>
      </c>
      <c r="D66" s="439">
        <f ca="1">SUM(D59:D65)</f>
        <v>33328.583333333328</v>
      </c>
      <c r="E66" s="439">
        <f ca="1">SUM(E59:E65)</f>
        <v>320.83333333333081</v>
      </c>
      <c r="F66" s="439">
        <f ca="1">SUM(F59:F65)</f>
        <v>328486267</v>
      </c>
      <c r="G66" s="439">
        <f ca="1">SUM(G59:G65)</f>
        <v>320105625</v>
      </c>
      <c r="H66" s="439"/>
      <c r="I66" s="440"/>
      <c r="L66" s="441"/>
      <c r="M66" s="442"/>
      <c r="N66" s="442"/>
      <c r="O66" s="442"/>
      <c r="P66" s="443"/>
    </row>
    <row r="68" spans="2:16" ht="14.45">
      <c r="E68" s="19" t="s">
        <v>629</v>
      </c>
      <c r="F68" s="446">
        <f ca="1">G55</f>
        <v>3526.2</v>
      </c>
      <c r="G68" s="446">
        <f ca="1">OFFSET($H$37,0,(ROW()-ROW($G$55))/13)</f>
        <v>3240.3710459828199</v>
      </c>
      <c r="H68" s="424">
        <f ca="1">G68-F68</f>
        <v>-285.82895401717997</v>
      </c>
      <c r="I68" s="425">
        <f ca="1">H68/F68</f>
        <v>-8.1058633661499624E-2</v>
      </c>
    </row>
    <row r="69" spans="2:16" ht="15" thickBot="1">
      <c r="E69" s="19" t="s">
        <v>630</v>
      </c>
      <c r="F69" s="446">
        <f ca="1">G56</f>
        <v>571.80000000000007</v>
      </c>
      <c r="G69" s="446">
        <f ca="1">OFFSET($H$38,0,(ROW()-ROW($G$55))/13)</f>
        <v>443.72895401718034</v>
      </c>
      <c r="H69" s="424">
        <f ca="1">G69-F69</f>
        <v>-128.07104598281973</v>
      </c>
      <c r="I69" s="425">
        <f ca="1">H69/F69</f>
        <v>-0.2239787442861485</v>
      </c>
    </row>
    <row r="70" spans="2:16" ht="15.75" customHeight="1" thickBot="1">
      <c r="B70" s="426"/>
      <c r="C70" s="576" t="s">
        <v>633</v>
      </c>
      <c r="D70" s="577"/>
      <c r="E70" s="578"/>
      <c r="F70" s="576" t="s">
        <v>634</v>
      </c>
      <c r="G70" s="577"/>
      <c r="H70" s="579"/>
      <c r="I70" s="580" t="s">
        <v>635</v>
      </c>
    </row>
    <row r="71" spans="2:16" ht="14.45" thickBot="1">
      <c r="B71" s="427" t="str">
        <f t="shared" ref="B71:B78" si="33">B58</f>
        <v>Rate Class</v>
      </c>
      <c r="C71" s="428" t="str">
        <f t="shared" ref="C71:C78" ca="1" si="34">D58</f>
        <v>2019 Actual</v>
      </c>
      <c r="D71" s="428" t="str">
        <f ca="1">OFFSET($H$3,0,(ROW()-ROW($D$58))/13)&amp;" "&amp;OFFSET($H$2,0,(ROW()-ROW($D$58))/13)</f>
        <v>2020 Actual</v>
      </c>
      <c r="E71" s="428" t="s">
        <v>637</v>
      </c>
      <c r="F71" s="428" t="str">
        <f t="shared" ref="F71:F78" ca="1" si="35">G58</f>
        <v>2019 Actual</v>
      </c>
      <c r="G71" s="428" t="str">
        <f ca="1">D71</f>
        <v>2020 Actual</v>
      </c>
      <c r="H71" s="426" t="s">
        <v>638</v>
      </c>
      <c r="I71" s="581"/>
      <c r="L71" s="429"/>
      <c r="M71" s="429"/>
      <c r="N71" s="429"/>
      <c r="O71" s="429"/>
      <c r="P71" s="429"/>
    </row>
    <row r="72" spans="2:16" ht="15" thickBot="1">
      <c r="B72" s="430" t="str">
        <f t="shared" si="33"/>
        <v>Residential</v>
      </c>
      <c r="C72" s="432">
        <f t="shared" ca="1" si="34"/>
        <v>27931.833333333332</v>
      </c>
      <c r="D72" s="432">
        <f ca="1">OFFSET($H$24,0,(ROW()-ROW($D$59))/13)</f>
        <v>28265.333333333332</v>
      </c>
      <c r="E72" s="432">
        <f ca="1">D72-C72</f>
        <v>333.5</v>
      </c>
      <c r="F72" s="432">
        <f t="shared" ca="1" si="35"/>
        <v>252809094</v>
      </c>
      <c r="G72" s="432">
        <f ca="1">OFFSET($H$4,0,(ROW()-ROW($H$59))/13)</f>
        <v>271898869</v>
      </c>
      <c r="H72" s="447" t="str">
        <f t="shared" ref="H72:H78" si="36">H59</f>
        <v>kWh</v>
      </c>
      <c r="I72" s="432">
        <f ca="1">G72-F72</f>
        <v>19089775</v>
      </c>
      <c r="J72" s="433">
        <f ca="1">E72/C72</f>
        <v>1.1939781969198824E-2</v>
      </c>
      <c r="K72" s="433">
        <f ca="1">I72/F72</f>
        <v>7.5510634122995593E-2</v>
      </c>
      <c r="L72" s="434"/>
      <c r="M72" s="435"/>
      <c r="N72" s="435"/>
      <c r="O72" s="435"/>
      <c r="P72" s="436"/>
    </row>
    <row r="73" spans="2:16" ht="15" thickBot="1">
      <c r="B73" s="430" t="str">
        <f t="shared" si="33"/>
        <v>GS &lt; 50 kW</v>
      </c>
      <c r="C73" s="432">
        <f t="shared" ca="1" si="34"/>
        <v>1996.25</v>
      </c>
      <c r="D73" s="432">
        <f ca="1">OFFSET($H$25,0,(ROW()-ROW($D$60))/13)</f>
        <v>2017.75</v>
      </c>
      <c r="E73" s="432">
        <f t="shared" ref="E73:E78" ca="1" si="37">D73-C73</f>
        <v>21.5</v>
      </c>
      <c r="F73" s="432">
        <f t="shared" ca="1" si="35"/>
        <v>65058987</v>
      </c>
      <c r="G73" s="432">
        <f ca="1">OFFSET($H$5,0,(ROW()-ROW($H$60))/13)</f>
        <v>60802781</v>
      </c>
      <c r="H73" s="447" t="str">
        <f t="shared" si="36"/>
        <v>kWh</v>
      </c>
      <c r="I73" s="432">
        <f t="shared" ref="I73:I78" ca="1" si="38">G73-F73</f>
        <v>-4256206</v>
      </c>
      <c r="J73" s="433">
        <f t="shared" ref="J73:J78" ca="1" si="39">E73/C73</f>
        <v>1.0770194113963683E-2</v>
      </c>
      <c r="K73" s="433">
        <f t="shared" ref="K73:K78" ca="1" si="40">I73/F73</f>
        <v>-6.5420723504348452E-2</v>
      </c>
      <c r="L73" s="434"/>
      <c r="M73" s="435"/>
      <c r="N73" s="435"/>
      <c r="O73" s="435"/>
      <c r="P73" s="436"/>
    </row>
    <row r="74" spans="2:16" ht="15" thickBot="1">
      <c r="B74" s="430" t="str">
        <f t="shared" si="33"/>
        <v>GS &gt; 50 kW</v>
      </c>
      <c r="C74" s="432">
        <f t="shared" ca="1" si="34"/>
        <v>261.5</v>
      </c>
      <c r="D74" s="432">
        <f ca="1">OFFSET($H$26,0,(ROW()-ROW($D$61))/13)</f>
        <v>256.33333333333331</v>
      </c>
      <c r="E74" s="432">
        <f t="shared" ca="1" si="37"/>
        <v>-5.1666666666666856</v>
      </c>
      <c r="F74" s="432">
        <f t="shared" ca="1" si="35"/>
        <v>592797</v>
      </c>
      <c r="G74" s="432">
        <f ca="1">OFFSET($H$16,0,(ROW()-ROW($H$61))/13)</f>
        <v>580474</v>
      </c>
      <c r="H74" s="447" t="str">
        <f t="shared" si="36"/>
        <v>kW</v>
      </c>
      <c r="I74" s="432">
        <f t="shared" ca="1" si="38"/>
        <v>-12323</v>
      </c>
      <c r="J74" s="433">
        <f t="shared" ca="1" si="39"/>
        <v>-1.9757807520713901E-2</v>
      </c>
      <c r="K74" s="433">
        <f t="shared" ca="1" si="40"/>
        <v>-2.0787891976511354E-2</v>
      </c>
      <c r="L74" s="434"/>
      <c r="M74" s="435"/>
      <c r="N74" s="435"/>
      <c r="O74" s="435"/>
      <c r="P74" s="436"/>
    </row>
    <row r="75" spans="2:16" ht="28.5" thickBot="1">
      <c r="B75" s="430" t="str">
        <f t="shared" si="33"/>
        <v>Embedded Distributor</v>
      </c>
      <c r="C75" s="432">
        <f t="shared" ca="1" si="34"/>
        <v>4</v>
      </c>
      <c r="D75" s="432">
        <f ca="1">OFFSET($H$27,0,(ROW()-ROW($D$62))/13)</f>
        <v>4</v>
      </c>
      <c r="E75" s="432">
        <f t="shared" ca="1" si="37"/>
        <v>0</v>
      </c>
      <c r="F75" s="432">
        <f t="shared" ca="1" si="35"/>
        <v>94142</v>
      </c>
      <c r="G75" s="432">
        <f ca="1">OFFSET($H$17,0,(ROW()-ROW($H$62))/13)</f>
        <v>92507</v>
      </c>
      <c r="H75" s="447" t="str">
        <f t="shared" si="36"/>
        <v>kW</v>
      </c>
      <c r="I75" s="432">
        <f t="shared" ca="1" si="38"/>
        <v>-1635</v>
      </c>
      <c r="J75" s="433">
        <f t="shared" ca="1" si="39"/>
        <v>0</v>
      </c>
      <c r="K75" s="433">
        <f t="shared" ca="1" si="40"/>
        <v>-1.7367381190117059E-2</v>
      </c>
      <c r="L75" s="434"/>
      <c r="M75" s="435"/>
      <c r="N75" s="435"/>
      <c r="O75" s="435"/>
      <c r="P75" s="436"/>
    </row>
    <row r="76" spans="2:16" ht="15" thickBot="1">
      <c r="B76" s="430" t="str">
        <f t="shared" si="33"/>
        <v>Street Light</v>
      </c>
      <c r="C76" s="432">
        <f t="shared" ca="1" si="34"/>
        <v>2770</v>
      </c>
      <c r="D76" s="432">
        <f ca="1">OFFSET($H$28,0,(ROW()-ROW($D$63))/13)</f>
        <v>2777.3333333333335</v>
      </c>
      <c r="E76" s="432">
        <f t="shared" ca="1" si="37"/>
        <v>7.3333333333334849</v>
      </c>
      <c r="F76" s="432">
        <f t="shared" ca="1" si="35"/>
        <v>7846</v>
      </c>
      <c r="G76" s="432">
        <f ca="1">OFFSET($H$18,0,(ROW()-ROW($H$63))/13)</f>
        <v>7413</v>
      </c>
      <c r="H76" s="447" t="str">
        <f t="shared" si="36"/>
        <v>kW</v>
      </c>
      <c r="I76" s="432">
        <f t="shared" ca="1" si="38"/>
        <v>-433</v>
      </c>
      <c r="J76" s="433">
        <f t="shared" ca="1" si="39"/>
        <v>2.6474127557160596E-3</v>
      </c>
      <c r="K76" s="433">
        <f t="shared" ca="1" si="40"/>
        <v>-5.5187356614835585E-2</v>
      </c>
      <c r="L76" s="434"/>
      <c r="M76" s="435"/>
      <c r="N76" s="435"/>
      <c r="O76" s="435"/>
      <c r="P76" s="436"/>
    </row>
    <row r="77" spans="2:16" ht="15" thickBot="1">
      <c r="B77" s="430" t="str">
        <f t="shared" si="33"/>
        <v>Sentinel Light</v>
      </c>
      <c r="C77" s="432">
        <f t="shared" ca="1" si="34"/>
        <v>235.41666666666666</v>
      </c>
      <c r="D77" s="432">
        <f ca="1">OFFSET($H$29,0,(ROW()-ROW($D$64))/13)</f>
        <v>228.08333333333334</v>
      </c>
      <c r="E77" s="432">
        <f t="shared" ca="1" si="37"/>
        <v>-7.3333333333333144</v>
      </c>
      <c r="F77" s="432">
        <f t="shared" ca="1" si="35"/>
        <v>781</v>
      </c>
      <c r="G77" s="432">
        <f ca="1">OFFSET($H$19,0,(ROW()-ROW($H$64))/13)</f>
        <v>767</v>
      </c>
      <c r="H77" s="447" t="str">
        <f t="shared" si="36"/>
        <v>kW</v>
      </c>
      <c r="I77" s="432">
        <f t="shared" ca="1" si="38"/>
        <v>-14</v>
      </c>
      <c r="J77" s="433">
        <f t="shared" ca="1" si="39"/>
        <v>-3.1150442477876027E-2</v>
      </c>
      <c r="K77" s="433">
        <f t="shared" ca="1" si="40"/>
        <v>-1.7925736235595392E-2</v>
      </c>
      <c r="L77" s="441"/>
      <c r="M77" s="442"/>
      <c r="N77" s="442"/>
      <c r="O77" s="442"/>
      <c r="P77" s="443"/>
    </row>
    <row r="78" spans="2:16" ht="15" thickBot="1">
      <c r="B78" s="430" t="str">
        <f t="shared" si="33"/>
        <v>USL</v>
      </c>
      <c r="C78" s="432">
        <f t="shared" ca="1" si="34"/>
        <v>129.58333333333334</v>
      </c>
      <c r="D78" s="432">
        <f ca="1">OFFSET($H$30,0,(ROW()-ROW($D$65))/13)</f>
        <v>125.83333333333333</v>
      </c>
      <c r="E78" s="432">
        <f t="shared" ca="1" si="37"/>
        <v>-3.7500000000000142</v>
      </c>
      <c r="F78" s="432">
        <f t="shared" ca="1" si="35"/>
        <v>1541978</v>
      </c>
      <c r="G78" s="432">
        <f ca="1">OFFSET($H$10,0,(ROW()-ROW($H$65))/13)</f>
        <v>1442699</v>
      </c>
      <c r="H78" s="447" t="str">
        <f t="shared" si="36"/>
        <v>kWh</v>
      </c>
      <c r="I78" s="432">
        <f t="shared" ca="1" si="38"/>
        <v>-99279</v>
      </c>
      <c r="J78" s="433">
        <f t="shared" ca="1" si="39"/>
        <v>-2.8938906752411682E-2</v>
      </c>
      <c r="K78" s="433">
        <f t="shared" ca="1" si="40"/>
        <v>-6.4384187063628667E-2</v>
      </c>
    </row>
    <row r="79" spans="2:16" ht="14.45" thickBot="1">
      <c r="B79" s="437" t="s">
        <v>140</v>
      </c>
      <c r="C79" s="439">
        <f ca="1">SUM(C72:C78)</f>
        <v>33328.583333333328</v>
      </c>
      <c r="D79" s="439">
        <f ca="1">SUM(D72:D78)</f>
        <v>33674.666666666672</v>
      </c>
      <c r="E79" s="439">
        <f ca="1">SUM(E72:E78)</f>
        <v>346.08333333333348</v>
      </c>
      <c r="F79" s="439">
        <f ca="1">SUM(F72:F78)</f>
        <v>320105625</v>
      </c>
      <c r="G79" s="439">
        <f ca="1">SUM(G72:G78)</f>
        <v>334825510</v>
      </c>
      <c r="H79" s="439"/>
      <c r="I79" s="440"/>
    </row>
    <row r="81" spans="2:16" ht="15.75" customHeight="1">
      <c r="E81" s="19" t="s">
        <v>629</v>
      </c>
      <c r="F81" s="446">
        <f ca="1">G68</f>
        <v>3240.3710459828199</v>
      </c>
      <c r="G81" s="446">
        <f ca="1">OFFSET($H$37,0,(ROW()-ROW($G$55))/13)</f>
        <v>3135.2355229914106</v>
      </c>
      <c r="H81" s="424">
        <f ca="1">G81-F81</f>
        <v>-105.13552299140929</v>
      </c>
      <c r="I81" s="425">
        <f ca="1">H81/F81</f>
        <v>-3.244551981840129E-2</v>
      </c>
    </row>
    <row r="82" spans="2:16" ht="15" thickBot="1">
      <c r="E82" s="19" t="s">
        <v>630</v>
      </c>
      <c r="F82" s="446">
        <f ca="1">G69</f>
        <v>443.72895401718034</v>
      </c>
      <c r="G82" s="446">
        <f ca="1">OFFSET($H$38,0,(ROW()-ROW($G$55))/13)</f>
        <v>492.12238504295095</v>
      </c>
      <c r="H82" s="424">
        <f ca="1">G82-F82</f>
        <v>48.39343102577061</v>
      </c>
      <c r="I82" s="425">
        <f ca="1">H82/F82</f>
        <v>0.10906079170100066</v>
      </c>
      <c r="L82" s="429"/>
      <c r="M82" s="429"/>
      <c r="N82" s="429"/>
      <c r="O82" s="429"/>
      <c r="P82" s="429"/>
    </row>
    <row r="83" spans="2:16" ht="14.45" customHeight="1" thickBot="1">
      <c r="B83" s="426"/>
      <c r="C83" s="576" t="s">
        <v>633</v>
      </c>
      <c r="D83" s="577"/>
      <c r="E83" s="578"/>
      <c r="F83" s="576" t="s">
        <v>634</v>
      </c>
      <c r="G83" s="577"/>
      <c r="H83" s="579"/>
      <c r="I83" s="580" t="s">
        <v>635</v>
      </c>
      <c r="L83" s="434"/>
      <c r="M83" s="435"/>
      <c r="N83" s="435"/>
      <c r="O83" s="435"/>
      <c r="P83" s="436"/>
    </row>
    <row r="84" spans="2:16" ht="14.45" thickBot="1">
      <c r="B84" s="427" t="str">
        <f t="shared" ref="B84:B91" si="41">B71</f>
        <v>Rate Class</v>
      </c>
      <c r="C84" s="428" t="str">
        <f t="shared" ref="C84:C91" ca="1" si="42">D71</f>
        <v>2020 Actual</v>
      </c>
      <c r="D84" s="428" t="str">
        <f ca="1">OFFSET($H$3,0,(ROW()-ROW($D$58))/13)&amp;" "&amp;OFFSET($H$2,0,(ROW()-ROW($D$58))/13)</f>
        <v>2021 Actual</v>
      </c>
      <c r="E84" s="428" t="s">
        <v>637</v>
      </c>
      <c r="F84" s="428" t="str">
        <f t="shared" ref="F84:F91" ca="1" si="43">G71</f>
        <v>2020 Actual</v>
      </c>
      <c r="G84" s="428" t="str">
        <f ca="1">D84</f>
        <v>2021 Actual</v>
      </c>
      <c r="H84" s="426" t="s">
        <v>638</v>
      </c>
      <c r="I84" s="581"/>
      <c r="L84" s="434"/>
      <c r="M84" s="435"/>
      <c r="N84" s="435"/>
      <c r="O84" s="435"/>
      <c r="P84" s="436"/>
    </row>
    <row r="85" spans="2:16" ht="15" thickBot="1">
      <c r="B85" s="430" t="str">
        <f t="shared" si="41"/>
        <v>Residential</v>
      </c>
      <c r="C85" s="432">
        <f t="shared" ca="1" si="42"/>
        <v>28265.333333333332</v>
      </c>
      <c r="D85" s="432">
        <f ca="1">OFFSET($H$24,0,(ROW()-ROW($D$59))/13)</f>
        <v>28511.916666666668</v>
      </c>
      <c r="E85" s="432">
        <f ca="1">D85-C85</f>
        <v>246.58333333333576</v>
      </c>
      <c r="F85" s="432">
        <f t="shared" ca="1" si="43"/>
        <v>271898869</v>
      </c>
      <c r="G85" s="432">
        <f ca="1">OFFSET($H$4,0,(ROW()-ROW($H$59))/13)</f>
        <v>277378582</v>
      </c>
      <c r="H85" s="447" t="str">
        <f t="shared" ref="H85:H91" si="44">H72</f>
        <v>kWh</v>
      </c>
      <c r="I85" s="432">
        <f ca="1">G85-F85</f>
        <v>5479713</v>
      </c>
      <c r="J85" s="433">
        <f ca="1">E85/C85</f>
        <v>8.723878484834276E-3</v>
      </c>
      <c r="K85" s="433">
        <f ca="1">I85/F85</f>
        <v>2.0153496850330774E-2</v>
      </c>
      <c r="L85" s="434"/>
      <c r="M85" s="435"/>
      <c r="N85" s="435"/>
      <c r="O85" s="435"/>
      <c r="P85" s="436"/>
    </row>
    <row r="86" spans="2:16" ht="15" thickBot="1">
      <c r="B86" s="430" t="str">
        <f t="shared" si="41"/>
        <v>GS &lt; 50 kW</v>
      </c>
      <c r="C86" s="432">
        <f t="shared" ca="1" si="42"/>
        <v>2017.75</v>
      </c>
      <c r="D86" s="432">
        <f ca="1">OFFSET($H$25,0,(ROW()-ROW($D$60))/13)</f>
        <v>2039.5833333333333</v>
      </c>
      <c r="E86" s="432">
        <f t="shared" ref="E86:E91" ca="1" si="45">D86-C86</f>
        <v>21.833333333333258</v>
      </c>
      <c r="F86" s="432">
        <f t="shared" ca="1" si="43"/>
        <v>60802781</v>
      </c>
      <c r="G86" s="432">
        <f ca="1">OFFSET($H$5,0,(ROW()-ROW($H$60))/13)</f>
        <v>62043606</v>
      </c>
      <c r="H86" s="447" t="str">
        <f t="shared" si="44"/>
        <v>kWh</v>
      </c>
      <c r="I86" s="432">
        <f t="shared" ref="I86:I91" ca="1" si="46">G86-F86</f>
        <v>1240825</v>
      </c>
      <c r="J86" s="433">
        <f t="shared" ref="J86:J91" ca="1" si="47">E86/C86</f>
        <v>1.0820633543963948E-2</v>
      </c>
      <c r="K86" s="433">
        <f t="shared" ref="K86:K91" ca="1" si="48">I86/F86</f>
        <v>2.0407372485149979E-2</v>
      </c>
      <c r="L86" s="434"/>
      <c r="M86" s="435"/>
      <c r="N86" s="435"/>
      <c r="O86" s="435"/>
      <c r="P86" s="436"/>
    </row>
    <row r="87" spans="2:16" ht="15" thickBot="1">
      <c r="B87" s="430" t="str">
        <f t="shared" si="41"/>
        <v>GS &gt; 50 kW</v>
      </c>
      <c r="C87" s="432">
        <f t="shared" ca="1" si="42"/>
        <v>256.33333333333331</v>
      </c>
      <c r="D87" s="432">
        <f ca="1">OFFSET($H$26,0,(ROW()-ROW($D$61))/13)</f>
        <v>234.25</v>
      </c>
      <c r="E87" s="432">
        <f t="shared" ca="1" si="45"/>
        <v>-22.083333333333314</v>
      </c>
      <c r="F87" s="432">
        <f t="shared" ca="1" si="43"/>
        <v>580474</v>
      </c>
      <c r="G87" s="432">
        <f ca="1">OFFSET($H$16,0,(ROW()-ROW($H$61))/13)</f>
        <v>574683</v>
      </c>
      <c r="H87" s="447" t="str">
        <f t="shared" si="44"/>
        <v>kW</v>
      </c>
      <c r="I87" s="432">
        <f t="shared" ca="1" si="46"/>
        <v>-5791</v>
      </c>
      <c r="J87" s="433">
        <f t="shared" ca="1" si="47"/>
        <v>-8.6150845253576011E-2</v>
      </c>
      <c r="K87" s="433">
        <f t="shared" ca="1" si="48"/>
        <v>-9.9763296891850449E-3</v>
      </c>
      <c r="L87" s="434"/>
      <c r="M87" s="435"/>
      <c r="N87" s="435"/>
      <c r="O87" s="435"/>
      <c r="P87" s="436"/>
    </row>
    <row r="88" spans="2:16" ht="28.5" thickBot="1">
      <c r="B88" s="430" t="str">
        <f t="shared" si="41"/>
        <v>Embedded Distributor</v>
      </c>
      <c r="C88" s="432">
        <f t="shared" ca="1" si="42"/>
        <v>4</v>
      </c>
      <c r="D88" s="432">
        <f ca="1">OFFSET($H$27,0,(ROW()-ROW($D$62))/13)</f>
        <v>4</v>
      </c>
      <c r="E88" s="432">
        <f t="shared" ca="1" si="45"/>
        <v>0</v>
      </c>
      <c r="F88" s="432">
        <f t="shared" ca="1" si="43"/>
        <v>92507</v>
      </c>
      <c r="G88" s="432">
        <f ca="1">OFFSET($H$17,0,(ROW()-ROW($H$62))/13)</f>
        <v>89242</v>
      </c>
      <c r="H88" s="447" t="str">
        <f t="shared" si="44"/>
        <v>kW</v>
      </c>
      <c r="I88" s="432">
        <f t="shared" ca="1" si="46"/>
        <v>-3265</v>
      </c>
      <c r="J88" s="433">
        <f t="shared" ca="1" si="47"/>
        <v>0</v>
      </c>
      <c r="K88" s="433">
        <f t="shared" ca="1" si="48"/>
        <v>-3.529462635260034E-2</v>
      </c>
      <c r="L88" s="434"/>
      <c r="M88" s="435"/>
      <c r="N88" s="435"/>
      <c r="O88" s="435"/>
      <c r="P88" s="436"/>
    </row>
    <row r="89" spans="2:16" ht="15" thickBot="1">
      <c r="B89" s="430" t="str">
        <f t="shared" si="41"/>
        <v>Street Light</v>
      </c>
      <c r="C89" s="432">
        <f t="shared" ca="1" si="42"/>
        <v>2777.3333333333335</v>
      </c>
      <c r="D89" s="432">
        <f ca="1">OFFSET($H$28,0,(ROW()-ROW($D$63))/13)</f>
        <v>2784.6666666666665</v>
      </c>
      <c r="E89" s="432">
        <f t="shared" ca="1" si="45"/>
        <v>7.3333333333330302</v>
      </c>
      <c r="F89" s="432">
        <f t="shared" ca="1" si="43"/>
        <v>7413</v>
      </c>
      <c r="G89" s="432">
        <f ca="1">OFFSET($H$18,0,(ROW()-ROW($H$63))/13)</f>
        <v>7398</v>
      </c>
      <c r="H89" s="447" t="str">
        <f t="shared" si="44"/>
        <v>kW</v>
      </c>
      <c r="I89" s="432">
        <f t="shared" ca="1" si="46"/>
        <v>-15</v>
      </c>
      <c r="J89" s="433">
        <f t="shared" ca="1" si="47"/>
        <v>2.6404224675947059E-3</v>
      </c>
      <c r="K89" s="433">
        <f t="shared" ca="1" si="48"/>
        <v>-2.0234722784297854E-3</v>
      </c>
    </row>
    <row r="90" spans="2:16" ht="15" thickBot="1">
      <c r="B90" s="430" t="str">
        <f t="shared" si="41"/>
        <v>Sentinel Light</v>
      </c>
      <c r="C90" s="432">
        <f t="shared" ca="1" si="42"/>
        <v>228.08333333333334</v>
      </c>
      <c r="D90" s="432">
        <f ca="1">OFFSET($H$29,0,(ROW()-ROW($D$64))/13)</f>
        <v>228</v>
      </c>
      <c r="E90" s="432">
        <f t="shared" ca="1" si="45"/>
        <v>-8.3333333333342807E-2</v>
      </c>
      <c r="F90" s="432">
        <f t="shared" ca="1" si="43"/>
        <v>767</v>
      </c>
      <c r="G90" s="432">
        <f ca="1">OFFSET($H$19,0,(ROW()-ROW($H$64))/13)</f>
        <v>759</v>
      </c>
      <c r="H90" s="447" t="str">
        <f t="shared" si="44"/>
        <v>kW</v>
      </c>
      <c r="I90" s="432">
        <f t="shared" ca="1" si="46"/>
        <v>-8</v>
      </c>
      <c r="J90" s="433">
        <f t="shared" ca="1" si="47"/>
        <v>-3.6536353671907696E-4</v>
      </c>
      <c r="K90" s="433">
        <f t="shared" ca="1" si="48"/>
        <v>-1.0430247718383311E-2</v>
      </c>
    </row>
    <row r="91" spans="2:16" ht="15" thickBot="1">
      <c r="B91" s="430" t="str">
        <f t="shared" si="41"/>
        <v>USL</v>
      </c>
      <c r="C91" s="432">
        <f t="shared" ca="1" si="42"/>
        <v>125.83333333333333</v>
      </c>
      <c r="D91" s="432">
        <f ca="1">OFFSET($H$30,0,(ROW()-ROW($D$65))/13)</f>
        <v>125</v>
      </c>
      <c r="E91" s="432">
        <f t="shared" ca="1" si="45"/>
        <v>-0.8333333333333286</v>
      </c>
      <c r="F91" s="432">
        <f t="shared" ca="1" si="43"/>
        <v>1442699</v>
      </c>
      <c r="G91" s="432">
        <f ca="1">OFFSET($H$10,0,(ROW()-ROW($H$65))/13)</f>
        <v>1408704</v>
      </c>
      <c r="H91" s="447" t="str">
        <f t="shared" si="44"/>
        <v>kWh</v>
      </c>
      <c r="I91" s="432">
        <f t="shared" ca="1" si="46"/>
        <v>-33995</v>
      </c>
      <c r="J91" s="433">
        <f t="shared" ca="1" si="47"/>
        <v>-6.6225165562913534E-3</v>
      </c>
      <c r="K91" s="433">
        <f t="shared" ca="1" si="48"/>
        <v>-2.3563473739151412E-2</v>
      </c>
    </row>
    <row r="92" spans="2:16" ht="15.75" customHeight="1" thickBot="1">
      <c r="B92" s="437" t="s">
        <v>140</v>
      </c>
      <c r="C92" s="439">
        <f ca="1">SUM(C85:C91)</f>
        <v>33674.666666666672</v>
      </c>
      <c r="D92" s="439">
        <f ca="1">SUM(D85:D91)</f>
        <v>33927.416666666664</v>
      </c>
      <c r="E92" s="439">
        <f ca="1">SUM(E85:E91)</f>
        <v>252.75000000000205</v>
      </c>
      <c r="F92" s="439">
        <f ca="1">SUM(F85:F91)</f>
        <v>334825510</v>
      </c>
      <c r="G92" s="439">
        <f ca="1">SUM(G85:G91)</f>
        <v>341502974</v>
      </c>
      <c r="H92" s="439"/>
      <c r="I92" s="440"/>
    </row>
    <row r="93" spans="2:16" ht="14.1">
      <c r="L93" s="429"/>
      <c r="M93" s="429"/>
      <c r="N93" s="429"/>
      <c r="O93" s="429"/>
      <c r="P93" s="429"/>
    </row>
    <row r="94" spans="2:16" ht="14.45">
      <c r="E94" s="19" t="s">
        <v>629</v>
      </c>
      <c r="F94" s="446">
        <f ca="1">G81</f>
        <v>3135.2355229914106</v>
      </c>
      <c r="G94" s="446">
        <f ca="1">OFFSET($H$37,0,(ROW()-ROW($G$55))/13)</f>
        <v>3454.213137948459</v>
      </c>
      <c r="H94" s="424">
        <f ca="1">G94-F94</f>
        <v>318.97761495704844</v>
      </c>
      <c r="I94" s="425">
        <f ca="1">H94/F94</f>
        <v>0.10173960221422329</v>
      </c>
      <c r="L94" s="434"/>
      <c r="M94" s="435"/>
      <c r="N94" s="435"/>
      <c r="O94" s="435"/>
      <c r="P94" s="436"/>
    </row>
    <row r="95" spans="2:16" ht="15" thickBot="1">
      <c r="E95" s="19" t="s">
        <v>630</v>
      </c>
      <c r="F95" s="446">
        <f ca="1">G82</f>
        <v>492.12238504295095</v>
      </c>
      <c r="G95" s="446">
        <f ca="1">OFFSET($H$38,0,(ROW()-ROW($G$55))/13)</f>
        <v>544.65790803436073</v>
      </c>
      <c r="H95" s="424">
        <f ca="1">G95-F95</f>
        <v>52.535522991409778</v>
      </c>
      <c r="I95" s="425">
        <f ca="1">H95/F95</f>
        <v>0.10675296346624151</v>
      </c>
      <c r="L95" s="434"/>
      <c r="M95" s="435"/>
      <c r="N95" s="435"/>
      <c r="O95" s="435"/>
      <c r="P95" s="436"/>
    </row>
    <row r="96" spans="2:16" ht="14.45" customHeight="1" thickBot="1">
      <c r="B96" s="426"/>
      <c r="C96" s="576" t="s">
        <v>633</v>
      </c>
      <c r="D96" s="577"/>
      <c r="E96" s="578"/>
      <c r="F96" s="576" t="s">
        <v>634</v>
      </c>
      <c r="G96" s="577"/>
      <c r="H96" s="579"/>
      <c r="I96" s="580" t="s">
        <v>635</v>
      </c>
      <c r="L96" s="434"/>
      <c r="M96" s="435"/>
      <c r="N96" s="435"/>
      <c r="O96" s="435"/>
      <c r="P96" s="436"/>
    </row>
    <row r="97" spans="2:16" ht="14.45" thickBot="1">
      <c r="B97" s="427" t="str">
        <f t="shared" ref="B97:B104" si="49">B84</f>
        <v>Rate Class</v>
      </c>
      <c r="C97" s="428" t="str">
        <f t="shared" ref="C97:C104" ca="1" si="50">D84</f>
        <v>2021 Actual</v>
      </c>
      <c r="D97" s="428" t="str">
        <f ca="1">OFFSET($H$3,0,(ROW()-ROW($D$58))/13)&amp;" "&amp;OFFSET($H$2,0,(ROW()-ROW($D$58))/13)</f>
        <v>2022 Actual</v>
      </c>
      <c r="E97" s="428" t="s">
        <v>637</v>
      </c>
      <c r="F97" s="428" t="str">
        <f t="shared" ref="F97:F104" ca="1" si="51">G84</f>
        <v>2021 Actual</v>
      </c>
      <c r="G97" s="428" t="str">
        <f ca="1">D97</f>
        <v>2022 Actual</v>
      </c>
      <c r="H97" s="426" t="s">
        <v>638</v>
      </c>
      <c r="I97" s="581"/>
      <c r="L97" s="434"/>
      <c r="M97" s="435"/>
      <c r="N97" s="435"/>
      <c r="O97" s="435"/>
      <c r="P97" s="436"/>
    </row>
    <row r="98" spans="2:16" ht="15" thickBot="1">
      <c r="B98" s="430" t="str">
        <f t="shared" si="49"/>
        <v>Residential</v>
      </c>
      <c r="C98" s="432">
        <f t="shared" ca="1" si="50"/>
        <v>28511.916666666668</v>
      </c>
      <c r="D98" s="432">
        <f ca="1">OFFSET($H$24,0,(ROW()-ROW($D$59))/13)</f>
        <v>28745.333333333332</v>
      </c>
      <c r="E98" s="432">
        <f ca="1">D98-C98</f>
        <v>233.41666666666424</v>
      </c>
      <c r="F98" s="432">
        <f t="shared" ca="1" si="51"/>
        <v>277378582</v>
      </c>
      <c r="G98" s="432">
        <f ca="1">OFFSET($H$4,0,(ROW()-ROW($H$59))/13)</f>
        <v>272607146</v>
      </c>
      <c r="H98" s="447" t="str">
        <f t="shared" ref="H98:H104" si="52">H85</f>
        <v>kWh</v>
      </c>
      <c r="I98" s="432">
        <f ca="1">G98-F98</f>
        <v>-4771436</v>
      </c>
      <c r="J98" s="433">
        <f ca="1">E98/C98</f>
        <v>8.1866354126782399E-3</v>
      </c>
      <c r="K98" s="433">
        <f ca="1">I98/F98</f>
        <v>-1.7201890519434555E-2</v>
      </c>
      <c r="L98" s="434"/>
      <c r="M98" s="435"/>
      <c r="N98" s="435"/>
      <c r="O98" s="435"/>
      <c r="P98" s="436"/>
    </row>
    <row r="99" spans="2:16" ht="15" thickBot="1">
      <c r="B99" s="430" t="str">
        <f t="shared" si="49"/>
        <v>GS &lt; 50 kW</v>
      </c>
      <c r="C99" s="432">
        <f t="shared" ca="1" si="50"/>
        <v>2039.5833333333333</v>
      </c>
      <c r="D99" s="432">
        <f ca="1">OFFSET($H$25,0,(ROW()-ROW($D$60))/13)</f>
        <v>2065.0833333333335</v>
      </c>
      <c r="E99" s="432">
        <f t="shared" ref="E99:E104" ca="1" si="53">D99-C99</f>
        <v>25.500000000000227</v>
      </c>
      <c r="F99" s="432">
        <f t="shared" ca="1" si="51"/>
        <v>62043606</v>
      </c>
      <c r="G99" s="432">
        <f ca="1">OFFSET($H$5,0,(ROW()-ROW($H$60))/13)</f>
        <v>67628825</v>
      </c>
      <c r="H99" s="447" t="str">
        <f t="shared" si="52"/>
        <v>kWh</v>
      </c>
      <c r="I99" s="432">
        <f t="shared" ref="I99:I104" ca="1" si="54">G99-F99</f>
        <v>5585219</v>
      </c>
      <c r="J99" s="433">
        <f t="shared" ref="J99:J104" ca="1" si="55">E99/C99</f>
        <v>1.2502553626149243E-2</v>
      </c>
      <c r="K99" s="433">
        <f t="shared" ref="K99:K104" ca="1" si="56">I99/F99</f>
        <v>9.0020863713176177E-2</v>
      </c>
      <c r="L99" s="434"/>
      <c r="M99" s="435"/>
      <c r="N99" s="435"/>
      <c r="O99" s="435"/>
      <c r="P99" s="436"/>
    </row>
    <row r="100" spans="2:16" ht="15" thickBot="1">
      <c r="B100" s="430" t="str">
        <f t="shared" si="49"/>
        <v>GS &gt; 50 kW</v>
      </c>
      <c r="C100" s="432">
        <f t="shared" ca="1" si="50"/>
        <v>234.25</v>
      </c>
      <c r="D100" s="432">
        <f ca="1">OFFSET($H$26,0,(ROW()-ROW($D$61))/13)</f>
        <v>210.08333333333334</v>
      </c>
      <c r="E100" s="432">
        <f t="shared" ca="1" si="53"/>
        <v>-24.166666666666657</v>
      </c>
      <c r="F100" s="432">
        <f t="shared" ca="1" si="51"/>
        <v>574683</v>
      </c>
      <c r="G100" s="432">
        <f ca="1">OFFSET($H$16,0,(ROW()-ROW($H$61))/13)</f>
        <v>592472</v>
      </c>
      <c r="H100" s="447" t="str">
        <f t="shared" si="52"/>
        <v>kW</v>
      </c>
      <c r="I100" s="432">
        <f t="shared" ca="1" si="54"/>
        <v>17789</v>
      </c>
      <c r="J100" s="433">
        <f t="shared" ca="1" si="55"/>
        <v>-0.10316613304873706</v>
      </c>
      <c r="K100" s="433">
        <f t="shared" ca="1" si="56"/>
        <v>3.0954456630873019E-2</v>
      </c>
      <c r="L100" s="441"/>
      <c r="M100" s="442"/>
      <c r="N100" s="442"/>
      <c r="O100" s="442"/>
      <c r="P100" s="443"/>
    </row>
    <row r="101" spans="2:16" ht="28.5" thickBot="1">
      <c r="B101" s="430" t="str">
        <f t="shared" si="49"/>
        <v>Embedded Distributor</v>
      </c>
      <c r="C101" s="432">
        <f t="shared" ca="1" si="50"/>
        <v>4</v>
      </c>
      <c r="D101" s="432">
        <f ca="1">OFFSET($H$27,0,(ROW()-ROW($D$62))/13)</f>
        <v>4</v>
      </c>
      <c r="E101" s="432">
        <f t="shared" ca="1" si="53"/>
        <v>0</v>
      </c>
      <c r="F101" s="432">
        <f t="shared" ca="1" si="51"/>
        <v>89242</v>
      </c>
      <c r="G101" s="432">
        <f ca="1">OFFSET($H$17,0,(ROW()-ROW($H$62))/13)</f>
        <v>83614</v>
      </c>
      <c r="H101" s="447" t="str">
        <f t="shared" si="52"/>
        <v>kW</v>
      </c>
      <c r="I101" s="432">
        <f t="shared" ca="1" si="54"/>
        <v>-5628</v>
      </c>
      <c r="J101" s="433">
        <f t="shared" ca="1" si="55"/>
        <v>0</v>
      </c>
      <c r="K101" s="433">
        <f t="shared" ca="1" si="56"/>
        <v>-6.3064476367629588E-2</v>
      </c>
    </row>
    <row r="102" spans="2:16" ht="15" thickBot="1">
      <c r="B102" s="430" t="str">
        <f t="shared" si="49"/>
        <v>Street Light</v>
      </c>
      <c r="C102" s="432">
        <f t="shared" ca="1" si="50"/>
        <v>2784.6666666666665</v>
      </c>
      <c r="D102" s="432">
        <f ca="1">OFFSET($H$28,0,(ROW()-ROW($D$63))/13)</f>
        <v>2793.3333333333335</v>
      </c>
      <c r="E102" s="432">
        <f t="shared" ca="1" si="53"/>
        <v>8.6666666666669698</v>
      </c>
      <c r="F102" s="432">
        <f t="shared" ca="1" si="51"/>
        <v>7398</v>
      </c>
      <c r="G102" s="432">
        <f ca="1">OFFSET($H$18,0,(ROW()-ROW($H$63))/13)</f>
        <v>7289</v>
      </c>
      <c r="H102" s="447" t="str">
        <f t="shared" si="52"/>
        <v>kW</v>
      </c>
      <c r="I102" s="432">
        <f t="shared" ca="1" si="54"/>
        <v>-109</v>
      </c>
      <c r="J102" s="433">
        <f t="shared" ca="1" si="55"/>
        <v>3.1122815417765036E-3</v>
      </c>
      <c r="K102" s="433">
        <f t="shared" ca="1" si="56"/>
        <v>-1.4733711814003785E-2</v>
      </c>
    </row>
    <row r="103" spans="2:16" ht="15.75" customHeight="1" thickBot="1">
      <c r="B103" s="430" t="str">
        <f t="shared" si="49"/>
        <v>Sentinel Light</v>
      </c>
      <c r="C103" s="432">
        <f t="shared" ca="1" si="50"/>
        <v>228</v>
      </c>
      <c r="D103" s="432">
        <f ca="1">OFFSET($H$29,0,(ROW()-ROW($D$64))/13)</f>
        <v>226.66666666666666</v>
      </c>
      <c r="E103" s="432">
        <f t="shared" ca="1" si="53"/>
        <v>-1.3333333333333428</v>
      </c>
      <c r="F103" s="432">
        <f t="shared" ca="1" si="51"/>
        <v>759</v>
      </c>
      <c r="G103" s="432">
        <f ca="1">OFFSET($H$19,0,(ROW()-ROW($H$64))/13)</f>
        <v>744</v>
      </c>
      <c r="H103" s="447" t="str">
        <f t="shared" si="52"/>
        <v>kW</v>
      </c>
      <c r="I103" s="432">
        <f t="shared" ca="1" si="54"/>
        <v>-15</v>
      </c>
      <c r="J103" s="433">
        <f t="shared" ca="1" si="55"/>
        <v>-5.8479532163743103E-3</v>
      </c>
      <c r="K103" s="433">
        <f t="shared" ca="1" si="56"/>
        <v>-1.9762845849802372E-2</v>
      </c>
    </row>
    <row r="104" spans="2:16" ht="15" thickBot="1">
      <c r="B104" s="430" t="str">
        <f t="shared" si="49"/>
        <v>USL</v>
      </c>
      <c r="C104" s="432">
        <f t="shared" ca="1" si="50"/>
        <v>125</v>
      </c>
      <c r="D104" s="432">
        <f ca="1">OFFSET($H$30,0,(ROW()-ROW($D$65))/13)</f>
        <v>125</v>
      </c>
      <c r="E104" s="432">
        <f t="shared" ca="1" si="53"/>
        <v>0</v>
      </c>
      <c r="F104" s="432">
        <f t="shared" ca="1" si="51"/>
        <v>1408704</v>
      </c>
      <c r="G104" s="432">
        <f ca="1">OFFSET($H$10,0,(ROW()-ROW($H$65))/13)</f>
        <v>1408704</v>
      </c>
      <c r="H104" s="447" t="str">
        <f t="shared" si="52"/>
        <v>kWh</v>
      </c>
      <c r="I104" s="432">
        <f t="shared" ca="1" si="54"/>
        <v>0</v>
      </c>
      <c r="J104" s="433">
        <f t="shared" ca="1" si="55"/>
        <v>0</v>
      </c>
      <c r="K104" s="433">
        <f t="shared" ca="1" si="56"/>
        <v>0</v>
      </c>
      <c r="L104" s="429"/>
      <c r="M104" s="429"/>
      <c r="N104" s="429"/>
      <c r="O104" s="429"/>
      <c r="P104" s="429"/>
    </row>
    <row r="105" spans="2:16" ht="14.45" thickBot="1">
      <c r="B105" s="437" t="s">
        <v>140</v>
      </c>
      <c r="C105" s="439">
        <f ca="1">SUM(C98:C104)</f>
        <v>33927.416666666664</v>
      </c>
      <c r="D105" s="439">
        <f ca="1">SUM(D98:D104)</f>
        <v>34169.499999999993</v>
      </c>
      <c r="E105" s="439">
        <f ca="1">SUM(E98:E104)</f>
        <v>242.08333333333144</v>
      </c>
      <c r="F105" s="439">
        <f ca="1">SUM(F98:F104)</f>
        <v>341502974</v>
      </c>
      <c r="G105" s="439">
        <f ca="1">SUM(G98:G104)</f>
        <v>342328794</v>
      </c>
      <c r="H105" s="439"/>
      <c r="I105" s="440"/>
      <c r="L105" s="434"/>
      <c r="M105" s="435"/>
      <c r="N105" s="435"/>
      <c r="O105" s="435"/>
      <c r="P105" s="436"/>
    </row>
    <row r="106" spans="2:16" ht="14.1">
      <c r="L106" s="434"/>
      <c r="M106" s="435"/>
      <c r="N106" s="435"/>
      <c r="O106" s="435"/>
      <c r="P106" s="436"/>
    </row>
    <row r="107" spans="2:16" ht="14.45">
      <c r="E107" s="19" t="s">
        <v>629</v>
      </c>
      <c r="F107" s="446">
        <f ca="1">G94</f>
        <v>3454.213137948459</v>
      </c>
      <c r="G107" s="446">
        <f ca="1">OFFSET($H$37,0,(ROW()-ROW($G$55))/13)</f>
        <v>2980.5776149570493</v>
      </c>
      <c r="H107" s="424">
        <f ca="1">G107-F107</f>
        <v>-473.63552299140974</v>
      </c>
      <c r="I107" s="425">
        <f ca="1">H107/F107</f>
        <v>-0.13711821016137798</v>
      </c>
      <c r="L107" s="434"/>
      <c r="M107" s="435"/>
      <c r="N107" s="435"/>
      <c r="O107" s="435"/>
      <c r="P107" s="436"/>
    </row>
    <row r="108" spans="2:16" ht="15" thickBot="1">
      <c r="E108" s="19" t="s">
        <v>630</v>
      </c>
      <c r="F108" s="446">
        <f ca="1">G95</f>
        <v>544.65790803436073</v>
      </c>
      <c r="G108" s="446">
        <f ca="1">OFFSET($H$38,0,(ROW()-ROW($G$55))/13)</f>
        <v>489.02895401718035</v>
      </c>
      <c r="H108" s="424">
        <f ca="1">G108-F108</f>
        <v>-55.628954017180376</v>
      </c>
      <c r="I108" s="425">
        <f ca="1">H108/F108</f>
        <v>-0.10213558491777361</v>
      </c>
      <c r="L108" s="434"/>
      <c r="M108" s="435"/>
      <c r="N108" s="435"/>
      <c r="O108" s="435"/>
      <c r="P108" s="436"/>
    </row>
    <row r="109" spans="2:16" ht="14.45" customHeight="1" thickBot="1">
      <c r="B109" s="426"/>
      <c r="C109" s="576" t="s">
        <v>633</v>
      </c>
      <c r="D109" s="577"/>
      <c r="E109" s="578"/>
      <c r="F109" s="576" t="s">
        <v>634</v>
      </c>
      <c r="G109" s="577"/>
      <c r="H109" s="579"/>
      <c r="I109" s="580" t="s">
        <v>635</v>
      </c>
      <c r="L109" s="434"/>
      <c r="M109" s="435"/>
      <c r="N109" s="435"/>
      <c r="O109" s="435"/>
      <c r="P109" s="436"/>
    </row>
    <row r="110" spans="2:16" ht="14.45" thickBot="1">
      <c r="B110" s="427" t="str">
        <f t="shared" ref="B110:B117" si="57">B97</f>
        <v>Rate Class</v>
      </c>
      <c r="C110" s="428" t="str">
        <f t="shared" ref="C110:C117" ca="1" si="58">D97</f>
        <v>2022 Actual</v>
      </c>
      <c r="D110" s="428" t="str">
        <f ca="1">OFFSET($H$3,0,(ROW()-ROW($D$58))/13)&amp;" "&amp;OFFSET($H$2,0,(ROW()-ROW($D$58))/13)</f>
        <v>2023 Actual</v>
      </c>
      <c r="E110" s="428" t="s">
        <v>637</v>
      </c>
      <c r="F110" s="428" t="str">
        <f t="shared" ref="F110:F117" ca="1" si="59">G97</f>
        <v>2022 Actual</v>
      </c>
      <c r="G110" s="428" t="str">
        <f ca="1">D110</f>
        <v>2023 Actual</v>
      </c>
      <c r="H110" s="426" t="s">
        <v>638</v>
      </c>
      <c r="I110" s="581"/>
      <c r="L110" s="434"/>
      <c r="M110" s="435"/>
      <c r="N110" s="435"/>
      <c r="O110" s="435"/>
      <c r="P110" s="436"/>
    </row>
    <row r="111" spans="2:16" ht="15" thickBot="1">
      <c r="B111" s="430" t="str">
        <f t="shared" si="57"/>
        <v>Residential</v>
      </c>
      <c r="C111" s="432">
        <f t="shared" ca="1" si="58"/>
        <v>28745.333333333332</v>
      </c>
      <c r="D111" s="432">
        <f ca="1">OFFSET($H$24,0,(ROW()-ROW($D$59))/13)</f>
        <v>28911.5</v>
      </c>
      <c r="E111" s="432">
        <f ca="1">D111-C111</f>
        <v>166.16666666666788</v>
      </c>
      <c r="F111" s="432">
        <f t="shared" ca="1" si="59"/>
        <v>272607146</v>
      </c>
      <c r="G111" s="432">
        <f ca="1">OFFSET($H$4,0,(ROW()-ROW($H$59))/13)</f>
        <v>259000633.64553002</v>
      </c>
      <c r="H111" s="447" t="str">
        <f t="shared" ref="H111:H117" si="60">H98</f>
        <v>kWh</v>
      </c>
      <c r="I111" s="432">
        <f ca="1">G111-F111</f>
        <v>-13606512.354469985</v>
      </c>
      <c r="J111" s="433">
        <f ca="1">E111/C111</f>
        <v>5.780648453082282E-3</v>
      </c>
      <c r="K111" s="433">
        <f ca="1">I111/F111</f>
        <v>-4.9912530005614693E-2</v>
      </c>
      <c r="L111" s="441"/>
      <c r="M111" s="442"/>
      <c r="N111" s="442"/>
      <c r="O111" s="442"/>
      <c r="P111" s="443"/>
    </row>
    <row r="112" spans="2:16" ht="15" thickBot="1">
      <c r="B112" s="430" t="str">
        <f t="shared" si="57"/>
        <v>GS &lt; 50 kW</v>
      </c>
      <c r="C112" s="432">
        <f t="shared" ca="1" si="58"/>
        <v>2065.0833333333335</v>
      </c>
      <c r="D112" s="432">
        <f ca="1">OFFSET($H$25,0,(ROW()-ROW($D$60))/13)</f>
        <v>2062.25</v>
      </c>
      <c r="E112" s="432">
        <f t="shared" ref="E112:E117" ca="1" si="61">D112-C112</f>
        <v>-2.8333333333334849</v>
      </c>
      <c r="F112" s="432">
        <f t="shared" ca="1" si="59"/>
        <v>67628825</v>
      </c>
      <c r="G112" s="432">
        <f ca="1">OFFSET($H$5,0,(ROW()-ROW($H$60))/13)</f>
        <v>63293408.089218006</v>
      </c>
      <c r="H112" s="447" t="str">
        <f t="shared" si="60"/>
        <v>kWh</v>
      </c>
      <c r="I112" s="432">
        <f t="shared" ref="I112:I117" ca="1" si="62">G112-F112</f>
        <v>-4335416.9107819945</v>
      </c>
      <c r="J112" s="433">
        <f t="shared" ref="J112:J117" ca="1" si="63">E112/C112</f>
        <v>-1.3720188854364963E-3</v>
      </c>
      <c r="K112" s="433">
        <f t="shared" ref="K112:K117" ca="1" si="64">I112/F112</f>
        <v>-6.4106051092592459E-2</v>
      </c>
    </row>
    <row r="113" spans="2:16" ht="15" thickBot="1">
      <c r="B113" s="430" t="str">
        <f t="shared" si="57"/>
        <v>GS &gt; 50 kW</v>
      </c>
      <c r="C113" s="432">
        <f t="shared" ca="1" si="58"/>
        <v>210.08333333333334</v>
      </c>
      <c r="D113" s="432">
        <f ca="1">OFFSET($H$26,0,(ROW()-ROW($D$61))/13)</f>
        <v>230.33333333333334</v>
      </c>
      <c r="E113" s="432">
        <f t="shared" ca="1" si="61"/>
        <v>20.25</v>
      </c>
      <c r="F113" s="432">
        <f t="shared" ca="1" si="59"/>
        <v>592472</v>
      </c>
      <c r="G113" s="432">
        <f ca="1">OFFSET($H$16,0,(ROW()-ROW($H$61))/13)</f>
        <v>566314.55000000005</v>
      </c>
      <c r="H113" s="447" t="str">
        <f t="shared" si="60"/>
        <v>kW</v>
      </c>
      <c r="I113" s="432">
        <f t="shared" ca="1" si="62"/>
        <v>-26157.449999999953</v>
      </c>
      <c r="J113" s="433">
        <f t="shared" ca="1" si="63"/>
        <v>9.6390321301071002E-2</v>
      </c>
      <c r="K113" s="433">
        <f t="shared" ca="1" si="64"/>
        <v>-4.4149681335151625E-2</v>
      </c>
    </row>
    <row r="114" spans="2:16" ht="28.5" thickBot="1">
      <c r="B114" s="430" t="str">
        <f t="shared" si="57"/>
        <v>Embedded Distributor</v>
      </c>
      <c r="C114" s="432">
        <f t="shared" ca="1" si="58"/>
        <v>4</v>
      </c>
      <c r="D114" s="432">
        <f ca="1">OFFSET($H$27,0,(ROW()-ROW($D$62))/13)</f>
        <v>4</v>
      </c>
      <c r="E114" s="432">
        <f t="shared" ca="1" si="61"/>
        <v>0</v>
      </c>
      <c r="F114" s="432">
        <f t="shared" ca="1" si="59"/>
        <v>83614</v>
      </c>
      <c r="G114" s="432">
        <f ca="1">OFFSET($H$17,0,(ROW()-ROW($H$62))/13)</f>
        <v>90976</v>
      </c>
      <c r="H114" s="447" t="str">
        <f t="shared" si="60"/>
        <v>kW</v>
      </c>
      <c r="I114" s="432">
        <f t="shared" ca="1" si="62"/>
        <v>7362</v>
      </c>
      <c r="J114" s="433">
        <f t="shared" ca="1" si="63"/>
        <v>0</v>
      </c>
      <c r="K114" s="433">
        <f t="shared" ca="1" si="64"/>
        <v>8.8047456167627436E-2</v>
      </c>
    </row>
    <row r="115" spans="2:16" ht="15" thickBot="1">
      <c r="B115" s="430" t="str">
        <f t="shared" si="57"/>
        <v>Street Light</v>
      </c>
      <c r="C115" s="432">
        <f t="shared" ca="1" si="58"/>
        <v>2793.3333333333335</v>
      </c>
      <c r="D115" s="432">
        <f ca="1">OFFSET($H$28,0,(ROW()-ROW($D$63))/13)</f>
        <v>2806.9166666666665</v>
      </c>
      <c r="E115" s="432">
        <f t="shared" ca="1" si="61"/>
        <v>13.58333333333303</v>
      </c>
      <c r="F115" s="432">
        <f t="shared" ca="1" si="59"/>
        <v>7289</v>
      </c>
      <c r="G115" s="432">
        <f ca="1">OFFSET($H$18,0,(ROW()-ROW($H$63))/13)</f>
        <v>7310.3</v>
      </c>
      <c r="H115" s="447" t="str">
        <f t="shared" si="60"/>
        <v>kW</v>
      </c>
      <c r="I115" s="432">
        <f t="shared" ca="1" si="62"/>
        <v>21.300000000000182</v>
      </c>
      <c r="J115" s="433">
        <f t="shared" ca="1" si="63"/>
        <v>4.862768496419939E-3</v>
      </c>
      <c r="K115" s="433">
        <f t="shared" ca="1" si="64"/>
        <v>2.9222115516532011E-3</v>
      </c>
      <c r="L115" s="429"/>
      <c r="M115" s="429"/>
      <c r="N115" s="429"/>
      <c r="O115" s="429"/>
      <c r="P115" s="429"/>
    </row>
    <row r="116" spans="2:16" ht="15" thickBot="1">
      <c r="B116" s="430" t="str">
        <f t="shared" si="57"/>
        <v>Sentinel Light</v>
      </c>
      <c r="C116" s="432">
        <f t="shared" ca="1" si="58"/>
        <v>226.66666666666666</v>
      </c>
      <c r="D116" s="432">
        <f ca="1">OFFSET($H$29,0,(ROW()-ROW($D$64))/13)</f>
        <v>222.25</v>
      </c>
      <c r="E116" s="432">
        <f t="shared" ca="1" si="61"/>
        <v>-4.4166666666666572</v>
      </c>
      <c r="F116" s="432">
        <f t="shared" ca="1" si="59"/>
        <v>744</v>
      </c>
      <c r="G116" s="432">
        <f ca="1">OFFSET($H$19,0,(ROW()-ROW($H$64))/13)</f>
        <v>736.37999999999988</v>
      </c>
      <c r="H116" s="447" t="str">
        <f t="shared" si="60"/>
        <v>kW</v>
      </c>
      <c r="I116" s="432">
        <f t="shared" ca="1" si="62"/>
        <v>-7.6200000000001182</v>
      </c>
      <c r="J116" s="433">
        <f t="shared" ca="1" si="63"/>
        <v>-1.9485294117647017E-2</v>
      </c>
      <c r="K116" s="433">
        <f t="shared" ca="1" si="64"/>
        <v>-1.0241935483871126E-2</v>
      </c>
      <c r="L116" s="434"/>
      <c r="M116" s="435"/>
      <c r="N116" s="435"/>
      <c r="O116" s="435"/>
      <c r="P116" s="436"/>
    </row>
    <row r="117" spans="2:16" ht="15" thickBot="1">
      <c r="B117" s="430" t="str">
        <f t="shared" si="57"/>
        <v>USL</v>
      </c>
      <c r="C117" s="432">
        <f t="shared" ca="1" si="58"/>
        <v>125</v>
      </c>
      <c r="D117" s="432">
        <f ca="1">OFFSET($H$30,0,(ROW()-ROW($D$65))/13)</f>
        <v>125</v>
      </c>
      <c r="E117" s="432">
        <f t="shared" ca="1" si="61"/>
        <v>0</v>
      </c>
      <c r="F117" s="432">
        <f t="shared" ca="1" si="59"/>
        <v>1408704</v>
      </c>
      <c r="G117" s="432">
        <f ca="1">OFFSET($H$10,0,(ROW()-ROW($H$65))/13)</f>
        <v>1408699.1791405117</v>
      </c>
      <c r="H117" s="447" t="str">
        <f t="shared" si="60"/>
        <v>kWh</v>
      </c>
      <c r="I117" s="432">
        <f t="shared" ca="1" si="62"/>
        <v>-4.8208594883326441</v>
      </c>
      <c r="J117" s="433">
        <f t="shared" ca="1" si="63"/>
        <v>0</v>
      </c>
      <c r="K117" s="433">
        <f t="shared" ca="1" si="64"/>
        <v>-3.4221947892052866E-6</v>
      </c>
      <c r="L117" s="434"/>
      <c r="M117" s="435"/>
      <c r="N117" s="435"/>
      <c r="O117" s="435"/>
      <c r="P117" s="436"/>
    </row>
    <row r="118" spans="2:16" ht="14.45" thickBot="1">
      <c r="B118" s="437" t="s">
        <v>140</v>
      </c>
      <c r="C118" s="439">
        <f ca="1">SUM(C111:C117)</f>
        <v>34169.499999999993</v>
      </c>
      <c r="D118" s="439">
        <f ca="1">SUM(D111:D117)</f>
        <v>34362.25</v>
      </c>
      <c r="E118" s="439">
        <f ca="1">SUM(E111:E117)</f>
        <v>192.75000000000077</v>
      </c>
      <c r="F118" s="439">
        <f ca="1">SUM(F111:F117)</f>
        <v>342328794</v>
      </c>
      <c r="G118" s="439">
        <f ca="1">SUM(G111:G117)</f>
        <v>324368078.14388853</v>
      </c>
      <c r="H118" s="439"/>
      <c r="I118" s="440"/>
      <c r="L118" s="434"/>
      <c r="M118" s="435"/>
      <c r="N118" s="435"/>
      <c r="O118" s="435"/>
      <c r="P118" s="436"/>
    </row>
    <row r="119" spans="2:16" ht="14.1">
      <c r="L119" s="434"/>
      <c r="M119" s="435"/>
      <c r="N119" s="435"/>
      <c r="O119" s="435"/>
      <c r="P119" s="436"/>
    </row>
    <row r="120" spans="2:16" ht="14.45">
      <c r="E120" s="19" t="s">
        <v>629</v>
      </c>
      <c r="F120" s="446">
        <f ca="1">G107</f>
        <v>2980.5776149570493</v>
      </c>
      <c r="G120" s="446">
        <f ca="1">OFFSET($H$37,0,(ROW()-ROW($G$55))/13)</f>
        <v>3362.5768367862556</v>
      </c>
      <c r="H120" s="424">
        <f ca="1">G120-F120</f>
        <v>381.99922182920636</v>
      </c>
      <c r="I120" s="425">
        <f ca="1">H120/F120</f>
        <v>0.12816281646626776</v>
      </c>
      <c r="L120" s="434"/>
      <c r="M120" s="435"/>
      <c r="N120" s="435"/>
      <c r="O120" s="435"/>
      <c r="P120" s="436"/>
    </row>
    <row r="121" spans="2:16" ht="15" thickBot="1">
      <c r="E121" s="19" t="s">
        <v>630</v>
      </c>
      <c r="F121" s="446">
        <f ca="1">G108</f>
        <v>489.02895401718035</v>
      </c>
      <c r="G121" s="446">
        <f ca="1">OFFSET($H$38,0,(ROW()-ROW($G$55))/13)</f>
        <v>460.62895401718038</v>
      </c>
      <c r="H121" s="424">
        <f ca="1">G121-F121</f>
        <v>-28.399999999999977</v>
      </c>
      <c r="I121" s="425">
        <f ca="1">H121/F121</f>
        <v>-5.8074270995009919E-2</v>
      </c>
      <c r="L121" s="434"/>
      <c r="M121" s="435"/>
      <c r="N121" s="435"/>
      <c r="O121" s="435"/>
      <c r="P121" s="436"/>
    </row>
    <row r="122" spans="2:16" ht="14.45" customHeight="1" thickBot="1">
      <c r="B122" s="426"/>
      <c r="C122" s="576" t="s">
        <v>633</v>
      </c>
      <c r="D122" s="577"/>
      <c r="E122" s="578"/>
      <c r="F122" s="576" t="s">
        <v>634</v>
      </c>
      <c r="G122" s="577"/>
      <c r="H122" s="579"/>
      <c r="I122" s="580" t="s">
        <v>635</v>
      </c>
      <c r="L122" s="441"/>
      <c r="M122" s="442"/>
      <c r="N122" s="442"/>
      <c r="O122" s="442"/>
      <c r="P122" s="443"/>
    </row>
    <row r="123" spans="2:16" ht="14.45" thickBot="1">
      <c r="B123" s="427" t="str">
        <f t="shared" ref="B123:B130" si="65">B110</f>
        <v>Rate Class</v>
      </c>
      <c r="C123" s="428" t="str">
        <f t="shared" ref="C123:C130" ca="1" si="66">D110</f>
        <v>2023 Actual</v>
      </c>
      <c r="D123" s="428" t="str">
        <f ca="1">OFFSET($H$3,0,(ROW()-ROW($D$58))/13)&amp;" "&amp;OFFSET($H$2,0,(ROW()-ROW($D$58))/13)</f>
        <v>2024 Bridge</v>
      </c>
      <c r="E123" s="428" t="s">
        <v>637</v>
      </c>
      <c r="F123" s="428" t="str">
        <f t="shared" ref="F123:F130" ca="1" si="67">G110</f>
        <v>2023 Actual</v>
      </c>
      <c r="G123" s="428" t="str">
        <f ca="1">D123</f>
        <v>2024 Bridge</v>
      </c>
      <c r="H123" s="426" t="s">
        <v>638</v>
      </c>
      <c r="I123" s="581"/>
    </row>
    <row r="124" spans="2:16" ht="15" thickBot="1">
      <c r="B124" s="430" t="str">
        <f t="shared" si="65"/>
        <v>Residential</v>
      </c>
      <c r="C124" s="432">
        <f t="shared" ca="1" si="66"/>
        <v>28911.5</v>
      </c>
      <c r="D124" s="432">
        <f ca="1">OFFSET($H$24,0,(ROW()-ROW($D$59))/13)</f>
        <v>29181.624519563167</v>
      </c>
      <c r="E124" s="432">
        <f ca="1">D124-C124</f>
        <v>270.12451956316727</v>
      </c>
      <c r="F124" s="432">
        <f t="shared" ca="1" si="67"/>
        <v>259000633.64553002</v>
      </c>
      <c r="G124" s="432">
        <f ca="1">OFFSET($H$4,0,(ROW()-ROW($H$59))/13)</f>
        <v>276307255.21060741</v>
      </c>
      <c r="H124" s="447" t="str">
        <f t="shared" ref="H124:H130" si="68">H111</f>
        <v>kWh</v>
      </c>
      <c r="I124" s="432">
        <f ca="1">G124-F124</f>
        <v>17306621.565077394</v>
      </c>
      <c r="J124" s="433">
        <f ca="1">E124/C124</f>
        <v>9.343151326052514E-3</v>
      </c>
      <c r="K124" s="433">
        <f ca="1">I124/F124</f>
        <v>6.682076920616091E-2</v>
      </c>
    </row>
    <row r="125" spans="2:16" ht="15" thickBot="1">
      <c r="B125" s="430" t="str">
        <f t="shared" si="65"/>
        <v>GS &lt; 50 kW</v>
      </c>
      <c r="C125" s="432">
        <f t="shared" ca="1" si="66"/>
        <v>2062.25</v>
      </c>
      <c r="D125" s="432">
        <f ca="1">OFFSET($H$25,0,(ROW()-ROW($D$60))/13)</f>
        <v>2079.9290063577705</v>
      </c>
      <c r="E125" s="432">
        <f t="shared" ref="E125:E130" ca="1" si="69">D125-C125</f>
        <v>17.679006357770504</v>
      </c>
      <c r="F125" s="432">
        <f t="shared" ca="1" si="67"/>
        <v>63293408.089218006</v>
      </c>
      <c r="G125" s="432">
        <f ca="1">OFFSET($H$5,0,(ROW()-ROW($H$60))/13)</f>
        <v>68358838.666362375</v>
      </c>
      <c r="H125" s="447" t="str">
        <f t="shared" si="68"/>
        <v>kWh</v>
      </c>
      <c r="I125" s="432">
        <f t="shared" ref="I125:I130" ca="1" si="70">G125-F125</f>
        <v>5065430.5771443695</v>
      </c>
      <c r="J125" s="433">
        <f t="shared" ref="J125:J130" ca="1" si="71">E125/C125</f>
        <v>8.572678558744334E-3</v>
      </c>
      <c r="K125" s="433">
        <f t="shared" ref="K125:K130" ca="1" si="72">I125/F125</f>
        <v>8.0030934185186697E-2</v>
      </c>
    </row>
    <row r="126" spans="2:16" ht="15.75" customHeight="1" thickBot="1">
      <c r="B126" s="430" t="str">
        <f t="shared" si="65"/>
        <v>GS &gt; 50 kW</v>
      </c>
      <c r="C126" s="432">
        <f t="shared" ca="1" si="66"/>
        <v>230.33333333333334</v>
      </c>
      <c r="D126" s="432">
        <f ca="1">OFFSET($H$26,0,(ROW()-ROW($D$61))/13)</f>
        <v>232.41511608731571</v>
      </c>
      <c r="E126" s="432">
        <f t="shared" ca="1" si="69"/>
        <v>2.0817827539823668</v>
      </c>
      <c r="F126" s="432">
        <f t="shared" ca="1" si="67"/>
        <v>566314.55000000005</v>
      </c>
      <c r="G126" s="432">
        <f ca="1">OFFSET($H$16,0,(ROW()-ROW($H$61))/13)</f>
        <v>598499.67290900333</v>
      </c>
      <c r="H126" s="447" t="str">
        <f t="shared" si="68"/>
        <v>kW</v>
      </c>
      <c r="I126" s="432">
        <f t="shared" ca="1" si="70"/>
        <v>32185.122909003287</v>
      </c>
      <c r="J126" s="433">
        <f t="shared" ca="1" si="71"/>
        <v>9.0381306251043417E-3</v>
      </c>
      <c r="K126" s="433">
        <f t="shared" ca="1" si="72"/>
        <v>5.6832590490573279E-2</v>
      </c>
    </row>
    <row r="127" spans="2:16" ht="28.5" thickBot="1">
      <c r="B127" s="430" t="str">
        <f t="shared" si="65"/>
        <v>Embedded Distributor</v>
      </c>
      <c r="C127" s="432">
        <f t="shared" ca="1" si="66"/>
        <v>4</v>
      </c>
      <c r="D127" s="432">
        <f ca="1">OFFSET($H$27,0,(ROW()-ROW($D$62))/13)</f>
        <v>4</v>
      </c>
      <c r="E127" s="432">
        <f t="shared" ca="1" si="69"/>
        <v>0</v>
      </c>
      <c r="F127" s="432">
        <f t="shared" ca="1" si="67"/>
        <v>90976</v>
      </c>
      <c r="G127" s="432">
        <f ca="1">OFFSET($H$17,0,(ROW()-ROW($H$62))/13)</f>
        <v>90010.53268136234</v>
      </c>
      <c r="H127" s="447" t="str">
        <f t="shared" si="68"/>
        <v>kW</v>
      </c>
      <c r="I127" s="432">
        <f t="shared" ca="1" si="70"/>
        <v>-965.46731863766036</v>
      </c>
      <c r="J127" s="433">
        <f t="shared" ca="1" si="71"/>
        <v>0</v>
      </c>
      <c r="K127" s="433">
        <f t="shared" ca="1" si="72"/>
        <v>-1.0612329830259193E-2</v>
      </c>
      <c r="L127" s="429"/>
      <c r="M127" s="429"/>
      <c r="N127" s="429"/>
      <c r="O127" s="429"/>
      <c r="P127" s="429"/>
    </row>
    <row r="128" spans="2:16" ht="15" thickBot="1">
      <c r="B128" s="430" t="str">
        <f t="shared" si="65"/>
        <v>Street Light</v>
      </c>
      <c r="C128" s="432">
        <f t="shared" ca="1" si="66"/>
        <v>2806.9166666666665</v>
      </c>
      <c r="D128" s="432">
        <f ca="1">OFFSET($H$28,0,(ROW()-ROW($D$63))/13)</f>
        <v>2817.5697468134185</v>
      </c>
      <c r="E128" s="432">
        <f t="shared" ca="1" si="69"/>
        <v>10.653080146752018</v>
      </c>
      <c r="F128" s="432">
        <f t="shared" ca="1" si="67"/>
        <v>7310.3</v>
      </c>
      <c r="G128" s="432">
        <f ca="1">OFFSET($H$18,0,(ROW()-ROW($H$63))/13)</f>
        <v>7344.6106796243503</v>
      </c>
      <c r="H128" s="447" t="str">
        <f t="shared" si="68"/>
        <v>kW</v>
      </c>
      <c r="I128" s="432">
        <f t="shared" ca="1" si="70"/>
        <v>34.310679624350087</v>
      </c>
      <c r="J128" s="433">
        <f t="shared" ca="1" si="71"/>
        <v>3.7952961957374407E-3</v>
      </c>
      <c r="K128" s="433">
        <f t="shared" ca="1" si="72"/>
        <v>4.6934708048028241E-3</v>
      </c>
      <c r="L128" s="434"/>
      <c r="M128" s="435"/>
      <c r="N128" s="435"/>
      <c r="O128" s="435"/>
      <c r="P128" s="436"/>
    </row>
    <row r="129" spans="2:16" ht="15" thickBot="1">
      <c r="B129" s="430" t="str">
        <f t="shared" si="65"/>
        <v>Sentinel Light</v>
      </c>
      <c r="C129" s="432">
        <f t="shared" ca="1" si="66"/>
        <v>222.25</v>
      </c>
      <c r="D129" s="432">
        <f ca="1">OFFSET($H$29,0,(ROW()-ROW($D$64))/13)</f>
        <v>219.07504548051534</v>
      </c>
      <c r="E129" s="432">
        <f t="shared" ca="1" si="69"/>
        <v>-3.1749545194846576</v>
      </c>
      <c r="F129" s="432">
        <f t="shared" ca="1" si="67"/>
        <v>736.37999999999988</v>
      </c>
      <c r="G129" s="432">
        <f ca="1">OFFSET($H$19,0,(ROW()-ROW($H$64))/13)</f>
        <v>726.72877393329361</v>
      </c>
      <c r="H129" s="447" t="str">
        <f t="shared" si="68"/>
        <v>kW</v>
      </c>
      <c r="I129" s="432">
        <f t="shared" ca="1" si="70"/>
        <v>-9.6512260667062719</v>
      </c>
      <c r="J129" s="433">
        <f t="shared" ca="1" si="71"/>
        <v>-1.4285509648974837E-2</v>
      </c>
      <c r="K129" s="433">
        <f t="shared" ca="1" si="72"/>
        <v>-1.3106312049086442E-2</v>
      </c>
      <c r="L129" s="434"/>
      <c r="M129" s="435"/>
      <c r="N129" s="435"/>
      <c r="O129" s="435"/>
      <c r="P129" s="436"/>
    </row>
    <row r="130" spans="2:16" ht="15" thickBot="1">
      <c r="B130" s="430" t="str">
        <f t="shared" si="65"/>
        <v>USL</v>
      </c>
      <c r="C130" s="432">
        <f t="shared" ca="1" si="66"/>
        <v>125</v>
      </c>
      <c r="D130" s="432">
        <f ca="1">OFFSET($H$30,0,(ROW()-ROW($D$65))/13)</f>
        <v>123.87972409682031</v>
      </c>
      <c r="E130" s="432">
        <f t="shared" ca="1" si="69"/>
        <v>-1.1202759031796887</v>
      </c>
      <c r="F130" s="432">
        <f t="shared" ca="1" si="67"/>
        <v>1408699.1791405117</v>
      </c>
      <c r="G130" s="432">
        <f ca="1">OFFSET($H$10,0,(ROW()-ROW($H$65))/13)</f>
        <v>1396074.1251787506</v>
      </c>
      <c r="H130" s="447" t="str">
        <f t="shared" si="68"/>
        <v>kWh</v>
      </c>
      <c r="I130" s="432">
        <f t="shared" ca="1" si="70"/>
        <v>-12625.053961761063</v>
      </c>
      <c r="J130" s="433">
        <f t="shared" ca="1" si="71"/>
        <v>-8.9622072254375105E-3</v>
      </c>
      <c r="K130" s="433">
        <f t="shared" ca="1" si="72"/>
        <v>-8.962207225437566E-3</v>
      </c>
      <c r="L130" s="434"/>
      <c r="M130" s="435"/>
      <c r="N130" s="435"/>
      <c r="O130" s="435"/>
      <c r="P130" s="436"/>
    </row>
    <row r="131" spans="2:16" ht="14.45" thickBot="1">
      <c r="B131" s="437" t="s">
        <v>140</v>
      </c>
      <c r="C131" s="439">
        <f ca="1">SUM(C124:C130)</f>
        <v>34362.25</v>
      </c>
      <c r="D131" s="439">
        <f ca="1">SUM(D124:D130)</f>
        <v>34658.493158399011</v>
      </c>
      <c r="E131" s="439">
        <f ca="1">SUM(E124:E130)</f>
        <v>296.24315839900777</v>
      </c>
      <c r="F131" s="439">
        <f ca="1">SUM(F124:F130)</f>
        <v>324368078.14388853</v>
      </c>
      <c r="G131" s="439">
        <f ca="1">SUM(G124:G130)</f>
        <v>346758749.54719251</v>
      </c>
      <c r="H131" s="439"/>
      <c r="I131" s="440"/>
      <c r="L131" s="434"/>
      <c r="M131" s="435"/>
      <c r="N131" s="435"/>
      <c r="O131" s="435"/>
      <c r="P131" s="436"/>
    </row>
    <row r="132" spans="2:16" ht="14.1">
      <c r="L132" s="434"/>
      <c r="M132" s="435"/>
      <c r="N132" s="435"/>
      <c r="O132" s="435"/>
      <c r="P132" s="436"/>
    </row>
    <row r="133" spans="2:16" ht="14.45">
      <c r="E133" s="19" t="s">
        <v>629</v>
      </c>
      <c r="F133" s="446">
        <f ca="1">G120</f>
        <v>3362.5768367862556</v>
      </c>
      <c r="G133" s="446">
        <f ca="1">OFFSET($H$37,0,(ROW()-ROW($G$55))/13)</f>
        <v>3362.5768367862556</v>
      </c>
      <c r="H133" s="424">
        <f ca="1">G133-F133</f>
        <v>0</v>
      </c>
      <c r="I133" s="425">
        <f ca="1">H133/F133</f>
        <v>0</v>
      </c>
      <c r="L133" s="441"/>
      <c r="M133" s="442"/>
      <c r="N133" s="442"/>
      <c r="O133" s="442"/>
      <c r="P133" s="443"/>
    </row>
    <row r="134" spans="2:16" ht="15" thickBot="1">
      <c r="E134" s="19" t="s">
        <v>630</v>
      </c>
      <c r="F134" s="446">
        <f ca="1">G121</f>
        <v>460.62895401718038</v>
      </c>
      <c r="G134" s="446">
        <f ca="1">OFFSET($H$38,0,(ROW()-ROW($G$55))/13)</f>
        <v>460.62895401718038</v>
      </c>
      <c r="H134" s="424">
        <f ca="1">G134-F134</f>
        <v>0</v>
      </c>
      <c r="I134" s="425">
        <f ca="1">H134/F134</f>
        <v>0</v>
      </c>
    </row>
    <row r="135" spans="2:16" ht="14.45" customHeight="1" thickBot="1">
      <c r="B135" s="426"/>
      <c r="C135" s="576" t="s">
        <v>633</v>
      </c>
      <c r="D135" s="577"/>
      <c r="E135" s="578"/>
      <c r="F135" s="576" t="s">
        <v>634</v>
      </c>
      <c r="G135" s="577"/>
      <c r="H135" s="579"/>
      <c r="I135" s="580" t="s">
        <v>635</v>
      </c>
    </row>
    <row r="136" spans="2:16" ht="14.45" thickBot="1">
      <c r="B136" s="427" t="str">
        <f t="shared" ref="B136:B143" si="73">B123</f>
        <v>Rate Class</v>
      </c>
      <c r="C136" s="428" t="str">
        <f t="shared" ref="C136:C143" ca="1" si="74">D123</f>
        <v>2024 Bridge</v>
      </c>
      <c r="D136" s="428" t="str">
        <f ca="1">OFFSET($H$3,0,(ROW()-ROW($D$58))/13)&amp;" "&amp;OFFSET($H$2,0,(ROW()-ROW($D$58))/13)</f>
        <v>2025 Test</v>
      </c>
      <c r="E136" s="428" t="s">
        <v>637</v>
      </c>
      <c r="F136" s="428" t="str">
        <f t="shared" ref="F136:F143" ca="1" si="75">G123</f>
        <v>2024 Bridge</v>
      </c>
      <c r="G136" s="428" t="str">
        <f ca="1">D136</f>
        <v>2025 Test</v>
      </c>
      <c r="H136" s="426" t="s">
        <v>638</v>
      </c>
      <c r="I136" s="581"/>
    </row>
    <row r="137" spans="2:16" ht="15" thickBot="1">
      <c r="B137" s="430" t="str">
        <f t="shared" si="73"/>
        <v>Residential</v>
      </c>
      <c r="C137" s="432">
        <f t="shared" ca="1" si="74"/>
        <v>29181.624519563167</v>
      </c>
      <c r="D137" s="432">
        <f ca="1">OFFSET($H$24,0,(ROW()-ROW($D$59))/13)</f>
        <v>29454.272853389488</v>
      </c>
      <c r="E137" s="432">
        <f ca="1">D137-C137</f>
        <v>272.6483338263206</v>
      </c>
      <c r="F137" s="432">
        <f t="shared" ca="1" si="75"/>
        <v>276307255.21060741</v>
      </c>
      <c r="G137" s="432">
        <f ca="1">OFFSET($H$4,0,(ROW()-ROW($H$59))/13)</f>
        <v>284227345.6084224</v>
      </c>
      <c r="H137" s="447" t="str">
        <f t="shared" ref="H137:H143" si="76">H124</f>
        <v>kWh</v>
      </c>
      <c r="I137" s="432">
        <f ca="1">G137-F137</f>
        <v>7920090.3978149891</v>
      </c>
      <c r="J137" s="433">
        <f ca="1">E137/C137</f>
        <v>9.3431513260524256E-3</v>
      </c>
      <c r="K137" s="433">
        <f ca="1">I137/F137</f>
        <v>2.8664069612569978E-2</v>
      </c>
    </row>
    <row r="138" spans="2:16" ht="15" thickBot="1">
      <c r="B138" s="430" t="str">
        <f t="shared" si="73"/>
        <v>GS &lt; 50 kW</v>
      </c>
      <c r="C138" s="432">
        <f t="shared" ca="1" si="74"/>
        <v>2079.9290063577705</v>
      </c>
      <c r="D138" s="432">
        <f ca="1">OFFSET($H$25,0,(ROW()-ROW($D$60))/13)</f>
        <v>2097.7595691542842</v>
      </c>
      <c r="E138" s="432">
        <f t="shared" ref="E138:E143" ca="1" si="77">D138-C138</f>
        <v>17.830562796513732</v>
      </c>
      <c r="F138" s="432">
        <f t="shared" ca="1" si="75"/>
        <v>68358838.666362375</v>
      </c>
      <c r="G138" s="432">
        <f ca="1">OFFSET($H$5,0,(ROW()-ROW($H$60))/13)</f>
        <v>70720586.946188062</v>
      </c>
      <c r="H138" s="447" t="str">
        <f t="shared" si="76"/>
        <v>kWh</v>
      </c>
      <c r="I138" s="432">
        <f t="shared" ref="I138:I143" ca="1" si="78">G138-F138</f>
        <v>2361748.2798256874</v>
      </c>
      <c r="J138" s="433">
        <f t="shared" ref="J138:J143" ca="1" si="79">E138/C138</f>
        <v>8.5726785587443653E-3</v>
      </c>
      <c r="K138" s="433">
        <f t="shared" ref="K138:K143" ca="1" si="80">I138/F138</f>
        <v>3.4549274474258193E-2</v>
      </c>
      <c r="L138" s="429"/>
      <c r="M138" s="429"/>
      <c r="N138" s="429"/>
      <c r="O138" s="429"/>
      <c r="P138" s="429"/>
    </row>
    <row r="139" spans="2:16" ht="15" thickBot="1">
      <c r="B139" s="430" t="str">
        <f t="shared" si="73"/>
        <v>GS &gt; 50 kW</v>
      </c>
      <c r="C139" s="432">
        <f t="shared" ca="1" si="74"/>
        <v>232.41511608731571</v>
      </c>
      <c r="D139" s="432">
        <f ca="1">OFFSET($H$26,0,(ROW()-ROW($D$61))/13)</f>
        <v>234.51571426576166</v>
      </c>
      <c r="E139" s="432">
        <f t="shared" ca="1" si="77"/>
        <v>2.1005981784459493</v>
      </c>
      <c r="F139" s="432">
        <f t="shared" ca="1" si="75"/>
        <v>598499.67290900333</v>
      </c>
      <c r="G139" s="432">
        <f ca="1">OFFSET($H$16,0,(ROW()-ROW($H$61))/13)</f>
        <v>697710.87720772857</v>
      </c>
      <c r="H139" s="447" t="str">
        <f t="shared" si="76"/>
        <v>kW</v>
      </c>
      <c r="I139" s="432">
        <f t="shared" ca="1" si="78"/>
        <v>99211.204298725235</v>
      </c>
      <c r="J139" s="433">
        <f t="shared" ca="1" si="79"/>
        <v>9.0381306251043434E-3</v>
      </c>
      <c r="K139" s="433">
        <f t="shared" ca="1" si="80"/>
        <v>0.16576651381697485</v>
      </c>
      <c r="L139" s="434"/>
      <c r="M139" s="435"/>
      <c r="N139" s="435"/>
      <c r="O139" s="435"/>
      <c r="P139" s="436"/>
    </row>
    <row r="140" spans="2:16" ht="28.5" thickBot="1">
      <c r="B140" s="430" t="str">
        <f t="shared" si="73"/>
        <v>Embedded Distributor</v>
      </c>
      <c r="C140" s="432">
        <f t="shared" ca="1" si="74"/>
        <v>4</v>
      </c>
      <c r="D140" s="432">
        <f ca="1">OFFSET($H$27,0,(ROW()-ROW($D$62))/13)</f>
        <v>4</v>
      </c>
      <c r="E140" s="432">
        <f t="shared" ca="1" si="77"/>
        <v>0</v>
      </c>
      <c r="F140" s="432">
        <f t="shared" ca="1" si="75"/>
        <v>90010.53268136234</v>
      </c>
      <c r="G140" s="432">
        <f ca="1">OFFSET($H$17,0,(ROW()-ROW($H$62))/13)</f>
        <v>90871.252838385451</v>
      </c>
      <c r="H140" s="447" t="str">
        <f t="shared" si="76"/>
        <v>kW</v>
      </c>
      <c r="I140" s="432">
        <f t="shared" ca="1" si="78"/>
        <v>860.72015702311182</v>
      </c>
      <c r="J140" s="433">
        <f t="shared" ca="1" si="79"/>
        <v>0</v>
      </c>
      <c r="K140" s="433">
        <f t="shared" ca="1" si="80"/>
        <v>9.5624382100933103E-3</v>
      </c>
      <c r="L140" s="434"/>
      <c r="M140" s="435"/>
      <c r="N140" s="435"/>
      <c r="O140" s="435"/>
      <c r="P140" s="436"/>
    </row>
    <row r="141" spans="2:16" ht="15" thickBot="1">
      <c r="B141" s="430" t="str">
        <f t="shared" si="73"/>
        <v>Street Light</v>
      </c>
      <c r="C141" s="432">
        <f t="shared" ca="1" si="74"/>
        <v>2817.5697468134185</v>
      </c>
      <c r="D141" s="432">
        <f ca="1">OFFSET($H$28,0,(ROW()-ROW($D$63))/13)</f>
        <v>2828.2632585547244</v>
      </c>
      <c r="E141" s="432">
        <f t="shared" ca="1" si="77"/>
        <v>10.693511741305883</v>
      </c>
      <c r="F141" s="432">
        <f t="shared" ca="1" si="75"/>
        <v>7344.6106796243503</v>
      </c>
      <c r="G141" s="432">
        <f ca="1">OFFSET($H$18,0,(ROW()-ROW($H$63))/13)</f>
        <v>7372.4856525959021</v>
      </c>
      <c r="H141" s="447" t="str">
        <f t="shared" si="76"/>
        <v>kW</v>
      </c>
      <c r="I141" s="432">
        <f t="shared" ca="1" si="78"/>
        <v>27.87497297155187</v>
      </c>
      <c r="J141" s="433">
        <f t="shared" ca="1" si="79"/>
        <v>3.795296195737445E-3</v>
      </c>
      <c r="K141" s="433">
        <f t="shared" ca="1" si="80"/>
        <v>3.795296195737576E-3</v>
      </c>
      <c r="L141" s="434"/>
      <c r="M141" s="435"/>
      <c r="N141" s="435"/>
      <c r="O141" s="435"/>
      <c r="P141" s="436"/>
    </row>
    <row r="142" spans="2:16" ht="15" thickBot="1">
      <c r="B142" s="430" t="str">
        <f t="shared" si="73"/>
        <v>Sentinel Light</v>
      </c>
      <c r="C142" s="432">
        <f t="shared" ca="1" si="74"/>
        <v>219.07504548051534</v>
      </c>
      <c r="D142" s="432">
        <f ca="1">OFFSET($H$29,0,(ROW()-ROW($D$64))/13)</f>
        <v>215.94544680445384</v>
      </c>
      <c r="E142" s="432">
        <f t="shared" ca="1" si="77"/>
        <v>-3.1295986760615051</v>
      </c>
      <c r="F142" s="432">
        <f t="shared" ca="1" si="75"/>
        <v>726.72877393329361</v>
      </c>
      <c r="G142" s="432">
        <f ca="1">OFFSET($H$19,0,(ROW()-ROW($H$64))/13)</f>
        <v>716.34708302108174</v>
      </c>
      <c r="H142" s="447" t="str">
        <f t="shared" si="76"/>
        <v>kW</v>
      </c>
      <c r="I142" s="432">
        <f t="shared" ca="1" si="78"/>
        <v>-10.381690912211866</v>
      </c>
      <c r="J142" s="433">
        <f t="shared" ca="1" si="79"/>
        <v>-1.4285509648974846E-2</v>
      </c>
      <c r="K142" s="433">
        <f t="shared" ca="1" si="80"/>
        <v>-1.4285509648975039E-2</v>
      </c>
      <c r="L142" s="434"/>
      <c r="M142" s="435"/>
      <c r="N142" s="435"/>
      <c r="O142" s="435"/>
      <c r="P142" s="436"/>
    </row>
    <row r="143" spans="2:16" ht="15" thickBot="1">
      <c r="B143" s="430" t="str">
        <f t="shared" si="73"/>
        <v>USL</v>
      </c>
      <c r="C143" s="432">
        <f t="shared" ca="1" si="74"/>
        <v>123.87972409682031</v>
      </c>
      <c r="D143" s="432">
        <f ca="1">OFFSET($H$30,0,(ROW()-ROW($D$65))/13)</f>
        <v>122.76948833843458</v>
      </c>
      <c r="E143" s="432">
        <f t="shared" ca="1" si="77"/>
        <v>-1.110235758385727</v>
      </c>
      <c r="F143" s="432">
        <f t="shared" ca="1" si="75"/>
        <v>1396074.1251787506</v>
      </c>
      <c r="G143" s="432">
        <f ca="1">OFFSET($H$10,0,(ROW()-ROW($H$65))/13)</f>
        <v>1383562.2195668274</v>
      </c>
      <c r="H143" s="447" t="str">
        <f t="shared" si="76"/>
        <v>kWh</v>
      </c>
      <c r="I143" s="432">
        <f t="shared" ca="1" si="78"/>
        <v>-12511.905611923197</v>
      </c>
      <c r="J143" s="433">
        <f t="shared" ca="1" si="79"/>
        <v>-8.9622072254375001E-3</v>
      </c>
      <c r="K143" s="433">
        <f t="shared" ca="1" si="80"/>
        <v>-8.9622072254374012E-3</v>
      </c>
      <c r="L143" s="434"/>
      <c r="M143" s="435"/>
      <c r="N143" s="435"/>
      <c r="O143" s="435"/>
      <c r="P143" s="436"/>
    </row>
    <row r="144" spans="2:16" ht="14.45" thickBot="1">
      <c r="B144" s="437" t="s">
        <v>140</v>
      </c>
      <c r="C144" s="439">
        <f ca="1">SUM(C137:C143)</f>
        <v>34658.493158399011</v>
      </c>
      <c r="D144" s="439">
        <f ca="1">SUM(D137:D143)</f>
        <v>34957.526330507149</v>
      </c>
      <c r="E144" s="439">
        <f ca="1">SUM(E137:E143)</f>
        <v>299.0331721081389</v>
      </c>
      <c r="F144" s="439">
        <f ca="1">SUM(F137:F143)</f>
        <v>346758749.54719251</v>
      </c>
      <c r="G144" s="439">
        <f ca="1">SUM(G137:G143)</f>
        <v>357128165.7369591</v>
      </c>
      <c r="H144" s="439"/>
      <c r="I144" s="440"/>
      <c r="L144" s="441"/>
      <c r="M144" s="442"/>
      <c r="N144" s="442"/>
      <c r="O144" s="442"/>
      <c r="P144" s="443"/>
    </row>
  </sheetData>
  <mergeCells count="24">
    <mergeCell ref="C44:E44"/>
    <mergeCell ref="F44:H44"/>
    <mergeCell ref="I44:I45"/>
    <mergeCell ref="C57:E57"/>
    <mergeCell ref="F57:H57"/>
    <mergeCell ref="I57:I58"/>
    <mergeCell ref="C70:E70"/>
    <mergeCell ref="F70:H70"/>
    <mergeCell ref="I70:I71"/>
    <mergeCell ref="C83:E83"/>
    <mergeCell ref="F83:H83"/>
    <mergeCell ref="I83:I84"/>
    <mergeCell ref="C96:E96"/>
    <mergeCell ref="F96:H96"/>
    <mergeCell ref="I96:I97"/>
    <mergeCell ref="C109:E109"/>
    <mergeCell ref="F109:H109"/>
    <mergeCell ref="I109:I110"/>
    <mergeCell ref="C122:E122"/>
    <mergeCell ref="F122:H122"/>
    <mergeCell ref="I122:I123"/>
    <mergeCell ref="C135:E135"/>
    <mergeCell ref="F135:H135"/>
    <mergeCell ref="I135:I13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921F-3F13-4CDE-B477-4E0D25B45CC4}">
  <sheetPr codeName="Sheet18">
    <tabColor theme="9" tint="0.79998168889431442"/>
  </sheetPr>
  <dimension ref="A1:AF171"/>
  <sheetViews>
    <sheetView topLeftCell="AB26" workbookViewId="0">
      <selection activeCell="O1" sqref="O1:O74"/>
    </sheetView>
  </sheetViews>
  <sheetFormatPr defaultRowHeight="14.45"/>
  <cols>
    <col min="1" max="1" width="11.7109375" customWidth="1"/>
    <col min="4" max="4" width="17.7109375" customWidth="1"/>
    <col min="5" max="5" width="11.42578125" bestFit="1" customWidth="1"/>
    <col min="6" max="6" width="11.28515625" bestFit="1" customWidth="1"/>
    <col min="9" max="9" width="11.42578125" bestFit="1" customWidth="1"/>
    <col min="10" max="11" width="11.42578125" customWidth="1"/>
    <col min="12" max="12" width="12.5703125" bestFit="1" customWidth="1"/>
    <col min="13" max="13" width="12.42578125" bestFit="1" customWidth="1"/>
    <col min="14" max="14" width="12.5703125" bestFit="1" customWidth="1"/>
    <col min="15" max="15" width="12.42578125" bestFit="1" customWidth="1"/>
    <col min="17" max="25" width="12.5703125" customWidth="1"/>
    <col min="26" max="26" width="15" bestFit="1" customWidth="1"/>
    <col min="27" max="27" width="9.5703125" bestFit="1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2">
      <c r="A1" t="s">
        <v>0</v>
      </c>
      <c r="B1" t="s">
        <v>151</v>
      </c>
      <c r="C1" t="s">
        <v>1</v>
      </c>
      <c r="D1" s="6" t="str">
        <f>'Monthly Data (14-23) Used'!E1</f>
        <v>ReskWh_NoCDM</v>
      </c>
      <c r="E1" t="str">
        <f>'Monthly Data (14-23) Used'!AC1</f>
        <v>HDD18</v>
      </c>
      <c r="F1" t="str">
        <f>'Monthly Data (14-23) Used'!AF1</f>
        <v>CDD16</v>
      </c>
      <c r="G1" t="str">
        <f>'Res Predicted Monthly'!E1</f>
        <v>HDD18</v>
      </c>
      <c r="H1" t="str">
        <f>'Res Predicted Monthly'!F1</f>
        <v>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L1" s="6" t="str">
        <f>'Monthly Data (14-23) Used'!DD1</f>
        <v>CWFH_HDD18</v>
      </c>
      <c r="M1" s="6" t="str">
        <f>'Monthly Data (14-23) Used'!DG1</f>
        <v>CWFH_CDD16</v>
      </c>
      <c r="N1" t="str">
        <f>'Monthly Data (14-23) Used'!DD1</f>
        <v>CWFH_HDD18</v>
      </c>
      <c r="O1" t="str">
        <f>'Monthly Data (14-23) Used'!DG1</f>
        <v>CWFH_CDD16</v>
      </c>
      <c r="Q1" t="s">
        <v>221</v>
      </c>
      <c r="R1" t="str">
        <f>G1</f>
        <v>HDD18</v>
      </c>
      <c r="S1" t="str">
        <f>H1</f>
        <v>CDD16</v>
      </c>
      <c r="T1" t="str">
        <f>N1</f>
        <v>CWFH_HDD18</v>
      </c>
      <c r="U1" t="str">
        <f>O1</f>
        <v>CWFH_CDD16</v>
      </c>
      <c r="V1" t="str">
        <f>I1</f>
        <v>Month Days</v>
      </c>
      <c r="W1" t="str">
        <f>J1</f>
        <v>Shoulder</v>
      </c>
      <c r="X1" t="str">
        <f>K1</f>
        <v>Trend</v>
      </c>
      <c r="Y1" t="s">
        <v>488</v>
      </c>
    </row>
    <row r="2" spans="1:32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(longer 09-23)'!E62</f>
        <v>22664516.836681671</v>
      </c>
      <c r="E2" s="230">
        <f>'Monthly Data (14-23) Used'!AC2</f>
        <v>809.69999999999993</v>
      </c>
      <c r="F2">
        <f>'Monthly Data (14-23) Used'!AF2</f>
        <v>0</v>
      </c>
      <c r="G2" s="226">
        <f ca="1">'Weather Data'!AN38</f>
        <v>671</v>
      </c>
      <c r="H2" s="226">
        <f ca="1">'Weather Data'!BC38</f>
        <v>0</v>
      </c>
      <c r="I2">
        <f>'Monthly Data (14-23) Used'!CB2</f>
        <v>31</v>
      </c>
      <c r="J2">
        <f>'Monthly Data (14-23) Used'!CA2</f>
        <v>0</v>
      </c>
      <c r="K2">
        <f>'Monthly Data (14-23) Used'!BJ2</f>
        <v>1</v>
      </c>
      <c r="L2" s="6">
        <f>'Monthly Data (14-23) Used'!DD2</f>
        <v>0</v>
      </c>
      <c r="M2" s="6">
        <f>'Monthly Data (14-23) Used'!DG2</f>
        <v>0</v>
      </c>
      <c r="N2">
        <f>'Monthly Data (14-23) Used'!DD2</f>
        <v>0</v>
      </c>
      <c r="O2">
        <f>'Monthly Data (14-23) Used'!DG2</f>
        <v>0</v>
      </c>
      <c r="Q2" s="6"/>
      <c r="R2" s="6">
        <f t="shared" ref="R2:R33" ca="1" si="2">(G2-E2)*$AC$9</f>
        <v>-984638.40654069057</v>
      </c>
      <c r="S2" s="6">
        <f t="shared" ref="S2:S33" ca="1" si="3">(H2-F2)*$AC$10</f>
        <v>0</v>
      </c>
      <c r="T2" s="6">
        <f t="shared" ref="T2:T33" si="4">(N2-L2)*$AC$11</f>
        <v>0</v>
      </c>
      <c r="U2" s="6">
        <f t="shared" ref="U2:U33" si="5">(O2-M2)*$AC$12</f>
        <v>0</v>
      </c>
      <c r="V2" s="6"/>
      <c r="W2" s="6"/>
      <c r="X2" s="6"/>
      <c r="Y2" s="6">
        <f t="shared" ref="Y2:Y21" ca="1" si="6">SUM(D2,R2:X2)</f>
        <v>21679878.43014098</v>
      </c>
      <c r="Z2" s="6">
        <f ca="1">Y2-'Res Normalized Monthly'!V2</f>
        <v>956728.47101430595</v>
      </c>
    </row>
    <row r="3" spans="1:32">
      <c r="A3" s="197">
        <v>41671</v>
      </c>
      <c r="B3">
        <f t="shared" si="0"/>
        <v>2</v>
      </c>
      <c r="C3">
        <f t="shared" si="1"/>
        <v>2014</v>
      </c>
      <c r="D3" s="6">
        <f>'Monthly Data (longer 09-23)'!E63</f>
        <v>19610979.836681671</v>
      </c>
      <c r="E3" s="230">
        <f>'Monthly Data (14-23) Used'!AC3</f>
        <v>705.10000000000014</v>
      </c>
      <c r="F3">
        <f>'Monthly Data (14-23) Used'!AF3</f>
        <v>0</v>
      </c>
      <c r="G3" s="226">
        <f ca="1">'Weather Data'!AN39</f>
        <v>595.51355229914111</v>
      </c>
      <c r="H3" s="226">
        <f ca="1">'Weather Data'!BC39</f>
        <v>0</v>
      </c>
      <c r="I3">
        <f>'Monthly Data (14-23) Used'!CB3</f>
        <v>28</v>
      </c>
      <c r="J3">
        <f>'Monthly Data (14-23) Used'!CA3</f>
        <v>0</v>
      </c>
      <c r="K3">
        <f>'Monthly Data (14-23) Used'!BJ3</f>
        <v>2</v>
      </c>
      <c r="L3" s="6">
        <f>'Monthly Data (14-23) Used'!DD3</f>
        <v>0</v>
      </c>
      <c r="M3" s="6">
        <f>'Monthly Data (14-23) Used'!DG3</f>
        <v>0</v>
      </c>
      <c r="N3">
        <f>'Monthly Data (14-23) Used'!DD3</f>
        <v>0</v>
      </c>
      <c r="O3">
        <f>'Monthly Data (14-23) Used'!DG3</f>
        <v>0</v>
      </c>
      <c r="Q3" s="6"/>
      <c r="R3" s="6">
        <f ca="1">(G3-E3)*$AC$9</f>
        <v>-777959.80708456098</v>
      </c>
      <c r="S3" s="6">
        <f t="shared" ca="1" si="3"/>
        <v>0</v>
      </c>
      <c r="T3" s="6">
        <f t="shared" si="4"/>
        <v>0</v>
      </c>
      <c r="U3" s="6">
        <f t="shared" si="5"/>
        <v>0</v>
      </c>
      <c r="V3" s="6"/>
      <c r="W3" s="6"/>
      <c r="X3" s="6"/>
      <c r="Y3" s="6">
        <f t="shared" ca="1" si="6"/>
        <v>18833020.029597111</v>
      </c>
      <c r="Z3" s="6">
        <f ca="1">Y3-'Res Normalized Monthly'!V3</f>
        <v>861261.46663275361</v>
      </c>
      <c r="AB3" t="s">
        <v>244</v>
      </c>
    </row>
    <row r="4" spans="1:32">
      <c r="A4" s="197">
        <v>41699</v>
      </c>
      <c r="B4">
        <f t="shared" si="0"/>
        <v>3</v>
      </c>
      <c r="C4">
        <f t="shared" si="1"/>
        <v>2014</v>
      </c>
      <c r="D4" s="6">
        <f>'Monthly Data (longer 09-23)'!E64</f>
        <v>19546615.836681671</v>
      </c>
      <c r="E4" s="230">
        <f>'Monthly Data (14-23) Used'!AC4</f>
        <v>637.10000000000014</v>
      </c>
      <c r="F4">
        <f>'Monthly Data (14-23) Used'!AF4</f>
        <v>0</v>
      </c>
      <c r="G4" s="226">
        <f ca="1">'Weather Data'!AN40</f>
        <v>496.46355229914104</v>
      </c>
      <c r="H4" s="226">
        <f ca="1">'Weather Data'!BC40</f>
        <v>0</v>
      </c>
      <c r="I4">
        <f>'Monthly Data (14-23) Used'!CB4</f>
        <v>31</v>
      </c>
      <c r="J4">
        <f>'Monthly Data (14-23) Used'!CA4</f>
        <v>1</v>
      </c>
      <c r="K4">
        <f>'Monthly Data (14-23) Used'!BJ4</f>
        <v>3</v>
      </c>
      <c r="L4" s="6">
        <f>'Monthly Data (14-23) Used'!DD4</f>
        <v>0</v>
      </c>
      <c r="M4" s="6">
        <f>'Monthly Data (14-23) Used'!DG4</f>
        <v>0</v>
      </c>
      <c r="N4">
        <f>'Monthly Data (14-23) Used'!DD4</f>
        <v>0</v>
      </c>
      <c r="O4">
        <f>'Monthly Data (14-23) Used'!DG4</f>
        <v>0</v>
      </c>
      <c r="Q4" s="6"/>
      <c r="R4" s="6">
        <f t="shared" ca="1" si="2"/>
        <v>-998385.34798642492</v>
      </c>
      <c r="S4" s="6">
        <f t="shared" ca="1" si="3"/>
        <v>0</v>
      </c>
      <c r="T4" s="6">
        <f t="shared" si="4"/>
        <v>0</v>
      </c>
      <c r="U4" s="6">
        <f t="shared" si="5"/>
        <v>0</v>
      </c>
      <c r="V4" s="6"/>
      <c r="W4" s="6"/>
      <c r="X4" s="6"/>
      <c r="Y4" s="6">
        <f t="shared" ca="1" si="6"/>
        <v>18548230.488695245</v>
      </c>
      <c r="Z4" s="6">
        <f ca="1">Y4-'Res Normalized Monthly'!V4</f>
        <v>734769.30848048255</v>
      </c>
      <c r="AB4" t="s">
        <v>213</v>
      </c>
    </row>
    <row r="5" spans="1:32">
      <c r="A5" s="197">
        <v>41730</v>
      </c>
      <c r="B5">
        <f t="shared" si="0"/>
        <v>4</v>
      </c>
      <c r="C5">
        <f t="shared" si="1"/>
        <v>2014</v>
      </c>
      <c r="D5" s="6">
        <f>'Monthly Data (longer 09-23)'!E65</f>
        <v>16464081.83668167</v>
      </c>
      <c r="E5" s="230">
        <f>'Monthly Data (14-23) Used'!AC5</f>
        <v>283.40000000000003</v>
      </c>
      <c r="F5">
        <f>'Monthly Data (14-23) Used'!AF5</f>
        <v>0.30000000000000071</v>
      </c>
      <c r="G5" s="226">
        <f ca="1">'Weather Data'!AN41</f>
        <v>296.23000000000008</v>
      </c>
      <c r="H5" s="226">
        <f ca="1">'Weather Data'!BC41</f>
        <v>3.0799999999999996</v>
      </c>
      <c r="I5">
        <f>'Monthly Data (14-23) Used'!CB5</f>
        <v>30</v>
      </c>
      <c r="J5">
        <f>'Monthly Data (14-23) Used'!CA5</f>
        <v>1</v>
      </c>
      <c r="K5">
        <f>'Monthly Data (14-23) Used'!BJ5</f>
        <v>4</v>
      </c>
      <c r="L5" s="6">
        <f>'Monthly Data (14-23) Used'!DD5</f>
        <v>0</v>
      </c>
      <c r="M5" s="6">
        <f>'Monthly Data (14-23) Used'!DG5</f>
        <v>0</v>
      </c>
      <c r="N5">
        <f>'Monthly Data (14-23) Used'!DD5</f>
        <v>0</v>
      </c>
      <c r="O5">
        <f>'Monthly Data (14-23) Used'!DG5</f>
        <v>0</v>
      </c>
      <c r="Q5" s="6"/>
      <c r="R5" s="6">
        <f t="shared" ca="1" si="2"/>
        <v>91080.827367823411</v>
      </c>
      <c r="S5" s="6">
        <f t="shared" ca="1" si="3"/>
        <v>185190.95921380515</v>
      </c>
      <c r="T5" s="6">
        <f t="shared" si="4"/>
        <v>0</v>
      </c>
      <c r="U5" s="6">
        <f t="shared" si="5"/>
        <v>0</v>
      </c>
      <c r="V5" s="6"/>
      <c r="W5" s="6"/>
      <c r="X5" s="6"/>
      <c r="Y5" s="6">
        <f t="shared" ca="1" si="6"/>
        <v>16740353.623263298</v>
      </c>
      <c r="Z5" s="6">
        <f ca="1">Y5-'Res Normalized Monthly'!V5</f>
        <v>867259.76137072966</v>
      </c>
      <c r="AB5" t="s">
        <v>245</v>
      </c>
    </row>
    <row r="6" spans="1:32">
      <c r="A6" s="197">
        <v>41760</v>
      </c>
      <c r="B6">
        <f t="shared" si="0"/>
        <v>5</v>
      </c>
      <c r="C6">
        <f t="shared" si="1"/>
        <v>2014</v>
      </c>
      <c r="D6" s="6">
        <f>'Monthly Data (longer 09-23)'!E66</f>
        <v>17652679.836681671</v>
      </c>
      <c r="E6" s="230">
        <f>'Monthly Data (14-23) Used'!AC6</f>
        <v>103.4</v>
      </c>
      <c r="F6">
        <f>'Monthly Data (14-23) Used'!AF6</f>
        <v>53.099999999999994</v>
      </c>
      <c r="G6" s="226">
        <f ca="1">'Weather Data'!AN42</f>
        <v>116.90355229914098</v>
      </c>
      <c r="H6" s="226">
        <f ca="1">'Weather Data'!BC42</f>
        <v>53.286447700859014</v>
      </c>
      <c r="I6">
        <f>'Monthly Data (14-23) Used'!CB6</f>
        <v>31</v>
      </c>
      <c r="J6">
        <f>'Monthly Data (14-23) Used'!CA6</f>
        <v>1</v>
      </c>
      <c r="K6">
        <f>'Monthly Data (14-23) Used'!BJ6</f>
        <v>5</v>
      </c>
      <c r="L6" s="6">
        <f>'Monthly Data (14-23) Used'!DD6</f>
        <v>0</v>
      </c>
      <c r="M6" s="6">
        <f>'Monthly Data (14-23) Used'!DG6</f>
        <v>0</v>
      </c>
      <c r="N6">
        <f>'Monthly Data (14-23) Used'!DD6</f>
        <v>0</v>
      </c>
      <c r="O6">
        <f>'Monthly Data (14-23) Used'!DG6</f>
        <v>0</v>
      </c>
      <c r="Q6" s="6"/>
      <c r="R6" s="6">
        <f t="shared" ca="1" si="2"/>
        <v>95862.409650072514</v>
      </c>
      <c r="S6" s="6">
        <f t="shared" ca="1" si="3"/>
        <v>12420.298045068534</v>
      </c>
      <c r="T6" s="6">
        <f t="shared" si="4"/>
        <v>0</v>
      </c>
      <c r="U6" s="6">
        <f t="shared" si="5"/>
        <v>0</v>
      </c>
      <c r="V6" s="6"/>
      <c r="W6" s="6"/>
      <c r="X6" s="6"/>
      <c r="Y6" s="6">
        <f t="shared" ca="1" si="6"/>
        <v>17760962.544376813</v>
      </c>
      <c r="Z6" s="6">
        <f ca="1">Y6-'Res Normalized Monthly'!V6</f>
        <v>-950968.83560613543</v>
      </c>
    </row>
    <row r="7" spans="1:32">
      <c r="A7" s="197">
        <v>41791</v>
      </c>
      <c r="B7">
        <f t="shared" si="0"/>
        <v>6</v>
      </c>
      <c r="C7">
        <f t="shared" si="1"/>
        <v>2014</v>
      </c>
      <c r="D7" s="6">
        <f>'Monthly Data (longer 09-23)'!E67</f>
        <v>23455955.836681671</v>
      </c>
      <c r="E7" s="230">
        <f>'Monthly Data (14-23) Used'!AC7</f>
        <v>4.9999999999999964</v>
      </c>
      <c r="F7">
        <f>'Monthly Data (14-23) Used'!AF7</f>
        <v>160.5</v>
      </c>
      <c r="G7" s="226">
        <f ca="1">'Weather Data'!AN43</f>
        <v>11.023552299140979</v>
      </c>
      <c r="H7" s="226">
        <f ca="1">'Weather Data'!BC43</f>
        <v>145.07</v>
      </c>
      <c r="I7">
        <f>'Monthly Data (14-23) Used'!CB7</f>
        <v>30</v>
      </c>
      <c r="J7">
        <f>'Monthly Data (14-23) Used'!CA7</f>
        <v>0</v>
      </c>
      <c r="K7">
        <f>'Monthly Data (14-23) Used'!BJ7</f>
        <v>6</v>
      </c>
      <c r="L7" s="6">
        <f>'Monthly Data (14-23) Used'!DD7</f>
        <v>0</v>
      </c>
      <c r="M7" s="6">
        <f>'Monthly Data (14-23) Used'!DG7</f>
        <v>0</v>
      </c>
      <c r="N7">
        <f>'Monthly Data (14-23) Used'!DD7</f>
        <v>0</v>
      </c>
      <c r="O7">
        <f>'Monthly Data (14-23) Used'!DG7</f>
        <v>0</v>
      </c>
      <c r="Q7" s="6"/>
      <c r="R7" s="6">
        <f t="shared" ca="1" si="2"/>
        <v>42761.506398995625</v>
      </c>
      <c r="S7" s="6">
        <f t="shared" ca="1" si="3"/>
        <v>-1027876.439089574</v>
      </c>
      <c r="T7" s="6">
        <f t="shared" si="4"/>
        <v>0</v>
      </c>
      <c r="U7" s="6">
        <f t="shared" si="5"/>
        <v>0</v>
      </c>
      <c r="V7" s="6"/>
      <c r="W7" s="6"/>
      <c r="X7" s="6"/>
      <c r="Y7" s="6">
        <f t="shared" ca="1" si="6"/>
        <v>22470840.903991092</v>
      </c>
      <c r="Z7" s="6">
        <f ca="1">Y7-'Res Normalized Monthly'!V7</f>
        <v>-2593502.0061655268</v>
      </c>
      <c r="AC7" t="s">
        <v>217</v>
      </c>
      <c r="AD7" t="s">
        <v>218</v>
      </c>
      <c r="AE7" t="s">
        <v>219</v>
      </c>
      <c r="AF7" t="s">
        <v>220</v>
      </c>
    </row>
    <row r="8" spans="1:32">
      <c r="A8" s="197">
        <v>41821</v>
      </c>
      <c r="B8">
        <f t="shared" si="0"/>
        <v>7</v>
      </c>
      <c r="C8">
        <f t="shared" si="1"/>
        <v>2014</v>
      </c>
      <c r="D8" s="6">
        <f>'Monthly Data (longer 09-23)'!E68</f>
        <v>26457534.836681671</v>
      </c>
      <c r="E8" s="230">
        <f>'Monthly Data (14-23) Used'!AC8</f>
        <v>4.4000000000000021</v>
      </c>
      <c r="F8">
        <f>'Monthly Data (14-23) Used'!AF8</f>
        <v>142.1</v>
      </c>
      <c r="G8" s="226">
        <f ca="1">'Weather Data'!AN44</f>
        <v>0.75</v>
      </c>
      <c r="H8" s="226">
        <f ca="1">'Weather Data'!BC44</f>
        <v>211.23289540171805</v>
      </c>
      <c r="I8">
        <f>'Monthly Data (14-23) Used'!CB8</f>
        <v>31</v>
      </c>
      <c r="J8">
        <f>'Monthly Data (14-23) Used'!CA8</f>
        <v>0</v>
      </c>
      <c r="K8">
        <f>'Monthly Data (14-23) Used'!BJ8</f>
        <v>7</v>
      </c>
      <c r="L8" s="6">
        <f>'Monthly Data (14-23) Used'!DD8</f>
        <v>0</v>
      </c>
      <c r="M8" s="6">
        <f>'Monthly Data (14-23) Used'!DG8</f>
        <v>0</v>
      </c>
      <c r="N8">
        <f>'Monthly Data (14-23) Used'!DD8</f>
        <v>0</v>
      </c>
      <c r="O8">
        <f>'Monthly Data (14-23) Used'!DG8</f>
        <v>0</v>
      </c>
      <c r="Q8" s="6"/>
      <c r="R8" s="6">
        <f t="shared" ca="1" si="2"/>
        <v>-25911.537014228728</v>
      </c>
      <c r="S8" s="6">
        <f t="shared" ca="1" si="3"/>
        <v>4605319.1412488604</v>
      </c>
      <c r="T8" s="6">
        <f t="shared" si="4"/>
        <v>0</v>
      </c>
      <c r="U8" s="6">
        <f t="shared" si="5"/>
        <v>0</v>
      </c>
      <c r="V8" s="6"/>
      <c r="W8" s="6"/>
      <c r="X8" s="6"/>
      <c r="Y8" s="6">
        <f t="shared" ca="1" si="6"/>
        <v>31036942.440916304</v>
      </c>
      <c r="Z8" s="6">
        <f ca="1">Y8-'Res Normalized Monthly'!V8</f>
        <v>870700.85534813255</v>
      </c>
      <c r="AB8" t="s">
        <v>221</v>
      </c>
      <c r="AC8" s="6">
        <v>-7179191.8731795801</v>
      </c>
      <c r="AD8" s="6">
        <v>2421348.9844704899</v>
      </c>
      <c r="AE8" s="7">
        <v>-2.9649554521978798</v>
      </c>
      <c r="AF8" s="194">
        <v>3.6998457431867801E-3</v>
      </c>
    </row>
    <row r="9" spans="1:32">
      <c r="A9" s="197">
        <v>41852</v>
      </c>
      <c r="B9">
        <f t="shared" si="0"/>
        <v>8</v>
      </c>
      <c r="C9">
        <f t="shared" si="1"/>
        <v>2014</v>
      </c>
      <c r="D9" s="6">
        <f>'Monthly Data (longer 09-23)'!E69</f>
        <v>25904876.836681671</v>
      </c>
      <c r="E9" s="230">
        <f>'Monthly Data (14-23) Used'!AC9</f>
        <v>3.8000000000000007</v>
      </c>
      <c r="F9">
        <f>'Monthly Data (14-23) Used'!AF9</f>
        <v>154</v>
      </c>
      <c r="G9" s="226">
        <f ca="1">'Weather Data'!AN45</f>
        <v>2.7971045982819609</v>
      </c>
      <c r="H9" s="226">
        <f ca="1">'Weather Data'!BC45</f>
        <v>183.87605861546231</v>
      </c>
      <c r="I9">
        <f>'Monthly Data (14-23) Used'!CB9</f>
        <v>31</v>
      </c>
      <c r="J9">
        <f>'Monthly Data (14-23) Used'!CA9</f>
        <v>0</v>
      </c>
      <c r="K9">
        <f>'Monthly Data (14-23) Used'!BJ9</f>
        <v>8</v>
      </c>
      <c r="L9" s="6">
        <f>'Monthly Data (14-23) Used'!DD9</f>
        <v>0</v>
      </c>
      <c r="M9" s="6">
        <f>'Monthly Data (14-23) Used'!DG9</f>
        <v>0</v>
      </c>
      <c r="N9">
        <f>'Monthly Data (14-23) Used'!DD9</f>
        <v>0</v>
      </c>
      <c r="O9">
        <f>'Monthly Data (14-23) Used'!DG9</f>
        <v>0</v>
      </c>
      <c r="Q9" s="6"/>
      <c r="R9" s="6">
        <f t="shared" ca="1" si="2"/>
        <v>-7119.6058419224009</v>
      </c>
      <c r="S9" s="6">
        <f t="shared" ca="1" si="3"/>
        <v>1990207.1771673867</v>
      </c>
      <c r="T9" s="6">
        <f t="shared" si="4"/>
        <v>0</v>
      </c>
      <c r="U9" s="6">
        <f t="shared" si="5"/>
        <v>0</v>
      </c>
      <c r="V9" s="6"/>
      <c r="W9" s="6"/>
      <c r="X9" s="6"/>
      <c r="Y9" s="6">
        <f t="shared" ca="1" si="6"/>
        <v>27887964.408007134</v>
      </c>
      <c r="Z9" s="6">
        <f ca="1">Y9-'Res Normalized Monthly'!V9</f>
        <v>-492064.22270154208</v>
      </c>
      <c r="AB9" t="s">
        <v>28</v>
      </c>
      <c r="AC9" s="6">
        <v>7099.0512367749898</v>
      </c>
      <c r="AD9" s="6">
        <v>562.68262319050405</v>
      </c>
      <c r="AE9" s="7">
        <v>12.616439435293399</v>
      </c>
      <c r="AF9" s="194">
        <v>3.04563569599431E-23</v>
      </c>
    </row>
    <row r="10" spans="1:32">
      <c r="A10" s="197">
        <v>41883</v>
      </c>
      <c r="B10">
        <f t="shared" si="0"/>
        <v>9</v>
      </c>
      <c r="C10">
        <f t="shared" si="1"/>
        <v>2014</v>
      </c>
      <c r="D10" s="6">
        <f>'Monthly Data (longer 09-23)'!E70</f>
        <v>20673917.836681671</v>
      </c>
      <c r="E10" s="230">
        <f>'Monthly Data (14-23) Used'!AC10</f>
        <v>76.799999999999983</v>
      </c>
      <c r="F10">
        <f>'Monthly Data (14-23) Used'!AF10</f>
        <v>54.7</v>
      </c>
      <c r="G10" s="226">
        <f ca="1">'Weather Data'!AN46</f>
        <v>39.200656897422931</v>
      </c>
      <c r="H10" s="226">
        <f ca="1">'Weather Data'!BC46</f>
        <v>90.709343102577066</v>
      </c>
      <c r="I10">
        <f>'Monthly Data (14-23) Used'!CB10</f>
        <v>30</v>
      </c>
      <c r="J10">
        <f>'Monthly Data (14-23) Used'!CA10</f>
        <v>0</v>
      </c>
      <c r="K10">
        <f>'Monthly Data (14-23) Used'!BJ10</f>
        <v>9</v>
      </c>
      <c r="L10" s="6">
        <f>'Monthly Data (14-23) Used'!DD10</f>
        <v>0</v>
      </c>
      <c r="M10" s="6">
        <f>'Monthly Data (14-23) Used'!DG10</f>
        <v>0</v>
      </c>
      <c r="N10">
        <f>'Monthly Data (14-23) Used'!DD10</f>
        <v>0</v>
      </c>
      <c r="O10">
        <f>'Monthly Data (14-23) Used'!DG10</f>
        <v>0</v>
      </c>
      <c r="Q10" s="6"/>
      <c r="R10" s="6">
        <f t="shared" ca="1" si="2"/>
        <v>-266919.66315427679</v>
      </c>
      <c r="S10" s="6">
        <f t="shared" ca="1" si="3"/>
        <v>2398778.7013759953</v>
      </c>
      <c r="T10" s="6">
        <f t="shared" si="4"/>
        <v>0</v>
      </c>
      <c r="U10" s="6">
        <f t="shared" si="5"/>
        <v>0</v>
      </c>
      <c r="V10" s="6"/>
      <c r="W10" s="6"/>
      <c r="X10" s="6"/>
      <c r="Y10" s="6">
        <f t="shared" ca="1" si="6"/>
        <v>22805776.874903388</v>
      </c>
      <c r="Z10" s="6">
        <f ca="1">Y10-'Res Normalized Monthly'!V10</f>
        <v>1097735.1817355938</v>
      </c>
      <c r="AB10" t="s">
        <v>31</v>
      </c>
      <c r="AC10" s="6">
        <v>66615.452954606197</v>
      </c>
      <c r="AD10" s="6">
        <v>2171.6750680487498</v>
      </c>
      <c r="AE10" s="7">
        <v>30.674686989182099</v>
      </c>
      <c r="AF10" s="194">
        <v>2.5235925548551699E-56</v>
      </c>
    </row>
    <row r="11" spans="1:32">
      <c r="A11" s="197">
        <v>41913</v>
      </c>
      <c r="B11">
        <f t="shared" si="0"/>
        <v>10</v>
      </c>
      <c r="C11">
        <f t="shared" si="1"/>
        <v>2014</v>
      </c>
      <c r="D11" s="6">
        <f>'Monthly Data (longer 09-23)'!E71</f>
        <v>16731629.83668167</v>
      </c>
      <c r="E11" s="230">
        <f>'Monthly Data (14-23) Used'!AC11</f>
        <v>219.2</v>
      </c>
      <c r="F11">
        <f>'Monthly Data (14-23) Used'!AF11</f>
        <v>2.6999999999999993</v>
      </c>
      <c r="G11" s="226">
        <f ca="1">'Weather Data'!AN47</f>
        <v>194.90420919656393</v>
      </c>
      <c r="H11" s="226">
        <f ca="1">'Weather Data'!BC47</f>
        <v>20.479999999999997</v>
      </c>
      <c r="I11">
        <f>'Monthly Data (14-23) Used'!CB11</f>
        <v>31</v>
      </c>
      <c r="J11">
        <f>'Monthly Data (14-23) Used'!CA11</f>
        <v>1</v>
      </c>
      <c r="K11">
        <f>'Monthly Data (14-23) Used'!BJ11</f>
        <v>10</v>
      </c>
      <c r="L11" s="6">
        <f>'Monthly Data (14-23) Used'!DD11</f>
        <v>0</v>
      </c>
      <c r="M11" s="6">
        <f>'Monthly Data (14-23) Used'!DG11</f>
        <v>0</v>
      </c>
      <c r="N11">
        <f>'Monthly Data (14-23) Used'!DD11</f>
        <v>0</v>
      </c>
      <c r="O11">
        <f>'Monthly Data (14-23) Used'!DG11</f>
        <v>0</v>
      </c>
      <c r="Q11" s="6"/>
      <c r="R11" s="6">
        <f t="shared" ca="1" si="2"/>
        <v>-172477.06375155921</v>
      </c>
      <c r="S11" s="6">
        <f t="shared" ca="1" si="3"/>
        <v>1184422.7535328979</v>
      </c>
      <c r="T11" s="6">
        <f t="shared" si="4"/>
        <v>0</v>
      </c>
      <c r="U11" s="6">
        <f t="shared" si="5"/>
        <v>0</v>
      </c>
      <c r="V11" s="6"/>
      <c r="W11" s="6"/>
      <c r="X11" s="6"/>
      <c r="Y11" s="6">
        <f t="shared" ca="1" si="6"/>
        <v>17743575.526463009</v>
      </c>
      <c r="Z11" s="6">
        <f ca="1">Y11-'Res Normalized Monthly'!V11</f>
        <v>555116.76692786068</v>
      </c>
      <c r="AB11" t="s">
        <v>107</v>
      </c>
      <c r="AC11" s="6">
        <v>2408.2471971356599</v>
      </c>
      <c r="AD11" s="6">
        <v>825.05465231889798</v>
      </c>
      <c r="AE11" s="7">
        <v>2.9188941488506801</v>
      </c>
      <c r="AF11" s="194">
        <v>4.2469762449880398E-3</v>
      </c>
    </row>
    <row r="12" spans="1:32">
      <c r="A12" s="197">
        <v>41944</v>
      </c>
      <c r="B12">
        <f t="shared" si="0"/>
        <v>11</v>
      </c>
      <c r="C12">
        <f t="shared" si="1"/>
        <v>2014</v>
      </c>
      <c r="D12" s="6">
        <f>'Monthly Data (longer 09-23)'!E72</f>
        <v>18386181.836681671</v>
      </c>
      <c r="E12" s="230">
        <f>'Monthly Data (14-23) Used'!AC12</f>
        <v>479.30000000000013</v>
      </c>
      <c r="F12">
        <f>'Monthly Data (14-23) Used'!AF12</f>
        <v>0</v>
      </c>
      <c r="G12" s="226">
        <f ca="1">'Weather Data'!AN48</f>
        <v>404.02065689742301</v>
      </c>
      <c r="H12" s="226">
        <f ca="1">'Weather Data'!BC48</f>
        <v>0.6699999999999996</v>
      </c>
      <c r="I12">
        <f>'Monthly Data (14-23) Used'!CB12</f>
        <v>30</v>
      </c>
      <c r="J12">
        <f>'Monthly Data (14-23) Used'!CA12</f>
        <v>1</v>
      </c>
      <c r="K12">
        <f>'Monthly Data (14-23) Used'!BJ12</f>
        <v>11</v>
      </c>
      <c r="L12" s="6">
        <f>'Monthly Data (14-23) Used'!DD12</f>
        <v>0</v>
      </c>
      <c r="M12" s="6">
        <f>'Monthly Data (14-23) Used'!DG12</f>
        <v>0</v>
      </c>
      <c r="N12">
        <f>'Monthly Data (14-23) Used'!DD12</f>
        <v>0</v>
      </c>
      <c r="O12">
        <f>'Monthly Data (14-23) Used'!DG12</f>
        <v>0</v>
      </c>
      <c r="Q12" s="6"/>
      <c r="R12" s="6">
        <f t="shared" ca="1" si="2"/>
        <v>-534411.9137559589</v>
      </c>
      <c r="S12" s="6">
        <f t="shared" ca="1" si="3"/>
        <v>44632.353479586127</v>
      </c>
      <c r="T12" s="6">
        <f t="shared" si="4"/>
        <v>0</v>
      </c>
      <c r="U12" s="6">
        <f t="shared" si="5"/>
        <v>0</v>
      </c>
      <c r="V12" s="6"/>
      <c r="W12" s="6"/>
      <c r="X12" s="6"/>
      <c r="Y12" s="6">
        <f t="shared" ca="1" si="6"/>
        <v>17896402.276405297</v>
      </c>
      <c r="Z12" s="6">
        <f ca="1">Y12-'Res Normalized Monthly'!V12</f>
        <v>1267141.929549437</v>
      </c>
      <c r="AB12" t="s">
        <v>110</v>
      </c>
      <c r="AC12" s="6">
        <v>15377.542525126401</v>
      </c>
      <c r="AD12" s="6">
        <v>2295.8072713681699</v>
      </c>
      <c r="AE12" s="7">
        <v>6.6980981883388901</v>
      </c>
      <c r="AF12" s="194">
        <v>8.8297922276175602E-10</v>
      </c>
    </row>
    <row r="13" spans="1:32">
      <c r="A13" s="197">
        <v>41974</v>
      </c>
      <c r="B13">
        <f t="shared" si="0"/>
        <v>12</v>
      </c>
      <c r="C13">
        <f t="shared" si="1"/>
        <v>2014</v>
      </c>
      <c r="D13" s="6">
        <f>'Monthly Data (longer 09-23)'!E73</f>
        <v>20794911.836681671</v>
      </c>
      <c r="E13" s="230">
        <f>'Monthly Data (14-23) Used'!AC13</f>
        <v>545.20000000000005</v>
      </c>
      <c r="F13">
        <f>'Monthly Data (14-23) Used'!AF13</f>
        <v>0</v>
      </c>
      <c r="G13" s="226">
        <f ca="1">'Weather Data'!AN49</f>
        <v>533.7700000000001</v>
      </c>
      <c r="H13" s="226">
        <f ca="1">'Weather Data'!BC49</f>
        <v>0</v>
      </c>
      <c r="I13">
        <f>'Monthly Data (14-23) Used'!CB13</f>
        <v>31</v>
      </c>
      <c r="J13">
        <f>'Monthly Data (14-23) Used'!CA13</f>
        <v>0</v>
      </c>
      <c r="K13">
        <f>'Monthly Data (14-23) Used'!BJ13</f>
        <v>12</v>
      </c>
      <c r="L13" s="6">
        <f>'Monthly Data (14-23) Used'!DD13</f>
        <v>0</v>
      </c>
      <c r="M13" s="6">
        <f>'Monthly Data (14-23) Used'!DG13</f>
        <v>0</v>
      </c>
      <c r="N13">
        <f>'Monthly Data (14-23) Used'!DD13</f>
        <v>0</v>
      </c>
      <c r="O13">
        <f>'Monthly Data (14-23) Used'!DG13</f>
        <v>0</v>
      </c>
      <c r="Q13" s="6"/>
      <c r="R13" s="6">
        <f t="shared" ca="1" si="2"/>
        <v>-81142.155636337775</v>
      </c>
      <c r="S13" s="6">
        <f t="shared" ca="1" si="3"/>
        <v>0</v>
      </c>
      <c r="T13" s="6">
        <f t="shared" si="4"/>
        <v>0</v>
      </c>
      <c r="U13" s="6">
        <f t="shared" si="5"/>
        <v>0</v>
      </c>
      <c r="V13" s="6"/>
      <c r="W13" s="6"/>
      <c r="X13" s="6"/>
      <c r="Y13" s="6">
        <f t="shared" ca="1" si="6"/>
        <v>20713769.681045335</v>
      </c>
      <c r="Z13" s="6">
        <f ca="1">Y13-'Res Normalized Monthly'!V13</f>
        <v>726753.71819014847</v>
      </c>
      <c r="AB13" t="s">
        <v>240</v>
      </c>
      <c r="AC13" s="6">
        <v>745717.28496123594</v>
      </c>
      <c r="AD13" s="6">
        <v>81925.625680227298</v>
      </c>
      <c r="AE13" s="7">
        <v>9.1023691155185702</v>
      </c>
      <c r="AF13" s="194">
        <v>3.8873107494885897E-15</v>
      </c>
    </row>
    <row r="14" spans="1:32">
      <c r="A14" s="197">
        <v>42005</v>
      </c>
      <c r="B14">
        <f t="shared" si="0"/>
        <v>1</v>
      </c>
      <c r="C14">
        <f t="shared" si="1"/>
        <v>2015</v>
      </c>
      <c r="D14" s="6">
        <f>'Monthly Data (longer 09-23)'!E74</f>
        <v>21479947.723403674</v>
      </c>
      <c r="E14" s="230">
        <f>'Monthly Data (14-23) Used'!AC14</f>
        <v>766.90000000000009</v>
      </c>
      <c r="F14">
        <f>'Monthly Data (14-23) Used'!AF14</f>
        <v>0</v>
      </c>
      <c r="G14" s="7">
        <f t="shared" ref="G14:H18" ca="1" si="7">G2</f>
        <v>671</v>
      </c>
      <c r="H14" s="7">
        <f t="shared" ca="1" si="7"/>
        <v>0</v>
      </c>
      <c r="I14">
        <f>'Monthly Data (14-23) Used'!CB14</f>
        <v>31</v>
      </c>
      <c r="J14">
        <f>'Monthly Data (14-23) Used'!CA14</f>
        <v>0</v>
      </c>
      <c r="K14">
        <f>'Monthly Data (14-23) Used'!BJ14</f>
        <v>13</v>
      </c>
      <c r="L14" s="6">
        <f>'Monthly Data (14-23) Used'!DD14</f>
        <v>0</v>
      </c>
      <c r="M14" s="6">
        <f>'Monthly Data (14-23) Used'!DG14</f>
        <v>0</v>
      </c>
      <c r="N14">
        <f>'Monthly Data (14-23) Used'!DD14</f>
        <v>0</v>
      </c>
      <c r="O14">
        <f>'Monthly Data (14-23) Used'!DG14</f>
        <v>0</v>
      </c>
      <c r="Q14" s="6"/>
      <c r="R14" s="6">
        <f t="shared" ca="1" si="2"/>
        <v>-680799.01360672212</v>
      </c>
      <c r="S14" s="6">
        <f t="shared" ca="1" si="3"/>
        <v>0</v>
      </c>
      <c r="T14" s="6">
        <f t="shared" si="4"/>
        <v>0</v>
      </c>
      <c r="U14" s="6">
        <f t="shared" si="5"/>
        <v>0</v>
      </c>
      <c r="V14" s="6"/>
      <c r="W14" s="6"/>
      <c r="X14" s="6"/>
      <c r="Y14" s="6">
        <f t="shared" ca="1" si="6"/>
        <v>20799148.70979695</v>
      </c>
      <c r="Z14" s="6">
        <f ca="1">Y14-'Res Normalized Monthly'!V14</f>
        <v>-183712.67291278765</v>
      </c>
      <c r="AB14" t="s">
        <v>78</v>
      </c>
      <c r="AC14" s="6">
        <v>-1713930.83126266</v>
      </c>
      <c r="AD14" s="6">
        <v>195555.46434043601</v>
      </c>
      <c r="AE14" s="7">
        <v>-8.7644231115880906</v>
      </c>
      <c r="AF14" s="194">
        <v>2.3142884768171701E-14</v>
      </c>
    </row>
    <row r="15" spans="1:32">
      <c r="A15" s="197">
        <v>42036</v>
      </c>
      <c r="B15">
        <f t="shared" si="0"/>
        <v>2</v>
      </c>
      <c r="C15">
        <f t="shared" si="1"/>
        <v>2015</v>
      </c>
      <c r="D15" s="6">
        <f>'Monthly Data (longer 09-23)'!E75</f>
        <v>19316640.723403674</v>
      </c>
      <c r="E15" s="230">
        <f>'Monthly Data (14-23) Used'!AC15</f>
        <v>811.10000000000014</v>
      </c>
      <c r="F15">
        <f>'Monthly Data (14-23) Used'!AF15</f>
        <v>0</v>
      </c>
      <c r="G15" s="7">
        <f t="shared" ca="1" si="7"/>
        <v>595.51355229914111</v>
      </c>
      <c r="H15" s="7">
        <f t="shared" ca="1" si="7"/>
        <v>0</v>
      </c>
      <c r="I15">
        <f>'Monthly Data (14-23) Used'!CB15</f>
        <v>28</v>
      </c>
      <c r="J15">
        <f>'Monthly Data (14-23) Used'!CA15</f>
        <v>0</v>
      </c>
      <c r="K15">
        <f>'Monthly Data (14-23) Used'!BJ15</f>
        <v>14</v>
      </c>
      <c r="L15" s="6">
        <f>'Monthly Data (14-23) Used'!DD15</f>
        <v>0</v>
      </c>
      <c r="M15" s="6">
        <f>'Monthly Data (14-23) Used'!DG15</f>
        <v>0</v>
      </c>
      <c r="N15">
        <f>'Monthly Data (14-23) Used'!DD15</f>
        <v>0</v>
      </c>
      <c r="O15">
        <f>'Monthly Data (14-23) Used'!DG15</f>
        <v>0</v>
      </c>
      <c r="Q15" s="6"/>
      <c r="R15" s="6">
        <f t="shared" ca="1" si="2"/>
        <v>-1530459.23818271</v>
      </c>
      <c r="S15" s="6">
        <f t="shared" ca="1" si="3"/>
        <v>0</v>
      </c>
      <c r="T15" s="6">
        <f t="shared" si="4"/>
        <v>0</v>
      </c>
      <c r="U15" s="6">
        <f t="shared" si="5"/>
        <v>0</v>
      </c>
      <c r="V15" s="6"/>
      <c r="W15" s="6"/>
      <c r="X15" s="6"/>
      <c r="Y15" s="6">
        <f t="shared" ca="1" si="6"/>
        <v>17786181.485220965</v>
      </c>
      <c r="Z15" s="6">
        <f ca="1">Y15-'Res Normalized Monthly'!V15</f>
        <v>-445288.50132645667</v>
      </c>
      <c r="AB15" t="s">
        <v>61</v>
      </c>
      <c r="AC15" s="6">
        <v>21642.618631922</v>
      </c>
      <c r="AD15" s="6">
        <v>2864.2160703694199</v>
      </c>
      <c r="AE15" s="7">
        <v>7.5562101811441398</v>
      </c>
      <c r="AF15" s="194">
        <v>1.2179827203737001E-11</v>
      </c>
    </row>
    <row r="16" spans="1:32">
      <c r="A16" s="197">
        <v>42064</v>
      </c>
      <c r="B16">
        <f t="shared" si="0"/>
        <v>3</v>
      </c>
      <c r="C16">
        <f t="shared" si="1"/>
        <v>2015</v>
      </c>
      <c r="D16" s="6">
        <f>'Monthly Data (longer 09-23)'!E76</f>
        <v>18803817.723403674</v>
      </c>
      <c r="E16" s="230">
        <f>'Monthly Data (14-23) Used'!AC16</f>
        <v>565.29999999999995</v>
      </c>
      <c r="F16">
        <f>'Monthly Data (14-23) Used'!AF16</f>
        <v>0</v>
      </c>
      <c r="G16" s="7">
        <f t="shared" ca="1" si="7"/>
        <v>496.46355229914104</v>
      </c>
      <c r="H16" s="7">
        <f t="shared" ca="1" si="7"/>
        <v>0</v>
      </c>
      <c r="I16">
        <f>'Monthly Data (14-23) Used'!CB16</f>
        <v>31</v>
      </c>
      <c r="J16">
        <f>'Monthly Data (14-23) Used'!CA16</f>
        <v>1</v>
      </c>
      <c r="K16">
        <f>'Monthly Data (14-23) Used'!BJ16</f>
        <v>15</v>
      </c>
      <c r="L16" s="6">
        <f>'Monthly Data (14-23) Used'!DD16</f>
        <v>0</v>
      </c>
      <c r="M16" s="6">
        <f>'Monthly Data (14-23) Used'!DG16</f>
        <v>0</v>
      </c>
      <c r="N16">
        <f>'Monthly Data (14-23) Used'!DD16</f>
        <v>0</v>
      </c>
      <c r="O16">
        <f>'Monthly Data (14-23) Used'!DG16</f>
        <v>0</v>
      </c>
      <c r="Q16" s="6"/>
      <c r="R16" s="6">
        <f t="shared" ca="1" si="2"/>
        <v>-488673.46918597934</v>
      </c>
      <c r="S16" s="6">
        <f t="shared" ca="1" si="3"/>
        <v>0</v>
      </c>
      <c r="T16" s="6">
        <f t="shared" si="4"/>
        <v>0</v>
      </c>
      <c r="U16" s="6">
        <f t="shared" si="5"/>
        <v>0</v>
      </c>
      <c r="V16" s="6"/>
      <c r="W16" s="6"/>
      <c r="X16" s="6"/>
      <c r="Y16" s="6">
        <f t="shared" ca="1" si="6"/>
        <v>18315144.254217695</v>
      </c>
      <c r="Z16" s="6">
        <f ca="1">Y16-'Res Normalized Monthly'!V16</f>
        <v>241971.65041986853</v>
      </c>
    </row>
    <row r="17" spans="1:31">
      <c r="A17" s="197">
        <v>42095</v>
      </c>
      <c r="B17">
        <f t="shared" si="0"/>
        <v>4</v>
      </c>
      <c r="C17">
        <f t="shared" si="1"/>
        <v>2015</v>
      </c>
      <c r="D17" s="6">
        <f>'Monthly Data (longer 09-23)'!E77</f>
        <v>16195044.723403674</v>
      </c>
      <c r="E17" s="230">
        <f>'Monthly Data (14-23) Used'!AC17</f>
        <v>283.2</v>
      </c>
      <c r="F17">
        <f>'Monthly Data (14-23) Used'!AF17</f>
        <v>0</v>
      </c>
      <c r="G17" s="7">
        <f t="shared" ca="1" si="7"/>
        <v>296.23000000000008</v>
      </c>
      <c r="H17" s="7">
        <f t="shared" ca="1" si="7"/>
        <v>3.0799999999999996</v>
      </c>
      <c r="I17">
        <f>'Monthly Data (14-23) Used'!CB17</f>
        <v>30</v>
      </c>
      <c r="J17">
        <f>'Monthly Data (14-23) Used'!CA17</f>
        <v>1</v>
      </c>
      <c r="K17">
        <f>'Monthly Data (14-23) Used'!BJ17</f>
        <v>16</v>
      </c>
      <c r="L17" s="6">
        <f>'Monthly Data (14-23) Used'!DD17</f>
        <v>0</v>
      </c>
      <c r="M17" s="6">
        <f>'Monthly Data (14-23) Used'!DG17</f>
        <v>0</v>
      </c>
      <c r="N17">
        <f>'Monthly Data (14-23) Used'!DD17</f>
        <v>0</v>
      </c>
      <c r="O17">
        <f>'Monthly Data (14-23) Used'!DG17</f>
        <v>0</v>
      </c>
      <c r="Q17" s="6"/>
      <c r="R17" s="6">
        <f t="shared" ca="1" si="2"/>
        <v>92500.637615178726</v>
      </c>
      <c r="S17" s="6">
        <f t="shared" ca="1" si="3"/>
        <v>205175.59510018706</v>
      </c>
      <c r="T17" s="6">
        <f t="shared" si="4"/>
        <v>0</v>
      </c>
      <c r="U17" s="6">
        <f t="shared" si="5"/>
        <v>0</v>
      </c>
      <c r="V17" s="6"/>
      <c r="W17" s="6"/>
      <c r="X17" s="6"/>
      <c r="Y17" s="6">
        <f t="shared" ca="1" si="6"/>
        <v>16492720.95611904</v>
      </c>
      <c r="Z17" s="6">
        <f ca="1">Y17-'Res Normalized Monthly'!V17</f>
        <v>359915.67064340971</v>
      </c>
      <c r="AB17" t="s">
        <v>223</v>
      </c>
    </row>
    <row r="18" spans="1:31">
      <c r="A18" s="197">
        <v>42125</v>
      </c>
      <c r="B18">
        <f t="shared" si="0"/>
        <v>5</v>
      </c>
      <c r="C18">
        <f t="shared" si="1"/>
        <v>2015</v>
      </c>
      <c r="D18" s="6">
        <f>'Monthly Data (longer 09-23)'!E78</f>
        <v>18481715.723403674</v>
      </c>
      <c r="E18" s="230">
        <f>'Monthly Data (14-23) Used'!AC18</f>
        <v>79.599999999999994</v>
      </c>
      <c r="F18">
        <f>'Monthly Data (14-23) Used'!AF18</f>
        <v>74.399999999999991</v>
      </c>
      <c r="G18" s="7">
        <f t="shared" ca="1" si="7"/>
        <v>116.90355229914098</v>
      </c>
      <c r="H18" s="7">
        <f t="shared" ca="1" si="7"/>
        <v>53.286447700859014</v>
      </c>
      <c r="I18">
        <f>'Monthly Data (14-23) Used'!CB18</f>
        <v>31</v>
      </c>
      <c r="J18">
        <f>'Monthly Data (14-23) Used'!CA18</f>
        <v>1</v>
      </c>
      <c r="K18">
        <f>'Monthly Data (14-23) Used'!BJ18</f>
        <v>17</v>
      </c>
      <c r="L18" s="6">
        <f>'Monthly Data (14-23) Used'!DD18</f>
        <v>0</v>
      </c>
      <c r="M18" s="6">
        <f>'Monthly Data (14-23) Used'!DG18</f>
        <v>0</v>
      </c>
      <c r="N18">
        <f>'Monthly Data (14-23) Used'!DD18</f>
        <v>0</v>
      </c>
      <c r="O18">
        <f>'Monthly Data (14-23) Used'!DG18</f>
        <v>0</v>
      </c>
      <c r="Q18" s="6"/>
      <c r="R18" s="6">
        <f t="shared" ca="1" si="2"/>
        <v>264819.82908531732</v>
      </c>
      <c r="S18" s="6">
        <f t="shared" ca="1" si="3"/>
        <v>-1406488.8498880432</v>
      </c>
      <c r="T18" s="6">
        <f t="shared" si="4"/>
        <v>0</v>
      </c>
      <c r="U18" s="6">
        <f t="shared" si="5"/>
        <v>0</v>
      </c>
      <c r="V18" s="6"/>
      <c r="W18" s="6"/>
      <c r="X18" s="6"/>
      <c r="Y18" s="6">
        <f t="shared" ca="1" si="6"/>
        <v>17340046.702600949</v>
      </c>
      <c r="Z18" s="6">
        <f ca="1">Y18-'Res Normalized Monthly'!V18</f>
        <v>-1631596.100965064</v>
      </c>
      <c r="AB18" t="s">
        <v>226</v>
      </c>
      <c r="AC18" s="193">
        <v>60004027897544</v>
      </c>
      <c r="AD18" t="s">
        <v>227</v>
      </c>
      <c r="AE18" s="193">
        <v>731949.62195851596</v>
      </c>
    </row>
    <row r="19" spans="1:31">
      <c r="A19" s="197">
        <v>42156</v>
      </c>
      <c r="B19">
        <f t="shared" si="0"/>
        <v>6</v>
      </c>
      <c r="C19">
        <f t="shared" si="1"/>
        <v>2015</v>
      </c>
      <c r="D19" s="6">
        <f>'Monthly Data (longer 09-23)'!E79</f>
        <v>22013089.723403674</v>
      </c>
      <c r="E19" s="230">
        <f>'Monthly Data (14-23) Used'!AC19</f>
        <v>18.900000000000002</v>
      </c>
      <c r="F19">
        <f>'Monthly Data (14-23) Used'!AF19</f>
        <v>112.89999999999998</v>
      </c>
      <c r="G19" s="7">
        <f t="shared" ref="G19:H34" ca="1" si="8">G7</f>
        <v>11.023552299140979</v>
      </c>
      <c r="H19" s="7">
        <f t="shared" ca="1" si="8"/>
        <v>145.07</v>
      </c>
      <c r="I19">
        <f>'Monthly Data (14-23) Used'!CB19</f>
        <v>30</v>
      </c>
      <c r="J19">
        <f>'Monthly Data (14-23) Used'!CA19</f>
        <v>0</v>
      </c>
      <c r="K19">
        <f>'Monthly Data (14-23) Used'!BJ19</f>
        <v>18</v>
      </c>
      <c r="L19" s="6">
        <f>'Monthly Data (14-23) Used'!DD19</f>
        <v>0</v>
      </c>
      <c r="M19" s="6">
        <f>'Monthly Data (14-23) Used'!DG19</f>
        <v>0</v>
      </c>
      <c r="N19">
        <f>'Monthly Data (14-23) Used'!DD19</f>
        <v>0</v>
      </c>
      <c r="O19">
        <f>'Monthly Data (14-23) Used'!DG19</f>
        <v>0</v>
      </c>
      <c r="Q19" s="6"/>
      <c r="R19" s="6">
        <f t="shared" ca="1" si="2"/>
        <v>-55915.305792176769</v>
      </c>
      <c r="S19" s="6">
        <f t="shared" ca="1" si="3"/>
        <v>2143019.1215496822</v>
      </c>
      <c r="T19" s="6">
        <f t="shared" si="4"/>
        <v>0</v>
      </c>
      <c r="U19" s="6">
        <f t="shared" si="5"/>
        <v>0</v>
      </c>
      <c r="V19" s="6"/>
      <c r="W19" s="6"/>
      <c r="X19" s="6"/>
      <c r="Y19" s="6">
        <f t="shared" ca="1" si="6"/>
        <v>24100193.539161179</v>
      </c>
      <c r="Z19" s="6">
        <f ca="1">Y19-'Res Normalized Monthly'!V19</f>
        <v>-1223860.7945785038</v>
      </c>
      <c r="AB19" t="s">
        <v>228</v>
      </c>
      <c r="AC19" s="193">
        <v>0.981004440981741</v>
      </c>
      <c r="AD19" t="s">
        <v>229</v>
      </c>
      <c r="AE19" s="193">
        <v>0.9798172185431</v>
      </c>
    </row>
    <row r="20" spans="1:31">
      <c r="A20" s="197">
        <v>42186</v>
      </c>
      <c r="B20">
        <f t="shared" si="0"/>
        <v>7</v>
      </c>
      <c r="C20">
        <f t="shared" si="1"/>
        <v>2015</v>
      </c>
      <c r="D20" s="6">
        <f>'Monthly Data (longer 09-23)'!E80</f>
        <v>27823012.723403674</v>
      </c>
      <c r="E20" s="230">
        <f>'Monthly Data (14-23) Used'!AC20</f>
        <v>2.8999999999999986</v>
      </c>
      <c r="F20">
        <f>'Monthly Data (14-23) Used'!AF20</f>
        <v>179.79999999999998</v>
      </c>
      <c r="G20" s="7">
        <f t="shared" ca="1" si="8"/>
        <v>0.75</v>
      </c>
      <c r="H20" s="7">
        <f t="shared" ca="1" si="8"/>
        <v>211.23289540171805</v>
      </c>
      <c r="I20">
        <f>'Monthly Data (14-23) Used'!CB20</f>
        <v>31</v>
      </c>
      <c r="J20">
        <f>'Monthly Data (14-23) Used'!CA20</f>
        <v>0</v>
      </c>
      <c r="K20">
        <f>'Monthly Data (14-23) Used'!BJ20</f>
        <v>19</v>
      </c>
      <c r="L20" s="6">
        <f>'Monthly Data (14-23) Used'!DD20</f>
        <v>0</v>
      </c>
      <c r="M20" s="6">
        <f>'Monthly Data (14-23) Used'!DG20</f>
        <v>0</v>
      </c>
      <c r="N20">
        <f>'Monthly Data (14-23) Used'!DD20</f>
        <v>0</v>
      </c>
      <c r="O20">
        <f>'Monthly Data (14-23) Used'!DG20</f>
        <v>0</v>
      </c>
      <c r="Q20" s="6"/>
      <c r="R20" s="6">
        <f t="shared" ca="1" si="2"/>
        <v>-15262.960159066219</v>
      </c>
      <c r="S20" s="6">
        <f t="shared" ca="1" si="3"/>
        <v>2093916.5648602075</v>
      </c>
      <c r="T20" s="6">
        <f t="shared" si="4"/>
        <v>0</v>
      </c>
      <c r="U20" s="6">
        <f t="shared" si="5"/>
        <v>0</v>
      </c>
      <c r="V20" s="6"/>
      <c r="W20" s="6"/>
      <c r="X20" s="6"/>
      <c r="Y20" s="6">
        <f t="shared" ca="1" si="6"/>
        <v>29901666.328104813</v>
      </c>
      <c r="Z20" s="6">
        <f ca="1">Y20-'Res Normalized Monthly'!V20</f>
        <v>-524286.68104641885</v>
      </c>
      <c r="AB20" t="s">
        <v>246</v>
      </c>
      <c r="AC20" s="75">
        <v>667.489932962372</v>
      </c>
      <c r="AD20" t="s">
        <v>231</v>
      </c>
      <c r="AE20" s="105">
        <v>3.48891869527766E-88</v>
      </c>
    </row>
    <row r="21" spans="1:31">
      <c r="A21" s="197">
        <v>42217</v>
      </c>
      <c r="B21">
        <f t="shared" si="0"/>
        <v>8</v>
      </c>
      <c r="C21">
        <f t="shared" si="1"/>
        <v>2015</v>
      </c>
      <c r="D21" s="6">
        <f>'Monthly Data (longer 09-23)'!E81</f>
        <v>28533565.723403674</v>
      </c>
      <c r="E21" s="230">
        <f>'Monthly Data (14-23) Used'!AC21</f>
        <v>8.5000000000000018</v>
      </c>
      <c r="F21">
        <f>'Monthly Data (14-23) Used'!AF21</f>
        <v>158.4</v>
      </c>
      <c r="G21" s="7">
        <f t="shared" ca="1" si="8"/>
        <v>2.7971045982819609</v>
      </c>
      <c r="H21" s="7">
        <f t="shared" ca="1" si="8"/>
        <v>183.87605861546231</v>
      </c>
      <c r="I21">
        <f>'Monthly Data (14-23) Used'!CB21</f>
        <v>31</v>
      </c>
      <c r="J21">
        <f>'Monthly Data (14-23) Used'!CA21</f>
        <v>0</v>
      </c>
      <c r="K21">
        <f>'Monthly Data (14-23) Used'!BJ21</f>
        <v>20</v>
      </c>
      <c r="L21" s="6">
        <f>'Monthly Data (14-23) Used'!DD21</f>
        <v>0</v>
      </c>
      <c r="M21" s="6">
        <f>'Monthly Data (14-23) Used'!DG21</f>
        <v>0</v>
      </c>
      <c r="N21">
        <f>'Monthly Data (14-23) Used'!DD21</f>
        <v>0</v>
      </c>
      <c r="O21">
        <f>'Monthly Data (14-23) Used'!DG21</f>
        <v>0</v>
      </c>
      <c r="Q21" s="6"/>
      <c r="R21" s="6">
        <f t="shared" ca="1" si="2"/>
        <v>-40485.14665476486</v>
      </c>
      <c r="S21" s="6">
        <f t="shared" ca="1" si="3"/>
        <v>1697099.1841671192</v>
      </c>
      <c r="T21" s="6">
        <f t="shared" si="4"/>
        <v>0</v>
      </c>
      <c r="U21" s="6">
        <f t="shared" si="5"/>
        <v>0</v>
      </c>
      <c r="V21" s="6"/>
      <c r="W21" s="6"/>
      <c r="X21" s="6"/>
      <c r="Y21" s="6">
        <f t="shared" ca="1" si="6"/>
        <v>30190179.760916028</v>
      </c>
      <c r="Z21" s="6">
        <f ca="1">Y21-'Res Normalized Monthly'!V21</f>
        <v>1550439.7066242881</v>
      </c>
      <c r="AB21" t="s">
        <v>232</v>
      </c>
      <c r="AC21" s="75">
        <v>1.8984809701152901E-2</v>
      </c>
      <c r="AD21" t="s">
        <v>233</v>
      </c>
      <c r="AE21" s="105">
        <v>1.94717080391</v>
      </c>
    </row>
    <row r="22" spans="1:31">
      <c r="A22" s="197">
        <v>42248</v>
      </c>
      <c r="B22">
        <f t="shared" si="0"/>
        <v>9</v>
      </c>
      <c r="C22">
        <f t="shared" si="1"/>
        <v>2015</v>
      </c>
      <c r="D22" s="6">
        <f>'Monthly Data (longer 09-23)'!E82</f>
        <v>22645412.723403674</v>
      </c>
      <c r="E22" s="230">
        <f>'Monthly Data (14-23) Used'!AC22</f>
        <v>23.099999999999998</v>
      </c>
      <c r="F22">
        <f>'Monthly Data (14-23) Used'!AF22</f>
        <v>114.6</v>
      </c>
      <c r="G22" s="7">
        <f t="shared" ca="1" si="8"/>
        <v>39.200656897422931</v>
      </c>
      <c r="H22" s="7">
        <f t="shared" ca="1" si="8"/>
        <v>90.709343102577066</v>
      </c>
      <c r="I22">
        <f>'Monthly Data (14-23) Used'!CB22</f>
        <v>30</v>
      </c>
      <c r="J22">
        <f>'Monthly Data (14-23) Used'!CA22</f>
        <v>0</v>
      </c>
      <c r="K22">
        <f>'Monthly Data (14-23) Used'!BJ22</f>
        <v>21</v>
      </c>
      <c r="L22" s="6">
        <f>'Monthly Data (14-23) Used'!DD22</f>
        <v>0</v>
      </c>
      <c r="M22" s="6">
        <f>'Monthly Data (14-23) Used'!DG22</f>
        <v>0</v>
      </c>
      <c r="N22">
        <f>'Monthly Data (14-23) Used'!DD22</f>
        <v>0</v>
      </c>
      <c r="O22">
        <f>'Monthly Data (14-23) Used'!DG22</f>
        <v>0</v>
      </c>
      <c r="Q22" s="6"/>
      <c r="R22" s="6">
        <f t="shared" ca="1" si="2"/>
        <v>114299.38826054004</v>
      </c>
      <c r="S22" s="6">
        <f t="shared" ca="1" si="3"/>
        <v>-1591486.9306049151</v>
      </c>
      <c r="T22" s="6">
        <f t="shared" si="4"/>
        <v>0</v>
      </c>
      <c r="U22" s="6">
        <f t="shared" si="5"/>
        <v>0</v>
      </c>
      <c r="V22" s="6"/>
      <c r="W22" s="6"/>
      <c r="X22" s="6"/>
      <c r="Y22" s="6">
        <f t="shared" ref="Y22:Y53" ca="1" si="9">SUM(D22,R22:X22)</f>
        <v>21168225.181059297</v>
      </c>
      <c r="Z22" s="6">
        <f ca="1">Y22-'Res Normalized Monthly'!V22</f>
        <v>-799527.93569156155</v>
      </c>
      <c r="AC22" s="195"/>
      <c r="AE22" s="105"/>
    </row>
    <row r="23" spans="1:31">
      <c r="A23" s="197">
        <v>42278</v>
      </c>
      <c r="B23">
        <f t="shared" si="0"/>
        <v>10</v>
      </c>
      <c r="C23">
        <f t="shared" si="1"/>
        <v>2015</v>
      </c>
      <c r="D23" s="6">
        <f>'Monthly Data (longer 09-23)'!E83</f>
        <v>17144608.723403674</v>
      </c>
      <c r="E23" s="230">
        <f>'Monthly Data (14-23) Used'!AC23</f>
        <v>194.50000000000003</v>
      </c>
      <c r="F23">
        <f>'Monthly Data (14-23) Used'!AF23</f>
        <v>7.0999999999999979</v>
      </c>
      <c r="G23" s="7">
        <f t="shared" ca="1" si="8"/>
        <v>194.90420919656393</v>
      </c>
      <c r="H23" s="7">
        <f t="shared" ca="1" si="8"/>
        <v>20.479999999999997</v>
      </c>
      <c r="I23">
        <f>'Monthly Data (14-23) Used'!CB23</f>
        <v>31</v>
      </c>
      <c r="J23">
        <f>'Monthly Data (14-23) Used'!CA23</f>
        <v>1</v>
      </c>
      <c r="K23">
        <f>'Monthly Data (14-23) Used'!BJ23</f>
        <v>22</v>
      </c>
      <c r="L23" s="6">
        <f>'Monthly Data (14-23) Used'!DD23</f>
        <v>0</v>
      </c>
      <c r="M23" s="6">
        <f>'Monthly Data (14-23) Used'!DG23</f>
        <v>0</v>
      </c>
      <c r="N23">
        <f>'Monthly Data (14-23) Used'!DD23</f>
        <v>0</v>
      </c>
      <c r="O23">
        <f>'Monthly Data (14-23) Used'!DG23</f>
        <v>0</v>
      </c>
      <c r="Q23" s="6"/>
      <c r="R23" s="6">
        <f t="shared" ca="1" si="2"/>
        <v>2869.5017967827607</v>
      </c>
      <c r="S23" s="6">
        <f t="shared" ca="1" si="3"/>
        <v>891314.76053263084</v>
      </c>
      <c r="T23" s="6">
        <f t="shared" si="4"/>
        <v>0</v>
      </c>
      <c r="U23" s="6">
        <f t="shared" si="5"/>
        <v>0</v>
      </c>
      <c r="V23" s="6"/>
      <c r="W23" s="6"/>
      <c r="X23" s="6"/>
      <c r="Y23" s="6">
        <f t="shared" ca="1" si="9"/>
        <v>18038792.985733088</v>
      </c>
      <c r="Z23" s="6">
        <f ca="1">Y23-'Res Normalized Monthly'!V23</f>
        <v>590622.80261487514</v>
      </c>
      <c r="AB23" t="s">
        <v>247</v>
      </c>
      <c r="AC23" s="195"/>
      <c r="AE23" s="105"/>
    </row>
    <row r="24" spans="1:31">
      <c r="A24" s="197">
        <v>42309</v>
      </c>
      <c r="B24">
        <f t="shared" si="0"/>
        <v>11</v>
      </c>
      <c r="C24">
        <f t="shared" si="1"/>
        <v>2015</v>
      </c>
      <c r="D24" s="6">
        <f>'Monthly Data (longer 09-23)'!E84</f>
        <v>16846922.723403674</v>
      </c>
      <c r="E24" s="230">
        <f>'Monthly Data (14-23) Used'!AC24</f>
        <v>325.2</v>
      </c>
      <c r="F24">
        <f>'Monthly Data (14-23) Used'!AF24</f>
        <v>0.89999999999999858</v>
      </c>
      <c r="G24" s="7">
        <f t="shared" ca="1" si="8"/>
        <v>404.02065689742301</v>
      </c>
      <c r="H24" s="7">
        <f t="shared" ca="1" si="8"/>
        <v>0.6699999999999996</v>
      </c>
      <c r="I24">
        <f>'Monthly Data (14-23) Used'!CB24</f>
        <v>30</v>
      </c>
      <c r="J24">
        <f>'Monthly Data (14-23) Used'!CA24</f>
        <v>1</v>
      </c>
      <c r="K24">
        <f>'Monthly Data (14-23) Used'!BJ24</f>
        <v>23</v>
      </c>
      <c r="L24" s="6">
        <f>'Monthly Data (14-23) Used'!DD24</f>
        <v>0</v>
      </c>
      <c r="M24" s="6">
        <f>'Monthly Data (14-23) Used'!DG24</f>
        <v>0</v>
      </c>
      <c r="N24">
        <f>'Monthly Data (14-23) Used'!DD24</f>
        <v>0</v>
      </c>
      <c r="O24">
        <f>'Monthly Data (14-23) Used'!DG24</f>
        <v>0</v>
      </c>
      <c r="Q24" s="6"/>
      <c r="R24" s="6">
        <f t="shared" ca="1" si="2"/>
        <v>559551.88183106808</v>
      </c>
      <c r="S24" s="6">
        <f t="shared" ca="1" si="3"/>
        <v>-15321.554179559358</v>
      </c>
      <c r="T24" s="6">
        <f t="shared" si="4"/>
        <v>0</v>
      </c>
      <c r="U24" s="6">
        <f t="shared" si="5"/>
        <v>0</v>
      </c>
      <c r="V24" s="6"/>
      <c r="W24" s="6"/>
      <c r="X24" s="6"/>
      <c r="Y24" s="6">
        <f t="shared" ca="1" si="9"/>
        <v>17391153.051055182</v>
      </c>
      <c r="Z24" s="6">
        <f ca="1">Y24-'Res Normalized Monthly'!V24</f>
        <v>502181.28061625734</v>
      </c>
      <c r="AB24" t="s">
        <v>224</v>
      </c>
      <c r="AC24">
        <v>22403540.575963099</v>
      </c>
      <c r="AD24" t="s">
        <v>225</v>
      </c>
      <c r="AE24">
        <v>5143283.59289834</v>
      </c>
    </row>
    <row r="25" spans="1:31">
      <c r="A25" s="197">
        <v>42339</v>
      </c>
      <c r="B25">
        <f t="shared" si="0"/>
        <v>12</v>
      </c>
      <c r="C25">
        <f t="shared" si="1"/>
        <v>2015</v>
      </c>
      <c r="D25" s="6">
        <f>'Monthly Data (longer 09-23)'!E85</f>
        <v>19493995.723403674</v>
      </c>
      <c r="E25" s="230">
        <f>'Monthly Data (14-23) Used'!AC25</f>
        <v>417.30000000000007</v>
      </c>
      <c r="F25">
        <f>'Monthly Data (14-23) Used'!AF25</f>
        <v>0</v>
      </c>
      <c r="G25" s="7">
        <f t="shared" ca="1" si="8"/>
        <v>533.7700000000001</v>
      </c>
      <c r="H25" s="7">
        <f t="shared" ca="1" si="8"/>
        <v>0</v>
      </c>
      <c r="I25">
        <f>'Monthly Data (14-23) Used'!CB25</f>
        <v>31</v>
      </c>
      <c r="J25">
        <f>'Monthly Data (14-23) Used'!CA25</f>
        <v>0</v>
      </c>
      <c r="K25">
        <f>'Monthly Data (14-23) Used'!BJ25</f>
        <v>24</v>
      </c>
      <c r="L25" s="6">
        <f>'Monthly Data (14-23) Used'!DD25</f>
        <v>0</v>
      </c>
      <c r="M25" s="6">
        <f>'Monthly Data (14-23) Used'!DG25</f>
        <v>0</v>
      </c>
      <c r="N25">
        <f>'Monthly Data (14-23) Used'!DD25</f>
        <v>0</v>
      </c>
      <c r="O25">
        <f>'Monthly Data (14-23) Used'!DG25</f>
        <v>0</v>
      </c>
      <c r="Q25" s="6"/>
      <c r="R25" s="6">
        <f t="shared" ca="1" si="2"/>
        <v>826826.4975471833</v>
      </c>
      <c r="S25" s="6">
        <f t="shared" ca="1" si="3"/>
        <v>0</v>
      </c>
      <c r="T25" s="6">
        <f t="shared" si="4"/>
        <v>0</v>
      </c>
      <c r="U25" s="6">
        <f t="shared" si="5"/>
        <v>0</v>
      </c>
      <c r="V25" s="6"/>
      <c r="W25" s="6"/>
      <c r="X25" s="6"/>
      <c r="Y25" s="6">
        <f t="shared" ca="1" si="9"/>
        <v>20320822.220950857</v>
      </c>
      <c r="Z25" s="6">
        <f ca="1">Y25-'Res Normalized Monthly'!V25</f>
        <v>74094.834512606263</v>
      </c>
    </row>
    <row r="26" spans="1:31">
      <c r="A26" s="197">
        <v>42370</v>
      </c>
      <c r="B26">
        <f t="shared" si="0"/>
        <v>1</v>
      </c>
      <c r="C26">
        <f t="shared" si="1"/>
        <v>2016</v>
      </c>
      <c r="D26" s="6">
        <f>'Monthly Data (longer 09-23)'!E86</f>
        <v>20444371.530323215</v>
      </c>
      <c r="E26" s="230">
        <f>'Monthly Data (14-23) Used'!AC26</f>
        <v>644.9</v>
      </c>
      <c r="F26">
        <f>'Monthly Data (14-23) Used'!AF26</f>
        <v>0</v>
      </c>
      <c r="G26" s="7">
        <f t="shared" ca="1" si="8"/>
        <v>671</v>
      </c>
      <c r="H26" s="7">
        <f t="shared" ca="1" si="8"/>
        <v>0</v>
      </c>
      <c r="I26">
        <f>'Monthly Data (14-23) Used'!CB26</f>
        <v>31</v>
      </c>
      <c r="J26">
        <f>'Monthly Data (14-23) Used'!CA26</f>
        <v>0</v>
      </c>
      <c r="K26">
        <f>'Monthly Data (14-23) Used'!BJ26</f>
        <v>25</v>
      </c>
      <c r="L26" s="6">
        <f>'Monthly Data (14-23) Used'!DD26</f>
        <v>0</v>
      </c>
      <c r="M26" s="6">
        <f>'Monthly Data (14-23) Used'!DG26</f>
        <v>0</v>
      </c>
      <c r="N26">
        <f>'Monthly Data (14-23) Used'!DD26</f>
        <v>0</v>
      </c>
      <c r="O26">
        <f>'Monthly Data (14-23) Used'!DG26</f>
        <v>0</v>
      </c>
      <c r="Q26" s="6"/>
      <c r="R26" s="6">
        <f t="shared" ca="1" si="2"/>
        <v>185285.23727982739</v>
      </c>
      <c r="S26" s="6">
        <f t="shared" ca="1" si="3"/>
        <v>0</v>
      </c>
      <c r="T26" s="6">
        <f t="shared" si="4"/>
        <v>0</v>
      </c>
      <c r="U26" s="6">
        <f t="shared" si="5"/>
        <v>0</v>
      </c>
      <c r="V26" s="6"/>
      <c r="W26" s="6"/>
      <c r="X26" s="6"/>
      <c r="Y26" s="6">
        <f t="shared" ca="1" si="9"/>
        <v>20629656.767603043</v>
      </c>
      <c r="Z26" s="6">
        <f ca="1">Y26-'Res Normalized Monthly'!V26</f>
        <v>-612916.03868975863</v>
      </c>
    </row>
    <row r="27" spans="1:31">
      <c r="A27" s="197">
        <v>42401</v>
      </c>
      <c r="B27">
        <f t="shared" si="0"/>
        <v>2</v>
      </c>
      <c r="C27">
        <f t="shared" si="1"/>
        <v>2016</v>
      </c>
      <c r="D27" s="6">
        <f>'Monthly Data (longer 09-23)'!E87</f>
        <v>18189613.530323215</v>
      </c>
      <c r="E27" s="230">
        <f>'Monthly Data (14-23) Used'!AC27</f>
        <v>550.19999999999993</v>
      </c>
      <c r="F27">
        <f>'Monthly Data (14-23) Used'!AF27</f>
        <v>0</v>
      </c>
      <c r="G27" s="7">
        <f t="shared" ca="1" si="8"/>
        <v>595.51355229914111</v>
      </c>
      <c r="H27" s="7">
        <f t="shared" ca="1" si="8"/>
        <v>0</v>
      </c>
      <c r="I27">
        <f>'Monthly Data (14-23) Used'!CB27</f>
        <v>29</v>
      </c>
      <c r="J27">
        <f>'Monthly Data (14-23) Used'!CA27</f>
        <v>0</v>
      </c>
      <c r="K27">
        <f>'Monthly Data (14-23) Used'!BJ27</f>
        <v>26</v>
      </c>
      <c r="L27" s="6">
        <f>'Monthly Data (14-23) Used'!DD27</f>
        <v>0</v>
      </c>
      <c r="M27" s="6">
        <f>'Monthly Data (14-23) Used'!DG27</f>
        <v>0</v>
      </c>
      <c r="N27">
        <f>'Monthly Data (14-23) Used'!DD27</f>
        <v>0</v>
      </c>
      <c r="O27">
        <f>'Monthly Data (14-23) Used'!DG27</f>
        <v>0</v>
      </c>
      <c r="Q27" s="6"/>
      <c r="R27" s="6">
        <f t="shared" ca="1" si="2"/>
        <v>321683.22949188639</v>
      </c>
      <c r="S27" s="6">
        <f t="shared" ca="1" si="3"/>
        <v>0</v>
      </c>
      <c r="T27" s="6">
        <f t="shared" si="4"/>
        <v>0</v>
      </c>
      <c r="U27" s="6">
        <f t="shared" si="5"/>
        <v>0</v>
      </c>
      <c r="V27" s="6"/>
      <c r="W27" s="6"/>
      <c r="X27" s="6"/>
      <c r="Y27" s="6">
        <f t="shared" ca="1" si="9"/>
        <v>18511296.759815101</v>
      </c>
      <c r="Z27" s="6">
        <f ca="1">Y27-'Res Normalized Monthly'!V27</f>
        <v>-725601.93527661636</v>
      </c>
    </row>
    <row r="28" spans="1:31">
      <c r="A28" s="197">
        <v>42430</v>
      </c>
      <c r="B28">
        <f t="shared" si="0"/>
        <v>3</v>
      </c>
      <c r="C28">
        <f t="shared" si="1"/>
        <v>2016</v>
      </c>
      <c r="D28" s="6">
        <f>'Monthly Data (longer 09-23)'!E88</f>
        <v>17798736.530323215</v>
      </c>
      <c r="E28" s="230">
        <f>'Monthly Data (14-23) Used'!AC28</f>
        <v>404.4</v>
      </c>
      <c r="F28">
        <f>'Monthly Data (14-23) Used'!AF28</f>
        <v>0</v>
      </c>
      <c r="G28" s="7">
        <f t="shared" ca="1" si="8"/>
        <v>496.46355229914104</v>
      </c>
      <c r="H28" s="7">
        <f t="shared" ca="1" si="8"/>
        <v>0</v>
      </c>
      <c r="I28">
        <f>'Monthly Data (14-23) Used'!CB28</f>
        <v>31</v>
      </c>
      <c r="J28">
        <f>'Monthly Data (14-23) Used'!CA28</f>
        <v>1</v>
      </c>
      <c r="K28">
        <f>'Monthly Data (14-23) Used'!BJ28</f>
        <v>27</v>
      </c>
      <c r="L28" s="6">
        <f>'Monthly Data (14-23) Used'!DD28</f>
        <v>0</v>
      </c>
      <c r="M28" s="6">
        <f>'Monthly Data (14-23) Used'!DG28</f>
        <v>0</v>
      </c>
      <c r="N28">
        <f>'Monthly Data (14-23) Used'!DD28</f>
        <v>0</v>
      </c>
      <c r="O28">
        <f>'Monthly Data (14-23) Used'!DG28</f>
        <v>0</v>
      </c>
      <c r="Q28" s="6"/>
      <c r="R28" s="6">
        <f t="shared" ca="1" si="2"/>
        <v>653563.87481111637</v>
      </c>
      <c r="S28" s="6">
        <f t="shared" ca="1" si="3"/>
        <v>0</v>
      </c>
      <c r="T28" s="6">
        <f t="shared" si="4"/>
        <v>0</v>
      </c>
      <c r="U28" s="6">
        <f t="shared" si="5"/>
        <v>0</v>
      </c>
      <c r="V28" s="6"/>
      <c r="W28" s="6"/>
      <c r="X28" s="6"/>
      <c r="Y28" s="6">
        <f t="shared" ca="1" si="9"/>
        <v>18452300.405134331</v>
      </c>
      <c r="Z28" s="6">
        <f ca="1">Y28-'Res Normalized Monthly'!V28</f>
        <v>119416.37775344029</v>
      </c>
    </row>
    <row r="29" spans="1:31">
      <c r="A29" s="197">
        <v>42461</v>
      </c>
      <c r="B29">
        <f t="shared" si="0"/>
        <v>4</v>
      </c>
      <c r="C29">
        <f t="shared" si="1"/>
        <v>2016</v>
      </c>
      <c r="D29" s="6">
        <f>'Monthly Data (longer 09-23)'!E89</f>
        <v>16235715.530323217</v>
      </c>
      <c r="E29" s="230">
        <f>'Monthly Data (14-23) Used'!AC29</f>
        <v>332.09999999999997</v>
      </c>
      <c r="F29">
        <f>'Monthly Data (14-23) Used'!AF29</f>
        <v>0</v>
      </c>
      <c r="G29" s="7">
        <f t="shared" ca="1" si="8"/>
        <v>296.23000000000008</v>
      </c>
      <c r="H29" s="7">
        <f t="shared" ca="1" si="8"/>
        <v>3.0799999999999996</v>
      </c>
      <c r="I29">
        <f>'Monthly Data (14-23) Used'!CB29</f>
        <v>30</v>
      </c>
      <c r="J29">
        <f>'Monthly Data (14-23) Used'!CA29</f>
        <v>1</v>
      </c>
      <c r="K29">
        <f>'Monthly Data (14-23) Used'!BJ29</f>
        <v>28</v>
      </c>
      <c r="L29" s="6">
        <f>'Monthly Data (14-23) Used'!DD29</f>
        <v>0</v>
      </c>
      <c r="M29" s="6">
        <f>'Monthly Data (14-23) Used'!DG29</f>
        <v>0</v>
      </c>
      <c r="N29">
        <f>'Monthly Data (14-23) Used'!DD29</f>
        <v>0</v>
      </c>
      <c r="O29">
        <f>'Monthly Data (14-23) Used'!DG29</f>
        <v>0</v>
      </c>
      <c r="Q29" s="6"/>
      <c r="R29" s="6">
        <f t="shared" ca="1" si="2"/>
        <v>-254642.9678631181</v>
      </c>
      <c r="S29" s="6">
        <f t="shared" ca="1" si="3"/>
        <v>205175.59510018706</v>
      </c>
      <c r="T29" s="6">
        <f t="shared" si="4"/>
        <v>0</v>
      </c>
      <c r="U29" s="6">
        <f t="shared" si="5"/>
        <v>0</v>
      </c>
      <c r="V29" s="6"/>
      <c r="W29" s="6"/>
      <c r="X29" s="6"/>
      <c r="Y29" s="6">
        <f t="shared" ca="1" si="9"/>
        <v>16186248.157560285</v>
      </c>
      <c r="Z29" s="6">
        <f ca="1">Y29-'Res Normalized Monthly'!V29</f>
        <v>-206268.55149840936</v>
      </c>
    </row>
    <row r="30" spans="1:31">
      <c r="A30" s="197">
        <v>42491</v>
      </c>
      <c r="B30">
        <f t="shared" si="0"/>
        <v>5</v>
      </c>
      <c r="C30">
        <f t="shared" si="1"/>
        <v>2016</v>
      </c>
      <c r="D30" s="6">
        <f>'Monthly Data (longer 09-23)'!E90</f>
        <v>18754139.530323215</v>
      </c>
      <c r="E30" s="230">
        <f>'Monthly Data (14-23) Used'!AC30</f>
        <v>126.6</v>
      </c>
      <c r="F30">
        <f>'Monthly Data (14-23) Used'!AF30</f>
        <v>55.2</v>
      </c>
      <c r="G30" s="7">
        <f t="shared" ca="1" si="8"/>
        <v>116.90355229914098</v>
      </c>
      <c r="H30" s="7">
        <f t="shared" ca="1" si="8"/>
        <v>53.286447700859014</v>
      </c>
      <c r="I30">
        <f>'Monthly Data (14-23) Used'!CB30</f>
        <v>31</v>
      </c>
      <c r="J30">
        <f>'Monthly Data (14-23) Used'!CA30</f>
        <v>1</v>
      </c>
      <c r="K30">
        <f>'Monthly Data (14-23) Used'!BJ30</f>
        <v>29</v>
      </c>
      <c r="L30" s="6">
        <f>'Monthly Data (14-23) Used'!DD30</f>
        <v>0</v>
      </c>
      <c r="M30" s="6">
        <f>'Monthly Data (14-23) Used'!DG30</f>
        <v>0</v>
      </c>
      <c r="N30">
        <f>'Monthly Data (14-23) Used'!DD30</f>
        <v>0</v>
      </c>
      <c r="O30">
        <f>'Monthly Data (14-23) Used'!DG30</f>
        <v>0</v>
      </c>
      <c r="Q30" s="6"/>
      <c r="R30" s="6">
        <f t="shared" ca="1" si="2"/>
        <v>-68835.579043107165</v>
      </c>
      <c r="S30" s="6">
        <f t="shared" ca="1" si="3"/>
        <v>-127472.15315960505</v>
      </c>
      <c r="T30" s="6">
        <f t="shared" si="4"/>
        <v>0</v>
      </c>
      <c r="U30" s="6">
        <f t="shared" si="5"/>
        <v>0</v>
      </c>
      <c r="V30" s="6"/>
      <c r="W30" s="6"/>
      <c r="X30" s="6"/>
      <c r="Y30" s="6">
        <f t="shared" ca="1" si="9"/>
        <v>18557831.798120502</v>
      </c>
      <c r="Z30" s="6">
        <f ca="1">Y30-'Res Normalized Monthly'!V30</f>
        <v>-673522.42902857438</v>
      </c>
    </row>
    <row r="31" spans="1:31">
      <c r="A31" s="197">
        <v>42522</v>
      </c>
      <c r="B31">
        <f t="shared" si="0"/>
        <v>6</v>
      </c>
      <c r="C31">
        <f t="shared" si="1"/>
        <v>2016</v>
      </c>
      <c r="D31" s="6">
        <f>'Monthly Data (longer 09-23)'!E91</f>
        <v>25384555.530323215</v>
      </c>
      <c r="E31" s="230">
        <f>'Monthly Data (14-23) Used'!AC31</f>
        <v>6.7999999999999989</v>
      </c>
      <c r="F31">
        <f>'Monthly Data (14-23) Used'!AF31</f>
        <v>155.4</v>
      </c>
      <c r="G31" s="7">
        <f t="shared" ca="1" si="8"/>
        <v>11.023552299140979</v>
      </c>
      <c r="H31" s="7">
        <f t="shared" ca="1" si="8"/>
        <v>145.07</v>
      </c>
      <c r="I31">
        <f>'Monthly Data (14-23) Used'!CB31</f>
        <v>30</v>
      </c>
      <c r="J31">
        <f>'Monthly Data (14-23) Used'!CA31</f>
        <v>0</v>
      </c>
      <c r="K31">
        <f>'Monthly Data (14-23) Used'!BJ31</f>
        <v>30</v>
      </c>
      <c r="L31" s="6">
        <f>'Monthly Data (14-23) Used'!DD31</f>
        <v>0</v>
      </c>
      <c r="M31" s="6">
        <f>'Monthly Data (14-23) Used'!DG31</f>
        <v>0</v>
      </c>
      <c r="N31">
        <f>'Monthly Data (14-23) Used'!DD31</f>
        <v>0</v>
      </c>
      <c r="O31">
        <f>'Monthly Data (14-23) Used'!DG31</f>
        <v>0</v>
      </c>
      <c r="Q31" s="6"/>
      <c r="R31" s="6">
        <f t="shared" ca="1" si="2"/>
        <v>29983.214172800628</v>
      </c>
      <c r="S31" s="6">
        <f t="shared" ca="1" si="3"/>
        <v>-688137.62902108289</v>
      </c>
      <c r="T31" s="6">
        <f t="shared" si="4"/>
        <v>0</v>
      </c>
      <c r="U31" s="6">
        <f t="shared" si="5"/>
        <v>0</v>
      </c>
      <c r="V31" s="6"/>
      <c r="W31" s="6"/>
      <c r="X31" s="6"/>
      <c r="Y31" s="6">
        <f t="shared" ca="1" si="9"/>
        <v>24726401.115474932</v>
      </c>
      <c r="Z31" s="6">
        <f ca="1">Y31-'Res Normalized Monthly'!V31</f>
        <v>-857364.64184781536</v>
      </c>
    </row>
    <row r="32" spans="1:31">
      <c r="A32" s="197">
        <v>42552</v>
      </c>
      <c r="B32">
        <f t="shared" si="0"/>
        <v>7</v>
      </c>
      <c r="C32">
        <f t="shared" si="1"/>
        <v>2016</v>
      </c>
      <c r="D32" s="6">
        <f>'Monthly Data (longer 09-23)'!E92</f>
        <v>32718193.530323215</v>
      </c>
      <c r="E32" s="230">
        <f>'Monthly Data (14-23) Used'!AC32</f>
        <v>0</v>
      </c>
      <c r="F32">
        <f>'Monthly Data (14-23) Used'!AF32</f>
        <v>240.29999999999998</v>
      </c>
      <c r="G32" s="7">
        <f t="shared" ca="1" si="8"/>
        <v>0.75</v>
      </c>
      <c r="H32" s="7">
        <f t="shared" ca="1" si="8"/>
        <v>211.23289540171805</v>
      </c>
      <c r="I32">
        <f>'Monthly Data (14-23) Used'!CB32</f>
        <v>31</v>
      </c>
      <c r="J32">
        <f>'Monthly Data (14-23) Used'!CA32</f>
        <v>0</v>
      </c>
      <c r="K32">
        <f>'Monthly Data (14-23) Used'!BJ32</f>
        <v>31</v>
      </c>
      <c r="L32" s="6">
        <f>'Monthly Data (14-23) Used'!DD32</f>
        <v>0</v>
      </c>
      <c r="M32" s="6">
        <f>'Monthly Data (14-23) Used'!DG32</f>
        <v>0</v>
      </c>
      <c r="N32">
        <f>'Monthly Data (14-23) Used'!DD32</f>
        <v>0</v>
      </c>
      <c r="O32">
        <f>'Monthly Data (14-23) Used'!DG32</f>
        <v>0</v>
      </c>
      <c r="Q32" s="6"/>
      <c r="R32" s="6">
        <f t="shared" ca="1" si="2"/>
        <v>5324.2884275812421</v>
      </c>
      <c r="S32" s="6">
        <f t="shared" ca="1" si="3"/>
        <v>-1936318.3388934673</v>
      </c>
      <c r="T32" s="6">
        <f t="shared" si="4"/>
        <v>0</v>
      </c>
      <c r="U32" s="6">
        <f t="shared" si="5"/>
        <v>0</v>
      </c>
      <c r="V32" s="6"/>
      <c r="W32" s="6"/>
      <c r="X32" s="6"/>
      <c r="Y32" s="6">
        <f t="shared" ca="1" si="9"/>
        <v>30787199.479857329</v>
      </c>
      <c r="Z32" s="6">
        <f ca="1">Y32-'Res Normalized Monthly'!V32</f>
        <v>101535.04712303355</v>
      </c>
    </row>
    <row r="33" spans="1:26">
      <c r="A33" s="197">
        <v>42583</v>
      </c>
      <c r="B33">
        <f t="shared" si="0"/>
        <v>8</v>
      </c>
      <c r="C33">
        <f t="shared" si="1"/>
        <v>2016</v>
      </c>
      <c r="D33" s="6">
        <f>'Monthly Data (longer 09-23)'!E93</f>
        <v>32669359.530323215</v>
      </c>
      <c r="E33" s="230">
        <f>'Monthly Data (14-23) Used'!AC33</f>
        <v>0</v>
      </c>
      <c r="F33">
        <f>'Monthly Data (14-23) Used'!AF33</f>
        <v>236.90000000000003</v>
      </c>
      <c r="G33" s="7">
        <f t="shared" ca="1" si="8"/>
        <v>2.7971045982819609</v>
      </c>
      <c r="H33" s="7">
        <f t="shared" ca="1" si="8"/>
        <v>183.87605861546231</v>
      </c>
      <c r="I33">
        <f>'Monthly Data (14-23) Used'!CB33</f>
        <v>31</v>
      </c>
      <c r="J33">
        <f>'Monthly Data (14-23) Used'!CA33</f>
        <v>0</v>
      </c>
      <c r="K33">
        <f>'Monthly Data (14-23) Used'!BJ33</f>
        <v>32</v>
      </c>
      <c r="L33" s="6">
        <f>'Monthly Data (14-23) Used'!DD33</f>
        <v>0</v>
      </c>
      <c r="M33" s="6">
        <f>'Monthly Data (14-23) Used'!DG33</f>
        <v>0</v>
      </c>
      <c r="N33">
        <f>'Monthly Data (14-23) Used'!DD33</f>
        <v>0</v>
      </c>
      <c r="O33">
        <f>'Monthly Data (14-23) Used'!DG33</f>
        <v>0</v>
      </c>
      <c r="Q33" s="6"/>
      <c r="R33" s="6">
        <f t="shared" ca="1" si="2"/>
        <v>19856.788857822565</v>
      </c>
      <c r="S33" s="6">
        <f t="shared" ca="1" si="3"/>
        <v>-3532213.8727694689</v>
      </c>
      <c r="T33" s="6">
        <f t="shared" si="4"/>
        <v>0</v>
      </c>
      <c r="U33" s="6">
        <f t="shared" si="5"/>
        <v>0</v>
      </c>
      <c r="V33" s="6"/>
      <c r="W33" s="6"/>
      <c r="X33" s="6"/>
      <c r="Y33" s="6">
        <f t="shared" ca="1" si="9"/>
        <v>29157002.446411569</v>
      </c>
      <c r="Z33" s="6">
        <f ca="1">Y33-'Res Normalized Monthly'!V33</f>
        <v>257550.96853676811</v>
      </c>
    </row>
    <row r="34" spans="1:26">
      <c r="A34" s="197">
        <v>42614</v>
      </c>
      <c r="B34">
        <f t="shared" ref="B34:B53" si="10">MONTH(A34)</f>
        <v>9</v>
      </c>
      <c r="C34">
        <f t="shared" ref="C34:C53" si="11">YEAR(A34)</f>
        <v>2016</v>
      </c>
      <c r="D34" s="6">
        <f>'Monthly Data (longer 09-23)'!E94</f>
        <v>23856752.530323215</v>
      </c>
      <c r="E34" s="230">
        <f>'Monthly Data (14-23) Used'!AC34</f>
        <v>19.399999999999995</v>
      </c>
      <c r="F34">
        <f>'Monthly Data (14-23) Used'!AF34</f>
        <v>104.9</v>
      </c>
      <c r="G34" s="7">
        <f t="shared" ca="1" si="8"/>
        <v>39.200656897422931</v>
      </c>
      <c r="H34" s="7">
        <f t="shared" ca="1" si="8"/>
        <v>90.709343102577066</v>
      </c>
      <c r="I34">
        <f>'Monthly Data (14-23) Used'!CB34</f>
        <v>30</v>
      </c>
      <c r="J34">
        <f>'Monthly Data (14-23) Used'!CA34</f>
        <v>0</v>
      </c>
      <c r="K34">
        <f>'Monthly Data (14-23) Used'!BJ34</f>
        <v>33</v>
      </c>
      <c r="L34" s="6">
        <f>'Monthly Data (14-23) Used'!DD34</f>
        <v>0</v>
      </c>
      <c r="M34" s="6">
        <f>'Monthly Data (14-23) Used'!DG34</f>
        <v>0</v>
      </c>
      <c r="N34">
        <f>'Monthly Data (14-23) Used'!DD34</f>
        <v>0</v>
      </c>
      <c r="O34">
        <f>'Monthly Data (14-23) Used'!DG34</f>
        <v>0</v>
      </c>
      <c r="Q34" s="6"/>
      <c r="R34" s="6">
        <f t="shared" ref="R34:R54" ca="1" si="12">(G34-E34)*$AC$9</f>
        <v>140565.87783660751</v>
      </c>
      <c r="S34" s="6">
        <f t="shared" ref="S34:S54" ca="1" si="13">(H34-F34)*$AC$10</f>
        <v>-945317.0369452358</v>
      </c>
      <c r="T34" s="6">
        <f t="shared" ref="T34:T54" si="14">(N34-L34)*$AC$11</f>
        <v>0</v>
      </c>
      <c r="U34" s="6">
        <f t="shared" ref="U34:U54" si="15">(O34-M34)*$AC$12</f>
        <v>0</v>
      </c>
      <c r="V34" s="6"/>
      <c r="W34" s="6"/>
      <c r="X34" s="6"/>
      <c r="Y34" s="6">
        <f t="shared" ca="1" si="9"/>
        <v>23052001.371214587</v>
      </c>
      <c r="Z34" s="6">
        <f ca="1">Y34-'Res Normalized Monthly'!V34</f>
        <v>824536.83088066429</v>
      </c>
    </row>
    <row r="35" spans="1:26">
      <c r="A35" s="197">
        <v>42644</v>
      </c>
      <c r="B35">
        <f t="shared" si="10"/>
        <v>10</v>
      </c>
      <c r="C35">
        <f t="shared" si="11"/>
        <v>2016</v>
      </c>
      <c r="D35" s="6">
        <f>'Monthly Data (longer 09-23)'!E95</f>
        <v>18119212.530323215</v>
      </c>
      <c r="E35" s="230">
        <f>'Monthly Data (14-23) Used'!AC35</f>
        <v>173.20000000000002</v>
      </c>
      <c r="F35">
        <f>'Monthly Data (14-23) Used'!AF35</f>
        <v>29.9</v>
      </c>
      <c r="G35" s="7">
        <f t="shared" ref="G35:H50" ca="1" si="16">G23</f>
        <v>194.90420919656393</v>
      </c>
      <c r="H35" s="7">
        <f t="shared" ca="1" si="16"/>
        <v>20.479999999999997</v>
      </c>
      <c r="I35">
        <f>'Monthly Data (14-23) Used'!CB35</f>
        <v>31</v>
      </c>
      <c r="J35">
        <f>'Monthly Data (14-23) Used'!CA35</f>
        <v>1</v>
      </c>
      <c r="K35">
        <f>'Monthly Data (14-23) Used'!BJ35</f>
        <v>34</v>
      </c>
      <c r="L35" s="6">
        <f>'Monthly Data (14-23) Used'!DD35</f>
        <v>0</v>
      </c>
      <c r="M35" s="6">
        <f>'Monthly Data (14-23) Used'!DG35</f>
        <v>0</v>
      </c>
      <c r="N35">
        <f>'Monthly Data (14-23) Used'!DD35</f>
        <v>0</v>
      </c>
      <c r="O35">
        <f>'Monthly Data (14-23) Used'!DG35</f>
        <v>0</v>
      </c>
      <c r="Q35" s="6"/>
      <c r="R35" s="6">
        <f t="shared" ca="1" si="12"/>
        <v>154079.29314009013</v>
      </c>
      <c r="S35" s="6">
        <f t="shared" ca="1" si="13"/>
        <v>-627517.5668323905</v>
      </c>
      <c r="T35" s="6">
        <f t="shared" si="14"/>
        <v>0</v>
      </c>
      <c r="U35" s="6">
        <f t="shared" si="15"/>
        <v>0</v>
      </c>
      <c r="V35" s="6"/>
      <c r="W35" s="6"/>
      <c r="X35" s="6"/>
      <c r="Y35" s="6">
        <f t="shared" ca="1" si="9"/>
        <v>17645774.256630916</v>
      </c>
      <c r="Z35" s="6">
        <f ca="1">Y35-'Res Normalized Monthly'!V35</f>
        <v>-62107.350070361048</v>
      </c>
    </row>
    <row r="36" spans="1:26">
      <c r="A36" s="197">
        <v>42675</v>
      </c>
      <c r="B36">
        <f t="shared" si="10"/>
        <v>11</v>
      </c>
      <c r="C36">
        <f t="shared" si="11"/>
        <v>2016</v>
      </c>
      <c r="D36" s="6">
        <f>'Monthly Data (longer 09-23)'!E96</f>
        <v>17041780.530323215</v>
      </c>
      <c r="E36" s="230">
        <f>'Monthly Data (14-23) Used'!AC36</f>
        <v>315.30000000000007</v>
      </c>
      <c r="F36">
        <f>'Monthly Data (14-23) Used'!AF36</f>
        <v>0.10000000000000142</v>
      </c>
      <c r="G36" s="7">
        <f t="shared" ca="1" si="16"/>
        <v>404.02065689742301</v>
      </c>
      <c r="H36" s="7">
        <f t="shared" ca="1" si="16"/>
        <v>0.6699999999999996</v>
      </c>
      <c r="I36">
        <f>'Monthly Data (14-23) Used'!CB36</f>
        <v>30</v>
      </c>
      <c r="J36">
        <f>'Monthly Data (14-23) Used'!CA36</f>
        <v>1</v>
      </c>
      <c r="K36">
        <f>'Monthly Data (14-23) Used'!BJ36</f>
        <v>35</v>
      </c>
      <c r="L36" s="6">
        <f>'Monthly Data (14-23) Used'!DD36</f>
        <v>0</v>
      </c>
      <c r="M36" s="6">
        <f>'Monthly Data (14-23) Used'!DG36</f>
        <v>0</v>
      </c>
      <c r="N36">
        <f>'Monthly Data (14-23) Used'!DD36</f>
        <v>0</v>
      </c>
      <c r="O36">
        <f>'Monthly Data (14-23) Used'!DG36</f>
        <v>0</v>
      </c>
      <c r="Q36" s="6"/>
      <c r="R36" s="6">
        <f t="shared" ca="1" si="12"/>
        <v>629832.48907513986</v>
      </c>
      <c r="S36" s="6">
        <f t="shared" ca="1" si="13"/>
        <v>37970.80818412541</v>
      </c>
      <c r="T36" s="6">
        <f t="shared" si="14"/>
        <v>0</v>
      </c>
      <c r="U36" s="6">
        <f t="shared" si="15"/>
        <v>0</v>
      </c>
      <c r="V36" s="6"/>
      <c r="W36" s="6"/>
      <c r="X36" s="6"/>
      <c r="Y36" s="6">
        <f t="shared" ca="1" si="9"/>
        <v>17709583.827582479</v>
      </c>
      <c r="Z36" s="6">
        <f ca="1">Y36-'Res Normalized Monthly'!V36</f>
        <v>560900.63356048986</v>
      </c>
    </row>
    <row r="37" spans="1:26">
      <c r="A37" s="197">
        <v>42705</v>
      </c>
      <c r="B37">
        <f t="shared" si="10"/>
        <v>12</v>
      </c>
      <c r="C37">
        <f t="shared" si="11"/>
        <v>2016</v>
      </c>
      <c r="D37" s="6">
        <f>'Monthly Data (longer 09-23)'!E97</f>
        <v>20517598.530323215</v>
      </c>
      <c r="E37" s="230">
        <f>'Monthly Data (14-23) Used'!AC37</f>
        <v>623.19999999999993</v>
      </c>
      <c r="F37">
        <f>'Monthly Data (14-23) Used'!AF37</f>
        <v>0</v>
      </c>
      <c r="G37" s="7">
        <f t="shared" ca="1" si="16"/>
        <v>533.7700000000001</v>
      </c>
      <c r="H37" s="7">
        <f t="shared" ca="1" si="16"/>
        <v>0</v>
      </c>
      <c r="I37">
        <f>'Monthly Data (14-23) Used'!CB37</f>
        <v>31</v>
      </c>
      <c r="J37">
        <f>'Monthly Data (14-23) Used'!CA37</f>
        <v>0</v>
      </c>
      <c r="K37">
        <f>'Monthly Data (14-23) Used'!BJ37</f>
        <v>36</v>
      </c>
      <c r="L37" s="6">
        <f>'Monthly Data (14-23) Used'!DD37</f>
        <v>0</v>
      </c>
      <c r="M37" s="6">
        <f>'Monthly Data (14-23) Used'!DG37</f>
        <v>0</v>
      </c>
      <c r="N37">
        <f>'Monthly Data (14-23) Used'!DD37</f>
        <v>0</v>
      </c>
      <c r="O37">
        <f>'Monthly Data (14-23) Used'!DG37</f>
        <v>0</v>
      </c>
      <c r="Q37" s="6"/>
      <c r="R37" s="6">
        <f t="shared" ca="1" si="12"/>
        <v>-634868.15210478613</v>
      </c>
      <c r="S37" s="6">
        <f t="shared" ca="1" si="13"/>
        <v>0</v>
      </c>
      <c r="T37" s="6">
        <f t="shared" si="14"/>
        <v>0</v>
      </c>
      <c r="U37" s="6">
        <f t="shared" si="15"/>
        <v>0</v>
      </c>
      <c r="V37" s="6"/>
      <c r="W37" s="6"/>
      <c r="X37" s="6"/>
      <c r="Y37" s="6">
        <f t="shared" ca="1" si="9"/>
        <v>19882730.378218427</v>
      </c>
      <c r="Z37" s="6">
        <f ca="1">Y37-'Res Normalized Monthly'!V37</f>
        <v>-623708.43180288747</v>
      </c>
    </row>
    <row r="38" spans="1:26">
      <c r="A38" s="197">
        <v>42736</v>
      </c>
      <c r="B38">
        <f t="shared" si="10"/>
        <v>1</v>
      </c>
      <c r="C38">
        <f t="shared" si="11"/>
        <v>2017</v>
      </c>
      <c r="D38" s="6">
        <f>'Monthly Data (longer 09-23)'!E98</f>
        <v>20681776.379516236</v>
      </c>
      <c r="E38" s="230">
        <f>'Monthly Data (14-23) Used'!AC38</f>
        <v>584.19999999999993</v>
      </c>
      <c r="F38">
        <f>'Monthly Data (14-23) Used'!AF38</f>
        <v>0</v>
      </c>
      <c r="G38" s="7">
        <f t="shared" ca="1" si="16"/>
        <v>671</v>
      </c>
      <c r="H38" s="7">
        <f t="shared" ca="1" si="16"/>
        <v>0</v>
      </c>
      <c r="I38">
        <f>'Monthly Data (14-23) Used'!CB38</f>
        <v>31</v>
      </c>
      <c r="J38">
        <f>'Monthly Data (14-23) Used'!CA38</f>
        <v>0</v>
      </c>
      <c r="K38">
        <f>'Monthly Data (14-23) Used'!BJ38</f>
        <v>37</v>
      </c>
      <c r="L38" s="6">
        <f>'Monthly Data (14-23) Used'!DD38</f>
        <v>0</v>
      </c>
      <c r="M38" s="6">
        <f>'Monthly Data (14-23) Used'!DG38</f>
        <v>0</v>
      </c>
      <c r="N38">
        <f>'Monthly Data (14-23) Used'!DD38</f>
        <v>0</v>
      </c>
      <c r="O38">
        <f>'Monthly Data (14-23) Used'!DG38</f>
        <v>0</v>
      </c>
      <c r="Q38" s="6"/>
      <c r="R38" s="6">
        <f t="shared" ca="1" si="12"/>
        <v>616197.64735206962</v>
      </c>
      <c r="S38" s="6">
        <f t="shared" ca="1" si="13"/>
        <v>0</v>
      </c>
      <c r="T38" s="6">
        <f t="shared" si="14"/>
        <v>0</v>
      </c>
      <c r="U38" s="6">
        <f t="shared" si="15"/>
        <v>0</v>
      </c>
      <c r="V38" s="6"/>
      <c r="W38" s="6"/>
      <c r="X38" s="6"/>
      <c r="Y38" s="6">
        <f t="shared" ca="1" si="9"/>
        <v>21297974.026868306</v>
      </c>
      <c r="Z38" s="6">
        <f ca="1">Y38-'Res Normalized Monthly'!V38</f>
        <v>-204310.20300756022</v>
      </c>
    </row>
    <row r="39" spans="1:26">
      <c r="A39" s="197">
        <v>42767</v>
      </c>
      <c r="B39">
        <f t="shared" si="10"/>
        <v>2</v>
      </c>
      <c r="C39">
        <f t="shared" si="11"/>
        <v>2017</v>
      </c>
      <c r="D39" s="6">
        <f>'Monthly Data (longer 09-23)'!E99</f>
        <v>17714932.379516236</v>
      </c>
      <c r="E39" s="230">
        <f>'Monthly Data (14-23) Used'!AC39</f>
        <v>440.69999999999987</v>
      </c>
      <c r="F39">
        <f>'Monthly Data (14-23) Used'!AF39</f>
        <v>0</v>
      </c>
      <c r="G39" s="7">
        <f t="shared" ca="1" si="16"/>
        <v>595.51355229914111</v>
      </c>
      <c r="H39" s="7">
        <f t="shared" ca="1" si="16"/>
        <v>0</v>
      </c>
      <c r="I39">
        <f>'Monthly Data (14-23) Used'!CB39</f>
        <v>28</v>
      </c>
      <c r="J39">
        <f>'Monthly Data (14-23) Used'!CA39</f>
        <v>0</v>
      </c>
      <c r="K39">
        <f>'Monthly Data (14-23) Used'!BJ39</f>
        <v>38</v>
      </c>
      <c r="L39" s="6">
        <f>'Monthly Data (14-23) Used'!DD39</f>
        <v>0</v>
      </c>
      <c r="M39" s="6">
        <f>'Monthly Data (14-23) Used'!DG39</f>
        <v>0</v>
      </c>
      <c r="N39">
        <f>'Monthly Data (14-23) Used'!DD39</f>
        <v>0</v>
      </c>
      <c r="O39">
        <f>'Monthly Data (14-23) Used'!DG39</f>
        <v>0</v>
      </c>
      <c r="Q39" s="6"/>
      <c r="R39" s="6">
        <f t="shared" ca="1" si="12"/>
        <v>1099029.3399187482</v>
      </c>
      <c r="S39" s="6">
        <f t="shared" ca="1" si="13"/>
        <v>0</v>
      </c>
      <c r="T39" s="6">
        <f t="shared" si="14"/>
        <v>0</v>
      </c>
      <c r="U39" s="6">
        <f t="shared" si="15"/>
        <v>0</v>
      </c>
      <c r="V39" s="6"/>
      <c r="W39" s="6"/>
      <c r="X39" s="6"/>
      <c r="Y39" s="6">
        <f t="shared" ca="1" si="9"/>
        <v>18813961.719434984</v>
      </c>
      <c r="Z39" s="6">
        <f ca="1">Y39-'Res Normalized Monthly'!V39</f>
        <v>63068.885721433908</v>
      </c>
    </row>
    <row r="40" spans="1:26">
      <c r="A40" s="197">
        <v>42795</v>
      </c>
      <c r="B40">
        <f t="shared" si="10"/>
        <v>3</v>
      </c>
      <c r="C40">
        <f t="shared" si="11"/>
        <v>2017</v>
      </c>
      <c r="D40" s="6">
        <f>'Monthly Data (longer 09-23)'!E100</f>
        <v>17378968.379516236</v>
      </c>
      <c r="E40" s="230">
        <f>'Monthly Data (14-23) Used'!AC40</f>
        <v>507.30000000000007</v>
      </c>
      <c r="F40">
        <f>'Monthly Data (14-23) Used'!AF40</f>
        <v>0</v>
      </c>
      <c r="G40" s="7">
        <f t="shared" ca="1" si="16"/>
        <v>496.46355229914104</v>
      </c>
      <c r="H40" s="7">
        <f t="shared" ca="1" si="16"/>
        <v>0</v>
      </c>
      <c r="I40">
        <f>'Monthly Data (14-23) Used'!CB40</f>
        <v>31</v>
      </c>
      <c r="J40">
        <f>'Monthly Data (14-23) Used'!CA40</f>
        <v>1</v>
      </c>
      <c r="K40">
        <f>'Monthly Data (14-23) Used'!BJ40</f>
        <v>39</v>
      </c>
      <c r="L40" s="6">
        <f>'Monthly Data (14-23) Used'!DD40</f>
        <v>0</v>
      </c>
      <c r="M40" s="6">
        <f>'Monthly Data (14-23) Used'!DG40</f>
        <v>0</v>
      </c>
      <c r="N40">
        <f>'Monthly Data (14-23) Used'!DD40</f>
        <v>0</v>
      </c>
      <c r="O40">
        <f>'Monthly Data (14-23) Used'!DG40</f>
        <v>0</v>
      </c>
      <c r="Q40" s="6"/>
      <c r="R40" s="6">
        <f t="shared" ca="1" si="12"/>
        <v>-76928.497453030766</v>
      </c>
      <c r="S40" s="6">
        <f t="shared" ca="1" si="13"/>
        <v>0</v>
      </c>
      <c r="T40" s="6">
        <f t="shared" si="14"/>
        <v>0</v>
      </c>
      <c r="U40" s="6">
        <f t="shared" si="15"/>
        <v>0</v>
      </c>
      <c r="V40" s="6"/>
      <c r="W40" s="6"/>
      <c r="X40" s="6"/>
      <c r="Y40" s="6">
        <f t="shared" ca="1" si="9"/>
        <v>17302039.882063206</v>
      </c>
      <c r="Z40" s="6">
        <f ca="1">Y40-'Res Normalized Monthly'!V40</f>
        <v>-1290555.5689007491</v>
      </c>
    </row>
    <row r="41" spans="1:26">
      <c r="A41" s="197">
        <v>42826</v>
      </c>
      <c r="B41">
        <f t="shared" si="10"/>
        <v>4</v>
      </c>
      <c r="C41">
        <f t="shared" si="11"/>
        <v>2017</v>
      </c>
      <c r="D41" s="6">
        <f>'Monthly Data (longer 09-23)'!E101</f>
        <v>16275550.379516236</v>
      </c>
      <c r="E41" s="230">
        <f>'Monthly Data (14-23) Used'!AC41</f>
        <v>200.50000000000003</v>
      </c>
      <c r="F41">
        <f>'Monthly Data (14-23) Used'!AF41</f>
        <v>7.9000000000000021</v>
      </c>
      <c r="G41" s="7">
        <f t="shared" ca="1" si="16"/>
        <v>296.23000000000008</v>
      </c>
      <c r="H41" s="7">
        <f t="shared" ca="1" si="16"/>
        <v>3.0799999999999996</v>
      </c>
      <c r="I41">
        <f>'Monthly Data (14-23) Used'!CB41</f>
        <v>30</v>
      </c>
      <c r="J41">
        <f>'Monthly Data (14-23) Used'!CA41</f>
        <v>1</v>
      </c>
      <c r="K41">
        <f>'Monthly Data (14-23) Used'!BJ41</f>
        <v>40</v>
      </c>
      <c r="L41" s="6">
        <f>'Monthly Data (14-23) Used'!DD41</f>
        <v>0</v>
      </c>
      <c r="M41" s="6">
        <f>'Monthly Data (14-23) Used'!DG41</f>
        <v>0</v>
      </c>
      <c r="N41">
        <f>'Monthly Data (14-23) Used'!DD41</f>
        <v>0</v>
      </c>
      <c r="O41">
        <f>'Monthly Data (14-23) Used'!DG41</f>
        <v>0</v>
      </c>
      <c r="Q41" s="6"/>
      <c r="R41" s="6">
        <f t="shared" ca="1" si="12"/>
        <v>679592.17489647015</v>
      </c>
      <c r="S41" s="6">
        <f t="shared" ca="1" si="13"/>
        <v>-321086.48324120202</v>
      </c>
      <c r="T41" s="6">
        <f t="shared" si="14"/>
        <v>0</v>
      </c>
      <c r="U41" s="6">
        <f t="shared" si="15"/>
        <v>0</v>
      </c>
      <c r="V41" s="6"/>
      <c r="W41" s="6"/>
      <c r="X41" s="6"/>
      <c r="Y41" s="6">
        <f t="shared" ca="1" si="9"/>
        <v>16634056.071171505</v>
      </c>
      <c r="Z41" s="6">
        <f ca="1">Y41-'Res Normalized Monthly'!V41</f>
        <v>-18172.061470253393</v>
      </c>
    </row>
    <row r="42" spans="1:26">
      <c r="A42" s="197">
        <v>42856</v>
      </c>
      <c r="B42">
        <f t="shared" si="10"/>
        <v>5</v>
      </c>
      <c r="C42">
        <f t="shared" si="11"/>
        <v>2017</v>
      </c>
      <c r="D42" s="6">
        <f>'Monthly Data (longer 09-23)'!E102</f>
        <v>16926841.379516236</v>
      </c>
      <c r="E42" s="230">
        <f>'Monthly Data (14-23) Used'!AC42</f>
        <v>135.5</v>
      </c>
      <c r="F42">
        <f>'Monthly Data (14-23) Used'!AF42</f>
        <v>38.100000000000009</v>
      </c>
      <c r="G42" s="7">
        <f t="shared" ca="1" si="16"/>
        <v>116.90355229914098</v>
      </c>
      <c r="H42" s="7">
        <f t="shared" ca="1" si="16"/>
        <v>53.286447700859014</v>
      </c>
      <c r="I42">
        <f>'Monthly Data (14-23) Used'!CB42</f>
        <v>31</v>
      </c>
      <c r="J42">
        <f>'Monthly Data (14-23) Used'!CA42</f>
        <v>1</v>
      </c>
      <c r="K42">
        <f>'Monthly Data (14-23) Used'!BJ42</f>
        <v>41</v>
      </c>
      <c r="L42" s="6">
        <f>'Monthly Data (14-23) Used'!DD42</f>
        <v>0</v>
      </c>
      <c r="M42" s="6">
        <f>'Monthly Data (14-23) Used'!DG42</f>
        <v>0</v>
      </c>
      <c r="N42">
        <f>'Monthly Data (14-23) Used'!DD42</f>
        <v>0</v>
      </c>
      <c r="O42">
        <f>'Monthly Data (14-23) Used'!DG42</f>
        <v>0</v>
      </c>
      <c r="Q42" s="6"/>
      <c r="R42" s="6">
        <f t="shared" ca="1" si="12"/>
        <v>-132017.13505040461</v>
      </c>
      <c r="S42" s="6">
        <f t="shared" ca="1" si="13"/>
        <v>1011652.0923641606</v>
      </c>
      <c r="T42" s="6">
        <f t="shared" si="14"/>
        <v>0</v>
      </c>
      <c r="U42" s="6">
        <f t="shared" si="15"/>
        <v>0</v>
      </c>
      <c r="V42" s="6"/>
      <c r="W42" s="6"/>
      <c r="X42" s="6"/>
      <c r="Y42" s="6">
        <f t="shared" ca="1" si="9"/>
        <v>17806476.336829994</v>
      </c>
      <c r="Z42" s="6">
        <f ca="1">Y42-'Res Normalized Monthly'!V42</f>
        <v>-1684589.3139021471</v>
      </c>
    </row>
    <row r="43" spans="1:26">
      <c r="A43" s="197">
        <v>42887</v>
      </c>
      <c r="B43">
        <f t="shared" si="10"/>
        <v>6</v>
      </c>
      <c r="C43">
        <f t="shared" si="11"/>
        <v>2017</v>
      </c>
      <c r="D43" s="6">
        <f>'Monthly Data (longer 09-23)'!E103</f>
        <v>24525329.379516236</v>
      </c>
      <c r="E43" s="230">
        <f>'Monthly Data (14-23) Used'!AC43</f>
        <v>9.1999999999999957</v>
      </c>
      <c r="F43">
        <f>'Monthly Data (14-23) Used'!AF43</f>
        <v>153.29999999999998</v>
      </c>
      <c r="G43" s="7">
        <f t="shared" ca="1" si="16"/>
        <v>11.023552299140979</v>
      </c>
      <c r="H43" s="7">
        <f t="shared" ca="1" si="16"/>
        <v>145.07</v>
      </c>
      <c r="I43">
        <f>'Monthly Data (14-23) Used'!CB43</f>
        <v>30</v>
      </c>
      <c r="J43">
        <f>'Monthly Data (14-23) Used'!CA43</f>
        <v>0</v>
      </c>
      <c r="K43">
        <f>'Monthly Data (14-23) Used'!BJ43</f>
        <v>42</v>
      </c>
      <c r="L43" s="6">
        <f>'Monthly Data (14-23) Used'!DD43</f>
        <v>0</v>
      </c>
      <c r="M43" s="6">
        <f>'Monthly Data (14-23) Used'!DG43</f>
        <v>0</v>
      </c>
      <c r="N43">
        <f>'Monthly Data (14-23) Used'!DD43</f>
        <v>0</v>
      </c>
      <c r="O43">
        <f>'Monthly Data (14-23) Used'!DG43</f>
        <v>0</v>
      </c>
      <c r="Q43" s="6"/>
      <c r="R43" s="6">
        <f t="shared" ca="1" si="12"/>
        <v>12945.491204540675</v>
      </c>
      <c r="S43" s="6">
        <f t="shared" ca="1" si="13"/>
        <v>-548245.17781640834</v>
      </c>
      <c r="T43" s="6">
        <f t="shared" si="14"/>
        <v>0</v>
      </c>
      <c r="U43" s="6">
        <f t="shared" si="15"/>
        <v>0</v>
      </c>
      <c r="V43" s="6"/>
      <c r="W43" s="6"/>
      <c r="X43" s="6"/>
      <c r="Y43" s="6">
        <f t="shared" ca="1" si="9"/>
        <v>23990029.692904368</v>
      </c>
      <c r="Z43" s="6">
        <f ca="1">Y43-'Res Normalized Monthly'!V43</f>
        <v>-1853447.4880014434</v>
      </c>
    </row>
    <row r="44" spans="1:26">
      <c r="A44" s="197">
        <v>42917</v>
      </c>
      <c r="B44">
        <f t="shared" si="10"/>
        <v>7</v>
      </c>
      <c r="C44">
        <f t="shared" si="11"/>
        <v>2017</v>
      </c>
      <c r="D44" s="6">
        <f>'Monthly Data (longer 09-23)'!E104</f>
        <v>29775102.379516236</v>
      </c>
      <c r="E44" s="230">
        <f>'Monthly Data (14-23) Used'!AC44</f>
        <v>0</v>
      </c>
      <c r="F44">
        <f>'Monthly Data (14-23) Used'!AF44</f>
        <v>198.99999999999997</v>
      </c>
      <c r="G44" s="7">
        <f t="shared" ca="1" si="16"/>
        <v>0.75</v>
      </c>
      <c r="H44" s="7">
        <f t="shared" ca="1" si="16"/>
        <v>211.23289540171805</v>
      </c>
      <c r="I44">
        <f>'Monthly Data (14-23) Used'!CB44</f>
        <v>31</v>
      </c>
      <c r="J44">
        <f>'Monthly Data (14-23) Used'!CA44</f>
        <v>0</v>
      </c>
      <c r="K44">
        <f>'Monthly Data (14-23) Used'!BJ44</f>
        <v>43</v>
      </c>
      <c r="L44" s="6">
        <f>'Monthly Data (14-23) Used'!DD44</f>
        <v>0</v>
      </c>
      <c r="M44" s="6">
        <f>'Monthly Data (14-23) Used'!DG44</f>
        <v>0</v>
      </c>
      <c r="N44">
        <f>'Monthly Data (14-23) Used'!DD44</f>
        <v>0</v>
      </c>
      <c r="O44">
        <f>'Monthly Data (14-23) Used'!DG44</f>
        <v>0</v>
      </c>
      <c r="Q44" s="6"/>
      <c r="R44" s="6">
        <f t="shared" ca="1" si="12"/>
        <v>5324.2884275812421</v>
      </c>
      <c r="S44" s="6">
        <f t="shared" ca="1" si="13"/>
        <v>814899.86813176936</v>
      </c>
      <c r="T44" s="6">
        <f t="shared" si="14"/>
        <v>0</v>
      </c>
      <c r="U44" s="6">
        <f t="shared" si="15"/>
        <v>0</v>
      </c>
      <c r="V44" s="6"/>
      <c r="W44" s="6"/>
      <c r="X44" s="6"/>
      <c r="Y44" s="6">
        <f t="shared" ca="1" si="9"/>
        <v>30595326.536075585</v>
      </c>
      <c r="Z44" s="6">
        <f ca="1">Y44-'Res Normalized Monthly'!V44</f>
        <v>-350049.32024177536</v>
      </c>
    </row>
    <row r="45" spans="1:26">
      <c r="A45" s="197">
        <v>42948</v>
      </c>
      <c r="B45">
        <f t="shared" si="10"/>
        <v>8</v>
      </c>
      <c r="C45">
        <f t="shared" si="11"/>
        <v>2017</v>
      </c>
      <c r="D45" s="6">
        <f>'Monthly Data (longer 09-23)'!E105</f>
        <v>27308050.379516236</v>
      </c>
      <c r="E45" s="230">
        <f>'Monthly Data (14-23) Used'!AC45</f>
        <v>6.6999999999999957</v>
      </c>
      <c r="F45">
        <f>'Monthly Data (14-23) Used'!AF45</f>
        <v>136.4</v>
      </c>
      <c r="G45" s="7">
        <f t="shared" ca="1" si="16"/>
        <v>2.7971045982819609</v>
      </c>
      <c r="H45" s="7">
        <f t="shared" ca="1" si="16"/>
        <v>183.87605861546231</v>
      </c>
      <c r="I45">
        <f>'Monthly Data (14-23) Used'!CB45</f>
        <v>31</v>
      </c>
      <c r="J45">
        <f>'Monthly Data (14-23) Used'!CA45</f>
        <v>0</v>
      </c>
      <c r="K45">
        <f>'Monthly Data (14-23) Used'!BJ45</f>
        <v>44</v>
      </c>
      <c r="L45" s="6">
        <f>'Monthly Data (14-23) Used'!DD45</f>
        <v>0</v>
      </c>
      <c r="M45" s="6">
        <f>'Monthly Data (14-23) Used'!DG45</f>
        <v>0</v>
      </c>
      <c r="N45">
        <f>'Monthly Data (14-23) Used'!DD45</f>
        <v>0</v>
      </c>
      <c r="O45">
        <f>'Monthly Data (14-23) Used'!DG45</f>
        <v>0</v>
      </c>
      <c r="Q45" s="6"/>
      <c r="R45" s="6">
        <f t="shared" ca="1" si="12"/>
        <v>-27706.854428569837</v>
      </c>
      <c r="S45" s="6">
        <f t="shared" ca="1" si="13"/>
        <v>3162639.1491684555</v>
      </c>
      <c r="T45" s="6">
        <f t="shared" si="14"/>
        <v>0</v>
      </c>
      <c r="U45" s="6">
        <f t="shared" si="15"/>
        <v>0</v>
      </c>
      <c r="V45" s="6"/>
      <c r="W45" s="6"/>
      <c r="X45" s="6"/>
      <c r="Y45" s="6">
        <f t="shared" ca="1" si="9"/>
        <v>30442982.67425612</v>
      </c>
      <c r="Z45" s="6">
        <f ca="1">Y45-'Res Normalized Monthly'!V45</f>
        <v>1283819.7727982551</v>
      </c>
    </row>
    <row r="46" spans="1:26">
      <c r="A46" s="197">
        <v>42979</v>
      </c>
      <c r="B46">
        <f t="shared" si="10"/>
        <v>9</v>
      </c>
      <c r="C46">
        <f t="shared" si="11"/>
        <v>2017</v>
      </c>
      <c r="D46" s="6">
        <f>'Monthly Data (longer 09-23)'!E106</f>
        <v>22403228.379516236</v>
      </c>
      <c r="E46" s="230">
        <f>'Monthly Data (14-23) Used'!AC46</f>
        <v>47.5</v>
      </c>
      <c r="F46">
        <f>'Monthly Data (14-23) Used'!AF46</f>
        <v>90.999999999999986</v>
      </c>
      <c r="G46" s="7">
        <f t="shared" ca="1" si="16"/>
        <v>39.200656897422931</v>
      </c>
      <c r="H46" s="7">
        <f t="shared" ca="1" si="16"/>
        <v>90.709343102577066</v>
      </c>
      <c r="I46">
        <f>'Monthly Data (14-23) Used'!CB46</f>
        <v>30</v>
      </c>
      <c r="J46">
        <f>'Monthly Data (14-23) Used'!CA46</f>
        <v>0</v>
      </c>
      <c r="K46">
        <f>'Monthly Data (14-23) Used'!BJ46</f>
        <v>45</v>
      </c>
      <c r="L46" s="6">
        <f>'Monthly Data (14-23) Used'!DD46</f>
        <v>0</v>
      </c>
      <c r="M46" s="6">
        <f>'Monthly Data (14-23) Used'!DG46</f>
        <v>0</v>
      </c>
      <c r="N46">
        <f>'Monthly Data (14-23) Used'!DD46</f>
        <v>0</v>
      </c>
      <c r="O46">
        <f>'Monthly Data (14-23) Used'!DG46</f>
        <v>0</v>
      </c>
      <c r="Q46" s="6"/>
      <c r="R46" s="6">
        <f t="shared" ca="1" si="12"/>
        <v>-58917.461916769724</v>
      </c>
      <c r="S46" s="6">
        <f t="shared" ca="1" si="13"/>
        <v>-19362.24087620834</v>
      </c>
      <c r="T46" s="6">
        <f t="shared" si="14"/>
        <v>0</v>
      </c>
      <c r="U46" s="6">
        <f t="shared" si="15"/>
        <v>0</v>
      </c>
      <c r="V46" s="6"/>
      <c r="W46" s="6"/>
      <c r="X46" s="6"/>
      <c r="Y46" s="6">
        <f t="shared" ca="1" si="9"/>
        <v>22324948.676723257</v>
      </c>
      <c r="Z46" s="6">
        <f ca="1">Y46-'Res Normalized Monthly'!V46</f>
        <v>-162227.28719373047</v>
      </c>
    </row>
    <row r="47" spans="1:26">
      <c r="A47" s="197">
        <v>43009</v>
      </c>
      <c r="B47">
        <f t="shared" si="10"/>
        <v>10</v>
      </c>
      <c r="C47">
        <f t="shared" si="11"/>
        <v>2017</v>
      </c>
      <c r="D47" s="6">
        <f>'Monthly Data (longer 09-23)'!E107</f>
        <v>19127092.379516236</v>
      </c>
      <c r="E47" s="230">
        <f>'Monthly Data (14-23) Used'!AC47</f>
        <v>151.59999999999997</v>
      </c>
      <c r="F47">
        <f>'Monthly Data (14-23) Used'!AF47</f>
        <v>27.5</v>
      </c>
      <c r="G47" s="7">
        <f t="shared" ca="1" si="16"/>
        <v>194.90420919656393</v>
      </c>
      <c r="H47" s="7">
        <f t="shared" ca="1" si="16"/>
        <v>20.479999999999997</v>
      </c>
      <c r="I47">
        <f>'Monthly Data (14-23) Used'!CB47</f>
        <v>31</v>
      </c>
      <c r="J47">
        <f>'Monthly Data (14-23) Used'!CA47</f>
        <v>1</v>
      </c>
      <c r="K47">
        <f>'Monthly Data (14-23) Used'!BJ47</f>
        <v>46</v>
      </c>
      <c r="L47" s="6">
        <f>'Monthly Data (14-23) Used'!DD47</f>
        <v>0</v>
      </c>
      <c r="M47" s="6">
        <f>'Monthly Data (14-23) Used'!DG47</f>
        <v>0</v>
      </c>
      <c r="N47">
        <f>'Monthly Data (14-23) Used'!DD47</f>
        <v>0</v>
      </c>
      <c r="O47">
        <f>'Monthly Data (14-23) Used'!DG47</f>
        <v>0</v>
      </c>
      <c r="Q47" s="6"/>
      <c r="R47" s="6">
        <f t="shared" ca="1" si="12"/>
        <v>307418.79985443025</v>
      </c>
      <c r="S47" s="6">
        <f t="shared" ca="1" si="13"/>
        <v>-467640.47974133573</v>
      </c>
      <c r="T47" s="6">
        <f t="shared" si="14"/>
        <v>0</v>
      </c>
      <c r="U47" s="6">
        <f t="shared" si="15"/>
        <v>0</v>
      </c>
      <c r="V47" s="6"/>
      <c r="W47" s="6"/>
      <c r="X47" s="6"/>
      <c r="Y47" s="6">
        <f t="shared" ca="1" si="9"/>
        <v>18966870.699629333</v>
      </c>
      <c r="Z47" s="6">
        <f ca="1">Y47-'Res Normalized Monthly'!V47</f>
        <v>999277.66934499145</v>
      </c>
    </row>
    <row r="48" spans="1:26">
      <c r="A48" s="197">
        <v>43040</v>
      </c>
      <c r="B48">
        <f t="shared" si="10"/>
        <v>11</v>
      </c>
      <c r="C48">
        <f t="shared" si="11"/>
        <v>2017</v>
      </c>
      <c r="D48" s="6">
        <f>'Monthly Data (longer 09-23)'!E108</f>
        <v>18138322.379516236</v>
      </c>
      <c r="E48" s="230">
        <f>'Monthly Data (14-23) Used'!AC48</f>
        <v>414.93552299140981</v>
      </c>
      <c r="F48">
        <f>'Monthly Data (14-23) Used'!AF48</f>
        <v>0</v>
      </c>
      <c r="G48" s="7">
        <f t="shared" ca="1" si="16"/>
        <v>404.02065689742301</v>
      </c>
      <c r="H48" s="7">
        <f t="shared" ca="1" si="16"/>
        <v>0.6699999999999996</v>
      </c>
      <c r="I48">
        <f>'Monthly Data (14-23) Used'!CB48</f>
        <v>30</v>
      </c>
      <c r="J48">
        <f>'Monthly Data (14-23) Used'!CA48</f>
        <v>1</v>
      </c>
      <c r="K48">
        <f>'Monthly Data (14-23) Used'!BJ48</f>
        <v>47</v>
      </c>
      <c r="L48" s="6">
        <f>'Monthly Data (14-23) Used'!DD48</f>
        <v>0</v>
      </c>
      <c r="M48" s="6">
        <f>'Monthly Data (14-23) Used'!DG48</f>
        <v>0</v>
      </c>
      <c r="N48">
        <f>'Monthly Data (14-23) Used'!DD48</f>
        <v>0</v>
      </c>
      <c r="O48">
        <f>'Monthly Data (14-23) Used'!DG48</f>
        <v>0</v>
      </c>
      <c r="Q48" s="6"/>
      <c r="R48" s="6">
        <f t="shared" ca="1" si="12"/>
        <v>-77485.193643750405</v>
      </c>
      <c r="S48" s="6">
        <f t="shared" ca="1" si="13"/>
        <v>44632.353479586127</v>
      </c>
      <c r="T48" s="6">
        <f t="shared" si="14"/>
        <v>0</v>
      </c>
      <c r="U48" s="6">
        <f t="shared" si="15"/>
        <v>0</v>
      </c>
      <c r="V48" s="6"/>
      <c r="W48" s="6"/>
      <c r="X48" s="6"/>
      <c r="Y48" s="6">
        <f t="shared" ca="1" si="9"/>
        <v>18105469.539352074</v>
      </c>
      <c r="Z48" s="6">
        <f ca="1">Y48-'Res Normalized Monthly'!V48</f>
        <v>697074.92174702138</v>
      </c>
    </row>
    <row r="49" spans="1:26">
      <c r="A49" s="197">
        <v>43070</v>
      </c>
      <c r="B49">
        <f t="shared" si="10"/>
        <v>12</v>
      </c>
      <c r="C49">
        <f t="shared" si="11"/>
        <v>2017</v>
      </c>
      <c r="D49" s="6">
        <f>'Monthly Data (longer 09-23)'!E109</f>
        <v>21160329.379516236</v>
      </c>
      <c r="E49" s="230">
        <f>'Monthly Data (14-23) Used'!AC49</f>
        <v>672.00000000000011</v>
      </c>
      <c r="F49">
        <f>'Monthly Data (14-23) Used'!AF49</f>
        <v>0</v>
      </c>
      <c r="G49" s="7">
        <f t="shared" ca="1" si="16"/>
        <v>533.7700000000001</v>
      </c>
      <c r="H49" s="7">
        <f t="shared" ca="1" si="16"/>
        <v>0</v>
      </c>
      <c r="I49">
        <f>'Monthly Data (14-23) Used'!CB49</f>
        <v>31</v>
      </c>
      <c r="J49">
        <f>'Monthly Data (14-23) Used'!CA49</f>
        <v>0</v>
      </c>
      <c r="K49">
        <f>'Monthly Data (14-23) Used'!BJ49</f>
        <v>48</v>
      </c>
      <c r="L49" s="6">
        <f>'Monthly Data (14-23) Used'!DD49</f>
        <v>0</v>
      </c>
      <c r="M49" s="6">
        <f>'Monthly Data (14-23) Used'!DG49</f>
        <v>0</v>
      </c>
      <c r="N49">
        <f>'Monthly Data (14-23) Used'!DD49</f>
        <v>0</v>
      </c>
      <c r="O49">
        <f>'Monthly Data (14-23) Used'!DG49</f>
        <v>0</v>
      </c>
      <c r="Q49" s="6"/>
      <c r="R49" s="6">
        <f t="shared" ca="1" si="12"/>
        <v>-981301.85245940695</v>
      </c>
      <c r="S49" s="6">
        <f t="shared" ca="1" si="13"/>
        <v>0</v>
      </c>
      <c r="T49" s="6">
        <f t="shared" si="14"/>
        <v>0</v>
      </c>
      <c r="U49" s="6">
        <f t="shared" si="15"/>
        <v>0</v>
      </c>
      <c r="V49" s="6"/>
      <c r="W49" s="6"/>
      <c r="X49" s="6"/>
      <c r="Y49" s="6">
        <f t="shared" ca="1" si="9"/>
        <v>20179027.527056828</v>
      </c>
      <c r="Z49" s="6">
        <f ca="1">Y49-'Res Normalized Monthly'!V49</f>
        <v>-587122.70654755086</v>
      </c>
    </row>
    <row r="50" spans="1:26">
      <c r="A50" s="197">
        <v>43101</v>
      </c>
      <c r="B50">
        <f t="shared" si="10"/>
        <v>1</v>
      </c>
      <c r="C50">
        <f t="shared" si="11"/>
        <v>2018</v>
      </c>
      <c r="D50" s="6">
        <f>'Monthly Data (longer 09-23)'!E110</f>
        <v>22336162.245851178</v>
      </c>
      <c r="E50" s="230">
        <f>'Monthly Data (14-23) Used'!AC50</f>
        <v>705.60000000000014</v>
      </c>
      <c r="F50">
        <f>'Monthly Data (14-23) Used'!AF50</f>
        <v>0</v>
      </c>
      <c r="G50" s="7">
        <f t="shared" ca="1" si="16"/>
        <v>671</v>
      </c>
      <c r="H50" s="7">
        <f t="shared" ca="1" si="16"/>
        <v>0</v>
      </c>
      <c r="I50">
        <f>'Monthly Data (14-23) Used'!CB50</f>
        <v>31</v>
      </c>
      <c r="J50">
        <f>'Monthly Data (14-23) Used'!CA50</f>
        <v>0</v>
      </c>
      <c r="K50">
        <f>'Monthly Data (14-23) Used'!BJ50</f>
        <v>49</v>
      </c>
      <c r="L50" s="6">
        <f>'Monthly Data (14-23) Used'!DD50</f>
        <v>0</v>
      </c>
      <c r="M50" s="6">
        <f>'Monthly Data (14-23) Used'!DG50</f>
        <v>0</v>
      </c>
      <c r="N50">
        <f>'Monthly Data (14-23) Used'!DD50</f>
        <v>0</v>
      </c>
      <c r="O50">
        <f>'Monthly Data (14-23) Used'!DG50</f>
        <v>0</v>
      </c>
      <c r="Q50" s="6"/>
      <c r="R50" s="6">
        <f t="shared" ca="1" si="12"/>
        <v>-245627.1727924156</v>
      </c>
      <c r="S50" s="6">
        <f t="shared" ca="1" si="13"/>
        <v>0</v>
      </c>
      <c r="T50" s="6">
        <f t="shared" si="14"/>
        <v>0</v>
      </c>
      <c r="U50" s="6">
        <f t="shared" si="15"/>
        <v>0</v>
      </c>
      <c r="V50" s="6"/>
      <c r="W50" s="6"/>
      <c r="X50" s="6"/>
      <c r="Y50" s="6">
        <f t="shared" ca="1" si="9"/>
        <v>22090535.073058762</v>
      </c>
      <c r="Z50" s="6">
        <f ca="1">Y50-'Res Normalized Monthly'!V50</f>
        <v>328539.4195998311</v>
      </c>
    </row>
    <row r="51" spans="1:26">
      <c r="A51" s="197">
        <v>43132</v>
      </c>
      <c r="B51">
        <f t="shared" si="10"/>
        <v>2</v>
      </c>
      <c r="C51">
        <f t="shared" si="11"/>
        <v>2018</v>
      </c>
      <c r="D51" s="6">
        <f>'Monthly Data (longer 09-23)'!E111</f>
        <v>19216319.245851178</v>
      </c>
      <c r="E51" s="230">
        <f>'Monthly Data (14-23) Used'!AC51</f>
        <v>544.49999999999989</v>
      </c>
      <c r="F51">
        <f>'Monthly Data (14-23) Used'!AF51</f>
        <v>0</v>
      </c>
      <c r="G51" s="7">
        <f t="shared" ref="G51:H66" ca="1" si="17">G39</f>
        <v>595.51355229914111</v>
      </c>
      <c r="H51" s="7">
        <f t="shared" ca="1" si="17"/>
        <v>0</v>
      </c>
      <c r="I51">
        <f>'Monthly Data (14-23) Used'!CB51</f>
        <v>28</v>
      </c>
      <c r="J51">
        <f>'Monthly Data (14-23) Used'!CA51</f>
        <v>0</v>
      </c>
      <c r="K51">
        <f>'Monthly Data (14-23) Used'!BJ51</f>
        <v>50</v>
      </c>
      <c r="L51" s="6">
        <f>'Monthly Data (14-23) Used'!DD51</f>
        <v>0</v>
      </c>
      <c r="M51" s="6">
        <f>'Monthly Data (14-23) Used'!DG51</f>
        <v>0</v>
      </c>
      <c r="N51">
        <f>'Monthly Data (14-23) Used'!DD51</f>
        <v>0</v>
      </c>
      <c r="O51">
        <f>'Monthly Data (14-23) Used'!DG51</f>
        <v>0</v>
      </c>
      <c r="Q51" s="6"/>
      <c r="R51" s="6">
        <f t="shared" ca="1" si="12"/>
        <v>362147.82154150412</v>
      </c>
      <c r="S51" s="6">
        <f t="shared" ca="1" si="13"/>
        <v>0</v>
      </c>
      <c r="T51" s="6">
        <f t="shared" si="14"/>
        <v>0</v>
      </c>
      <c r="U51" s="6">
        <f t="shared" si="15"/>
        <v>0</v>
      </c>
      <c r="V51" s="6"/>
      <c r="W51" s="6"/>
      <c r="X51" s="6"/>
      <c r="Y51" s="6">
        <f t="shared" ca="1" si="9"/>
        <v>19578467.067392681</v>
      </c>
      <c r="Z51" s="6">
        <f ca="1">Y51-'Res Normalized Monthly'!V51</f>
        <v>567862.81009606645</v>
      </c>
    </row>
    <row r="52" spans="1:26">
      <c r="A52" s="197">
        <v>43160</v>
      </c>
      <c r="B52">
        <f t="shared" si="10"/>
        <v>3</v>
      </c>
      <c r="C52">
        <f t="shared" si="11"/>
        <v>2018</v>
      </c>
      <c r="D52" s="6">
        <f>'Monthly Data (longer 09-23)'!E112</f>
        <v>18321227.245851178</v>
      </c>
      <c r="E52" s="230">
        <f>'Monthly Data (14-23) Used'!AC52</f>
        <v>534.40000000000009</v>
      </c>
      <c r="F52">
        <f>'Monthly Data (14-23) Used'!AF52</f>
        <v>0</v>
      </c>
      <c r="G52" s="7">
        <f t="shared" ca="1" si="17"/>
        <v>496.46355229914104</v>
      </c>
      <c r="H52" s="7">
        <f t="shared" ca="1" si="17"/>
        <v>0</v>
      </c>
      <c r="I52">
        <f>'Monthly Data (14-23) Used'!CB52</f>
        <v>31</v>
      </c>
      <c r="J52">
        <f>'Monthly Data (14-23) Used'!CA52</f>
        <v>1</v>
      </c>
      <c r="K52">
        <f>'Monthly Data (14-23) Used'!BJ52</f>
        <v>51</v>
      </c>
      <c r="L52" s="6">
        <f>'Monthly Data (14-23) Used'!DD52</f>
        <v>0</v>
      </c>
      <c r="M52" s="6">
        <f>'Monthly Data (14-23) Used'!DG52</f>
        <v>0</v>
      </c>
      <c r="N52">
        <f>'Monthly Data (14-23) Used'!DD52</f>
        <v>0</v>
      </c>
      <c r="O52">
        <f>'Monthly Data (14-23) Used'!DG52</f>
        <v>0</v>
      </c>
      <c r="Q52" s="6"/>
      <c r="R52" s="6">
        <f t="shared" ca="1" si="12"/>
        <v>-269312.78596963314</v>
      </c>
      <c r="S52" s="6">
        <f t="shared" ca="1" si="13"/>
        <v>0</v>
      </c>
      <c r="T52" s="6">
        <f t="shared" si="14"/>
        <v>0</v>
      </c>
      <c r="U52" s="6">
        <f t="shared" si="15"/>
        <v>0</v>
      </c>
      <c r="V52" s="6"/>
      <c r="W52" s="6"/>
      <c r="X52" s="6"/>
      <c r="Y52" s="6">
        <f t="shared" ca="1" si="9"/>
        <v>18051914.459881544</v>
      </c>
      <c r="Z52" s="6">
        <f ca="1">Y52-'Res Normalized Monthly'!V52</f>
        <v>-800392.41466547549</v>
      </c>
    </row>
    <row r="53" spans="1:26">
      <c r="A53" s="197">
        <v>43191</v>
      </c>
      <c r="B53">
        <f t="shared" si="10"/>
        <v>4</v>
      </c>
      <c r="C53">
        <f t="shared" si="11"/>
        <v>2018</v>
      </c>
      <c r="D53" s="6">
        <f>'Monthly Data (longer 09-23)'!E113</f>
        <v>17447768.245851178</v>
      </c>
      <c r="E53" s="230">
        <f>'Monthly Data (14-23) Used'!AC53</f>
        <v>395.6</v>
      </c>
      <c r="F53">
        <f>'Monthly Data (14-23) Used'!AF53</f>
        <v>0</v>
      </c>
      <c r="G53" s="7">
        <f t="shared" ca="1" si="17"/>
        <v>296.23000000000008</v>
      </c>
      <c r="H53" s="7">
        <f t="shared" ca="1" si="17"/>
        <v>3.0799999999999996</v>
      </c>
      <c r="I53">
        <f>'Monthly Data (14-23) Used'!CB53</f>
        <v>30</v>
      </c>
      <c r="J53">
        <f>'Monthly Data (14-23) Used'!CA53</f>
        <v>1</v>
      </c>
      <c r="K53">
        <f>'Monthly Data (14-23) Used'!BJ53</f>
        <v>52</v>
      </c>
      <c r="L53" s="6">
        <f>'Monthly Data (14-23) Used'!DD53</f>
        <v>0</v>
      </c>
      <c r="M53" s="6">
        <f>'Monthly Data (14-23) Used'!DG53</f>
        <v>0</v>
      </c>
      <c r="N53">
        <f>'Monthly Data (14-23) Used'!DD53</f>
        <v>0</v>
      </c>
      <c r="O53">
        <f>'Monthly Data (14-23) Used'!DG53</f>
        <v>0</v>
      </c>
      <c r="Q53" s="6"/>
      <c r="R53" s="6">
        <f t="shared" ca="1" si="12"/>
        <v>-705432.72139833041</v>
      </c>
      <c r="S53" s="6">
        <f t="shared" ca="1" si="13"/>
        <v>205175.59510018706</v>
      </c>
      <c r="T53" s="6">
        <f t="shared" si="14"/>
        <v>0</v>
      </c>
      <c r="U53" s="6">
        <f t="shared" si="15"/>
        <v>0</v>
      </c>
      <c r="V53" s="6"/>
      <c r="W53" s="6"/>
      <c r="X53" s="6"/>
      <c r="Y53" s="6">
        <f t="shared" ca="1" si="9"/>
        <v>16947511.119553033</v>
      </c>
      <c r="Z53" s="6">
        <f ca="1">Y53-'Res Normalized Monthly'!V53</f>
        <v>35571.563328210264</v>
      </c>
    </row>
    <row r="54" spans="1:26">
      <c r="A54" s="197">
        <v>43221</v>
      </c>
      <c r="B54">
        <f t="shared" ref="B54:B113" si="18">MONTH(A54)</f>
        <v>5</v>
      </c>
      <c r="C54">
        <f t="shared" ref="C54:C113" si="19">YEAR(A54)</f>
        <v>2018</v>
      </c>
      <c r="D54" s="6">
        <f>'Monthly Data (longer 09-23)'!E114</f>
        <v>20454320.245851178</v>
      </c>
      <c r="E54" s="230">
        <f>'Monthly Data (14-23) Used'!AC54</f>
        <v>62.900000000000006</v>
      </c>
      <c r="F54">
        <f>'Monthly Data (14-23) Used'!AF54</f>
        <v>82.1</v>
      </c>
      <c r="G54" s="7">
        <f t="shared" ca="1" si="17"/>
        <v>116.90355229914098</v>
      </c>
      <c r="H54" s="7">
        <f t="shared" ca="1" si="17"/>
        <v>53.286447700859014</v>
      </c>
      <c r="I54">
        <f>'Monthly Data (14-23) Used'!CB54</f>
        <v>31</v>
      </c>
      <c r="J54">
        <f>'Monthly Data (14-23) Used'!CA54</f>
        <v>1</v>
      </c>
      <c r="K54">
        <f>'Monthly Data (14-23) Used'!BJ54</f>
        <v>53</v>
      </c>
      <c r="L54" s="6">
        <f>'Monthly Data (14-23) Used'!DD54</f>
        <v>0</v>
      </c>
      <c r="M54" s="6">
        <f>'Monthly Data (14-23) Used'!DG54</f>
        <v>0</v>
      </c>
      <c r="N54">
        <f>'Monthly Data (14-23) Used'!DD54</f>
        <v>0</v>
      </c>
      <c r="O54">
        <f>'Monthly Data (14-23) Used'!DG54</f>
        <v>0</v>
      </c>
      <c r="Q54" s="6"/>
      <c r="R54" s="6">
        <f t="shared" ca="1" si="12"/>
        <v>383373.98473945959</v>
      </c>
      <c r="S54" s="6">
        <f t="shared" ca="1" si="13"/>
        <v>-1919427.8376385111</v>
      </c>
      <c r="T54" s="6">
        <f t="shared" si="14"/>
        <v>0</v>
      </c>
      <c r="U54" s="6">
        <f t="shared" si="15"/>
        <v>0</v>
      </c>
      <c r="V54" s="6"/>
      <c r="W54" s="6"/>
      <c r="X54" s="6"/>
      <c r="Y54" s="6">
        <f t="shared" ref="Y54:Y85" ca="1" si="20">SUM(D54,R54:X54)</f>
        <v>18918266.392952126</v>
      </c>
      <c r="Z54" s="6">
        <f ca="1">Y54-'Res Normalized Monthly'!V54</f>
        <v>-832510.6813630797</v>
      </c>
    </row>
    <row r="55" spans="1:26">
      <c r="A55" s="197">
        <v>43252</v>
      </c>
      <c r="B55">
        <f t="shared" si="18"/>
        <v>6</v>
      </c>
      <c r="C55">
        <f t="shared" si="19"/>
        <v>2018</v>
      </c>
      <c r="D55" s="6">
        <f>'Monthly Data (longer 09-23)'!E115</f>
        <v>25949584.245851178</v>
      </c>
      <c r="E55" s="230">
        <f>'Monthly Data (14-23) Used'!AC55</f>
        <v>7.6000000000000014</v>
      </c>
      <c r="F55">
        <f>'Monthly Data (14-23) Used'!AF55</f>
        <v>148.80000000000001</v>
      </c>
      <c r="G55" s="7">
        <f t="shared" ca="1" si="17"/>
        <v>11.023552299140979</v>
      </c>
      <c r="H55" s="7">
        <f t="shared" ca="1" si="17"/>
        <v>145.07</v>
      </c>
      <c r="I55">
        <f>'Monthly Data (14-23) Used'!CB55</f>
        <v>30</v>
      </c>
      <c r="J55">
        <f>'Monthly Data (14-23) Used'!CA55</f>
        <v>0</v>
      </c>
      <c r="K55">
        <f>'Monthly Data (14-23) Used'!BJ55</f>
        <v>54</v>
      </c>
      <c r="L55" s="6">
        <f>'Monthly Data (14-23) Used'!DD55</f>
        <v>0</v>
      </c>
      <c r="M55" s="6">
        <f>'Monthly Data (14-23) Used'!DG55</f>
        <v>0</v>
      </c>
      <c r="N55">
        <f>'Monthly Data (14-23) Used'!DD55</f>
        <v>0</v>
      </c>
      <c r="O55">
        <f>'Monthly Data (14-23) Used'!DG55</f>
        <v>0</v>
      </c>
      <c r="Q55" s="6"/>
      <c r="R55" s="6">
        <f t="shared" ref="R55:R94" ca="1" si="21">(G55-E55)*$AC$9</f>
        <v>24303.973183380618</v>
      </c>
      <c r="S55" s="6">
        <f t="shared" ref="S55:S94" ca="1" si="22">(H55-F55)*$AC$10</f>
        <v>-248475.63952068234</v>
      </c>
      <c r="T55" s="6">
        <f t="shared" ref="T55:T94" si="23">(N55-L55)*$AC$11</f>
        <v>0</v>
      </c>
      <c r="U55" s="6">
        <f t="shared" ref="U55:U94" si="24">(O55-M55)*$AC$12</f>
        <v>0</v>
      </c>
      <c r="V55" s="6"/>
      <c r="W55" s="6"/>
      <c r="X55" s="6"/>
      <c r="Y55" s="6">
        <f t="shared" ca="1" si="20"/>
        <v>25725412.579513878</v>
      </c>
      <c r="Z55" s="6">
        <f ca="1">Y55-'Res Normalized Monthly'!V55</f>
        <v>-377776.02497499809</v>
      </c>
    </row>
    <row r="56" spans="1:26">
      <c r="A56" s="197">
        <v>43282</v>
      </c>
      <c r="B56">
        <f t="shared" si="18"/>
        <v>7</v>
      </c>
      <c r="C56">
        <f t="shared" si="19"/>
        <v>2018</v>
      </c>
      <c r="D56" s="6">
        <f>'Monthly Data (longer 09-23)'!E116</f>
        <v>33050239.245851178</v>
      </c>
      <c r="E56" s="230">
        <f>'Monthly Data (14-23) Used'!AC56</f>
        <v>0.19999999999999929</v>
      </c>
      <c r="F56">
        <f>'Monthly Data (14-23) Used'!AF56</f>
        <v>225.1</v>
      </c>
      <c r="G56" s="7">
        <f t="shared" ca="1" si="17"/>
        <v>0.75</v>
      </c>
      <c r="H56" s="7">
        <f t="shared" ca="1" si="17"/>
        <v>211.23289540171805</v>
      </c>
      <c r="I56">
        <f>'Monthly Data (14-23) Used'!CB56</f>
        <v>31</v>
      </c>
      <c r="J56">
        <f>'Monthly Data (14-23) Used'!CA56</f>
        <v>0</v>
      </c>
      <c r="K56">
        <f>'Monthly Data (14-23) Used'!BJ56</f>
        <v>55</v>
      </c>
      <c r="L56" s="6">
        <f>'Monthly Data (14-23) Used'!DD56</f>
        <v>0</v>
      </c>
      <c r="M56" s="6">
        <f>'Monthly Data (14-23) Used'!DG56</f>
        <v>0</v>
      </c>
      <c r="N56">
        <f>'Monthly Data (14-23) Used'!DD56</f>
        <v>0</v>
      </c>
      <c r="O56">
        <f>'Monthly Data (14-23) Used'!DG56</f>
        <v>0</v>
      </c>
      <c r="Q56" s="6"/>
      <c r="R56" s="6">
        <f t="shared" ca="1" si="21"/>
        <v>3904.4781802262496</v>
      </c>
      <c r="S56" s="6">
        <f t="shared" ca="1" si="22"/>
        <v>-923763.45398345392</v>
      </c>
      <c r="T56" s="6">
        <f t="shared" si="23"/>
        <v>0</v>
      </c>
      <c r="U56" s="6">
        <f t="shared" si="24"/>
        <v>0</v>
      </c>
      <c r="V56" s="6"/>
      <c r="W56" s="6"/>
      <c r="X56" s="6"/>
      <c r="Y56" s="6">
        <f t="shared" ca="1" si="20"/>
        <v>32130380.270047951</v>
      </c>
      <c r="Z56" s="6">
        <f ca="1">Y56-'Res Normalized Monthly'!V56</f>
        <v>925292.99014752731</v>
      </c>
    </row>
    <row r="57" spans="1:26">
      <c r="A57" s="197">
        <v>43313</v>
      </c>
      <c r="B57">
        <f t="shared" si="18"/>
        <v>8</v>
      </c>
      <c r="C57">
        <f t="shared" si="19"/>
        <v>2018</v>
      </c>
      <c r="D57" s="6">
        <f>'Monthly Data (longer 09-23)'!E117</f>
        <v>32860565.245851178</v>
      </c>
      <c r="E57" s="230">
        <f>'Monthly Data (14-23) Used'!AC57</f>
        <v>0</v>
      </c>
      <c r="F57">
        <f>'Monthly Data (14-23) Used'!AF57</f>
        <v>221.79999999999995</v>
      </c>
      <c r="G57" s="7">
        <f t="shared" ca="1" si="17"/>
        <v>2.7971045982819609</v>
      </c>
      <c r="H57" s="7">
        <f t="shared" ca="1" si="17"/>
        <v>183.87605861546231</v>
      </c>
      <c r="I57">
        <f>'Monthly Data (14-23) Used'!CB57</f>
        <v>31</v>
      </c>
      <c r="J57">
        <f>'Monthly Data (14-23) Used'!CA57</f>
        <v>0</v>
      </c>
      <c r="K57">
        <f>'Monthly Data (14-23) Used'!BJ57</f>
        <v>56</v>
      </c>
      <c r="L57" s="6">
        <f>'Monthly Data (14-23) Used'!DD57</f>
        <v>0</v>
      </c>
      <c r="M57" s="6">
        <f>'Monthly Data (14-23) Used'!DG57</f>
        <v>0</v>
      </c>
      <c r="N57">
        <f>'Monthly Data (14-23) Used'!DD57</f>
        <v>0</v>
      </c>
      <c r="O57">
        <f>'Monthly Data (14-23) Used'!DG57</f>
        <v>0</v>
      </c>
      <c r="Q57" s="6"/>
      <c r="R57" s="6">
        <f t="shared" ca="1" si="21"/>
        <v>19856.788857822565</v>
      </c>
      <c r="S57" s="6">
        <f t="shared" ca="1" si="22"/>
        <v>-2526320.5331549104</v>
      </c>
      <c r="T57" s="6">
        <f t="shared" si="23"/>
        <v>0</v>
      </c>
      <c r="U57" s="6">
        <f t="shared" si="24"/>
        <v>0</v>
      </c>
      <c r="V57" s="6"/>
      <c r="W57" s="6"/>
      <c r="X57" s="6"/>
      <c r="Y57" s="6">
        <f t="shared" ca="1" si="20"/>
        <v>30354101.501554087</v>
      </c>
      <c r="Z57" s="6">
        <f ca="1">Y57-'Res Normalized Monthly'!V57</f>
        <v>935227.17651315778</v>
      </c>
    </row>
    <row r="58" spans="1:26">
      <c r="A58" s="197">
        <v>43344</v>
      </c>
      <c r="B58">
        <f t="shared" si="18"/>
        <v>9</v>
      </c>
      <c r="C58">
        <f t="shared" si="19"/>
        <v>2018</v>
      </c>
      <c r="D58" s="6">
        <f>'Monthly Data (longer 09-23)'!E118</f>
        <v>24883110.245851178</v>
      </c>
      <c r="E58" s="230">
        <f>'Monthly Data (14-23) Used'!AC58</f>
        <v>41.400000000000006</v>
      </c>
      <c r="F58">
        <f>'Monthly Data (14-23) Used'!AF58</f>
        <v>125.1</v>
      </c>
      <c r="G58" s="7">
        <f t="shared" ca="1" si="17"/>
        <v>39.200656897422931</v>
      </c>
      <c r="H58" s="7">
        <f t="shared" ca="1" si="17"/>
        <v>90.709343102577066</v>
      </c>
      <c r="I58">
        <f>'Monthly Data (14-23) Used'!CB58</f>
        <v>30</v>
      </c>
      <c r="J58">
        <f>'Monthly Data (14-23) Used'!CA58</f>
        <v>0</v>
      </c>
      <c r="K58">
        <f>'Monthly Data (14-23) Used'!BJ58</f>
        <v>57</v>
      </c>
      <c r="L58" s="6">
        <f>'Monthly Data (14-23) Used'!DD58</f>
        <v>0</v>
      </c>
      <c r="M58" s="6">
        <f>'Monthly Data (14-23) Used'!DG58</f>
        <v>0</v>
      </c>
      <c r="N58">
        <f>'Monthly Data (14-23) Used'!DD58</f>
        <v>0</v>
      </c>
      <c r="O58">
        <f>'Monthly Data (14-23) Used'!DG58</f>
        <v>0</v>
      </c>
      <c r="Q58" s="6"/>
      <c r="R58" s="6">
        <f t="shared" ca="1" si="21"/>
        <v>-15613.249372442326</v>
      </c>
      <c r="S58" s="6">
        <f t="shared" ca="1" si="22"/>
        <v>-2290949.1866282802</v>
      </c>
      <c r="T58" s="6">
        <f t="shared" si="23"/>
        <v>0</v>
      </c>
      <c r="U58" s="6">
        <f t="shared" si="24"/>
        <v>0</v>
      </c>
      <c r="V58" s="6"/>
      <c r="W58" s="6"/>
      <c r="X58" s="6"/>
      <c r="Y58" s="6">
        <f t="shared" ca="1" si="20"/>
        <v>22576547.809850454</v>
      </c>
      <c r="Z58" s="6">
        <f ca="1">Y58-'Res Normalized Monthly'!V58</f>
        <v>-170339.57764959335</v>
      </c>
    </row>
    <row r="59" spans="1:26">
      <c r="A59" s="197">
        <v>43374</v>
      </c>
      <c r="B59">
        <f t="shared" si="18"/>
        <v>10</v>
      </c>
      <c r="C59">
        <f t="shared" si="19"/>
        <v>2018</v>
      </c>
      <c r="D59" s="6">
        <f>'Monthly Data (longer 09-23)'!E119</f>
        <v>18771880.245851178</v>
      </c>
      <c r="E59" s="230">
        <f>'Monthly Data (14-23) Used'!AC59</f>
        <v>242.29999999999998</v>
      </c>
      <c r="F59">
        <f>'Monthly Data (14-23) Used'!AF59</f>
        <v>31.8</v>
      </c>
      <c r="G59" s="7">
        <f t="shared" ca="1" si="17"/>
        <v>194.90420919656393</v>
      </c>
      <c r="H59" s="7">
        <f t="shared" ca="1" si="17"/>
        <v>20.479999999999997</v>
      </c>
      <c r="I59">
        <f>'Monthly Data (14-23) Used'!CB59</f>
        <v>31</v>
      </c>
      <c r="J59">
        <f>'Monthly Data (14-23) Used'!CA59</f>
        <v>1</v>
      </c>
      <c r="K59">
        <f>'Monthly Data (14-23) Used'!BJ59</f>
        <v>58</v>
      </c>
      <c r="L59" s="6">
        <f>'Monthly Data (14-23) Used'!DD59</f>
        <v>0</v>
      </c>
      <c r="M59" s="6">
        <f>'Monthly Data (14-23) Used'!DG59</f>
        <v>0</v>
      </c>
      <c r="N59">
        <f>'Monthly Data (14-23) Used'!DD59</f>
        <v>0</v>
      </c>
      <c r="O59">
        <f>'Monthly Data (14-23) Used'!DG59</f>
        <v>0</v>
      </c>
      <c r="Q59" s="6"/>
      <c r="R59" s="6">
        <f t="shared" ca="1" si="21"/>
        <v>-336465.14732106141</v>
      </c>
      <c r="S59" s="6">
        <f t="shared" ca="1" si="22"/>
        <v>-754086.92744614242</v>
      </c>
      <c r="T59" s="6">
        <f t="shared" si="23"/>
        <v>0</v>
      </c>
      <c r="U59" s="6">
        <f t="shared" si="24"/>
        <v>0</v>
      </c>
      <c r="V59" s="6"/>
      <c r="W59" s="6"/>
      <c r="X59" s="6"/>
      <c r="Y59" s="6">
        <f t="shared" ca="1" si="20"/>
        <v>17681328.171083976</v>
      </c>
      <c r="Z59" s="6">
        <f ca="1">Y59-'Res Normalized Monthly'!V59</f>
        <v>-545976.28278343007</v>
      </c>
    </row>
    <row r="60" spans="1:26">
      <c r="A60" s="197">
        <v>43405</v>
      </c>
      <c r="B60">
        <f t="shared" si="18"/>
        <v>11</v>
      </c>
      <c r="C60">
        <f t="shared" si="19"/>
        <v>2018</v>
      </c>
      <c r="D60" s="6">
        <f>'Monthly Data (longer 09-23)'!E120</f>
        <v>18982383.245851178</v>
      </c>
      <c r="E60" s="230">
        <f>'Monthly Data (14-23) Used'!AC60</f>
        <v>485.73552299140988</v>
      </c>
      <c r="F60">
        <f>'Monthly Data (14-23) Used'!AF60</f>
        <v>0</v>
      </c>
      <c r="G60" s="7">
        <f t="shared" ca="1" si="17"/>
        <v>404.02065689742301</v>
      </c>
      <c r="H60" s="7">
        <f t="shared" ca="1" si="17"/>
        <v>0.6699999999999996</v>
      </c>
      <c r="I60">
        <f>'Monthly Data (14-23) Used'!CB60</f>
        <v>30</v>
      </c>
      <c r="J60">
        <f>'Monthly Data (14-23) Used'!CA60</f>
        <v>1</v>
      </c>
      <c r="K60">
        <f>'Monthly Data (14-23) Used'!BJ60</f>
        <v>59</v>
      </c>
      <c r="L60" s="6">
        <f>'Monthly Data (14-23) Used'!DD60</f>
        <v>0</v>
      </c>
      <c r="M60" s="6">
        <f>'Monthly Data (14-23) Used'!DG60</f>
        <v>0</v>
      </c>
      <c r="N60">
        <f>'Monthly Data (14-23) Used'!DD60</f>
        <v>0</v>
      </c>
      <c r="O60">
        <f>'Monthly Data (14-23) Used'!DG60</f>
        <v>0</v>
      </c>
      <c r="Q60" s="6"/>
      <c r="R60" s="6">
        <f t="shared" ca="1" si="21"/>
        <v>-580098.02120742016</v>
      </c>
      <c r="S60" s="6">
        <f t="shared" ca="1" si="22"/>
        <v>44632.353479586127</v>
      </c>
      <c r="T60" s="6">
        <f t="shared" si="23"/>
        <v>0</v>
      </c>
      <c r="U60" s="6">
        <f t="shared" si="24"/>
        <v>0</v>
      </c>
      <c r="V60" s="6"/>
      <c r="W60" s="6"/>
      <c r="X60" s="6"/>
      <c r="Y60" s="6">
        <f t="shared" ca="1" si="20"/>
        <v>18446917.578123346</v>
      </c>
      <c r="Z60" s="6">
        <f ca="1">Y60-'Res Normalized Monthly'!V60</f>
        <v>778811.53693522885</v>
      </c>
    </row>
    <row r="61" spans="1:26">
      <c r="A61" s="197">
        <v>43435</v>
      </c>
      <c r="B61">
        <f t="shared" si="18"/>
        <v>12</v>
      </c>
      <c r="C61">
        <f t="shared" si="19"/>
        <v>2018</v>
      </c>
      <c r="D61" s="6">
        <f>'Monthly Data (longer 09-23)'!E121</f>
        <v>21382567.245851178</v>
      </c>
      <c r="E61" s="230">
        <f>'Monthly Data (14-23) Used'!AC61</f>
        <v>533.80000000000007</v>
      </c>
      <c r="F61">
        <f>'Monthly Data (14-23) Used'!AF61</f>
        <v>0</v>
      </c>
      <c r="G61" s="7">
        <f t="shared" ca="1" si="17"/>
        <v>533.7700000000001</v>
      </c>
      <c r="H61" s="7">
        <f t="shared" ca="1" si="17"/>
        <v>0</v>
      </c>
      <c r="I61">
        <f>'Monthly Data (14-23) Used'!CB61</f>
        <v>31</v>
      </c>
      <c r="J61">
        <f>'Monthly Data (14-23) Used'!CA61</f>
        <v>0</v>
      </c>
      <c r="K61">
        <f>'Monthly Data (14-23) Used'!BJ61</f>
        <v>60</v>
      </c>
      <c r="L61" s="6">
        <f>'Monthly Data (14-23) Used'!DD61</f>
        <v>0</v>
      </c>
      <c r="M61" s="6">
        <f>'Monthly Data (14-23) Used'!DG61</f>
        <v>0</v>
      </c>
      <c r="N61">
        <f>'Monthly Data (14-23) Used'!DD61</f>
        <v>0</v>
      </c>
      <c r="O61">
        <f>'Monthly Data (14-23) Used'!DG61</f>
        <v>0</v>
      </c>
      <c r="Q61" s="6"/>
      <c r="R61" s="6">
        <f t="shared" ca="1" si="21"/>
        <v>-212.97153710305599</v>
      </c>
      <c r="S61" s="6">
        <f t="shared" ca="1" si="22"/>
        <v>0</v>
      </c>
      <c r="T61" s="6">
        <f t="shared" si="23"/>
        <v>0</v>
      </c>
      <c r="U61" s="6">
        <f t="shared" si="24"/>
        <v>0</v>
      </c>
      <c r="V61" s="6"/>
      <c r="W61" s="6"/>
      <c r="X61" s="6"/>
      <c r="Y61" s="6">
        <f t="shared" ca="1" si="20"/>
        <v>21382354.274314076</v>
      </c>
      <c r="Z61" s="6">
        <f ca="1">Y61-'Res Normalized Monthly'!V61</f>
        <v>356492.61712663248</v>
      </c>
    </row>
    <row r="62" spans="1:26">
      <c r="A62" s="197">
        <v>43466</v>
      </c>
      <c r="B62">
        <f t="shared" si="18"/>
        <v>1</v>
      </c>
      <c r="C62">
        <f t="shared" si="19"/>
        <v>2019</v>
      </c>
      <c r="D62" s="6">
        <f>'Monthly Data (longer 09-23)'!E122</f>
        <v>21716101.81829688</v>
      </c>
      <c r="E62" s="230">
        <f>'Monthly Data (14-23) Used'!AC62</f>
        <v>711.8</v>
      </c>
      <c r="F62">
        <f>'Monthly Data (14-23) Used'!AF62</f>
        <v>0</v>
      </c>
      <c r="G62" s="7">
        <f t="shared" ca="1" si="17"/>
        <v>671</v>
      </c>
      <c r="H62" s="7">
        <f t="shared" ca="1" si="17"/>
        <v>0</v>
      </c>
      <c r="I62">
        <f>'Monthly Data (14-23) Used'!CB62</f>
        <v>31</v>
      </c>
      <c r="J62">
        <f>'Monthly Data (14-23) Used'!CA62</f>
        <v>0</v>
      </c>
      <c r="K62">
        <f>'Monthly Data (14-23) Used'!BJ62</f>
        <v>61</v>
      </c>
      <c r="L62" s="6">
        <f>'Monthly Data (14-23) Used'!DD62</f>
        <v>0</v>
      </c>
      <c r="M62" s="6">
        <f>'Monthly Data (14-23) Used'!DG62</f>
        <v>0</v>
      </c>
      <c r="N62">
        <f>'Monthly Data (14-23) Used'!DD62</f>
        <v>0</v>
      </c>
      <c r="O62">
        <f>'Monthly Data (14-23) Used'!DG62</f>
        <v>0</v>
      </c>
      <c r="Q62" s="6"/>
      <c r="R62" s="6">
        <f t="shared" ca="1" si="21"/>
        <v>-289641.29046041926</v>
      </c>
      <c r="S62" s="6">
        <f t="shared" ca="1" si="22"/>
        <v>0</v>
      </c>
      <c r="T62" s="6">
        <f t="shared" si="23"/>
        <v>0</v>
      </c>
      <c r="U62" s="6">
        <f t="shared" si="24"/>
        <v>0</v>
      </c>
      <c r="V62" s="6"/>
      <c r="W62" s="6"/>
      <c r="X62" s="6"/>
      <c r="Y62" s="6">
        <f t="shared" ca="1" si="20"/>
        <v>21426460.527836461</v>
      </c>
      <c r="Z62" s="6">
        <f ca="1">Y62-'Res Normalized Monthly'!V62</f>
        <v>-595246.54920553416</v>
      </c>
    </row>
    <row r="63" spans="1:26">
      <c r="A63" s="197">
        <v>43497</v>
      </c>
      <c r="B63">
        <f t="shared" si="18"/>
        <v>2</v>
      </c>
      <c r="C63">
        <f t="shared" si="19"/>
        <v>2019</v>
      </c>
      <c r="D63" s="6">
        <f>'Monthly Data (longer 09-23)'!E123</f>
        <v>19213803.81829688</v>
      </c>
      <c r="E63" s="230">
        <f>'Monthly Data (14-23) Used'!AC63</f>
        <v>580.90000000000009</v>
      </c>
      <c r="F63">
        <f>'Monthly Data (14-23) Used'!AF63</f>
        <v>0</v>
      </c>
      <c r="G63" s="7">
        <f t="shared" ca="1" si="17"/>
        <v>595.51355229914111</v>
      </c>
      <c r="H63" s="7">
        <f t="shared" ca="1" si="17"/>
        <v>0</v>
      </c>
      <c r="I63">
        <f>'Monthly Data (14-23) Used'!CB63</f>
        <v>28</v>
      </c>
      <c r="J63">
        <f>'Monthly Data (14-23) Used'!CA63</f>
        <v>0</v>
      </c>
      <c r="K63">
        <f>'Monthly Data (14-23) Used'!BJ63</f>
        <v>62</v>
      </c>
      <c r="L63" s="6">
        <f>'Monthly Data (14-23) Used'!DD63</f>
        <v>0</v>
      </c>
      <c r="M63" s="6">
        <f>'Monthly Data (14-23) Used'!DG63</f>
        <v>0</v>
      </c>
      <c r="N63">
        <f>'Monthly Data (14-23) Used'!DD63</f>
        <v>0</v>
      </c>
      <c r="O63">
        <f>'Monthly Data (14-23) Used'!DG63</f>
        <v>0</v>
      </c>
      <c r="Q63" s="6"/>
      <c r="R63" s="6">
        <f t="shared" ca="1" si="21"/>
        <v>103742.35652289305</v>
      </c>
      <c r="S63" s="6">
        <f t="shared" ca="1" si="22"/>
        <v>0</v>
      </c>
      <c r="T63" s="6">
        <f t="shared" si="23"/>
        <v>0</v>
      </c>
      <c r="U63" s="6">
        <f t="shared" si="24"/>
        <v>0</v>
      </c>
      <c r="V63" s="6"/>
      <c r="W63" s="6"/>
      <c r="X63" s="6"/>
      <c r="Y63" s="6">
        <f t="shared" ca="1" si="20"/>
        <v>19317546.174819771</v>
      </c>
      <c r="Z63" s="6">
        <f ca="1">Y63-'Res Normalized Monthly'!V63</f>
        <v>47230.493940092623</v>
      </c>
    </row>
    <row r="64" spans="1:26">
      <c r="A64" s="197">
        <v>43525</v>
      </c>
      <c r="B64">
        <f t="shared" si="18"/>
        <v>3</v>
      </c>
      <c r="C64">
        <f t="shared" si="19"/>
        <v>2019</v>
      </c>
      <c r="D64" s="6">
        <f>'Monthly Data (longer 09-23)'!E124</f>
        <v>19623814.81829688</v>
      </c>
      <c r="E64" s="230">
        <f>'Monthly Data (14-23) Used'!AC64</f>
        <v>549.4</v>
      </c>
      <c r="F64">
        <f>'Monthly Data (14-23) Used'!AF64</f>
        <v>0</v>
      </c>
      <c r="G64" s="7">
        <f t="shared" ca="1" si="17"/>
        <v>496.46355229914104</v>
      </c>
      <c r="H64" s="7">
        <f t="shared" ca="1" si="17"/>
        <v>0</v>
      </c>
      <c r="I64">
        <f>'Monthly Data (14-23) Used'!CB64</f>
        <v>31</v>
      </c>
      <c r="J64">
        <f>'Monthly Data (14-23) Used'!CA64</f>
        <v>1</v>
      </c>
      <c r="K64">
        <f>'Monthly Data (14-23) Used'!BJ64</f>
        <v>63</v>
      </c>
      <c r="L64" s="6">
        <f>'Monthly Data (14-23) Used'!DD64</f>
        <v>0</v>
      </c>
      <c r="M64" s="6">
        <f>'Monthly Data (14-23) Used'!DG64</f>
        <v>0</v>
      </c>
      <c r="N64">
        <f>'Monthly Data (14-23) Used'!DD64</f>
        <v>0</v>
      </c>
      <c r="O64">
        <f>'Monthly Data (14-23) Used'!DG64</f>
        <v>0</v>
      </c>
      <c r="Q64" s="6"/>
      <c r="R64" s="6">
        <f t="shared" ca="1" si="21"/>
        <v>-375798.55452125717</v>
      </c>
      <c r="S64" s="6">
        <f t="shared" ca="1" si="22"/>
        <v>0</v>
      </c>
      <c r="T64" s="6">
        <f t="shared" si="23"/>
        <v>0</v>
      </c>
      <c r="U64" s="6">
        <f t="shared" si="24"/>
        <v>0</v>
      </c>
      <c r="V64" s="6"/>
      <c r="W64" s="6"/>
      <c r="X64" s="6"/>
      <c r="Y64" s="6">
        <f t="shared" ca="1" si="20"/>
        <v>19248016.263775621</v>
      </c>
      <c r="Z64" s="6">
        <f ca="1">Y64-'Res Normalized Monthly'!V64</f>
        <v>135997.96564553678</v>
      </c>
    </row>
    <row r="65" spans="1:26">
      <c r="A65" s="197">
        <v>43556</v>
      </c>
      <c r="B65">
        <f t="shared" si="18"/>
        <v>4</v>
      </c>
      <c r="C65">
        <f t="shared" si="19"/>
        <v>2019</v>
      </c>
      <c r="D65" s="6">
        <f>'Monthly Data (longer 09-23)'!E125</f>
        <v>16928351.81829688</v>
      </c>
      <c r="E65" s="230">
        <f>'Monthly Data (14-23) Used'!AC65</f>
        <v>278.40000000000003</v>
      </c>
      <c r="F65">
        <f>'Monthly Data (14-23) Used'!AF65</f>
        <v>0.39999999999999858</v>
      </c>
      <c r="G65" s="7">
        <f t="shared" ca="1" si="17"/>
        <v>296.23000000000008</v>
      </c>
      <c r="H65" s="7">
        <f t="shared" ca="1" si="17"/>
        <v>3.0799999999999996</v>
      </c>
      <c r="I65">
        <f>'Monthly Data (14-23) Used'!CB65</f>
        <v>30</v>
      </c>
      <c r="J65">
        <f>'Monthly Data (14-23) Used'!CA65</f>
        <v>1</v>
      </c>
      <c r="K65">
        <f>'Monthly Data (14-23) Used'!BJ65</f>
        <v>64</v>
      </c>
      <c r="L65" s="6">
        <f>'Monthly Data (14-23) Used'!DD65</f>
        <v>0</v>
      </c>
      <c r="M65" s="6">
        <f>'Monthly Data (14-23) Used'!DG65</f>
        <v>0</v>
      </c>
      <c r="N65">
        <f>'Monthly Data (14-23) Used'!DD65</f>
        <v>0</v>
      </c>
      <c r="O65">
        <f>'Monthly Data (14-23) Used'!DG65</f>
        <v>0</v>
      </c>
      <c r="Q65" s="6"/>
      <c r="R65" s="6">
        <f t="shared" ca="1" si="21"/>
        <v>126576.08355169836</v>
      </c>
      <c r="S65" s="6">
        <f t="shared" ca="1" si="22"/>
        <v>178529.41391834468</v>
      </c>
      <c r="T65" s="6">
        <f t="shared" si="23"/>
        <v>0</v>
      </c>
      <c r="U65" s="6">
        <f t="shared" si="24"/>
        <v>0</v>
      </c>
      <c r="V65" s="6"/>
      <c r="W65" s="6"/>
      <c r="X65" s="6"/>
      <c r="Y65" s="6">
        <f t="shared" ca="1" si="20"/>
        <v>17233457.315766923</v>
      </c>
      <c r="Z65" s="6">
        <f ca="1">Y65-'Res Normalized Monthly'!V65</f>
        <v>61806.335959035903</v>
      </c>
    </row>
    <row r="66" spans="1:26">
      <c r="A66" s="197">
        <v>43586</v>
      </c>
      <c r="B66">
        <f t="shared" si="18"/>
        <v>5</v>
      </c>
      <c r="C66">
        <f t="shared" si="19"/>
        <v>2019</v>
      </c>
      <c r="D66" s="6">
        <f>'Monthly Data (longer 09-23)'!E126</f>
        <v>17835562.81829688</v>
      </c>
      <c r="E66" s="230">
        <f>'Monthly Data (14-23) Used'!AC66</f>
        <v>139.50000000000006</v>
      </c>
      <c r="F66">
        <f>'Monthly Data (14-23) Used'!AF66</f>
        <v>22.3</v>
      </c>
      <c r="G66" s="7">
        <f t="shared" ca="1" si="17"/>
        <v>116.90355229914098</v>
      </c>
      <c r="H66" s="7">
        <f t="shared" ca="1" si="17"/>
        <v>53.286447700859014</v>
      </c>
      <c r="I66">
        <f>'Monthly Data (14-23) Used'!CB66</f>
        <v>31</v>
      </c>
      <c r="J66">
        <f>'Monthly Data (14-23) Used'!CA66</f>
        <v>1</v>
      </c>
      <c r="K66">
        <f>'Monthly Data (14-23) Used'!BJ66</f>
        <v>65</v>
      </c>
      <c r="L66" s="6">
        <f>'Monthly Data (14-23) Used'!DD66</f>
        <v>0</v>
      </c>
      <c r="M66" s="6">
        <f>'Monthly Data (14-23) Used'!DG66</f>
        <v>0</v>
      </c>
      <c r="N66">
        <f>'Monthly Data (14-23) Used'!DD66</f>
        <v>0</v>
      </c>
      <c r="O66">
        <f>'Monthly Data (14-23) Used'!DG66</f>
        <v>0</v>
      </c>
      <c r="Q66" s="6"/>
      <c r="R66" s="6">
        <f t="shared" ca="1" si="21"/>
        <v>-160413.33999750498</v>
      </c>
      <c r="S66" s="6">
        <f t="shared" ca="1" si="22"/>
        <v>2064176.249046939</v>
      </c>
      <c r="T66" s="6">
        <f t="shared" si="23"/>
        <v>0</v>
      </c>
      <c r="U66" s="6">
        <f t="shared" si="24"/>
        <v>0</v>
      </c>
      <c r="V66" s="6"/>
      <c r="W66" s="6"/>
      <c r="X66" s="6"/>
      <c r="Y66" s="6">
        <f t="shared" ca="1" si="20"/>
        <v>19739325.727346316</v>
      </c>
      <c r="Z66" s="6">
        <f ca="1">Y66-'Res Normalized Monthly'!V66</f>
        <v>-271162.77055195346</v>
      </c>
    </row>
    <row r="67" spans="1:26">
      <c r="A67" s="197">
        <v>43617</v>
      </c>
      <c r="B67">
        <f t="shared" si="18"/>
        <v>6</v>
      </c>
      <c r="C67">
        <f t="shared" si="19"/>
        <v>2019</v>
      </c>
      <c r="D67" s="6">
        <f>'Monthly Data (longer 09-23)'!E127</f>
        <v>23514118.81829688</v>
      </c>
      <c r="E67" s="230">
        <f>'Monthly Data (14-23) Used'!AC67</f>
        <v>23.9</v>
      </c>
      <c r="F67">
        <f>'Monthly Data (14-23) Used'!AF67</f>
        <v>103.1</v>
      </c>
      <c r="G67" s="7">
        <f t="shared" ref="G67:H82" ca="1" si="25">G55</f>
        <v>11.023552299140979</v>
      </c>
      <c r="H67" s="7">
        <f t="shared" ca="1" si="25"/>
        <v>145.07</v>
      </c>
      <c r="I67">
        <f>'Monthly Data (14-23) Used'!CB67</f>
        <v>30</v>
      </c>
      <c r="J67">
        <f>'Monthly Data (14-23) Used'!CA67</f>
        <v>0</v>
      </c>
      <c r="K67">
        <f>'Monthly Data (14-23) Used'!BJ67</f>
        <v>66</v>
      </c>
      <c r="L67" s="6">
        <f>'Monthly Data (14-23) Used'!DD67</f>
        <v>0</v>
      </c>
      <c r="M67" s="6">
        <f>'Monthly Data (14-23) Used'!DG67</f>
        <v>0</v>
      </c>
      <c r="N67">
        <f>'Monthly Data (14-23) Used'!DD67</f>
        <v>0</v>
      </c>
      <c r="O67">
        <f>'Monthly Data (14-23) Used'!DG67</f>
        <v>0</v>
      </c>
      <c r="Q67" s="6"/>
      <c r="R67" s="6">
        <f t="shared" ca="1" si="21"/>
        <v>-91410.5619760517</v>
      </c>
      <c r="S67" s="6">
        <f t="shared" ca="1" si="22"/>
        <v>2795850.5605048221</v>
      </c>
      <c r="T67" s="6">
        <f t="shared" si="23"/>
        <v>0</v>
      </c>
      <c r="U67" s="6">
        <f t="shared" si="24"/>
        <v>0</v>
      </c>
      <c r="V67" s="6"/>
      <c r="W67" s="6"/>
      <c r="X67" s="6"/>
      <c r="Y67" s="6">
        <f t="shared" ca="1" si="20"/>
        <v>26218558.816825651</v>
      </c>
      <c r="Z67" s="6">
        <f ca="1">Y67-'Res Normalized Monthly'!V67</f>
        <v>-144341.21124628931</v>
      </c>
    </row>
    <row r="68" spans="1:26">
      <c r="A68" s="197">
        <v>43647</v>
      </c>
      <c r="B68">
        <f t="shared" si="18"/>
        <v>7</v>
      </c>
      <c r="C68">
        <f t="shared" si="19"/>
        <v>2019</v>
      </c>
      <c r="D68" s="6">
        <f>'Monthly Data (longer 09-23)'!E128</f>
        <v>34879844.81829688</v>
      </c>
      <c r="E68" s="230">
        <f>'Monthly Data (14-23) Used'!AC68</f>
        <v>0</v>
      </c>
      <c r="F68">
        <f>'Monthly Data (14-23) Used'!AF68</f>
        <v>252.46447700859022</v>
      </c>
      <c r="G68" s="7">
        <f t="shared" ca="1" si="25"/>
        <v>0.75</v>
      </c>
      <c r="H68" s="7">
        <f t="shared" ca="1" si="25"/>
        <v>211.23289540171805</v>
      </c>
      <c r="I68">
        <f>'Monthly Data (14-23) Used'!CB68</f>
        <v>31</v>
      </c>
      <c r="J68">
        <f>'Monthly Data (14-23) Used'!CA68</f>
        <v>0</v>
      </c>
      <c r="K68">
        <f>'Monthly Data (14-23) Used'!BJ68</f>
        <v>67</v>
      </c>
      <c r="L68" s="6">
        <f>'Monthly Data (14-23) Used'!DD68</f>
        <v>0</v>
      </c>
      <c r="M68" s="6">
        <f>'Monthly Data (14-23) Used'!DG68</f>
        <v>0</v>
      </c>
      <c r="N68">
        <f>'Monthly Data (14-23) Used'!DD68</f>
        <v>0</v>
      </c>
      <c r="O68">
        <f>'Monthly Data (14-23) Used'!DG68</f>
        <v>0</v>
      </c>
      <c r="Q68" s="6"/>
      <c r="R68" s="6">
        <f t="shared" ca="1" si="21"/>
        <v>5324.2884275812421</v>
      </c>
      <c r="S68" s="6">
        <f t="shared" ca="1" si="22"/>
        <v>-2746660.4847765993</v>
      </c>
      <c r="T68" s="6">
        <f t="shared" si="23"/>
        <v>0</v>
      </c>
      <c r="U68" s="6">
        <f t="shared" si="24"/>
        <v>0</v>
      </c>
      <c r="V68" s="6"/>
      <c r="W68" s="6"/>
      <c r="X68" s="6"/>
      <c r="Y68" s="6">
        <f t="shared" ca="1" si="20"/>
        <v>32138508.621947862</v>
      </c>
      <c r="Z68" s="6">
        <f ca="1">Y68-'Res Normalized Monthly'!V68</f>
        <v>673709.9184643738</v>
      </c>
    </row>
    <row r="69" spans="1:26">
      <c r="A69" s="197">
        <v>43678</v>
      </c>
      <c r="B69">
        <f t="shared" si="18"/>
        <v>8</v>
      </c>
      <c r="C69">
        <f t="shared" si="19"/>
        <v>2019</v>
      </c>
      <c r="D69" s="6">
        <f>'Monthly Data (longer 09-23)'!E129</f>
        <v>30755784.81829688</v>
      </c>
      <c r="E69" s="230">
        <f>'Monthly Data (14-23) Used'!AC69</f>
        <v>0.39999999999999858</v>
      </c>
      <c r="F69">
        <f>'Monthly Data (14-23) Used'!AF69</f>
        <v>185.96447700859014</v>
      </c>
      <c r="G69" s="7">
        <f t="shared" ca="1" si="25"/>
        <v>2.7971045982819609</v>
      </c>
      <c r="H69" s="7">
        <f t="shared" ca="1" si="25"/>
        <v>183.87605861546231</v>
      </c>
      <c r="I69">
        <f>'Monthly Data (14-23) Used'!CB69</f>
        <v>31</v>
      </c>
      <c r="J69">
        <f>'Monthly Data (14-23) Used'!CA69</f>
        <v>0</v>
      </c>
      <c r="K69">
        <f>'Monthly Data (14-23) Used'!BJ69</f>
        <v>68</v>
      </c>
      <c r="L69" s="6">
        <f>'Monthly Data (14-23) Used'!DD69</f>
        <v>0</v>
      </c>
      <c r="M69" s="6">
        <f>'Monthly Data (14-23) Used'!DG69</f>
        <v>0</v>
      </c>
      <c r="N69">
        <f>'Monthly Data (14-23) Used'!DD69</f>
        <v>0</v>
      </c>
      <c r="O69">
        <f>'Monthly Data (14-23) Used'!DG69</f>
        <v>0</v>
      </c>
      <c r="Q69" s="6"/>
      <c r="R69" s="6">
        <f t="shared" ca="1" si="21"/>
        <v>17017.168363112578</v>
      </c>
      <c r="S69" s="6">
        <f t="shared" ca="1" si="22"/>
        <v>-139120.93721694086</v>
      </c>
      <c r="T69" s="6">
        <f t="shared" si="23"/>
        <v>0</v>
      </c>
      <c r="U69" s="6">
        <f t="shared" si="24"/>
        <v>0</v>
      </c>
      <c r="V69" s="6"/>
      <c r="W69" s="6"/>
      <c r="X69" s="6"/>
      <c r="Y69" s="6">
        <f t="shared" ca="1" si="20"/>
        <v>30633681.049443051</v>
      </c>
      <c r="Z69" s="6">
        <f ca="1">Y69-'Res Normalized Monthly'!V69</f>
        <v>955095.30081905797</v>
      </c>
    </row>
    <row r="70" spans="1:26">
      <c r="A70" s="197">
        <v>43709</v>
      </c>
      <c r="B70">
        <f t="shared" si="18"/>
        <v>9</v>
      </c>
      <c r="C70">
        <f t="shared" si="19"/>
        <v>2019</v>
      </c>
      <c r="D70" s="6">
        <f>'Monthly Data (longer 09-23)'!E130</f>
        <v>23830627.81829688</v>
      </c>
      <c r="E70" s="230">
        <f>'Monthly Data (14-23) Used'!AC70</f>
        <v>14.699999999999998</v>
      </c>
      <c r="F70">
        <f>'Monthly Data (14-23) Used'!AF70</f>
        <v>98.300000000000011</v>
      </c>
      <c r="G70" s="7">
        <f t="shared" ca="1" si="25"/>
        <v>39.200656897422931</v>
      </c>
      <c r="H70" s="7">
        <f t="shared" ca="1" si="25"/>
        <v>90.709343102577066</v>
      </c>
      <c r="I70">
        <f>'Monthly Data (14-23) Used'!CB70</f>
        <v>30</v>
      </c>
      <c r="J70">
        <f>'Monthly Data (14-23) Used'!CA70</f>
        <v>0</v>
      </c>
      <c r="K70">
        <f>'Monthly Data (14-23) Used'!BJ70</f>
        <v>69</v>
      </c>
      <c r="L70" s="6">
        <f>'Monthly Data (14-23) Used'!DD70</f>
        <v>0</v>
      </c>
      <c r="M70" s="6">
        <f>'Monthly Data (14-23) Used'!DG70</f>
        <v>0</v>
      </c>
      <c r="N70">
        <f>'Monthly Data (14-23) Used'!DD70</f>
        <v>0</v>
      </c>
      <c r="O70">
        <f>'Monthly Data (14-23) Used'!DG70</f>
        <v>0</v>
      </c>
      <c r="Q70" s="6"/>
      <c r="R70" s="6">
        <f t="shared" ca="1" si="21"/>
        <v>173931.41864944997</v>
      </c>
      <c r="S70" s="6">
        <f t="shared" ca="1" si="22"/>
        <v>-505655.04744483531</v>
      </c>
      <c r="T70" s="6">
        <f t="shared" si="23"/>
        <v>0</v>
      </c>
      <c r="U70" s="6">
        <f t="shared" si="24"/>
        <v>0</v>
      </c>
      <c r="V70" s="6"/>
      <c r="W70" s="6"/>
      <c r="X70" s="6"/>
      <c r="Y70" s="6">
        <f t="shared" ca="1" si="20"/>
        <v>23498904.189501494</v>
      </c>
      <c r="Z70" s="6">
        <f ca="1">Y70-'Res Normalized Monthly'!V70</f>
        <v>492305.37841838226</v>
      </c>
    </row>
    <row r="71" spans="1:26">
      <c r="A71" s="197">
        <v>43739</v>
      </c>
      <c r="B71">
        <f t="shared" si="18"/>
        <v>10</v>
      </c>
      <c r="C71">
        <f t="shared" si="19"/>
        <v>2019</v>
      </c>
      <c r="D71" s="6">
        <f>'Monthly Data (longer 09-23)'!E131</f>
        <v>18077838.81829688</v>
      </c>
      <c r="E71" s="230">
        <f>'Monthly Data (14-23) Used'!AC71</f>
        <v>204.10000000000002</v>
      </c>
      <c r="F71">
        <f>'Monthly Data (14-23) Used'!AF71</f>
        <v>13.3</v>
      </c>
      <c r="G71" s="7">
        <f t="shared" ca="1" si="25"/>
        <v>194.90420919656393</v>
      </c>
      <c r="H71" s="7">
        <f t="shared" ca="1" si="25"/>
        <v>20.479999999999997</v>
      </c>
      <c r="I71">
        <f>'Monthly Data (14-23) Used'!CB71</f>
        <v>31</v>
      </c>
      <c r="J71">
        <f>'Monthly Data (14-23) Used'!CA71</f>
        <v>1</v>
      </c>
      <c r="K71">
        <f>'Monthly Data (14-23) Used'!BJ71</f>
        <v>70</v>
      </c>
      <c r="L71" s="6">
        <f>'Monthly Data (14-23) Used'!DD71</f>
        <v>0</v>
      </c>
      <c r="M71" s="6">
        <f>'Monthly Data (14-23) Used'!DG71</f>
        <v>0</v>
      </c>
      <c r="N71">
        <f>'Monthly Data (14-23) Used'!DD71</f>
        <v>0</v>
      </c>
      <c r="O71">
        <f>'Monthly Data (14-23) Used'!DG71</f>
        <v>0</v>
      </c>
      <c r="Q71" s="6"/>
      <c r="R71" s="6">
        <f t="shared" ca="1" si="21"/>
        <v>-65281.390076257099</v>
      </c>
      <c r="S71" s="6">
        <f t="shared" ca="1" si="22"/>
        <v>478298.95221407223</v>
      </c>
      <c r="T71" s="6">
        <f t="shared" si="23"/>
        <v>0</v>
      </c>
      <c r="U71" s="6">
        <f t="shared" si="24"/>
        <v>0</v>
      </c>
      <c r="V71" s="6"/>
      <c r="W71" s="6"/>
      <c r="X71" s="6"/>
      <c r="Y71" s="6">
        <f t="shared" ca="1" si="20"/>
        <v>18490856.380434696</v>
      </c>
      <c r="Z71" s="6">
        <f ca="1">Y71-'Res Normalized Monthly'!V71</f>
        <v>3840.5029842294753</v>
      </c>
    </row>
    <row r="72" spans="1:26">
      <c r="A72" s="197">
        <v>43770</v>
      </c>
      <c r="B72">
        <f t="shared" si="18"/>
        <v>11</v>
      </c>
      <c r="C72">
        <f t="shared" si="19"/>
        <v>2019</v>
      </c>
      <c r="D72" s="6">
        <f>'Monthly Data (longer 09-23)'!E132</f>
        <v>19283634.81829688</v>
      </c>
      <c r="E72" s="230">
        <f>'Monthly Data (14-23) Used'!AC72</f>
        <v>495.19999999999993</v>
      </c>
      <c r="F72">
        <f>'Monthly Data (14-23) Used'!AF72</f>
        <v>0</v>
      </c>
      <c r="G72" s="7">
        <f t="shared" ca="1" si="25"/>
        <v>404.02065689742301</v>
      </c>
      <c r="H72" s="7">
        <f t="shared" ca="1" si="25"/>
        <v>0.6699999999999996</v>
      </c>
      <c r="I72">
        <f>'Monthly Data (14-23) Used'!CB72</f>
        <v>30</v>
      </c>
      <c r="J72">
        <f>'Monthly Data (14-23) Used'!CA72</f>
        <v>1</v>
      </c>
      <c r="K72">
        <f>'Monthly Data (14-23) Used'!BJ72</f>
        <v>71</v>
      </c>
      <c r="L72" s="6">
        <f>'Monthly Data (14-23) Used'!DD72</f>
        <v>0</v>
      </c>
      <c r="M72" s="6">
        <f>'Monthly Data (14-23) Used'!DG72</f>
        <v>0</v>
      </c>
      <c r="N72">
        <f>'Monthly Data (14-23) Used'!DD72</f>
        <v>0</v>
      </c>
      <c r="O72">
        <f>'Monthly Data (14-23) Used'!DG72</f>
        <v>0</v>
      </c>
      <c r="Q72" s="6"/>
      <c r="R72" s="6">
        <f t="shared" ca="1" si="21"/>
        <v>-647286.82842067978</v>
      </c>
      <c r="S72" s="6">
        <f t="shared" ca="1" si="22"/>
        <v>44632.353479586127</v>
      </c>
      <c r="T72" s="6">
        <f t="shared" si="23"/>
        <v>0</v>
      </c>
      <c r="U72" s="6">
        <f t="shared" si="24"/>
        <v>0</v>
      </c>
      <c r="V72" s="6"/>
      <c r="W72" s="6"/>
      <c r="X72" s="6"/>
      <c r="Y72" s="6">
        <f t="shared" ca="1" si="20"/>
        <v>18680980.343355786</v>
      </c>
      <c r="Z72" s="6">
        <f ca="1">Y72-'Res Normalized Monthly'!V72</f>
        <v>753162.87858460471</v>
      </c>
    </row>
    <row r="73" spans="1:26">
      <c r="A73" s="197">
        <v>43800</v>
      </c>
      <c r="B73">
        <f t="shared" si="18"/>
        <v>12</v>
      </c>
      <c r="C73">
        <f t="shared" si="19"/>
        <v>2019</v>
      </c>
      <c r="D73" s="6">
        <f>'Monthly Data (longer 09-23)'!E133</f>
        <v>21585918.81829688</v>
      </c>
      <c r="E73" s="230">
        <f>'Monthly Data (14-23) Used'!AC73</f>
        <v>527.90000000000009</v>
      </c>
      <c r="F73">
        <f>'Monthly Data (14-23) Used'!AF73</f>
        <v>0</v>
      </c>
      <c r="G73" s="7">
        <f t="shared" ca="1" si="25"/>
        <v>533.7700000000001</v>
      </c>
      <c r="H73" s="7">
        <f t="shared" ca="1" si="25"/>
        <v>0</v>
      </c>
      <c r="I73">
        <f>'Monthly Data (14-23) Used'!CB73</f>
        <v>31</v>
      </c>
      <c r="J73">
        <f>'Monthly Data (14-23) Used'!CA73</f>
        <v>0</v>
      </c>
      <c r="K73">
        <f>'Monthly Data (14-23) Used'!BJ73</f>
        <v>72</v>
      </c>
      <c r="L73" s="6">
        <f>'Monthly Data (14-23) Used'!DD73</f>
        <v>0</v>
      </c>
      <c r="M73" s="6">
        <f>'Monthly Data (14-23) Used'!DG73</f>
        <v>0</v>
      </c>
      <c r="N73">
        <f>'Monthly Data (14-23) Used'!DD73</f>
        <v>0</v>
      </c>
      <c r="O73">
        <f>'Monthly Data (14-23) Used'!DG73</f>
        <v>0</v>
      </c>
      <c r="Q73" s="6"/>
      <c r="R73" s="6">
        <f t="shared" ca="1" si="21"/>
        <v>41671.430759869225</v>
      </c>
      <c r="S73" s="6">
        <f t="shared" ca="1" si="22"/>
        <v>0</v>
      </c>
      <c r="T73" s="6">
        <f t="shared" si="23"/>
        <v>0</v>
      </c>
      <c r="U73" s="6">
        <f t="shared" si="24"/>
        <v>0</v>
      </c>
      <c r="V73" s="6"/>
      <c r="W73" s="6"/>
      <c r="X73" s="6"/>
      <c r="Y73" s="6">
        <f t="shared" ca="1" si="20"/>
        <v>21627590.249056749</v>
      </c>
      <c r="Z73" s="6">
        <f ca="1">Y73-'Res Normalized Monthly'!V73</f>
        <v>342017.16828624159</v>
      </c>
    </row>
    <row r="74" spans="1:26">
      <c r="A74" s="197">
        <v>43831</v>
      </c>
      <c r="B74">
        <f t="shared" si="18"/>
        <v>1</v>
      </c>
      <c r="C74">
        <f t="shared" si="19"/>
        <v>2020</v>
      </c>
      <c r="D74" s="6">
        <f>'Monthly Data (longer 09-23)'!E134</f>
        <v>20814897.730626732</v>
      </c>
      <c r="E74" s="230">
        <f>'Monthly Data (14-23) Used'!AC74</f>
        <v>561.20000000000016</v>
      </c>
      <c r="F74">
        <f>'Monthly Data (14-23) Used'!AF74</f>
        <v>0</v>
      </c>
      <c r="G74" s="7">
        <f t="shared" ca="1" si="25"/>
        <v>671</v>
      </c>
      <c r="H74" s="7">
        <f t="shared" ca="1" si="25"/>
        <v>0</v>
      </c>
      <c r="I74">
        <f>'Monthly Data (14-23) Used'!CB74</f>
        <v>31</v>
      </c>
      <c r="J74">
        <f>'Monthly Data (14-23) Used'!CA74</f>
        <v>0</v>
      </c>
      <c r="K74">
        <f>'Monthly Data (14-23) Used'!BJ74</f>
        <v>73</v>
      </c>
      <c r="L74" s="6">
        <f>'Monthly Data (14-23) Used'!DD74</f>
        <v>0</v>
      </c>
      <c r="M74" s="6">
        <f>'Monthly Data (14-23) Used'!DG74</f>
        <v>0</v>
      </c>
      <c r="N74">
        <f>'Monthly Data (14-23) Used'!DD74</f>
        <v>0</v>
      </c>
      <c r="O74">
        <f>'Monthly Data (14-23) Used'!DG74</f>
        <v>0</v>
      </c>
      <c r="P74" t="s">
        <v>81</v>
      </c>
      <c r="Q74" s="6"/>
      <c r="R74" s="6">
        <f t="shared" ca="1" si="21"/>
        <v>779475.82579789276</v>
      </c>
      <c r="S74" s="6">
        <f t="shared" ca="1" si="22"/>
        <v>0</v>
      </c>
      <c r="T74" s="6">
        <f t="shared" si="23"/>
        <v>0</v>
      </c>
      <c r="U74" s="6">
        <f t="shared" si="24"/>
        <v>0</v>
      </c>
      <c r="V74" s="6"/>
      <c r="W74" s="6"/>
      <c r="X74" s="6"/>
      <c r="Y74" s="6">
        <f t="shared" ca="1" si="20"/>
        <v>21594373.556424625</v>
      </c>
      <c r="Z74" s="6">
        <f ca="1">Y74-'Res Normalized Monthly'!V74</f>
        <v>-687044.94420043379</v>
      </c>
    </row>
    <row r="75" spans="1:26">
      <c r="A75" s="197">
        <v>43862</v>
      </c>
      <c r="B75">
        <f t="shared" si="18"/>
        <v>2</v>
      </c>
      <c r="C75">
        <f t="shared" si="19"/>
        <v>2020</v>
      </c>
      <c r="D75" s="6">
        <f>'Monthly Data (longer 09-23)'!E135</f>
        <v>19314397.730626732</v>
      </c>
      <c r="E75" s="230">
        <f>'Monthly Data (14-23) Used'!AC75</f>
        <v>569.29999999999984</v>
      </c>
      <c r="F75">
        <f>'Monthly Data (14-23) Used'!AF75</f>
        <v>0</v>
      </c>
      <c r="G75" s="7">
        <f t="shared" ca="1" si="25"/>
        <v>595.51355229914111</v>
      </c>
      <c r="H75" s="7">
        <f t="shared" ca="1" si="25"/>
        <v>0</v>
      </c>
      <c r="I75">
        <f>'Monthly Data (14-23) Used'!CB75</f>
        <v>29</v>
      </c>
      <c r="J75">
        <f>'Monthly Data (14-23) Used'!CA75</f>
        <v>0</v>
      </c>
      <c r="K75">
        <f>'Monthly Data (14-23) Used'!BJ75</f>
        <v>74</v>
      </c>
      <c r="L75" s="6">
        <f>'Monthly Data (14-23) Used'!DD75</f>
        <v>0</v>
      </c>
      <c r="M75" s="6">
        <f>'Monthly Data (14-23) Used'!DG75</f>
        <v>0</v>
      </c>
      <c r="N75">
        <f>'Monthly Data (14-23) Used'!DD75</f>
        <v>0</v>
      </c>
      <c r="O75">
        <f>'Monthly Data (14-23) Used'!DI75</f>
        <v>0</v>
      </c>
      <c r="P75">
        <f>'Monthly Data (longer 09-23)'!CF135</f>
        <v>0</v>
      </c>
      <c r="Q75" s="6"/>
      <c r="R75" s="6">
        <f t="shared" ca="1" si="21"/>
        <v>186091.35086948471</v>
      </c>
      <c r="S75" s="6">
        <f t="shared" ca="1" si="22"/>
        <v>0</v>
      </c>
      <c r="T75" s="6">
        <f t="shared" si="23"/>
        <v>0</v>
      </c>
      <c r="U75" s="6">
        <f t="shared" si="24"/>
        <v>0</v>
      </c>
      <c r="V75" s="6"/>
      <c r="W75" s="6"/>
      <c r="X75" s="6"/>
      <c r="Y75" s="6">
        <f t="shared" ca="1" si="20"/>
        <v>19500489.081496216</v>
      </c>
      <c r="Z75" s="6">
        <f ca="1">Y75-'Res Normalized Monthly'!V75</f>
        <v>-775255.3079277575</v>
      </c>
    </row>
    <row r="76" spans="1:26">
      <c r="A76" s="197">
        <v>43891</v>
      </c>
      <c r="B76">
        <f t="shared" si="18"/>
        <v>3</v>
      </c>
      <c r="C76">
        <f t="shared" si="19"/>
        <v>2020</v>
      </c>
      <c r="D76" s="6">
        <f>'Monthly Data (longer 09-23)'!E136</f>
        <v>19587303.730626732</v>
      </c>
      <c r="E76" s="230">
        <f>'Monthly Data (14-23) Used'!AC76</f>
        <v>422.2</v>
      </c>
      <c r="F76">
        <f>'Monthly Data (14-23) Used'!AF76</f>
        <v>0</v>
      </c>
      <c r="G76" s="7">
        <f t="shared" ca="1" si="25"/>
        <v>496.46355229914104</v>
      </c>
      <c r="H76" s="7">
        <f t="shared" ca="1" si="25"/>
        <v>0</v>
      </c>
      <c r="I76">
        <f>'Monthly Data (14-23) Used'!CB76</f>
        <v>31</v>
      </c>
      <c r="J76">
        <f>'Monthly Data (14-23) Used'!CA76</f>
        <v>1</v>
      </c>
      <c r="K76">
        <f>'Monthly Data (14-23) Used'!BJ76</f>
        <v>75</v>
      </c>
      <c r="L76" s="6">
        <f>'Monthly Data (14-23) Used'!DD76</f>
        <v>211.1</v>
      </c>
      <c r="M76" s="6">
        <f>'Monthly Data (14-23) Used'!DG76</f>
        <v>0</v>
      </c>
      <c r="N76" s="7">
        <f ca="1">G76*P76</f>
        <v>248.23177614957052</v>
      </c>
      <c r="O76" s="7">
        <f ca="1">H76*P76</f>
        <v>0</v>
      </c>
      <c r="P76">
        <f>'Monthly Data (longer 09-23)'!CF136</f>
        <v>0.5</v>
      </c>
      <c r="Q76" s="6"/>
      <c r="R76" s="6">
        <f t="shared" ca="1" si="21"/>
        <v>527200.76279652142</v>
      </c>
      <c r="S76" s="6">
        <f t="shared" ca="1" si="22"/>
        <v>0</v>
      </c>
      <c r="T76" s="6">
        <f t="shared" ca="1" si="23"/>
        <v>89422.495836871967</v>
      </c>
      <c r="U76" s="6">
        <f t="shared" ca="1" si="24"/>
        <v>0</v>
      </c>
      <c r="V76" s="6"/>
      <c r="W76" s="6"/>
      <c r="X76" s="6"/>
      <c r="Y76" s="6">
        <f t="shared" ca="1" si="20"/>
        <v>20203926.989260126</v>
      </c>
      <c r="Z76" s="6">
        <f ca="1">Y76-'Res Normalized Monthly'!V76</f>
        <v>234393.78839476779</v>
      </c>
    </row>
    <row r="77" spans="1:26">
      <c r="A77" s="197">
        <v>43922</v>
      </c>
      <c r="B77">
        <f t="shared" si="18"/>
        <v>4</v>
      </c>
      <c r="C77">
        <f t="shared" si="19"/>
        <v>2020</v>
      </c>
      <c r="D77" s="6">
        <f>'Monthly Data (longer 09-23)'!E137</f>
        <v>18859222.730626732</v>
      </c>
      <c r="E77" s="230">
        <f>'Monthly Data (14-23) Used'!AC77</f>
        <v>336.5</v>
      </c>
      <c r="F77">
        <f>'Monthly Data (14-23) Used'!AF77</f>
        <v>0</v>
      </c>
      <c r="G77" s="7">
        <f t="shared" ca="1" si="25"/>
        <v>296.23000000000008</v>
      </c>
      <c r="H77" s="7">
        <f t="shared" ca="1" si="25"/>
        <v>3.0799999999999996</v>
      </c>
      <c r="I77">
        <f>'Monthly Data (14-23) Used'!CB77</f>
        <v>30</v>
      </c>
      <c r="J77">
        <f>'Monthly Data (14-23) Used'!CA77</f>
        <v>1</v>
      </c>
      <c r="K77">
        <f>'Monthly Data (14-23) Used'!BJ77</f>
        <v>76</v>
      </c>
      <c r="L77" s="6">
        <f>'Monthly Data (14-23) Used'!DD77</f>
        <v>336.5</v>
      </c>
      <c r="M77" s="6">
        <f>'Monthly Data (14-23) Used'!DG77</f>
        <v>0</v>
      </c>
      <c r="N77" s="7">
        <f t="shared" ref="N77:N133" ca="1" si="26">G77*P77</f>
        <v>296.23000000000008</v>
      </c>
      <c r="O77" s="7">
        <f t="shared" ref="O77:O133" ca="1" si="27">H77*P77</f>
        <v>3.0799999999999996</v>
      </c>
      <c r="P77">
        <f>'Monthly Data (longer 09-23)'!CF137</f>
        <v>1</v>
      </c>
      <c r="Q77" s="6"/>
      <c r="R77" s="6">
        <f t="shared" ca="1" si="21"/>
        <v>-285878.79330492829</v>
      </c>
      <c r="S77" s="6">
        <f t="shared" ca="1" si="22"/>
        <v>205175.59510018706</v>
      </c>
      <c r="T77" s="6">
        <f t="shared" ca="1" si="23"/>
        <v>-96980.114628652838</v>
      </c>
      <c r="U77" s="6">
        <f t="shared" ca="1" si="24"/>
        <v>47362.830977389305</v>
      </c>
      <c r="V77" s="6"/>
      <c r="W77" s="6"/>
      <c r="X77" s="6"/>
      <c r="Y77" s="6">
        <f t="shared" ca="1" si="20"/>
        <v>18728902.248770725</v>
      </c>
      <c r="Z77" s="6">
        <f ca="1">Y77-'Res Normalized Monthly'!V77</f>
        <v>536781.94719488546</v>
      </c>
    </row>
    <row r="78" spans="1:26">
      <c r="A78" s="197">
        <v>43952</v>
      </c>
      <c r="B78">
        <f t="shared" si="18"/>
        <v>5</v>
      </c>
      <c r="C78">
        <f t="shared" si="19"/>
        <v>2020</v>
      </c>
      <c r="D78" s="6">
        <f>'Monthly Data (longer 09-23)'!E138</f>
        <v>21309027.730626732</v>
      </c>
      <c r="E78" s="230">
        <f>'Monthly Data (14-23) Used'!AC78</f>
        <v>160.50000000000003</v>
      </c>
      <c r="F78">
        <f>'Monthly Data (14-23) Used'!AF78</f>
        <v>43.2</v>
      </c>
      <c r="G78" s="7">
        <f t="shared" ca="1" si="25"/>
        <v>116.90355229914098</v>
      </c>
      <c r="H78" s="7">
        <f t="shared" ca="1" si="25"/>
        <v>53.286447700859014</v>
      </c>
      <c r="I78">
        <f>'Monthly Data (14-23) Used'!CB78</f>
        <v>31</v>
      </c>
      <c r="J78">
        <f>'Monthly Data (14-23) Used'!CA78</f>
        <v>1</v>
      </c>
      <c r="K78">
        <f>'Monthly Data (14-23) Used'!BJ78</f>
        <v>77</v>
      </c>
      <c r="L78" s="6">
        <f>'Monthly Data (14-23) Used'!DD78</f>
        <v>160.50000000000003</v>
      </c>
      <c r="M78" s="6">
        <f>'Monthly Data (14-23) Used'!DG78</f>
        <v>43.2</v>
      </c>
      <c r="N78" s="7">
        <f t="shared" ca="1" si="26"/>
        <v>116.90355229914098</v>
      </c>
      <c r="O78" s="7">
        <f t="shared" ca="1" si="27"/>
        <v>53.286447700859014</v>
      </c>
      <c r="P78">
        <f>'Monthly Data (longer 09-23)'!CF138</f>
        <v>1</v>
      </c>
      <c r="Q78" s="6"/>
      <c r="R78" s="6">
        <f t="shared" ca="1" si="21"/>
        <v>-309493.41596977954</v>
      </c>
      <c r="S78" s="6">
        <f t="shared" ca="1" si="22"/>
        <v>671913.28229566931</v>
      </c>
      <c r="T78" s="6">
        <f t="shared" ca="1" si="23"/>
        <v>-104991.02298066518</v>
      </c>
      <c r="U78" s="6">
        <f t="shared" ca="1" si="24"/>
        <v>155104.77844742287</v>
      </c>
      <c r="V78" s="6"/>
      <c r="W78" s="6"/>
      <c r="X78" s="6"/>
      <c r="Y78" s="6">
        <f t="shared" ca="1" si="20"/>
        <v>21721561.352419384</v>
      </c>
      <c r="Z78" s="6">
        <f ca="1">Y78-'Res Normalized Monthly'!V78</f>
        <v>350414.16324555874</v>
      </c>
    </row>
    <row r="79" spans="1:26">
      <c r="A79" s="197">
        <v>43983</v>
      </c>
      <c r="B79">
        <f t="shared" si="18"/>
        <v>6</v>
      </c>
      <c r="C79">
        <f t="shared" si="19"/>
        <v>2020</v>
      </c>
      <c r="D79" s="6">
        <f>'Monthly Data (longer 09-23)'!E139</f>
        <v>29738196.730626732</v>
      </c>
      <c r="E79" s="230">
        <f>'Monthly Data (14-23) Used'!AC79</f>
        <v>10.799999999999999</v>
      </c>
      <c r="F79">
        <f>'Monthly Data (14-23) Used'!AF79</f>
        <v>164.9</v>
      </c>
      <c r="G79" s="7">
        <f t="shared" ca="1" si="25"/>
        <v>11.023552299140979</v>
      </c>
      <c r="H79" s="7">
        <f t="shared" ca="1" si="25"/>
        <v>145.07</v>
      </c>
      <c r="I79">
        <f>'Monthly Data (14-23) Used'!CB79</f>
        <v>30</v>
      </c>
      <c r="J79">
        <f>'Monthly Data (14-23) Used'!CA79</f>
        <v>0</v>
      </c>
      <c r="K79">
        <f>'Monthly Data (14-23) Used'!BJ79</f>
        <v>78</v>
      </c>
      <c r="L79" s="6">
        <f>'Monthly Data (14-23) Used'!DD79</f>
        <v>10.799999999999999</v>
      </c>
      <c r="M79" s="6">
        <f>'Monthly Data (14-23) Used'!DG79</f>
        <v>164.9</v>
      </c>
      <c r="N79" s="7">
        <f t="shared" ca="1" si="26"/>
        <v>11.023552299140979</v>
      </c>
      <c r="O79" s="7">
        <f t="shared" ca="1" si="27"/>
        <v>145.07</v>
      </c>
      <c r="P79">
        <f>'Monthly Data (longer 09-23)'!CF139</f>
        <v>1</v>
      </c>
      <c r="Q79" s="6"/>
      <c r="R79" s="6">
        <f t="shared" ca="1" si="21"/>
        <v>1587.0092257006679</v>
      </c>
      <c r="S79" s="6">
        <f t="shared" ca="1" si="22"/>
        <v>-1320984.4320898417</v>
      </c>
      <c r="T79" s="6">
        <f t="shared" ca="1" si="23"/>
        <v>538.36919781949814</v>
      </c>
      <c r="U79" s="6">
        <f t="shared" ca="1" si="24"/>
        <v>-304936.66827325674</v>
      </c>
      <c r="V79" s="6"/>
      <c r="W79" s="6"/>
      <c r="X79" s="6"/>
      <c r="Y79" s="6">
        <f t="shared" ca="1" si="20"/>
        <v>28114401.008687153</v>
      </c>
      <c r="Z79" s="6">
        <f ca="1">Y79-'Res Normalized Monthly'!V79</f>
        <v>-765577.97601482272</v>
      </c>
    </row>
    <row r="80" spans="1:26">
      <c r="A80" s="197">
        <v>44013</v>
      </c>
      <c r="B80">
        <f t="shared" si="18"/>
        <v>7</v>
      </c>
      <c r="C80">
        <f t="shared" si="19"/>
        <v>2020</v>
      </c>
      <c r="D80" s="6">
        <f>'Monthly Data (longer 09-23)'!E140</f>
        <v>39172531.730626732</v>
      </c>
      <c r="E80" s="230">
        <f>'Monthly Data (14-23) Used'!AC80</f>
        <v>0</v>
      </c>
      <c r="F80">
        <f>'Monthly Data (14-23) Used'!AF80</f>
        <v>267.70000000000005</v>
      </c>
      <c r="G80" s="7">
        <f t="shared" ca="1" si="25"/>
        <v>0.75</v>
      </c>
      <c r="H80" s="7">
        <f t="shared" ca="1" si="25"/>
        <v>211.23289540171805</v>
      </c>
      <c r="I80">
        <f>'Monthly Data (14-23) Used'!CB80</f>
        <v>31</v>
      </c>
      <c r="J80">
        <f>'Monthly Data (14-23) Used'!CA80</f>
        <v>0</v>
      </c>
      <c r="K80">
        <f>'Monthly Data (14-23) Used'!BJ80</f>
        <v>79</v>
      </c>
      <c r="L80" s="6">
        <f>'Monthly Data (14-23) Used'!DD80</f>
        <v>0</v>
      </c>
      <c r="M80" s="6">
        <f>'Monthly Data (14-23) Used'!DG80</f>
        <v>267.70000000000005</v>
      </c>
      <c r="N80" s="7">
        <f t="shared" ca="1" si="26"/>
        <v>0.75</v>
      </c>
      <c r="O80" s="7">
        <f t="shared" ca="1" si="27"/>
        <v>211.23289540171805</v>
      </c>
      <c r="P80">
        <f>'Monthly Data (longer 09-23)'!CF140</f>
        <v>1</v>
      </c>
      <c r="Q80" s="6"/>
      <c r="R80" s="6">
        <f t="shared" ca="1" si="21"/>
        <v>5324.2884275812421</v>
      </c>
      <c r="S80" s="6">
        <f t="shared" ca="1" si="22"/>
        <v>-3761581.7498496813</v>
      </c>
      <c r="T80" s="6">
        <f t="shared" ca="1" si="23"/>
        <v>1806.1853978517449</v>
      </c>
      <c r="U80" s="6">
        <f t="shared" ca="1" si="24"/>
        <v>-868325.30223084183</v>
      </c>
      <c r="V80" s="6"/>
      <c r="W80" s="6"/>
      <c r="X80" s="6"/>
      <c r="Y80" s="6">
        <f t="shared" ca="1" si="20"/>
        <v>34549755.152371638</v>
      </c>
      <c r="Z80" s="6">
        <f ca="1">Y80-'Res Normalized Monthly'!V80</f>
        <v>-424803.99183826894</v>
      </c>
    </row>
    <row r="81" spans="1:26">
      <c r="A81" s="197">
        <v>44044</v>
      </c>
      <c r="B81">
        <f t="shared" si="18"/>
        <v>8</v>
      </c>
      <c r="C81">
        <f t="shared" si="19"/>
        <v>2020</v>
      </c>
      <c r="D81" s="6">
        <f>'Monthly Data (longer 09-23)'!E141</f>
        <v>33842332.730626732</v>
      </c>
      <c r="E81" s="230">
        <f>'Monthly Data (14-23) Used'!AC81</f>
        <v>0</v>
      </c>
      <c r="F81">
        <f>'Monthly Data (14-23) Used'!AF81</f>
        <v>182.05790803436074</v>
      </c>
      <c r="G81" s="7">
        <f t="shared" ca="1" si="25"/>
        <v>2.7971045982819609</v>
      </c>
      <c r="H81" s="7">
        <f t="shared" ca="1" si="25"/>
        <v>183.87605861546231</v>
      </c>
      <c r="I81">
        <f>'Monthly Data (14-23) Used'!CB81</f>
        <v>31</v>
      </c>
      <c r="J81">
        <f>'Monthly Data (14-23) Used'!CA81</f>
        <v>0</v>
      </c>
      <c r="K81">
        <f>'Monthly Data (14-23) Used'!BJ81</f>
        <v>80</v>
      </c>
      <c r="L81" s="6">
        <f>'Monthly Data (14-23) Used'!DD81</f>
        <v>0</v>
      </c>
      <c r="M81" s="6">
        <f>'Monthly Data (14-23) Used'!DG81</f>
        <v>182.05790803436074</v>
      </c>
      <c r="N81" s="7">
        <f t="shared" ca="1" si="26"/>
        <v>2.7971045982819609</v>
      </c>
      <c r="O81" s="7">
        <f t="shared" ca="1" si="27"/>
        <v>183.87605861546231</v>
      </c>
      <c r="P81">
        <f>'Monthly Data (longer 09-23)'!CF141</f>
        <v>1</v>
      </c>
      <c r="Q81" s="6"/>
      <c r="R81" s="6">
        <f t="shared" ca="1" si="21"/>
        <v>19856.788857822565</v>
      </c>
      <c r="S81" s="6">
        <f t="shared" ca="1" si="22"/>
        <v>121116.92449976201</v>
      </c>
      <c r="T81" s="6">
        <f t="shared" ca="1" si="23"/>
        <v>6736.1193089077988</v>
      </c>
      <c r="U81" s="6">
        <f t="shared" ca="1" si="24"/>
        <v>27958.687877972774</v>
      </c>
      <c r="V81" s="6"/>
      <c r="W81" s="6"/>
      <c r="X81" s="6"/>
      <c r="Y81" s="6">
        <f t="shared" ca="1" si="20"/>
        <v>34018001.251171209</v>
      </c>
      <c r="Z81" s="6">
        <f ca="1">Y81-'Res Normalized Monthly'!V81</f>
        <v>1245406.0489433371</v>
      </c>
    </row>
    <row r="82" spans="1:26">
      <c r="A82" s="197">
        <v>44075</v>
      </c>
      <c r="B82">
        <f t="shared" si="18"/>
        <v>9</v>
      </c>
      <c r="C82">
        <f t="shared" si="19"/>
        <v>2020</v>
      </c>
      <c r="D82" s="6">
        <f>'Monthly Data (longer 09-23)'!E142</f>
        <v>22476560.730626732</v>
      </c>
      <c r="E82" s="230">
        <f>'Monthly Data (14-23) Used'!AC82</f>
        <v>62.1355229914098</v>
      </c>
      <c r="F82">
        <f>'Monthly Data (14-23) Used'!AF82</f>
        <v>55.628954017180384</v>
      </c>
      <c r="G82" s="7">
        <f t="shared" ca="1" si="25"/>
        <v>39.200656897422931</v>
      </c>
      <c r="H82" s="7">
        <f t="shared" ca="1" si="25"/>
        <v>90.709343102577066</v>
      </c>
      <c r="I82">
        <f>'Monthly Data (14-23) Used'!CB82</f>
        <v>30</v>
      </c>
      <c r="J82">
        <f>'Monthly Data (14-23) Used'!CA82</f>
        <v>0</v>
      </c>
      <c r="K82">
        <f>'Monthly Data (14-23) Used'!BJ82</f>
        <v>81</v>
      </c>
      <c r="L82" s="6">
        <f>'Monthly Data (14-23) Used'!DD82</f>
        <v>62.1355229914098</v>
      </c>
      <c r="M82" s="6">
        <f>'Monthly Data (14-23) Used'!DG82</f>
        <v>55.628954017180384</v>
      </c>
      <c r="N82" s="7">
        <f t="shared" ca="1" si="26"/>
        <v>39.200656897422931</v>
      </c>
      <c r="O82" s="7">
        <f t="shared" ca="1" si="27"/>
        <v>90.709343102577066</v>
      </c>
      <c r="P82">
        <f>'Monthly Data (longer 09-23)'!CF142</f>
        <v>1</v>
      </c>
      <c r="Q82" s="6"/>
      <c r="R82" s="6">
        <f t="shared" ca="1" si="21"/>
        <v>-162815.78950978626</v>
      </c>
      <c r="S82" s="6">
        <f t="shared" ca="1" si="22"/>
        <v>2336896.0087475232</v>
      </c>
      <c r="T82" s="6">
        <f t="shared" ca="1" si="23"/>
        <v>-55232.826987525557</v>
      </c>
      <c r="U82" s="6">
        <f t="shared" ca="1" si="24"/>
        <v>539450.17495866749</v>
      </c>
      <c r="V82" s="6"/>
      <c r="W82" s="6"/>
      <c r="X82" s="6"/>
      <c r="Y82" s="6">
        <f t="shared" ca="1" si="20"/>
        <v>25134858.297835611</v>
      </c>
      <c r="Z82" s="6">
        <f ca="1">Y82-'Res Normalized Monthly'!V82</f>
        <v>379256.41008418053</v>
      </c>
    </row>
    <row r="83" spans="1:26">
      <c r="A83" s="197">
        <v>44105</v>
      </c>
      <c r="B83">
        <f t="shared" si="18"/>
        <v>10</v>
      </c>
      <c r="C83">
        <f t="shared" si="19"/>
        <v>2020</v>
      </c>
      <c r="D83" s="6">
        <f>'Monthly Data (longer 09-23)'!E143</f>
        <v>18710830.730626732</v>
      </c>
      <c r="E83" s="230">
        <f>'Monthly Data (14-23) Used'!AC83</f>
        <v>239.7</v>
      </c>
      <c r="F83">
        <f>'Monthly Data (14-23) Used'!AF83</f>
        <v>4.9000000000000021</v>
      </c>
      <c r="G83" s="7">
        <f t="shared" ref="G83:H98" ca="1" si="28">G71</f>
        <v>194.90420919656393</v>
      </c>
      <c r="H83" s="7">
        <f t="shared" ca="1" si="28"/>
        <v>20.479999999999997</v>
      </c>
      <c r="I83">
        <f>'Monthly Data (14-23) Used'!CB83</f>
        <v>31</v>
      </c>
      <c r="J83">
        <f>'Monthly Data (14-23) Used'!CA83</f>
        <v>1</v>
      </c>
      <c r="K83">
        <f>'Monthly Data (14-23) Used'!BJ83</f>
        <v>82</v>
      </c>
      <c r="L83" s="6">
        <f>'Monthly Data (14-23) Used'!DD83</f>
        <v>239.7</v>
      </c>
      <c r="M83" s="6">
        <f>'Monthly Data (14-23) Used'!DG83</f>
        <v>4.9000000000000021</v>
      </c>
      <c r="N83" s="7">
        <f t="shared" ca="1" si="26"/>
        <v>194.90420919656393</v>
      </c>
      <c r="O83" s="7">
        <f t="shared" ca="1" si="27"/>
        <v>20.479999999999997</v>
      </c>
      <c r="P83">
        <f>'Monthly Data (longer 09-23)'!CF143</f>
        <v>1</v>
      </c>
      <c r="Q83" s="6"/>
      <c r="R83" s="6">
        <f t="shared" ca="1" si="21"/>
        <v>-318007.6141054465</v>
      </c>
      <c r="S83" s="6">
        <f t="shared" ca="1" si="22"/>
        <v>1037868.7570327641</v>
      </c>
      <c r="T83" s="6">
        <f t="shared" ca="1" si="23"/>
        <v>-107879.33764585028</v>
      </c>
      <c r="U83" s="6">
        <f t="shared" ca="1" si="24"/>
        <v>239582.11254146925</v>
      </c>
      <c r="V83" s="6"/>
      <c r="W83" s="6"/>
      <c r="X83" s="6"/>
      <c r="Y83" s="6">
        <f t="shared" ca="1" si="20"/>
        <v>19562394.648449667</v>
      </c>
      <c r="Z83" s="6">
        <f ca="1">Y83-'Res Normalized Monthly'!V83</f>
        <v>31357.760993979871</v>
      </c>
    </row>
    <row r="84" spans="1:26">
      <c r="A84" s="197">
        <v>44136</v>
      </c>
      <c r="B84">
        <f t="shared" si="18"/>
        <v>11</v>
      </c>
      <c r="C84">
        <f t="shared" si="19"/>
        <v>2020</v>
      </c>
      <c r="D84" s="6">
        <f>'Monthly Data (longer 09-23)'!E144</f>
        <v>19119222.730626732</v>
      </c>
      <c r="E84" s="230">
        <f>'Monthly Data (14-23) Used'!AC84</f>
        <v>330.63552299140986</v>
      </c>
      <c r="F84">
        <f>'Monthly Data (14-23) Used'!AF84</f>
        <v>3.3999999999999986</v>
      </c>
      <c r="G84" s="7">
        <f t="shared" ca="1" si="28"/>
        <v>404.02065689742301</v>
      </c>
      <c r="H84" s="7">
        <f t="shared" ca="1" si="28"/>
        <v>0.6699999999999996</v>
      </c>
      <c r="I84">
        <f>'Monthly Data (14-23) Used'!CB84</f>
        <v>30</v>
      </c>
      <c r="J84">
        <f>'Monthly Data (14-23) Used'!CA84</f>
        <v>1</v>
      </c>
      <c r="K84">
        <f>'Monthly Data (14-23) Used'!BJ84</f>
        <v>83</v>
      </c>
      <c r="L84" s="6">
        <f>'Monthly Data (14-23) Used'!DD84</f>
        <v>330.63552299140986</v>
      </c>
      <c r="M84" s="6">
        <f>'Monthly Data (14-23) Used'!DG84</f>
        <v>3.3999999999999986</v>
      </c>
      <c r="N84" s="7">
        <f t="shared" ca="1" si="26"/>
        <v>404.02065689742301</v>
      </c>
      <c r="O84" s="7">
        <f t="shared" ca="1" si="27"/>
        <v>0.6699999999999996</v>
      </c>
      <c r="P84">
        <f>'Monthly Data (longer 09-23)'!CF144</f>
        <v>1</v>
      </c>
      <c r="Q84" s="6"/>
      <c r="R84" s="6">
        <f t="shared" ca="1" si="21"/>
        <v>520964.8256163809</v>
      </c>
      <c r="S84" s="6">
        <f t="shared" ca="1" si="22"/>
        <v>-181860.18656607484</v>
      </c>
      <c r="T84" s="6">
        <f t="shared" ca="1" si="23"/>
        <v>176729.54304058125</v>
      </c>
      <c r="U84" s="6">
        <f t="shared" ca="1" si="24"/>
        <v>-41980.691093595058</v>
      </c>
      <c r="V84" s="6"/>
      <c r="W84" s="6"/>
      <c r="X84" s="6"/>
      <c r="Y84" s="6">
        <f t="shared" ca="1" si="20"/>
        <v>19593076.221624028</v>
      </c>
      <c r="Z84" s="6">
        <f ca="1">Y84-'Res Normalized Monthly'!V84</f>
        <v>422262.7652198188</v>
      </c>
    </row>
    <row r="85" spans="1:26">
      <c r="A85" s="197">
        <v>44166</v>
      </c>
      <c r="B85">
        <f t="shared" si="18"/>
        <v>12</v>
      </c>
      <c r="C85">
        <f t="shared" si="19"/>
        <v>2020</v>
      </c>
      <c r="D85" s="6">
        <f>'Monthly Data (longer 09-23)'!E145</f>
        <v>23161092.730626732</v>
      </c>
      <c r="E85" s="230">
        <f>'Monthly Data (14-23) Used'!AC85</f>
        <v>547.4</v>
      </c>
      <c r="F85">
        <f>'Monthly Data (14-23) Used'!AF85</f>
        <v>0</v>
      </c>
      <c r="G85" s="7">
        <f t="shared" ca="1" si="28"/>
        <v>533.7700000000001</v>
      </c>
      <c r="H85" s="7">
        <f t="shared" ca="1" si="28"/>
        <v>0</v>
      </c>
      <c r="I85">
        <f>'Monthly Data (14-23) Used'!CB85</f>
        <v>31</v>
      </c>
      <c r="J85">
        <f>'Monthly Data (14-23) Used'!CA85</f>
        <v>0</v>
      </c>
      <c r="K85">
        <f>'Monthly Data (14-23) Used'!BJ85</f>
        <v>84</v>
      </c>
      <c r="L85" s="6">
        <f>'Monthly Data (14-23) Used'!DD85</f>
        <v>547.4</v>
      </c>
      <c r="M85" s="6">
        <f>'Monthly Data (14-23) Used'!DG85</f>
        <v>0</v>
      </c>
      <c r="N85" s="7">
        <f t="shared" ca="1" si="26"/>
        <v>533.7700000000001</v>
      </c>
      <c r="O85" s="7">
        <f t="shared" ca="1" si="27"/>
        <v>0</v>
      </c>
      <c r="P85">
        <f>'Monthly Data (longer 09-23)'!CF145</f>
        <v>1</v>
      </c>
      <c r="Q85" s="6"/>
      <c r="R85" s="6">
        <f t="shared" ca="1" si="21"/>
        <v>-96760.068357242271</v>
      </c>
      <c r="S85" s="6">
        <f t="shared" ca="1" si="22"/>
        <v>0</v>
      </c>
      <c r="T85" s="6">
        <f t="shared" ca="1" si="23"/>
        <v>-32824.409296958758</v>
      </c>
      <c r="U85" s="6">
        <f t="shared" ca="1" si="24"/>
        <v>0</v>
      </c>
      <c r="V85" s="6"/>
      <c r="W85" s="6"/>
      <c r="X85" s="6"/>
      <c r="Y85" s="6">
        <f t="shared" ca="1" si="20"/>
        <v>23031508.252972528</v>
      </c>
      <c r="Z85" s="6">
        <f ca="1">Y85-'Res Normalized Monthly'!V85</f>
        <v>200773.64220385626</v>
      </c>
    </row>
    <row r="86" spans="1:26">
      <c r="A86" s="197">
        <v>44197</v>
      </c>
      <c r="B86">
        <f t="shared" si="18"/>
        <v>1</v>
      </c>
      <c r="C86">
        <f t="shared" si="19"/>
        <v>2021</v>
      </c>
      <c r="D86" s="6">
        <f>'Monthly Data (longer 09-23)'!E146</f>
        <v>22785374.314028163</v>
      </c>
      <c r="E86" s="230">
        <f>'Monthly Data (14-23) Used'!AC86</f>
        <v>610.79999999999995</v>
      </c>
      <c r="F86">
        <f>'Monthly Data (14-23) Used'!AF86</f>
        <v>0</v>
      </c>
      <c r="G86" s="7">
        <f t="shared" ca="1" si="28"/>
        <v>671</v>
      </c>
      <c r="H86" s="7">
        <f t="shared" ca="1" si="28"/>
        <v>0</v>
      </c>
      <c r="I86">
        <f>'Monthly Data (14-23) Used'!CB86</f>
        <v>31</v>
      </c>
      <c r="J86">
        <f>'Monthly Data (14-23) Used'!CA86</f>
        <v>0</v>
      </c>
      <c r="K86">
        <f>'Monthly Data (14-23) Used'!BJ86</f>
        <v>85</v>
      </c>
      <c r="L86" s="6">
        <f>'Monthly Data (14-23) Used'!DD86</f>
        <v>458.09999999999997</v>
      </c>
      <c r="M86" s="6">
        <f>'Monthly Data (14-23) Used'!DG86</f>
        <v>0</v>
      </c>
      <c r="N86" s="7">
        <f t="shared" ca="1" si="26"/>
        <v>503.25</v>
      </c>
      <c r="O86" s="7">
        <f t="shared" ca="1" si="27"/>
        <v>0</v>
      </c>
      <c r="P86">
        <f>'Monthly Data (longer 09-23)'!CF146</f>
        <v>0.75</v>
      </c>
      <c r="Q86" s="6"/>
      <c r="R86" s="6">
        <f t="shared" ca="1" si="21"/>
        <v>427362.8844538547</v>
      </c>
      <c r="S86" s="6">
        <f t="shared" ca="1" si="22"/>
        <v>0</v>
      </c>
      <c r="T86" s="6">
        <f t="shared" ca="1" si="23"/>
        <v>108732.36095067512</v>
      </c>
      <c r="U86" s="6">
        <f t="shared" ca="1" si="24"/>
        <v>0</v>
      </c>
      <c r="V86" s="6"/>
      <c r="W86" s="6"/>
      <c r="X86" s="6"/>
      <c r="Y86" s="6">
        <f t="shared" ref="Y86:Y96" ca="1" si="29">SUM(D86,R86:X86)</f>
        <v>23321469.559432693</v>
      </c>
      <c r="Z86" s="6">
        <f ca="1">Y86-'Res Normalized Monthly'!V86</f>
        <v>-431610.76673395187</v>
      </c>
    </row>
    <row r="87" spans="1:26">
      <c r="A87" s="197">
        <v>44228</v>
      </c>
      <c r="B87">
        <f t="shared" si="18"/>
        <v>2</v>
      </c>
      <c r="C87">
        <f t="shared" si="19"/>
        <v>2021</v>
      </c>
      <c r="D87" s="6">
        <f>'Monthly Data (longer 09-23)'!E147</f>
        <v>21023404.314028163</v>
      </c>
      <c r="E87" s="230">
        <f>'Monthly Data (14-23) Used'!AC87</f>
        <v>654.80000000000018</v>
      </c>
      <c r="F87">
        <f>'Monthly Data (14-23) Used'!AF87</f>
        <v>0</v>
      </c>
      <c r="G87" s="7">
        <f t="shared" ca="1" si="28"/>
        <v>595.51355229914111</v>
      </c>
      <c r="H87" s="7">
        <f t="shared" ca="1" si="28"/>
        <v>0</v>
      </c>
      <c r="I87">
        <f>'Monthly Data (14-23) Used'!CB87</f>
        <v>28</v>
      </c>
      <c r="J87">
        <f>'Monthly Data (14-23) Used'!CA87</f>
        <v>0</v>
      </c>
      <c r="K87">
        <f>'Monthly Data (14-23) Used'!BJ87</f>
        <v>86</v>
      </c>
      <c r="L87" s="6">
        <f>'Monthly Data (14-23) Used'!DD87</f>
        <v>491.10000000000014</v>
      </c>
      <c r="M87" s="6">
        <f>'Monthly Data (14-23) Used'!DG87</f>
        <v>0</v>
      </c>
      <c r="N87" s="7">
        <f t="shared" ca="1" si="26"/>
        <v>446.63516422435583</v>
      </c>
      <c r="O87" s="7">
        <f t="shared" ca="1" si="27"/>
        <v>0</v>
      </c>
      <c r="P87">
        <f>'Monthly Data (longer 09-23)'!CF147</f>
        <v>0.75</v>
      </c>
      <c r="Q87" s="6"/>
      <c r="R87" s="6">
        <f t="shared" ca="1" si="21"/>
        <v>-420877.52987477934</v>
      </c>
      <c r="S87" s="6">
        <f t="shared" ca="1" si="22"/>
        <v>0</v>
      </c>
      <c r="T87" s="6">
        <f t="shared" ca="1" si="23"/>
        <v>-107082.31612779282</v>
      </c>
      <c r="U87" s="6">
        <f t="shared" ca="1" si="24"/>
        <v>0</v>
      </c>
      <c r="V87" s="6"/>
      <c r="W87" s="6"/>
      <c r="X87" s="6"/>
      <c r="Y87" s="6">
        <f t="shared" ca="1" si="29"/>
        <v>20495444.468025591</v>
      </c>
      <c r="Z87" s="6">
        <f ca="1">Y87-'Res Normalized Monthly'!V87</f>
        <v>-369901.94240574539</v>
      </c>
    </row>
    <row r="88" spans="1:26">
      <c r="A88" s="197">
        <v>44256</v>
      </c>
      <c r="B88">
        <f t="shared" si="18"/>
        <v>3</v>
      </c>
      <c r="C88">
        <f t="shared" si="19"/>
        <v>2021</v>
      </c>
      <c r="D88" s="6">
        <f>'Monthly Data (longer 09-23)'!E148</f>
        <v>19528691.314028163</v>
      </c>
      <c r="E88" s="230">
        <f>'Monthly Data (14-23) Used'!AC88</f>
        <v>398.49999999999994</v>
      </c>
      <c r="F88">
        <f>'Monthly Data (14-23) Used'!AF88</f>
        <v>0</v>
      </c>
      <c r="G88" s="7">
        <f t="shared" ca="1" si="28"/>
        <v>496.46355229914104</v>
      </c>
      <c r="H88" s="7">
        <f t="shared" ca="1" si="28"/>
        <v>0</v>
      </c>
      <c r="I88">
        <f>'Monthly Data (14-23) Used'!CB88</f>
        <v>31</v>
      </c>
      <c r="J88">
        <f>'Monthly Data (14-23) Used'!CA88</f>
        <v>1</v>
      </c>
      <c r="K88">
        <f>'Monthly Data (14-23) Used'!BJ88</f>
        <v>87</v>
      </c>
      <c r="L88" s="6">
        <f>'Monthly Data (14-23) Used'!DD88</f>
        <v>298.87499999999994</v>
      </c>
      <c r="M88" s="6">
        <f>'Monthly Data (14-23) Used'!DG88</f>
        <v>0</v>
      </c>
      <c r="N88" s="7">
        <f t="shared" ca="1" si="26"/>
        <v>372.34766422435575</v>
      </c>
      <c r="O88" s="7">
        <f t="shared" ca="1" si="27"/>
        <v>0</v>
      </c>
      <c r="P88">
        <f>'Monthly Data (longer 09-23)'!CF148</f>
        <v>0.75</v>
      </c>
      <c r="Q88" s="6"/>
      <c r="R88" s="6">
        <f t="shared" ca="1" si="21"/>
        <v>695448.27710808907</v>
      </c>
      <c r="S88" s="6">
        <f t="shared" ca="1" si="22"/>
        <v>0</v>
      </c>
      <c r="T88" s="6">
        <f t="shared" ca="1" si="23"/>
        <v>176940.33768439436</v>
      </c>
      <c r="U88" s="6">
        <f t="shared" ca="1" si="24"/>
        <v>0</v>
      </c>
      <c r="V88" s="6"/>
      <c r="W88" s="6"/>
      <c r="X88" s="6"/>
      <c r="Y88" s="6">
        <f t="shared" ca="1" si="29"/>
        <v>20401079.928820644</v>
      </c>
      <c r="Z88" s="6">
        <f ca="1">Y88-'Res Normalized Monthly'!V88</f>
        <v>-127066.4352038838</v>
      </c>
    </row>
    <row r="89" spans="1:26">
      <c r="A89" s="197">
        <v>44287</v>
      </c>
      <c r="B89">
        <f t="shared" si="18"/>
        <v>4</v>
      </c>
      <c r="C89">
        <f t="shared" si="19"/>
        <v>2021</v>
      </c>
      <c r="D89" s="6">
        <f>'Monthly Data (longer 09-23)'!E149</f>
        <v>18206323.314028163</v>
      </c>
      <c r="E89" s="230">
        <f>'Monthly Data (14-23) Used'!AC89</f>
        <v>254.90000000000003</v>
      </c>
      <c r="F89">
        <f>'Monthly Data (14-23) Used'!AF89</f>
        <v>6.6999999999999957</v>
      </c>
      <c r="G89" s="7">
        <f t="shared" ca="1" si="28"/>
        <v>296.23000000000008</v>
      </c>
      <c r="H89" s="7">
        <f t="shared" ca="1" si="28"/>
        <v>3.0799999999999996</v>
      </c>
      <c r="I89">
        <f>'Monthly Data (14-23) Used'!CB89</f>
        <v>30</v>
      </c>
      <c r="J89">
        <f>'Monthly Data (14-23) Used'!CA89</f>
        <v>1</v>
      </c>
      <c r="K89">
        <f>'Monthly Data (14-23) Used'!BJ89</f>
        <v>88</v>
      </c>
      <c r="L89" s="6">
        <f>'Monthly Data (14-23) Used'!DD89</f>
        <v>191.17500000000001</v>
      </c>
      <c r="M89" s="6">
        <f>'Monthly Data (14-23) Used'!DG89</f>
        <v>5.0249999999999968</v>
      </c>
      <c r="N89" s="7">
        <f t="shared" ca="1" si="26"/>
        <v>222.17250000000007</v>
      </c>
      <c r="O89" s="7">
        <f t="shared" ca="1" si="27"/>
        <v>2.3099999999999996</v>
      </c>
      <c r="P89">
        <f>'Monthly Data (longer 09-23)'!CF149</f>
        <v>0.75</v>
      </c>
      <c r="Q89" s="6"/>
      <c r="R89" s="6">
        <f t="shared" ca="1" si="21"/>
        <v>293403.78761591064</v>
      </c>
      <c r="S89" s="6">
        <f t="shared" ca="1" si="22"/>
        <v>-241147.93969567417</v>
      </c>
      <c r="T89" s="6">
        <f t="shared" ca="1" si="23"/>
        <v>74649.642493212756</v>
      </c>
      <c r="U89" s="6">
        <f t="shared" ca="1" si="24"/>
        <v>-41750.027955718135</v>
      </c>
      <c r="V89" s="6"/>
      <c r="W89" s="6"/>
      <c r="X89" s="6"/>
      <c r="Y89" s="6">
        <f t="shared" ca="1" si="29"/>
        <v>18291478.776485894</v>
      </c>
      <c r="Z89" s="6">
        <f ca="1">Y89-'Res Normalized Monthly'!V89</f>
        <v>29836.525873214006</v>
      </c>
    </row>
    <row r="90" spans="1:26">
      <c r="A90" s="197">
        <v>44317</v>
      </c>
      <c r="B90">
        <f t="shared" si="18"/>
        <v>5</v>
      </c>
      <c r="C90">
        <f t="shared" si="19"/>
        <v>2021</v>
      </c>
      <c r="D90" s="6">
        <f>'Monthly Data (longer 09-23)'!E150</f>
        <v>21868557.314028163</v>
      </c>
      <c r="E90" s="230">
        <f>'Monthly Data (14-23) Used'!AC90</f>
        <v>145.83552299140982</v>
      </c>
      <c r="F90">
        <f>'Monthly Data (14-23) Used'!AF90</f>
        <v>58.064477008590188</v>
      </c>
      <c r="G90" s="7">
        <f t="shared" ca="1" si="28"/>
        <v>116.90355229914098</v>
      </c>
      <c r="H90" s="7">
        <f t="shared" ca="1" si="28"/>
        <v>53.286447700859014</v>
      </c>
      <c r="I90">
        <f>'Monthly Data (14-23) Used'!CB90</f>
        <v>31</v>
      </c>
      <c r="J90">
        <f>'Monthly Data (14-23) Used'!CA90</f>
        <v>1</v>
      </c>
      <c r="K90">
        <f>'Monthly Data (14-23) Used'!BJ90</f>
        <v>89</v>
      </c>
      <c r="L90" s="6">
        <f>'Monthly Data (14-23) Used'!DD90</f>
        <v>109.37664224355737</v>
      </c>
      <c r="M90" s="6">
        <f>'Monthly Data (14-23) Used'!DG90</f>
        <v>43.548357756442641</v>
      </c>
      <c r="N90" s="7">
        <f t="shared" ca="1" si="26"/>
        <v>87.677664224355738</v>
      </c>
      <c r="O90" s="7">
        <f t="shared" ca="1" si="27"/>
        <v>39.964835775644261</v>
      </c>
      <c r="P90">
        <f>'Monthly Data (longer 09-23)'!CF150</f>
        <v>0.75</v>
      </c>
      <c r="Q90" s="6"/>
      <c r="R90" s="6">
        <f t="shared" ca="1" si="21"/>
        <v>-205389.54232528881</v>
      </c>
      <c r="S90" s="6">
        <f t="shared" ca="1" si="22"/>
        <v>-318290.58656489564</v>
      </c>
      <c r="T90" s="6">
        <f t="shared" ca="1" si="23"/>
        <v>-52256.502995450624</v>
      </c>
      <c r="U90" s="6">
        <f t="shared" ca="1" si="24"/>
        <v>-55105.761649452288</v>
      </c>
      <c r="V90" s="6"/>
      <c r="W90" s="6"/>
      <c r="X90" s="6"/>
      <c r="Y90" s="6">
        <f t="shared" ca="1" si="29"/>
        <v>21237514.920493077</v>
      </c>
      <c r="Z90" s="6">
        <f ca="1">Y90-'Res Normalized Monthly'!V90</f>
        <v>-118106.87534068897</v>
      </c>
    </row>
    <row r="91" spans="1:26">
      <c r="A91" s="197">
        <v>44348</v>
      </c>
      <c r="B91">
        <f t="shared" si="18"/>
        <v>6</v>
      </c>
      <c r="C91">
        <f t="shared" si="19"/>
        <v>2021</v>
      </c>
      <c r="D91" s="6">
        <f>'Monthly Data (longer 09-23)'!E151</f>
        <v>30617187.314028163</v>
      </c>
      <c r="E91" s="230">
        <f>'Monthly Data (14-23) Used'!AC91</f>
        <v>6.9</v>
      </c>
      <c r="F91">
        <f>'Monthly Data (14-23) Used'!AF91</f>
        <v>190</v>
      </c>
      <c r="G91" s="7">
        <f t="shared" ca="1" si="28"/>
        <v>11.023552299140979</v>
      </c>
      <c r="H91" s="7">
        <f t="shared" ca="1" si="28"/>
        <v>145.07</v>
      </c>
      <c r="I91">
        <f>'Monthly Data (14-23) Used'!CB91</f>
        <v>30</v>
      </c>
      <c r="J91">
        <f>'Monthly Data (14-23) Used'!CA91</f>
        <v>0</v>
      </c>
      <c r="K91">
        <f>'Monthly Data (14-23) Used'!BJ91</f>
        <v>90</v>
      </c>
      <c r="L91" s="6">
        <f>'Monthly Data (14-23) Used'!DD91</f>
        <v>5.1750000000000007</v>
      </c>
      <c r="M91" s="6">
        <f>'Monthly Data (14-23) Used'!DG91</f>
        <v>142.5</v>
      </c>
      <c r="N91" s="7">
        <f t="shared" ca="1" si="26"/>
        <v>8.2676642243557339</v>
      </c>
      <c r="O91" s="7">
        <f t="shared" ca="1" si="27"/>
        <v>108.80249999999999</v>
      </c>
      <c r="P91">
        <f>'Monthly Data (longer 09-23)'!CF151</f>
        <v>0.75</v>
      </c>
      <c r="Q91" s="6"/>
      <c r="R91" s="6">
        <f t="shared" ca="1" si="21"/>
        <v>29273.30904912312</v>
      </c>
      <c r="S91" s="6">
        <f t="shared" ca="1" si="22"/>
        <v>-2993032.3012504568</v>
      </c>
      <c r="T91" s="6">
        <f t="shared" ca="1" si="23"/>
        <v>7447.899949986424</v>
      </c>
      <c r="U91" s="6">
        <f t="shared" ca="1" si="24"/>
        <v>-518184.73924044694</v>
      </c>
      <c r="V91" s="6"/>
      <c r="W91" s="6"/>
      <c r="X91" s="6"/>
      <c r="Y91" s="6">
        <f t="shared" ca="1" si="29"/>
        <v>27142691.482536368</v>
      </c>
      <c r="Z91" s="6">
        <f ca="1">Y91-'Res Normalized Monthly'!V91</f>
        <v>-1432657.0424869284</v>
      </c>
    </row>
    <row r="92" spans="1:26">
      <c r="A92" s="197">
        <v>44378</v>
      </c>
      <c r="B92">
        <f t="shared" si="18"/>
        <v>7</v>
      </c>
      <c r="C92">
        <f t="shared" si="19"/>
        <v>2021</v>
      </c>
      <c r="D92" s="6">
        <f>'Monthly Data (longer 09-23)'!E152</f>
        <v>33247959.314028163</v>
      </c>
      <c r="E92" s="230">
        <f>'Monthly Data (14-23) Used'!AC92</f>
        <v>0</v>
      </c>
      <c r="F92">
        <f>'Monthly Data (14-23) Used'!AF92</f>
        <v>192.39999999999998</v>
      </c>
      <c r="G92" s="7">
        <f t="shared" ca="1" si="28"/>
        <v>0.75</v>
      </c>
      <c r="H92" s="7">
        <f t="shared" ca="1" si="28"/>
        <v>211.23289540171805</v>
      </c>
      <c r="I92">
        <f>'Monthly Data (14-23) Used'!CB92</f>
        <v>31</v>
      </c>
      <c r="J92">
        <f>'Monthly Data (14-23) Used'!CA92</f>
        <v>0</v>
      </c>
      <c r="K92">
        <f>'Monthly Data (14-23) Used'!BJ92</f>
        <v>91</v>
      </c>
      <c r="L92" s="6">
        <f>'Monthly Data (14-23) Used'!DD92</f>
        <v>0</v>
      </c>
      <c r="M92" s="6">
        <f>'Monthly Data (14-23) Used'!DG92</f>
        <v>144.29999999999998</v>
      </c>
      <c r="N92" s="7">
        <f t="shared" ca="1" si="26"/>
        <v>0.5625</v>
      </c>
      <c r="O92" s="7">
        <f t="shared" ca="1" si="27"/>
        <v>158.42467155128855</v>
      </c>
      <c r="P92">
        <f>'Monthly Data (longer 09-23)'!CF152</f>
        <v>0.75</v>
      </c>
      <c r="Q92" s="6"/>
      <c r="R92" s="6">
        <f t="shared" ca="1" si="21"/>
        <v>5324.2884275812421</v>
      </c>
      <c r="S92" s="6">
        <f t="shared" ca="1" si="22"/>
        <v>1254561.85763217</v>
      </c>
      <c r="T92" s="6">
        <f t="shared" ca="1" si="23"/>
        <v>1354.6390483888088</v>
      </c>
      <c r="U92" s="6">
        <f t="shared" ca="1" si="24"/>
        <v>217202.7374333831</v>
      </c>
      <c r="V92" s="6"/>
      <c r="W92" s="6"/>
      <c r="X92" s="6"/>
      <c r="Y92" s="6">
        <f t="shared" ca="1" si="29"/>
        <v>34726402.836569682</v>
      </c>
      <c r="Z92" s="6">
        <f ca="1">Y92-'Res Normalized Monthly'!V92</f>
        <v>304644.52306254953</v>
      </c>
    </row>
    <row r="93" spans="1:26">
      <c r="A93" s="197">
        <v>44409</v>
      </c>
      <c r="B93">
        <f t="shared" si="18"/>
        <v>8</v>
      </c>
      <c r="C93">
        <f t="shared" si="19"/>
        <v>2021</v>
      </c>
      <c r="D93" s="6">
        <f>'Monthly Data (longer 09-23)'!E153</f>
        <v>36175514.314028166</v>
      </c>
      <c r="E93" s="230">
        <f>'Monthly Data (14-23) Used'!AC93</f>
        <v>0</v>
      </c>
      <c r="F93">
        <f>'Monthly Data (14-23) Used'!AF93</f>
        <v>224.29343102577059</v>
      </c>
      <c r="G93" s="7">
        <f t="shared" ca="1" si="28"/>
        <v>2.7971045982819609</v>
      </c>
      <c r="H93" s="7">
        <f t="shared" ca="1" si="28"/>
        <v>183.87605861546231</v>
      </c>
      <c r="I93">
        <f>'Monthly Data (14-23) Used'!CB93</f>
        <v>31</v>
      </c>
      <c r="J93">
        <f>'Monthly Data (14-23) Used'!CA93</f>
        <v>0</v>
      </c>
      <c r="K93">
        <f>'Monthly Data (14-23) Used'!BJ93</f>
        <v>92</v>
      </c>
      <c r="L93" s="6">
        <f>'Monthly Data (14-23) Used'!DD93</f>
        <v>0</v>
      </c>
      <c r="M93" s="6">
        <f>'Monthly Data (14-23) Used'!DG93</f>
        <v>168.22007326932794</v>
      </c>
      <c r="N93" s="7">
        <f t="shared" ca="1" si="26"/>
        <v>2.0978284487114705</v>
      </c>
      <c r="O93" s="7">
        <f t="shared" ca="1" si="27"/>
        <v>137.90704396159674</v>
      </c>
      <c r="P93">
        <f>'Monthly Data (longer 09-23)'!CF153</f>
        <v>0.75</v>
      </c>
      <c r="Q93" s="6"/>
      <c r="R93" s="6">
        <f t="shared" ca="1" si="21"/>
        <v>19856.788857822565</v>
      </c>
      <c r="S93" s="6">
        <f t="shared" ca="1" si="22"/>
        <v>-2692421.5703476896</v>
      </c>
      <c r="T93" s="6">
        <f t="shared" ca="1" si="23"/>
        <v>5052.0894816808486</v>
      </c>
      <c r="U93" s="6">
        <f t="shared" ca="1" si="24"/>
        <v>-466139.89724503941</v>
      </c>
      <c r="V93" s="6"/>
      <c r="W93" s="6"/>
      <c r="X93" s="6"/>
      <c r="Y93" s="6">
        <f t="shared" ca="1" si="29"/>
        <v>33041861.724774946</v>
      </c>
      <c r="Z93" s="6">
        <f ca="1">Y93-'Res Normalized Monthly'!V93</f>
        <v>718129.60646921396</v>
      </c>
    </row>
    <row r="94" spans="1:26">
      <c r="A94" s="197">
        <v>44440</v>
      </c>
      <c r="B94">
        <f t="shared" si="18"/>
        <v>9</v>
      </c>
      <c r="C94">
        <f t="shared" si="19"/>
        <v>2021</v>
      </c>
      <c r="D94" s="6">
        <f>'Monthly Data (longer 09-23)'!E154</f>
        <v>25045935.314028163</v>
      </c>
      <c r="E94" s="230">
        <f>'Monthly Data (14-23) Used'!AC94</f>
        <v>33.400000000000006</v>
      </c>
      <c r="F94">
        <f>'Monthly Data (14-23) Used'!AF94</f>
        <v>90.800000000000011</v>
      </c>
      <c r="G94" s="7">
        <f t="shared" ca="1" si="28"/>
        <v>39.200656897422931</v>
      </c>
      <c r="H94" s="7">
        <f t="shared" ca="1" si="28"/>
        <v>90.709343102577066</v>
      </c>
      <c r="I94">
        <f>'Monthly Data (14-23) Used'!CB94</f>
        <v>30</v>
      </c>
      <c r="J94">
        <f>'Monthly Data (14-23) Used'!CA94</f>
        <v>0</v>
      </c>
      <c r="K94">
        <f>'Monthly Data (14-23) Used'!BJ94</f>
        <v>93</v>
      </c>
      <c r="L94" s="6">
        <f>'Monthly Data (14-23) Used'!DD94</f>
        <v>25.050000000000004</v>
      </c>
      <c r="M94" s="6">
        <f>'Monthly Data (14-23) Used'!DG94</f>
        <v>68.100000000000009</v>
      </c>
      <c r="N94" s="7">
        <f t="shared" ca="1" si="26"/>
        <v>29.400492673067198</v>
      </c>
      <c r="O94" s="7">
        <f t="shared" ca="1" si="27"/>
        <v>68.032007326932799</v>
      </c>
      <c r="P94">
        <f>'Monthly Data (longer 09-23)'!CF154</f>
        <v>0.75</v>
      </c>
      <c r="Q94" s="6"/>
      <c r="R94" s="6">
        <f t="shared" ca="1" si="21"/>
        <v>41179.160521757593</v>
      </c>
      <c r="S94" s="6">
        <f t="shared" ca="1" si="22"/>
        <v>-6039.1502852888061</v>
      </c>
      <c r="T94" s="6">
        <f t="shared" ca="1" si="23"/>
        <v>10477.061786073295</v>
      </c>
      <c r="U94" s="6">
        <f t="shared" ca="1" si="24"/>
        <v>-1045.5602214880282</v>
      </c>
      <c r="V94" s="6"/>
      <c r="W94" s="6"/>
      <c r="X94" s="6"/>
      <c r="Y94" s="6">
        <f t="shared" ca="1" si="29"/>
        <v>25090506.825829215</v>
      </c>
      <c r="Z94" s="6">
        <f ca="1">Y94-'Res Normalized Monthly'!V94</f>
        <v>447516.42776603624</v>
      </c>
    </row>
    <row r="95" spans="1:26">
      <c r="A95" s="197">
        <v>44470</v>
      </c>
      <c r="B95">
        <f t="shared" si="18"/>
        <v>10</v>
      </c>
      <c r="C95">
        <f t="shared" si="19"/>
        <v>2021</v>
      </c>
      <c r="D95" s="6">
        <f>'Monthly Data (longer 09-23)'!E155</f>
        <v>20811938.314028163</v>
      </c>
      <c r="E95" s="230">
        <f>'Monthly Data (14-23) Used'!AC95</f>
        <v>123.80000000000001</v>
      </c>
      <c r="F95">
        <f>'Monthly Data (14-23) Used'!AF95</f>
        <v>51.300000000000011</v>
      </c>
      <c r="G95" s="7">
        <f t="shared" ca="1" si="28"/>
        <v>194.90420919656393</v>
      </c>
      <c r="H95" s="7">
        <f t="shared" ca="1" si="28"/>
        <v>20.479999999999997</v>
      </c>
      <c r="I95">
        <f>'Monthly Data (14-23) Used'!CB95</f>
        <v>31</v>
      </c>
      <c r="J95">
        <f>'Monthly Data (14-23) Used'!CA95</f>
        <v>1</v>
      </c>
      <c r="K95">
        <f>'Monthly Data (14-23) Used'!BJ95</f>
        <v>94</v>
      </c>
      <c r="L95" s="6">
        <f>'Monthly Data (14-23) Used'!DD95</f>
        <v>92.850000000000009</v>
      </c>
      <c r="M95" s="6">
        <f>'Monthly Data (14-23) Used'!DG95</f>
        <v>38.475000000000009</v>
      </c>
      <c r="N95" s="7">
        <f t="shared" ca="1" si="26"/>
        <v>146.17815689742295</v>
      </c>
      <c r="O95" s="7">
        <f t="shared" ca="1" si="27"/>
        <v>15.359999999999998</v>
      </c>
      <c r="P95">
        <f>'Monthly Data (longer 09-23)'!CF155</f>
        <v>0.75</v>
      </c>
      <c r="Q95" s="6"/>
      <c r="R95" s="6">
        <f t="shared" ref="R95:R113" ca="1" si="30">(G95-E95)*$AC$9</f>
        <v>504772.42423677468</v>
      </c>
      <c r="S95" s="6">
        <f t="shared" ref="S95:S113" ca="1" si="31">(H95-F95)*$AC$10</f>
        <v>-2053088.2600609639</v>
      </c>
      <c r="T95" s="6">
        <f t="shared" ref="T95:T113" ca="1" si="32">(N95-L95)*$AC$11</f>
        <v>128427.38437662952</v>
      </c>
      <c r="U95" s="6">
        <f t="shared" ref="U95:U113" ca="1" si="33">(O95-M95)*$AC$12</f>
        <v>-355451.89546829689</v>
      </c>
      <c r="V95" s="6"/>
      <c r="W95" s="6"/>
      <c r="X95" s="6"/>
      <c r="Y95" s="6">
        <f t="shared" ca="1" si="29"/>
        <v>19036597.967112307</v>
      </c>
      <c r="Z95" s="6">
        <f ca="1">Y95-'Res Normalized Monthly'!V95</f>
        <v>-558072.94732090831</v>
      </c>
    </row>
    <row r="96" spans="1:26">
      <c r="A96" s="197">
        <v>44501</v>
      </c>
      <c r="B96">
        <f t="shared" si="18"/>
        <v>11</v>
      </c>
      <c r="C96">
        <f t="shared" si="19"/>
        <v>2021</v>
      </c>
      <c r="D96" s="6">
        <f>'Monthly Data (longer 09-23)'!E156</f>
        <v>19647364.314028163</v>
      </c>
      <c r="E96" s="230">
        <f>'Monthly Data (14-23) Used'!AC96</f>
        <v>422.90000000000003</v>
      </c>
      <c r="F96">
        <f>'Monthly Data (14-23) Used'!AF96</f>
        <v>0</v>
      </c>
      <c r="G96" s="7">
        <f t="shared" ca="1" si="28"/>
        <v>404.02065689742301</v>
      </c>
      <c r="H96" s="7">
        <f t="shared" ca="1" si="28"/>
        <v>0.6699999999999996</v>
      </c>
      <c r="I96">
        <f>'Monthly Data (14-23) Used'!CB96</f>
        <v>30</v>
      </c>
      <c r="J96">
        <f>'Monthly Data (14-23) Used'!CA96</f>
        <v>1</v>
      </c>
      <c r="K96">
        <f>'Monthly Data (14-23) Used'!BJ96</f>
        <v>95</v>
      </c>
      <c r="L96" s="6">
        <f>'Monthly Data (14-23) Used'!DD96</f>
        <v>317.17500000000001</v>
      </c>
      <c r="M96" s="6">
        <f>'Monthly Data (14-23) Used'!DG96</f>
        <v>0</v>
      </c>
      <c r="N96" s="7">
        <f t="shared" ca="1" si="26"/>
        <v>303.01549267306723</v>
      </c>
      <c r="O96" s="7">
        <f t="shared" ca="1" si="27"/>
        <v>0.50249999999999972</v>
      </c>
      <c r="P96">
        <f>'Monthly Data (longer 09-23)'!CF156</f>
        <v>0.75</v>
      </c>
      <c r="Q96" s="6"/>
      <c r="R96" s="6">
        <f t="shared" ca="1" si="30"/>
        <v>-134025.42400184879</v>
      </c>
      <c r="S96" s="6">
        <f t="shared" ca="1" si="31"/>
        <v>44632.353479586127</v>
      </c>
      <c r="T96" s="6">
        <f t="shared" ca="1" si="32"/>
        <v>-34099.593832907711</v>
      </c>
      <c r="U96" s="6">
        <f t="shared" ca="1" si="33"/>
        <v>7727.2151188760117</v>
      </c>
      <c r="V96" s="6"/>
      <c r="W96" s="6"/>
      <c r="X96" s="6"/>
      <c r="Y96" s="6">
        <f t="shared" ca="1" si="29"/>
        <v>19531598.86479187</v>
      </c>
      <c r="Z96" s="6">
        <f ca="1">Y96-'Res Normalized Monthly'!V96</f>
        <v>346895.1268170923</v>
      </c>
    </row>
    <row r="97" spans="1:26">
      <c r="A97" s="197">
        <v>44531</v>
      </c>
      <c r="B97">
        <f t="shared" si="18"/>
        <v>12</v>
      </c>
      <c r="C97">
        <f t="shared" si="19"/>
        <v>2021</v>
      </c>
      <c r="D97" s="6">
        <f>'Monthly Data (longer 09-23)'!E157</f>
        <v>22395464.314028163</v>
      </c>
      <c r="E97" s="230">
        <f>'Monthly Data (14-23) Used'!AC97</f>
        <v>483.4</v>
      </c>
      <c r="F97">
        <f>'Monthly Data (14-23) Used'!AF97</f>
        <v>0</v>
      </c>
      <c r="G97" s="7">
        <f t="shared" ca="1" si="28"/>
        <v>533.7700000000001</v>
      </c>
      <c r="H97" s="7">
        <f t="shared" ca="1" si="28"/>
        <v>0</v>
      </c>
      <c r="I97">
        <f>'Monthly Data (14-23) Used'!CB97</f>
        <v>31</v>
      </c>
      <c r="J97">
        <f>'Monthly Data (14-23) Used'!CA97</f>
        <v>0</v>
      </c>
      <c r="K97">
        <f>'Monthly Data (14-23) Used'!BJ97</f>
        <v>96</v>
      </c>
      <c r="L97" s="6">
        <f>'Monthly Data (14-23) Used'!DD97</f>
        <v>362.54999999999995</v>
      </c>
      <c r="M97" s="6">
        <f>'Monthly Data (14-23) Used'!DG97</f>
        <v>0</v>
      </c>
      <c r="N97" s="7">
        <f t="shared" ca="1" si="26"/>
        <v>400.3275000000001</v>
      </c>
      <c r="O97" s="7">
        <f t="shared" ca="1" si="27"/>
        <v>0</v>
      </c>
      <c r="P97">
        <f>'Monthly Data (longer 09-23)'!CF157</f>
        <v>0.75</v>
      </c>
      <c r="Q97" s="6"/>
      <c r="R97" s="6">
        <f t="shared" ca="1" si="30"/>
        <v>357579.21079635707</v>
      </c>
      <c r="S97" s="6">
        <f t="shared" ca="1" si="31"/>
        <v>0</v>
      </c>
      <c r="T97" s="6">
        <f t="shared" ca="1" si="32"/>
        <v>90977.558489792747</v>
      </c>
      <c r="U97" s="6">
        <f t="shared" ca="1" si="33"/>
        <v>0</v>
      </c>
      <c r="V97" s="6"/>
      <c r="W97" s="6"/>
      <c r="X97" s="6"/>
      <c r="Y97" s="6">
        <f t="shared" ref="Y97:Y113" ca="1" si="34">SUM(D97,R97:X97)</f>
        <v>22844021.083314311</v>
      </c>
      <c r="Z97" s="6">
        <f ca="1">Y97-'Res Normalized Monthly'!V97</f>
        <v>74937.575566347688</v>
      </c>
    </row>
    <row r="98" spans="1:26">
      <c r="A98" s="197">
        <v>44562</v>
      </c>
      <c r="B98">
        <f t="shared" si="18"/>
        <v>1</v>
      </c>
      <c r="C98">
        <f t="shared" si="19"/>
        <v>2022</v>
      </c>
      <c r="D98" s="6">
        <f>'Monthly Data (longer 09-23)'!E158</f>
        <v>24029016.395077039</v>
      </c>
      <c r="E98" s="230">
        <f>'Monthly Data (14-23) Used'!AC98</f>
        <v>766.2</v>
      </c>
      <c r="F98">
        <f>'Monthly Data (14-23) Used'!AF98</f>
        <v>0</v>
      </c>
      <c r="G98" s="7">
        <f t="shared" ca="1" si="28"/>
        <v>671</v>
      </c>
      <c r="H98" s="7">
        <f t="shared" ca="1" si="28"/>
        <v>0</v>
      </c>
      <c r="I98">
        <f>'Monthly Data (14-23) Used'!CB98</f>
        <v>31</v>
      </c>
      <c r="J98">
        <f>'Monthly Data (14-23) Used'!CA98</f>
        <v>0</v>
      </c>
      <c r="K98">
        <f>'Monthly Data (14-23) Used'!BJ98</f>
        <v>97</v>
      </c>
      <c r="L98" s="6">
        <f>'Monthly Data (14-23) Used'!DD98</f>
        <v>383.1</v>
      </c>
      <c r="M98" s="6">
        <f>'Monthly Data (14-23) Used'!DG98</f>
        <v>0</v>
      </c>
      <c r="N98" s="7">
        <f t="shared" ca="1" si="26"/>
        <v>335.5</v>
      </c>
      <c r="O98" s="7">
        <f t="shared" ca="1" si="27"/>
        <v>0</v>
      </c>
      <c r="P98">
        <f>'Monthly Data (longer 09-23)'!CF158</f>
        <v>0.5</v>
      </c>
      <c r="Q98" s="6"/>
      <c r="R98" s="6">
        <f t="shared" ca="1" si="30"/>
        <v>-675829.67774097936</v>
      </c>
      <c r="S98" s="6">
        <f t="shared" ca="1" si="31"/>
        <v>0</v>
      </c>
      <c r="T98" s="6">
        <f t="shared" ca="1" si="32"/>
        <v>-114632.56658365746</v>
      </c>
      <c r="U98" s="6">
        <f t="shared" ca="1" si="33"/>
        <v>0</v>
      </c>
      <c r="V98" s="6"/>
      <c r="W98" s="6"/>
      <c r="X98" s="6"/>
      <c r="Y98" s="6">
        <f t="shared" ca="1" si="34"/>
        <v>23238554.150752403</v>
      </c>
      <c r="Z98" s="6">
        <f ca="1">Y98-'Res Normalized Monthly'!V98</f>
        <v>-370254.13167779893</v>
      </c>
    </row>
    <row r="99" spans="1:26">
      <c r="A99" s="197">
        <v>44593</v>
      </c>
      <c r="B99">
        <f t="shared" si="18"/>
        <v>2</v>
      </c>
      <c r="C99">
        <f t="shared" si="19"/>
        <v>2022</v>
      </c>
      <c r="D99" s="6">
        <f>'Monthly Data (longer 09-23)'!E159</f>
        <v>20773941.395077039</v>
      </c>
      <c r="E99" s="230">
        <f>'Monthly Data (14-23) Used'!AC99</f>
        <v>607.30000000000018</v>
      </c>
      <c r="F99">
        <f>'Monthly Data (14-23) Used'!AF99</f>
        <v>0</v>
      </c>
      <c r="G99" s="7">
        <f t="shared" ref="G99:H113" ca="1" si="35">G87</f>
        <v>595.51355229914111</v>
      </c>
      <c r="H99" s="7">
        <f t="shared" ca="1" si="35"/>
        <v>0</v>
      </c>
      <c r="I99">
        <f>'Monthly Data (14-23) Used'!CB99</f>
        <v>28</v>
      </c>
      <c r="J99">
        <f>'Monthly Data (14-23) Used'!CA99</f>
        <v>0</v>
      </c>
      <c r="K99">
        <f>'Monthly Data (14-23) Used'!BJ99</f>
        <v>98</v>
      </c>
      <c r="L99" s="6">
        <f>'Monthly Data (14-23) Used'!DD99</f>
        <v>303.65000000000009</v>
      </c>
      <c r="M99" s="6">
        <f>'Monthly Data (14-23) Used'!DG99</f>
        <v>0</v>
      </c>
      <c r="N99" s="7">
        <f t="shared" ca="1" si="26"/>
        <v>297.75677614957056</v>
      </c>
      <c r="O99" s="7">
        <f t="shared" ca="1" si="27"/>
        <v>0</v>
      </c>
      <c r="P99">
        <f>'Monthly Data (longer 09-23)'!CF159</f>
        <v>0.5</v>
      </c>
      <c r="Q99" s="6"/>
      <c r="R99" s="6">
        <f t="shared" ca="1" si="30"/>
        <v>-83672.596127967321</v>
      </c>
      <c r="S99" s="6">
        <f t="shared" ca="1" si="31"/>
        <v>0</v>
      </c>
      <c r="T99" s="6">
        <f t="shared" ca="1" si="32"/>
        <v>-14192.33981988995</v>
      </c>
      <c r="U99" s="6">
        <f t="shared" ca="1" si="33"/>
        <v>0</v>
      </c>
      <c r="V99" s="6"/>
      <c r="W99" s="6"/>
      <c r="X99" s="6"/>
      <c r="Y99" s="6">
        <f t="shared" ca="1" si="34"/>
        <v>20676076.459129181</v>
      </c>
      <c r="Z99" s="6">
        <f ca="1">Y99-'Res Normalized Monthly'!V99</f>
        <v>-90445.414090041071</v>
      </c>
    </row>
    <row r="100" spans="1:26">
      <c r="A100" s="197">
        <v>44621</v>
      </c>
      <c r="B100">
        <f t="shared" si="18"/>
        <v>3</v>
      </c>
      <c r="C100">
        <f t="shared" si="19"/>
        <v>2022</v>
      </c>
      <c r="D100" s="6">
        <f>'Monthly Data (longer 09-23)'!E160</f>
        <v>20336375.395077039</v>
      </c>
      <c r="E100" s="230">
        <f>'Monthly Data (14-23) Used'!AC100</f>
        <v>465.93552299140975</v>
      </c>
      <c r="F100">
        <f>'Monthly Data (14-23) Used'!AF100</f>
        <v>0</v>
      </c>
      <c r="G100" s="7">
        <f t="shared" ca="1" si="35"/>
        <v>496.46355229914104</v>
      </c>
      <c r="H100" s="7">
        <f t="shared" ca="1" si="35"/>
        <v>0</v>
      </c>
      <c r="I100">
        <f>'Monthly Data (14-23) Used'!CB100</f>
        <v>31</v>
      </c>
      <c r="J100">
        <f>'Monthly Data (14-23) Used'!CA100</f>
        <v>1</v>
      </c>
      <c r="K100">
        <f>'Monthly Data (14-23) Used'!BJ100</f>
        <v>99</v>
      </c>
      <c r="L100" s="6">
        <f>'Monthly Data (14-23) Used'!DD100</f>
        <v>232.96776149570488</v>
      </c>
      <c r="M100" s="6">
        <f>'Monthly Data (14-23) Used'!DG100</f>
        <v>0</v>
      </c>
      <c r="N100" s="7">
        <f t="shared" ca="1" si="26"/>
        <v>248.23177614957052</v>
      </c>
      <c r="O100" s="7">
        <f t="shared" ca="1" si="27"/>
        <v>0</v>
      </c>
      <c r="P100">
        <f>'Monthly Data (longer 09-23)'!CF160</f>
        <v>0.5</v>
      </c>
      <c r="Q100" s="6"/>
      <c r="R100" s="6">
        <f t="shared" ca="1" si="30"/>
        <v>216720.04421335293</v>
      </c>
      <c r="S100" s="6">
        <f t="shared" ca="1" si="31"/>
        <v>0</v>
      </c>
      <c r="T100" s="6">
        <f t="shared" ca="1" si="32"/>
        <v>36759.520507209578</v>
      </c>
      <c r="U100" s="6">
        <f t="shared" ca="1" si="33"/>
        <v>0</v>
      </c>
      <c r="V100" s="6"/>
      <c r="W100" s="6"/>
      <c r="X100" s="6"/>
      <c r="Y100" s="6">
        <f t="shared" ca="1" si="34"/>
        <v>20589854.959797602</v>
      </c>
      <c r="Z100" s="6">
        <f ca="1">Y100-'Res Normalized Monthly'!V100</f>
        <v>100898.91176611558</v>
      </c>
    </row>
    <row r="101" spans="1:26">
      <c r="A101" s="197">
        <v>44652</v>
      </c>
      <c r="B101">
        <f t="shared" si="18"/>
        <v>4</v>
      </c>
      <c r="C101">
        <f t="shared" si="19"/>
        <v>2022</v>
      </c>
      <c r="D101" s="6">
        <f>'Monthly Data (longer 09-23)'!E161</f>
        <v>18574452.395077039</v>
      </c>
      <c r="E101" s="230">
        <f>'Monthly Data (14-23) Used'!AC101</f>
        <v>333.80000000000007</v>
      </c>
      <c r="F101">
        <f>'Monthly Data (14-23) Used'!AF101</f>
        <v>3.3000000000000007</v>
      </c>
      <c r="G101" s="7">
        <f t="shared" ca="1" si="35"/>
        <v>296.23000000000008</v>
      </c>
      <c r="H101" s="7">
        <f t="shared" ca="1" si="35"/>
        <v>3.0799999999999996</v>
      </c>
      <c r="I101">
        <f>'Monthly Data (14-23) Used'!CB101</f>
        <v>30</v>
      </c>
      <c r="J101">
        <f>'Monthly Data (14-23) Used'!CA101</f>
        <v>1</v>
      </c>
      <c r="K101">
        <f>'Monthly Data (14-23) Used'!BJ101</f>
        <v>100</v>
      </c>
      <c r="L101" s="6">
        <f>'Monthly Data (14-23) Used'!DD101</f>
        <v>166.90000000000003</v>
      </c>
      <c r="M101" s="6">
        <f>'Monthly Data (14-23) Used'!DG101</f>
        <v>1.6500000000000004</v>
      </c>
      <c r="N101" s="7">
        <f t="shared" ca="1" si="26"/>
        <v>148.11500000000004</v>
      </c>
      <c r="O101" s="7">
        <f t="shared" ca="1" si="27"/>
        <v>1.5399999999999998</v>
      </c>
      <c r="P101">
        <f>'Monthly Data (longer 09-23)'!CF161</f>
        <v>0.5</v>
      </c>
      <c r="Q101" s="6"/>
      <c r="R101" s="6">
        <f t="shared" ca="1" si="30"/>
        <v>-266711.35496563633</v>
      </c>
      <c r="S101" s="6">
        <f t="shared" ca="1" si="31"/>
        <v>-14655.399650013436</v>
      </c>
      <c r="T101" s="6">
        <f t="shared" ca="1" si="32"/>
        <v>-45238.92359819336</v>
      </c>
      <c r="U101" s="6">
        <f t="shared" ca="1" si="33"/>
        <v>-1691.5296777639123</v>
      </c>
      <c r="V101" s="6"/>
      <c r="W101" s="6"/>
      <c r="X101" s="6"/>
      <c r="Y101" s="6">
        <f t="shared" ca="1" si="34"/>
        <v>18246155.187185433</v>
      </c>
      <c r="Z101" s="6">
        <f ca="1">Y101-'Res Normalized Monthly'!V101</f>
        <v>-85009.012464091182</v>
      </c>
    </row>
    <row r="102" spans="1:26">
      <c r="A102" s="197">
        <v>44682</v>
      </c>
      <c r="B102">
        <f t="shared" si="18"/>
        <v>5</v>
      </c>
      <c r="C102">
        <f t="shared" si="19"/>
        <v>2022</v>
      </c>
      <c r="D102" s="6">
        <f>'Monthly Data (longer 09-23)'!E162</f>
        <v>21615955.395077039</v>
      </c>
      <c r="E102" s="230">
        <f>'Monthly Data (14-23) Used'!AC102</f>
        <v>92.700000000000031</v>
      </c>
      <c r="F102">
        <f>'Monthly Data (14-23) Used'!AF102</f>
        <v>72.5</v>
      </c>
      <c r="G102" s="7">
        <f t="shared" ca="1" si="35"/>
        <v>116.90355229914098</v>
      </c>
      <c r="H102" s="7">
        <f t="shared" ca="1" si="35"/>
        <v>53.286447700859014</v>
      </c>
      <c r="I102">
        <f>'Monthly Data (14-23) Used'!CB102</f>
        <v>31</v>
      </c>
      <c r="J102">
        <f>'Monthly Data (14-23) Used'!CA102</f>
        <v>1</v>
      </c>
      <c r="K102">
        <f>'Monthly Data (14-23) Used'!BJ102</f>
        <v>101</v>
      </c>
      <c r="L102" s="6">
        <f>'Monthly Data (14-23) Used'!DD102</f>
        <v>46.350000000000016</v>
      </c>
      <c r="M102" s="6">
        <f>'Monthly Data (14-23) Used'!DG102</f>
        <v>36.25</v>
      </c>
      <c r="N102" s="7">
        <f t="shared" ca="1" si="26"/>
        <v>58.451776149570492</v>
      </c>
      <c r="O102" s="7">
        <f t="shared" ca="1" si="27"/>
        <v>26.643223850429507</v>
      </c>
      <c r="P102">
        <f>'Monthly Data (longer 09-23)'!CF162</f>
        <v>0.5</v>
      </c>
      <c r="Q102" s="6"/>
      <c r="R102" s="6">
        <f t="shared" ca="1" si="30"/>
        <v>171822.25788356471</v>
      </c>
      <c r="S102" s="6">
        <f t="shared" ca="1" si="31"/>
        <v>-1279919.489274292</v>
      </c>
      <c r="T102" s="6">
        <f t="shared" ca="1" si="32"/>
        <v>29144.068492566279</v>
      </c>
      <c r="U102" s="6">
        <f t="shared" ca="1" si="33"/>
        <v>-147728.60876939032</v>
      </c>
      <c r="V102" s="6"/>
      <c r="W102" s="6"/>
      <c r="X102" s="6"/>
      <c r="Y102" s="6">
        <f t="shared" ca="1" si="34"/>
        <v>20389273.623409484</v>
      </c>
      <c r="Z102" s="6">
        <f ca="1">Y102-'Res Normalized Monthly'!V102</f>
        <v>-950822.77908422425</v>
      </c>
    </row>
    <row r="103" spans="1:26">
      <c r="A103" s="197">
        <v>44713</v>
      </c>
      <c r="B103">
        <f t="shared" si="18"/>
        <v>6</v>
      </c>
      <c r="C103">
        <f t="shared" si="19"/>
        <v>2022</v>
      </c>
      <c r="D103" s="6">
        <f>'Monthly Data (longer 09-23)'!E163</f>
        <v>28777042.395077039</v>
      </c>
      <c r="E103" s="230">
        <f>'Monthly Data (14-23) Used'!AC103</f>
        <v>6.5355229914098061</v>
      </c>
      <c r="F103">
        <f>'Monthly Data (14-23) Used'!AF103</f>
        <v>147.70000000000002</v>
      </c>
      <c r="G103" s="7">
        <f t="shared" ca="1" si="35"/>
        <v>11.023552299140979</v>
      </c>
      <c r="H103" s="7">
        <f t="shared" ca="1" si="35"/>
        <v>145.07</v>
      </c>
      <c r="I103">
        <f>'Monthly Data (14-23) Used'!CB103</f>
        <v>30</v>
      </c>
      <c r="J103">
        <f>'Monthly Data (14-23) Used'!CA103</f>
        <v>0</v>
      </c>
      <c r="K103">
        <f>'Monthly Data (14-23) Used'!BJ103</f>
        <v>102</v>
      </c>
      <c r="L103" s="6">
        <f>'Monthly Data (14-23) Used'!DD103</f>
        <v>3.267761495704903</v>
      </c>
      <c r="M103" s="6">
        <f>'Monthly Data (14-23) Used'!DG103</f>
        <v>73.850000000000009</v>
      </c>
      <c r="N103" s="7">
        <f t="shared" ca="1" si="26"/>
        <v>5.5117761495704896</v>
      </c>
      <c r="O103" s="7">
        <f t="shared" ca="1" si="27"/>
        <v>72.534999999999997</v>
      </c>
      <c r="P103">
        <f>'Monthly Data (longer 09-23)'!CF163</f>
        <v>0.5</v>
      </c>
      <c r="Q103" s="6"/>
      <c r="R103" s="6">
        <f t="shared" ca="1" si="30"/>
        <v>31860.750007731385</v>
      </c>
      <c r="S103" s="6">
        <f t="shared" ca="1" si="31"/>
        <v>-175198.64127061589</v>
      </c>
      <c r="T103" s="6">
        <f t="shared" ca="1" si="32"/>
        <v>5404.1420005031468</v>
      </c>
      <c r="U103" s="6">
        <f t="shared" ca="1" si="33"/>
        <v>-20221.468420541401</v>
      </c>
      <c r="V103" s="6"/>
      <c r="W103" s="6"/>
      <c r="X103" s="6"/>
      <c r="Y103" s="6">
        <f t="shared" ca="1" si="34"/>
        <v>28618887.177394114</v>
      </c>
      <c r="Z103" s="6">
        <f ca="1">Y103-'Res Normalized Monthly'!V103</f>
        <v>348169.11204949766</v>
      </c>
    </row>
    <row r="104" spans="1:26">
      <c r="A104" s="197">
        <v>44743</v>
      </c>
      <c r="B104">
        <f t="shared" si="18"/>
        <v>7</v>
      </c>
      <c r="C104">
        <f t="shared" si="19"/>
        <v>2022</v>
      </c>
      <c r="D104" s="6">
        <f>'Monthly Data (longer 09-23)'!E164</f>
        <v>34236495.395077035</v>
      </c>
      <c r="E104" s="230">
        <f>'Monthly Data (14-23) Used'!AC104</f>
        <v>0</v>
      </c>
      <c r="F104">
        <f>'Monthly Data (14-23) Used'!AF104</f>
        <v>218.60000000000002</v>
      </c>
      <c r="G104" s="7">
        <f t="shared" ca="1" si="35"/>
        <v>0.75</v>
      </c>
      <c r="H104" s="7">
        <f t="shared" ca="1" si="35"/>
        <v>211.23289540171805</v>
      </c>
      <c r="I104">
        <f>'Monthly Data (14-23) Used'!CB104</f>
        <v>31</v>
      </c>
      <c r="J104">
        <f>'Monthly Data (14-23) Used'!CA104</f>
        <v>0</v>
      </c>
      <c r="K104">
        <f>'Monthly Data (14-23) Used'!BJ104</f>
        <v>103</v>
      </c>
      <c r="L104" s="6">
        <f>'Monthly Data (14-23) Used'!DD104</f>
        <v>0</v>
      </c>
      <c r="M104" s="6">
        <f>'Monthly Data (14-23) Used'!DG104</f>
        <v>109.30000000000001</v>
      </c>
      <c r="N104" s="7">
        <f t="shared" ca="1" si="26"/>
        <v>0.375</v>
      </c>
      <c r="O104" s="7">
        <f t="shared" ca="1" si="27"/>
        <v>105.61644770085903</v>
      </c>
      <c r="P104">
        <f>'Monthly Data (longer 09-23)'!CF164</f>
        <v>0.5</v>
      </c>
      <c r="Q104" s="6"/>
      <c r="R104" s="6">
        <f t="shared" ca="1" si="30"/>
        <v>5324.2884275812421</v>
      </c>
      <c r="S104" s="6">
        <f t="shared" ca="1" si="31"/>
        <v>-490763.00977851549</v>
      </c>
      <c r="T104" s="6">
        <f t="shared" ca="1" si="32"/>
        <v>903.09269892587247</v>
      </c>
      <c r="U104" s="6">
        <f t="shared" ca="1" si="33"/>
        <v>-56643.982123567614</v>
      </c>
      <c r="V104" s="6"/>
      <c r="W104" s="6"/>
      <c r="X104" s="6"/>
      <c r="Y104" s="6">
        <f t="shared" ca="1" si="34"/>
        <v>33695315.78430146</v>
      </c>
      <c r="Z104" s="6">
        <f ca="1">Y104-'Res Normalized Monthly'!V104</f>
        <v>-173641.69850289822</v>
      </c>
    </row>
    <row r="105" spans="1:26">
      <c r="A105" s="197">
        <v>44774</v>
      </c>
      <c r="B105">
        <f t="shared" si="18"/>
        <v>8</v>
      </c>
      <c r="C105">
        <f t="shared" si="19"/>
        <v>2022</v>
      </c>
      <c r="D105" s="6">
        <f>'Monthly Data (longer 09-23)'!E165</f>
        <v>32874209.395077039</v>
      </c>
      <c r="E105" s="230">
        <f>'Monthly Data (14-23) Used'!AC105</f>
        <v>0</v>
      </c>
      <c r="F105">
        <f>'Monthly Data (14-23) Used'!AF105</f>
        <v>198.92895401718039</v>
      </c>
      <c r="G105" s="7">
        <f t="shared" ca="1" si="35"/>
        <v>2.7971045982819609</v>
      </c>
      <c r="H105" s="7">
        <f t="shared" ca="1" si="35"/>
        <v>183.87605861546231</v>
      </c>
      <c r="I105">
        <f>'Monthly Data (14-23) Used'!CB105</f>
        <v>31</v>
      </c>
      <c r="J105">
        <f>'Monthly Data (14-23) Used'!CA105</f>
        <v>0</v>
      </c>
      <c r="K105">
        <f>'Monthly Data (14-23) Used'!BJ105</f>
        <v>104</v>
      </c>
      <c r="L105" s="6">
        <f>'Monthly Data (14-23) Used'!DD105</f>
        <v>0</v>
      </c>
      <c r="M105" s="6">
        <f>'Monthly Data (14-23) Used'!DG105</f>
        <v>99.464477008590194</v>
      </c>
      <c r="N105" s="7">
        <f t="shared" ca="1" si="26"/>
        <v>1.3985522991409804</v>
      </c>
      <c r="O105" s="7">
        <f t="shared" ca="1" si="27"/>
        <v>91.938029307731156</v>
      </c>
      <c r="P105">
        <f>'Monthly Data (longer 09-23)'!CF165</f>
        <v>0.5</v>
      </c>
      <c r="Q105" s="6"/>
      <c r="R105" s="6">
        <f t="shared" ca="1" si="30"/>
        <v>19856.788857822565</v>
      </c>
      <c r="S105" s="6">
        <f t="shared" ca="1" si="31"/>
        <v>-1002755.4454637584</v>
      </c>
      <c r="T105" s="6">
        <f t="shared" ca="1" si="32"/>
        <v>3368.0596544538994</v>
      </c>
      <c r="U105" s="6">
        <f t="shared" ca="1" si="33"/>
        <v>-115738.26958309968</v>
      </c>
      <c r="V105" s="6"/>
      <c r="W105" s="6"/>
      <c r="X105" s="6"/>
      <c r="Y105" s="6">
        <f t="shared" ca="1" si="34"/>
        <v>31778940.528542459</v>
      </c>
      <c r="Z105" s="6">
        <f ca="1">Y105-'Res Normalized Monthly'!V105</f>
        <v>-95928.505841135979</v>
      </c>
    </row>
    <row r="106" spans="1:26">
      <c r="A106" s="197">
        <v>44805</v>
      </c>
      <c r="B106">
        <f t="shared" si="18"/>
        <v>9</v>
      </c>
      <c r="C106">
        <f t="shared" si="19"/>
        <v>2022</v>
      </c>
      <c r="D106" s="6">
        <f>'Monthly Data (longer 09-23)'!E166</f>
        <v>25053426.395077039</v>
      </c>
      <c r="E106" s="230">
        <f>'Monthly Data (14-23) Used'!AC106</f>
        <v>47.400000000000006</v>
      </c>
      <c r="F106">
        <f>'Monthly Data (14-23) Used'!AF106</f>
        <v>97.999999999999986</v>
      </c>
      <c r="G106" s="7">
        <f t="shared" ca="1" si="35"/>
        <v>39.200656897422931</v>
      </c>
      <c r="H106" s="7">
        <f t="shared" ca="1" si="35"/>
        <v>90.709343102577066</v>
      </c>
      <c r="I106">
        <f>'Monthly Data (14-23) Used'!CB106</f>
        <v>30</v>
      </c>
      <c r="J106">
        <f>'Monthly Data (14-23) Used'!CA106</f>
        <v>0</v>
      </c>
      <c r="K106">
        <f>'Monthly Data (14-23) Used'!BJ106</f>
        <v>105</v>
      </c>
      <c r="L106" s="6">
        <f>'Monthly Data (14-23) Used'!DD106</f>
        <v>23.700000000000003</v>
      </c>
      <c r="M106" s="6">
        <f>'Monthly Data (14-23) Used'!DG106</f>
        <v>48.999999999999993</v>
      </c>
      <c r="N106" s="7">
        <f t="shared" ca="1" si="26"/>
        <v>19.600328448711466</v>
      </c>
      <c r="O106" s="7">
        <f t="shared" ca="1" si="27"/>
        <v>45.354671551288533</v>
      </c>
      <c r="P106">
        <f>'Monthly Data (longer 09-23)'!CF166</f>
        <v>0.5</v>
      </c>
      <c r="Q106" s="6"/>
      <c r="R106" s="6">
        <f t="shared" ca="1" si="30"/>
        <v>-58207.556793092263</v>
      </c>
      <c r="S106" s="6">
        <f t="shared" ca="1" si="31"/>
        <v>-485670.41155845171</v>
      </c>
      <c r="T106" s="6">
        <f t="shared" ca="1" si="32"/>
        <v>-9873.0225225674221</v>
      </c>
      <c r="U106" s="6">
        <f t="shared" ca="1" si="33"/>
        <v>-56056.193238113534</v>
      </c>
      <c r="V106" s="6"/>
      <c r="W106" s="6"/>
      <c r="X106" s="6"/>
      <c r="Y106" s="6">
        <f t="shared" ca="1" si="34"/>
        <v>24443619.21096481</v>
      </c>
      <c r="Z106" s="6">
        <f ca="1">Y106-'Res Normalized Monthly'!V106</f>
        <v>-86759.69741012156</v>
      </c>
    </row>
    <row r="107" spans="1:26">
      <c r="A107" s="197">
        <v>44835</v>
      </c>
      <c r="B107">
        <f t="shared" si="18"/>
        <v>10</v>
      </c>
      <c r="C107">
        <f t="shared" si="19"/>
        <v>2022</v>
      </c>
      <c r="D107" s="6">
        <f>'Monthly Data (longer 09-23)'!E167</f>
        <v>18291228.395077039</v>
      </c>
      <c r="E107" s="230">
        <f>'Monthly Data (14-23) Used'!AC107</f>
        <v>209.6420919656392</v>
      </c>
      <c r="F107">
        <f>'Monthly Data (14-23) Used'!AF107</f>
        <v>7.7000000000000028</v>
      </c>
      <c r="G107" s="7">
        <f t="shared" ca="1" si="35"/>
        <v>194.90420919656393</v>
      </c>
      <c r="H107" s="7">
        <f t="shared" ca="1" si="35"/>
        <v>20.479999999999997</v>
      </c>
      <c r="I107">
        <f>'Monthly Data (14-23) Used'!CB107</f>
        <v>31</v>
      </c>
      <c r="J107">
        <f>'Monthly Data (14-23) Used'!CA107</f>
        <v>1</v>
      </c>
      <c r="K107">
        <f>'Monthly Data (14-23) Used'!BJ107</f>
        <v>106</v>
      </c>
      <c r="L107" s="6">
        <f>'Monthly Data (14-23) Used'!DD107</f>
        <v>104.8210459828196</v>
      </c>
      <c r="M107" s="6">
        <f>'Monthly Data (14-23) Used'!DG107</f>
        <v>3.8500000000000014</v>
      </c>
      <c r="N107" s="7">
        <f t="shared" ca="1" si="26"/>
        <v>97.452104598281963</v>
      </c>
      <c r="O107" s="7">
        <f t="shared" ca="1" si="27"/>
        <v>10.239999999999998</v>
      </c>
      <c r="P107">
        <f>'Monthly Data (longer 09-23)'!CF167</f>
        <v>0.5</v>
      </c>
      <c r="Q107" s="6"/>
      <c r="R107" s="6">
        <f t="shared" ca="1" si="30"/>
        <v>-104624.98489924861</v>
      </c>
      <c r="S107" s="6">
        <f t="shared" ca="1" si="31"/>
        <v>851345.4887598668</v>
      </c>
      <c r="T107" s="6">
        <f t="shared" ca="1" si="32"/>
        <v>-17746.232435169728</v>
      </c>
      <c r="U107" s="6">
        <f t="shared" ca="1" si="33"/>
        <v>98262.496735557652</v>
      </c>
      <c r="V107" s="6"/>
      <c r="W107" s="6"/>
      <c r="X107" s="6"/>
      <c r="Y107" s="6">
        <f t="shared" ca="1" si="34"/>
        <v>19118465.163238045</v>
      </c>
      <c r="Z107" s="6">
        <f ca="1">Y107-'Res Normalized Monthly'!V107</f>
        <v>-539839.77817269415</v>
      </c>
    </row>
    <row r="108" spans="1:26">
      <c r="A108" s="197">
        <v>44866</v>
      </c>
      <c r="B108">
        <f t="shared" si="18"/>
        <v>11</v>
      </c>
      <c r="C108">
        <f t="shared" si="19"/>
        <v>2022</v>
      </c>
      <c r="D108" s="6">
        <f>'Monthly Data (longer 09-23)'!E168</f>
        <v>19004520.395077039</v>
      </c>
      <c r="E108" s="230">
        <f>'Monthly Data (14-23) Used'!AC108</f>
        <v>368.6</v>
      </c>
      <c r="F108">
        <f>'Monthly Data (14-23) Used'!AF108</f>
        <v>2.2999999999999972</v>
      </c>
      <c r="G108" s="7">
        <f t="shared" ca="1" si="35"/>
        <v>404.02065689742301</v>
      </c>
      <c r="H108" s="7">
        <f t="shared" ca="1" si="35"/>
        <v>0.6699999999999996</v>
      </c>
      <c r="I108">
        <f>'Monthly Data (14-23) Used'!CB108</f>
        <v>30</v>
      </c>
      <c r="J108">
        <f>'Monthly Data (14-23) Used'!CA108</f>
        <v>1</v>
      </c>
      <c r="K108">
        <f>'Monthly Data (14-23) Used'!BJ108</f>
        <v>107</v>
      </c>
      <c r="L108" s="6">
        <f>'Monthly Data (14-23) Used'!DD108</f>
        <v>184.3</v>
      </c>
      <c r="M108" s="6">
        <f>'Monthly Data (14-23) Used'!DG108</f>
        <v>1.1499999999999986</v>
      </c>
      <c r="N108" s="7">
        <f t="shared" ca="1" si="26"/>
        <v>202.0103284487115</v>
      </c>
      <c r="O108" s="7">
        <f t="shared" ca="1" si="27"/>
        <v>0.3349999999999998</v>
      </c>
      <c r="P108">
        <f>'Monthly Data (longer 09-23)'!CF168</f>
        <v>0.5</v>
      </c>
      <c r="Q108" s="6"/>
      <c r="R108" s="6">
        <f t="shared" ca="1" si="30"/>
        <v>251453.05815503321</v>
      </c>
      <c r="S108" s="6">
        <f t="shared" ca="1" si="31"/>
        <v>-108583.18831600795</v>
      </c>
      <c r="T108" s="6">
        <f t="shared" ca="1" si="32"/>
        <v>42650.848846961395</v>
      </c>
      <c r="U108" s="6">
        <f t="shared" ca="1" si="33"/>
        <v>-12532.697157977998</v>
      </c>
      <c r="V108" s="6"/>
      <c r="W108" s="6"/>
      <c r="X108" s="6"/>
      <c r="Y108" s="6">
        <f t="shared" ca="1" si="34"/>
        <v>19177508.416605048</v>
      </c>
      <c r="Z108" s="6">
        <f ca="1">Y108-'Res Normalized Monthly'!V108</f>
        <v>-21085.602940302342</v>
      </c>
    </row>
    <row r="109" spans="1:26">
      <c r="A109" s="197">
        <v>44896</v>
      </c>
      <c r="B109">
        <f t="shared" si="18"/>
        <v>12</v>
      </c>
      <c r="C109">
        <f t="shared" si="19"/>
        <v>2022</v>
      </c>
      <c r="D109" s="6">
        <f>'Monthly Data (longer 09-23)'!E169</f>
        <v>23067827.395077039</v>
      </c>
      <c r="E109" s="230">
        <f>'Monthly Data (14-23) Used'!AC109</f>
        <v>556.1</v>
      </c>
      <c r="F109">
        <f>'Monthly Data (14-23) Used'!AF109</f>
        <v>0</v>
      </c>
      <c r="G109" s="7">
        <f t="shared" ca="1" si="35"/>
        <v>533.7700000000001</v>
      </c>
      <c r="H109" s="7">
        <f t="shared" ca="1" si="35"/>
        <v>0</v>
      </c>
      <c r="I109">
        <f>'Monthly Data (14-23) Used'!CB109</f>
        <v>31</v>
      </c>
      <c r="J109">
        <f>'Monthly Data (14-23) Used'!CA109</f>
        <v>0</v>
      </c>
      <c r="K109">
        <f>'Monthly Data (14-23) Used'!BJ109</f>
        <v>108</v>
      </c>
      <c r="L109" s="6">
        <f>'Monthly Data (14-23) Used'!DD109</f>
        <v>278.05</v>
      </c>
      <c r="M109" s="6">
        <f>'Monthly Data (14-23) Used'!DG109</f>
        <v>0</v>
      </c>
      <c r="N109" s="7">
        <f t="shared" ca="1" si="26"/>
        <v>266.88500000000005</v>
      </c>
      <c r="O109" s="7">
        <f t="shared" ca="1" si="27"/>
        <v>0</v>
      </c>
      <c r="P109">
        <f>'Monthly Data (longer 09-23)'!CF169</f>
        <v>0.5</v>
      </c>
      <c r="Q109" s="6"/>
      <c r="R109" s="6">
        <f t="shared" ca="1" si="30"/>
        <v>-158521.81411718501</v>
      </c>
      <c r="S109" s="6">
        <f t="shared" ca="1" si="31"/>
        <v>0</v>
      </c>
      <c r="T109" s="6">
        <f t="shared" ca="1" si="32"/>
        <v>-26888.079956019556</v>
      </c>
      <c r="U109" s="6">
        <f t="shared" ca="1" si="33"/>
        <v>0</v>
      </c>
      <c r="V109" s="6"/>
      <c r="W109" s="6"/>
      <c r="X109" s="6"/>
      <c r="Y109" s="6">
        <f t="shared" ca="1" si="34"/>
        <v>22882417.501003832</v>
      </c>
      <c r="Z109" s="6">
        <f ca="1">Y109-'Res Normalized Monthly'!V109</f>
        <v>174985.09627658129</v>
      </c>
    </row>
    <row r="110" spans="1:26">
      <c r="A110" s="197">
        <v>44927</v>
      </c>
      <c r="B110">
        <f t="shared" si="18"/>
        <v>1</v>
      </c>
      <c r="C110">
        <f t="shared" si="19"/>
        <v>2023</v>
      </c>
      <c r="D110" s="6">
        <f>'Monthly Data (longer 09-23)'!E170</f>
        <v>21739653.020592146</v>
      </c>
      <c r="E110" s="230">
        <f>'Monthly Data (14-23) Used'!AC110</f>
        <v>548.70000000000005</v>
      </c>
      <c r="F110">
        <f>'Monthly Data (14-23) Used'!AF110</f>
        <v>0</v>
      </c>
      <c r="G110" s="7">
        <f t="shared" ca="1" si="35"/>
        <v>671</v>
      </c>
      <c r="H110" s="7">
        <f ca="1">H98</f>
        <v>0</v>
      </c>
      <c r="I110">
        <f>'Monthly Data (14-23) Used'!CB110</f>
        <v>31</v>
      </c>
      <c r="J110">
        <f>'Monthly Data (14-23) Used'!CA110</f>
        <v>0</v>
      </c>
      <c r="K110">
        <f>'Monthly Data (14-23) Used'!BJ110</f>
        <v>109</v>
      </c>
      <c r="L110" s="6">
        <f>'Monthly Data (14-23) Used'!DD110</f>
        <v>137.17500000000001</v>
      </c>
      <c r="M110" s="6">
        <f>'Monthly Data (14-23) Used'!DG110</f>
        <v>0</v>
      </c>
      <c r="N110" s="7">
        <f t="shared" ca="1" si="26"/>
        <v>167.75</v>
      </c>
      <c r="O110" s="7">
        <f t="shared" ca="1" si="27"/>
        <v>0</v>
      </c>
      <c r="P110">
        <f>'Monthly Data (longer 09-23)'!CF170</f>
        <v>0.25</v>
      </c>
      <c r="Q110" s="6"/>
      <c r="R110" s="6">
        <f t="shared" ca="1" si="30"/>
        <v>868213.96625758091</v>
      </c>
      <c r="S110" s="6">
        <f t="shared" ca="1" si="31"/>
        <v>0</v>
      </c>
      <c r="T110" s="6">
        <f t="shared" ca="1" si="32"/>
        <v>73632.158052422776</v>
      </c>
      <c r="U110" s="6">
        <f t="shared" ca="1" si="33"/>
        <v>0</v>
      </c>
      <c r="V110" s="6"/>
      <c r="W110" s="6"/>
      <c r="X110" s="6"/>
      <c r="Y110" s="6">
        <f t="shared" ca="1" si="34"/>
        <v>22681499.144902147</v>
      </c>
      <c r="Z110" s="6">
        <f ca="1">Y110-'Res Normalized Monthly'!V110</f>
        <v>-783037.09379161149</v>
      </c>
    </row>
    <row r="111" spans="1:26">
      <c r="A111" s="197">
        <v>44958</v>
      </c>
      <c r="B111">
        <f t="shared" si="18"/>
        <v>2</v>
      </c>
      <c r="C111">
        <f t="shared" si="19"/>
        <v>2023</v>
      </c>
      <c r="D111" s="6">
        <f>'Monthly Data (longer 09-23)'!E171</f>
        <v>19325500.364851363</v>
      </c>
      <c r="E111" s="230">
        <f>'Monthly Data (14-23) Used'!AC111</f>
        <v>491.23552299140994</v>
      </c>
      <c r="F111">
        <f>'Monthly Data (14-23) Used'!AF111</f>
        <v>0</v>
      </c>
      <c r="G111" s="7">
        <f t="shared" ca="1" si="35"/>
        <v>595.51355229914111</v>
      </c>
      <c r="H111" s="7">
        <f t="shared" ca="1" si="35"/>
        <v>0</v>
      </c>
      <c r="I111">
        <f>'Monthly Data (14-23) Used'!CB111</f>
        <v>28</v>
      </c>
      <c r="J111">
        <f>'Monthly Data (14-23) Used'!CA111</f>
        <v>0</v>
      </c>
      <c r="K111">
        <f>'Monthly Data (14-23) Used'!BJ111</f>
        <v>110</v>
      </c>
      <c r="L111" s="6">
        <f>'Monthly Data (14-23) Used'!DD111</f>
        <v>122.80888074785248</v>
      </c>
      <c r="M111" s="6">
        <f>'Monthly Data (14-23) Used'!DG111</f>
        <v>0</v>
      </c>
      <c r="N111" s="7">
        <f t="shared" ca="1" si="26"/>
        <v>148.87838807478528</v>
      </c>
      <c r="O111" s="7">
        <f t="shared" ca="1" si="27"/>
        <v>0</v>
      </c>
      <c r="P111">
        <f>'Monthly Data (longer 09-23)'!CF171</f>
        <v>0.25</v>
      </c>
      <c r="Q111" s="6"/>
      <c r="R111" s="6">
        <f t="shared" ca="1" si="30"/>
        <v>740275.07292550767</v>
      </c>
      <c r="S111" s="6">
        <f t="shared" ca="1" si="31"/>
        <v>0</v>
      </c>
      <c r="T111" s="6">
        <f t="shared" ca="1" si="32"/>
        <v>62781.817950793447</v>
      </c>
      <c r="U111" s="6">
        <f t="shared" ca="1" si="33"/>
        <v>0</v>
      </c>
      <c r="V111" s="6"/>
      <c r="W111" s="6"/>
      <c r="X111" s="6"/>
      <c r="Y111" s="6">
        <f t="shared" ca="1" si="34"/>
        <v>20128557.255727664</v>
      </c>
      <c r="Z111" s="6">
        <f ca="1">Y111-'Res Normalized Monthly'!V111</f>
        <v>-539140.08027944714</v>
      </c>
    </row>
    <row r="112" spans="1:26">
      <c r="A112" s="197">
        <v>44986</v>
      </c>
      <c r="B112">
        <f t="shared" si="18"/>
        <v>3</v>
      </c>
      <c r="C112">
        <f t="shared" si="19"/>
        <v>2023</v>
      </c>
      <c r="D112" s="6">
        <f>'Monthly Data (longer 09-23)'!E172</f>
        <v>20403192.423943333</v>
      </c>
      <c r="E112" s="230">
        <f>'Monthly Data (14-23) Used'!AC112</f>
        <v>480.09999999999997</v>
      </c>
      <c r="F112">
        <f>'Monthly Data (14-23) Used'!AF112</f>
        <v>0</v>
      </c>
      <c r="G112" s="7">
        <f t="shared" ca="1" si="35"/>
        <v>496.46355229914104</v>
      </c>
      <c r="H112" s="7">
        <f t="shared" ca="1" si="35"/>
        <v>0</v>
      </c>
      <c r="I112">
        <f>'Monthly Data (14-23) Used'!CB112</f>
        <v>31</v>
      </c>
      <c r="J112">
        <f>'Monthly Data (14-23) Used'!CA112</f>
        <v>1</v>
      </c>
      <c r="K112">
        <f>'Monthly Data (14-23) Used'!BJ112</f>
        <v>111</v>
      </c>
      <c r="L112" s="6">
        <f>'Monthly Data (14-23) Used'!DD112</f>
        <v>120.02499999999999</v>
      </c>
      <c r="M112" s="6">
        <f>'Monthly Data (14-23) Used'!DG112</f>
        <v>0</v>
      </c>
      <c r="N112" s="7">
        <f t="shared" ca="1" si="26"/>
        <v>124.11588807478526</v>
      </c>
      <c r="O112" s="7">
        <f t="shared" ca="1" si="27"/>
        <v>0</v>
      </c>
      <c r="P112">
        <f>'Monthly Data (longer 09-23)'!CF172</f>
        <v>0.25</v>
      </c>
      <c r="Q112" s="6"/>
      <c r="R112" s="6">
        <f t="shared" ca="1" si="30"/>
        <v>116165.69618724969</v>
      </c>
      <c r="S112" s="6">
        <f t="shared" ca="1" si="31"/>
        <v>0</v>
      </c>
      <c r="T112" s="6">
        <f t="shared" ca="1" si="32"/>
        <v>9851.86973989732</v>
      </c>
      <c r="U112" s="6">
        <f t="shared" ca="1" si="33"/>
        <v>0</v>
      </c>
      <c r="V112" s="6"/>
      <c r="W112" s="6"/>
      <c r="X112" s="6"/>
      <c r="Y112" s="6">
        <f t="shared" ca="1" si="34"/>
        <v>20529209.989870481</v>
      </c>
      <c r="Z112" s="6">
        <f ca="1">Y112-'Res Normalized Monthly'!V112</f>
        <v>79444.257832035422</v>
      </c>
    </row>
    <row r="113" spans="1:27">
      <c r="A113" s="197">
        <v>45017</v>
      </c>
      <c r="B113">
        <f t="shared" si="18"/>
        <v>4</v>
      </c>
      <c r="C113">
        <f t="shared" si="19"/>
        <v>2023</v>
      </c>
      <c r="D113" s="6">
        <f>'Monthly Data (longer 09-23)'!E173</f>
        <v>18268877.853255227</v>
      </c>
      <c r="E113" s="230">
        <f>'Monthly Data (14-23) Used'!AC113</f>
        <v>263.89999999999998</v>
      </c>
      <c r="F113">
        <f>'Monthly Data (14-23) Used'!AF113</f>
        <v>12.2</v>
      </c>
      <c r="G113" s="7">
        <f t="shared" ca="1" si="35"/>
        <v>296.23000000000008</v>
      </c>
      <c r="H113" s="7">
        <f t="shared" ca="1" si="35"/>
        <v>3.0799999999999996</v>
      </c>
      <c r="I113">
        <f>'Monthly Data (14-23) Used'!CB113</f>
        <v>30</v>
      </c>
      <c r="J113">
        <f>'Monthly Data (14-23) Used'!CA113</f>
        <v>1</v>
      </c>
      <c r="K113">
        <f>'Monthly Data (14-23) Used'!BJ113</f>
        <v>112</v>
      </c>
      <c r="L113" s="6">
        <f>'Monthly Data (14-23) Used'!DD113</f>
        <v>65.974999999999994</v>
      </c>
      <c r="M113" s="6">
        <f>'Monthly Data (14-23) Used'!DG113</f>
        <v>3.05</v>
      </c>
      <c r="N113" s="7">
        <f t="shared" ca="1" si="26"/>
        <v>74.057500000000019</v>
      </c>
      <c r="O113" s="7">
        <f t="shared" ca="1" si="27"/>
        <v>0.76999999999999991</v>
      </c>
      <c r="P113">
        <f>'Monthly Data (longer 09-23)'!CF173</f>
        <v>0.25</v>
      </c>
      <c r="Q113" s="6"/>
      <c r="R113" s="6">
        <f t="shared" ca="1" si="30"/>
        <v>229512.32648493611</v>
      </c>
      <c r="S113" s="6">
        <f t="shared" ca="1" si="31"/>
        <v>-607532.93094600842</v>
      </c>
      <c r="T113" s="6">
        <f t="shared" ca="1" si="32"/>
        <v>19464.657970849032</v>
      </c>
      <c r="U113" s="6">
        <f t="shared" ca="1" si="33"/>
        <v>-35060.796957288192</v>
      </c>
      <c r="V113" s="6"/>
      <c r="W113" s="6"/>
      <c r="X113" s="6"/>
      <c r="Y113" s="6">
        <f t="shared" ca="1" si="34"/>
        <v>17875261.109807719</v>
      </c>
      <c r="Z113" s="6">
        <f ca="1">Y113-'Res Normalized Monthly'!V113</f>
        <v>-525425.03887864575</v>
      </c>
    </row>
    <row r="114" spans="1:27">
      <c r="A114" s="197">
        <v>45047</v>
      </c>
      <c r="B114">
        <f t="shared" ref="B114:B121" si="36">MONTH(A114)</f>
        <v>5</v>
      </c>
      <c r="C114">
        <f t="shared" ref="C114:C121" si="37">YEAR(A114)</f>
        <v>2023</v>
      </c>
      <c r="D114" s="6">
        <f>'Monthly Data (longer 09-23)'!E174</f>
        <v>19695117.745425321</v>
      </c>
      <c r="E114" s="230">
        <f>'Monthly Data (14-23) Used'!AC114</f>
        <v>122.5</v>
      </c>
      <c r="F114">
        <f>'Monthly Data (14-23) Used'!AF114</f>
        <v>33.9</v>
      </c>
      <c r="G114" s="7">
        <f t="shared" ref="G114:H121" ca="1" si="38">G102</f>
        <v>116.90355229914098</v>
      </c>
      <c r="H114" s="7">
        <f t="shared" ca="1" si="38"/>
        <v>53.286447700859014</v>
      </c>
      <c r="I114">
        <f>'Monthly Data (14-23) Used'!CB114</f>
        <v>31</v>
      </c>
      <c r="J114">
        <f>'Monthly Data (14-23) Used'!CA114</f>
        <v>1</v>
      </c>
      <c r="K114">
        <f>'Monthly Data (14-23) Used'!BJ114</f>
        <v>113</v>
      </c>
      <c r="L114" s="6">
        <f>'Monthly Data (14-23) Used'!DD114</f>
        <v>30.625</v>
      </c>
      <c r="M114" s="6">
        <f>'Monthly Data (14-23) Used'!DG114</f>
        <v>8.4749999999999996</v>
      </c>
      <c r="N114" s="7">
        <f t="shared" ref="N114:N121" ca="1" si="39">G114*P114</f>
        <v>29.225888074785246</v>
      </c>
      <c r="O114" s="7">
        <f t="shared" ref="O114:O121" ca="1" si="40">H114*P114</f>
        <v>13.321611925214754</v>
      </c>
      <c r="P114">
        <f>'Monthly Data (longer 09-23)'!CF174</f>
        <v>0.25</v>
      </c>
      <c r="Q114" s="6"/>
      <c r="R114" s="6">
        <f t="shared" ref="R114:R120" ca="1" si="41">(G114-E114)*$AC$9</f>
        <v>-39729.468972329749</v>
      </c>
      <c r="S114" s="6">
        <f t="shared" ref="S114:S121" ca="1" si="42">(H114-F114)*$AC$10</f>
        <v>1291436.9947735071</v>
      </c>
      <c r="T114" s="6">
        <f t="shared" ref="T114:T121" ca="1" si="43">(N114-L114)*$AC$11</f>
        <v>-3369.4073723775086</v>
      </c>
      <c r="U114" s="6">
        <f t="shared" ref="U114:U121" ca="1" si="44">(O114-M114)*$AC$12</f>
        <v>74528.980982774607</v>
      </c>
      <c r="V114" s="6"/>
      <c r="W114" s="6"/>
      <c r="X114" s="6"/>
      <c r="Y114" s="6">
        <f t="shared" ref="Y114:Y121" ca="1" si="45">SUM(D114,R114:X114)</f>
        <v>21017984.844836894</v>
      </c>
      <c r="Z114" s="6">
        <f ca="1">Y114-'Res Normalized Monthly'!V114</f>
        <v>-306586.16431675479</v>
      </c>
    </row>
    <row r="115" spans="1:27">
      <c r="A115" s="197">
        <v>45078</v>
      </c>
      <c r="B115">
        <f t="shared" si="36"/>
        <v>6</v>
      </c>
      <c r="C115">
        <f t="shared" si="37"/>
        <v>2023</v>
      </c>
      <c r="D115" s="6">
        <f>'Monthly Data (longer 09-23)'!E175</f>
        <v>25536410.654737167</v>
      </c>
      <c r="E115" s="230">
        <f>'Monthly Data (14-23) Used'!AC115</f>
        <v>14.600000000000001</v>
      </c>
      <c r="F115">
        <f>'Monthly Data (14-23) Used'!AF115</f>
        <v>114.10000000000001</v>
      </c>
      <c r="G115" s="7">
        <f t="shared" ca="1" si="38"/>
        <v>11.023552299140979</v>
      </c>
      <c r="H115" s="7">
        <f t="shared" ca="1" si="38"/>
        <v>145.07</v>
      </c>
      <c r="I115">
        <f>'Monthly Data (14-23) Used'!CB115</f>
        <v>30</v>
      </c>
      <c r="J115">
        <f>'Monthly Data (14-23) Used'!CA115</f>
        <v>0</v>
      </c>
      <c r="K115">
        <f>'Monthly Data (14-23) Used'!BJ115</f>
        <v>114</v>
      </c>
      <c r="L115" s="6">
        <f>'Monthly Data (14-23) Used'!DD115</f>
        <v>3.6500000000000004</v>
      </c>
      <c r="M115" s="6">
        <f>'Monthly Data (14-23) Used'!DG115</f>
        <v>28.525000000000002</v>
      </c>
      <c r="N115" s="7">
        <f t="shared" ca="1" si="39"/>
        <v>2.7558880747852448</v>
      </c>
      <c r="O115" s="7">
        <f t="shared" ca="1" si="40"/>
        <v>36.267499999999998</v>
      </c>
      <c r="P115">
        <f>'Monthly Data (longer 09-23)'!CF175</f>
        <v>0.25</v>
      </c>
      <c r="Q115" s="6"/>
      <c r="R115" s="6">
        <f t="shared" ca="1" si="41"/>
        <v>-25389.385474044309</v>
      </c>
      <c r="S115" s="6">
        <f t="shared" ca="1" si="42"/>
        <v>2063080.578004153</v>
      </c>
      <c r="T115" s="6">
        <f t="shared" ca="1" si="43"/>
        <v>-2153.2425378240041</v>
      </c>
      <c r="U115" s="6">
        <f t="shared" ca="1" si="44"/>
        <v>119060.62300079109</v>
      </c>
      <c r="V115" s="6"/>
      <c r="W115" s="6"/>
      <c r="X115" s="6"/>
      <c r="Y115" s="6">
        <f t="shared" ca="1" si="45"/>
        <v>27691009.227730241</v>
      </c>
      <c r="Z115" s="6">
        <f ca="1">Y115-'Res Normalized Monthly'!V115</f>
        <v>-275078.37793570012</v>
      </c>
    </row>
    <row r="116" spans="1:27">
      <c r="A116" s="197">
        <v>45108</v>
      </c>
      <c r="B116">
        <f t="shared" si="36"/>
        <v>7</v>
      </c>
      <c r="C116">
        <f t="shared" si="37"/>
        <v>2023</v>
      </c>
      <c r="D116" s="6">
        <f>'Monthly Data (longer 09-23)'!E176</f>
        <v>33012016.936593421</v>
      </c>
      <c r="E116" s="230">
        <f>'Monthly Data (14-23) Used'!AC116</f>
        <v>0</v>
      </c>
      <c r="F116">
        <f>'Monthly Data (14-23) Used'!AF116</f>
        <v>194.8644770085902</v>
      </c>
      <c r="G116" s="7">
        <f t="shared" ca="1" si="38"/>
        <v>0.75</v>
      </c>
      <c r="H116" s="7">
        <f t="shared" ca="1" si="38"/>
        <v>211.23289540171805</v>
      </c>
      <c r="I116">
        <f>'Monthly Data (14-23) Used'!CB116</f>
        <v>31</v>
      </c>
      <c r="J116">
        <f>'Monthly Data (14-23) Used'!CA116</f>
        <v>0</v>
      </c>
      <c r="K116">
        <f>'Monthly Data (14-23) Used'!BJ116</f>
        <v>115</v>
      </c>
      <c r="L116" s="6">
        <f>'Monthly Data (14-23) Used'!DD116</f>
        <v>0</v>
      </c>
      <c r="M116" s="6">
        <f>'Monthly Data (14-23) Used'!DG116</f>
        <v>48.71611925214755</v>
      </c>
      <c r="N116" s="7">
        <f t="shared" ca="1" si="39"/>
        <v>0.1875</v>
      </c>
      <c r="O116" s="7">
        <f t="shared" ca="1" si="40"/>
        <v>52.808223850429513</v>
      </c>
      <c r="P116">
        <f>'Monthly Data (longer 09-23)'!CF176</f>
        <v>0.25</v>
      </c>
      <c r="Q116" s="6"/>
      <c r="R116" s="6">
        <f t="shared" ca="1" si="41"/>
        <v>5324.2884275812421</v>
      </c>
      <c r="S116" s="6">
        <f t="shared" ca="1" si="42"/>
        <v>1090389.6054087193</v>
      </c>
      <c r="T116" s="6">
        <f t="shared" ca="1" si="43"/>
        <v>451.54634946293623</v>
      </c>
      <c r="U116" s="6">
        <f t="shared" ca="1" si="44"/>
        <v>62926.512477346179</v>
      </c>
      <c r="V116" s="6"/>
      <c r="W116" s="6"/>
      <c r="X116" s="6"/>
      <c r="Y116" s="6">
        <f t="shared" ca="1" si="45"/>
        <v>34171108.88925653</v>
      </c>
      <c r="Z116" s="6">
        <f ca="1">Y116-'Res Normalized Monthly'!V116</f>
        <v>854952.23715494573</v>
      </c>
    </row>
    <row r="117" spans="1:27">
      <c r="A117" s="197">
        <v>45139</v>
      </c>
      <c r="B117">
        <f t="shared" si="36"/>
        <v>8</v>
      </c>
      <c r="C117">
        <f t="shared" si="37"/>
        <v>2023</v>
      </c>
      <c r="D117" s="6">
        <f>'Monthly Data (longer 09-23)'!E177</f>
        <v>29791544.592128277</v>
      </c>
      <c r="E117" s="230">
        <f>'Monthly Data (14-23) Used'!AC117</f>
        <v>8.5710459828196122</v>
      </c>
      <c r="F117">
        <f>'Monthly Data (14-23) Used'!AF117</f>
        <v>140.01581606872151</v>
      </c>
      <c r="G117" s="7">
        <f t="shared" ca="1" si="38"/>
        <v>2.7971045982819609</v>
      </c>
      <c r="H117" s="7">
        <f t="shared" ca="1" si="38"/>
        <v>183.87605861546231</v>
      </c>
      <c r="I117">
        <f>'Monthly Data (14-23) Used'!CB117</f>
        <v>31</v>
      </c>
      <c r="J117">
        <f>'Monthly Data (14-23) Used'!CA117</f>
        <v>0</v>
      </c>
      <c r="K117">
        <f>'Monthly Data (14-23) Used'!BJ117</f>
        <v>116</v>
      </c>
      <c r="L117" s="6">
        <f>'Monthly Data (14-23) Used'!DD117</f>
        <v>2.142761495704903</v>
      </c>
      <c r="M117" s="6">
        <f>'Monthly Data (14-23) Used'!DG117</f>
        <v>35.003954017180376</v>
      </c>
      <c r="N117" s="7">
        <f t="shared" ca="1" si="39"/>
        <v>0.69927614957049022</v>
      </c>
      <c r="O117" s="7">
        <f t="shared" ca="1" si="40"/>
        <v>45.969014653865578</v>
      </c>
      <c r="P117">
        <f>'Monthly Data (longer 09-23)'!CF177</f>
        <v>0.25</v>
      </c>
      <c r="Q117" s="6"/>
      <c r="R117" s="6">
        <f t="shared" ca="1" si="41"/>
        <v>-40989.505726968309</v>
      </c>
      <c r="S117" s="6">
        <f t="shared" ca="1" si="42"/>
        <v>2921769.9239500291</v>
      </c>
      <c r="T117" s="6">
        <f t="shared" ca="1" si="43"/>
        <v>-3476.2695389345977</v>
      </c>
      <c r="U117" s="6">
        <f t="shared" ca="1" si="44"/>
        <v>168615.68623121624</v>
      </c>
      <c r="V117" s="6"/>
      <c r="W117" s="6"/>
      <c r="X117" s="6"/>
      <c r="Y117" s="6">
        <f t="shared" ca="1" si="45"/>
        <v>32837464.427043617</v>
      </c>
      <c r="Z117" s="6">
        <f ca="1">Y117-'Res Normalized Monthly'!V117</f>
        <v>1411458.4765821621</v>
      </c>
    </row>
    <row r="118" spans="1:27">
      <c r="A118" s="197">
        <v>45170</v>
      </c>
      <c r="B118">
        <f t="shared" si="36"/>
        <v>9</v>
      </c>
      <c r="C118">
        <f t="shared" si="37"/>
        <v>2023</v>
      </c>
      <c r="D118" s="6">
        <f>'Monthly Data (longer 09-23)'!E178</f>
        <v>24279616.849699214</v>
      </c>
      <c r="E118" s="230">
        <f>'Monthly Data (14-23) Used'!AC118</f>
        <v>26.171045982819621</v>
      </c>
      <c r="F118">
        <f>'Monthly Data (14-23) Used'!AF118</f>
        <v>74.064477008590188</v>
      </c>
      <c r="G118" s="7">
        <f t="shared" ca="1" si="38"/>
        <v>39.200656897422931</v>
      </c>
      <c r="H118" s="7">
        <f t="shared" ca="1" si="38"/>
        <v>90.709343102577066</v>
      </c>
      <c r="I118">
        <f>'Monthly Data (14-23) Used'!CB118</f>
        <v>30</v>
      </c>
      <c r="J118">
        <f>'Monthly Data (14-23) Used'!CA118</f>
        <v>0</v>
      </c>
      <c r="K118">
        <f>'Monthly Data (14-23) Used'!BJ118</f>
        <v>117</v>
      </c>
      <c r="L118" s="6">
        <f>'Monthly Data (14-23) Used'!DD118</f>
        <v>6.5427614957049052</v>
      </c>
      <c r="M118" s="6">
        <f>'Monthly Data (14-23) Used'!DG118</f>
        <v>18.516119252147547</v>
      </c>
      <c r="N118" s="7">
        <f t="shared" ca="1" si="39"/>
        <v>9.8001642243557328</v>
      </c>
      <c r="O118" s="7">
        <f t="shared" ca="1" si="40"/>
        <v>22.677335775644266</v>
      </c>
      <c r="P118">
        <f>'Monthly Data (longer 09-23)'!CF178</f>
        <v>0.25</v>
      </c>
      <c r="Q118" s="6"/>
      <c r="R118" s="6">
        <f t="shared" ca="1" si="41"/>
        <v>92497.875478011541</v>
      </c>
      <c r="S118" s="6">
        <f t="shared" ca="1" si="42"/>
        <v>1108805.2942197027</v>
      </c>
      <c r="T118" s="6">
        <f t="shared" ca="1" si="43"/>
        <v>7844.6309912154065</v>
      </c>
      <c r="U118" s="6">
        <f t="shared" ca="1" si="44"/>
        <v>63989.284046329441</v>
      </c>
      <c r="V118" s="6"/>
      <c r="W118" s="6"/>
      <c r="X118" s="6"/>
      <c r="Y118" s="6">
        <f t="shared" ca="1" si="45"/>
        <v>25552753.934434474</v>
      </c>
      <c r="Z118" s="6">
        <f ca="1">Y118-'Res Normalized Monthly'!V118</f>
        <v>1134986.515747793</v>
      </c>
    </row>
    <row r="119" spans="1:27">
      <c r="A119" s="197">
        <v>45200</v>
      </c>
      <c r="B119">
        <f t="shared" si="36"/>
        <v>10</v>
      </c>
      <c r="C119">
        <f t="shared" si="37"/>
        <v>2023</v>
      </c>
      <c r="D119" s="6">
        <f>'Monthly Data (longer 09-23)'!E179</f>
        <v>19662271.76550518</v>
      </c>
      <c r="E119" s="230">
        <f>'Monthly Data (14-23) Used'!AC119</f>
        <v>191.00000000000003</v>
      </c>
      <c r="F119">
        <f>'Monthly Data (14-23) Used'!AF119</f>
        <v>28.599999999999994</v>
      </c>
      <c r="G119" s="7">
        <f t="shared" ca="1" si="38"/>
        <v>194.90420919656393</v>
      </c>
      <c r="H119" s="7">
        <f t="shared" ca="1" si="38"/>
        <v>20.479999999999997</v>
      </c>
      <c r="I119">
        <f>'Monthly Data (14-23) Used'!CB119</f>
        <v>31</v>
      </c>
      <c r="J119">
        <f>'Monthly Data (14-23) Used'!CA119</f>
        <v>1</v>
      </c>
      <c r="K119">
        <f>'Monthly Data (14-23) Used'!BJ119</f>
        <v>118</v>
      </c>
      <c r="L119" s="6">
        <f>'Monthly Data (14-23) Used'!DD119</f>
        <v>47.750000000000007</v>
      </c>
      <c r="M119" s="6">
        <f>'Monthly Data (14-23) Used'!DG119</f>
        <v>7.1499999999999986</v>
      </c>
      <c r="N119" s="7">
        <f t="shared" ca="1" si="39"/>
        <v>48.726052299140981</v>
      </c>
      <c r="O119" s="7">
        <f t="shared" ca="1" si="40"/>
        <v>5.1199999999999992</v>
      </c>
      <c r="P119">
        <f>'Monthly Data (longer 09-23)'!CF179</f>
        <v>0.25</v>
      </c>
      <c r="Q119" s="6"/>
      <c r="R119" s="6">
        <f t="shared" ca="1" si="41"/>
        <v>27716.181125495226</v>
      </c>
      <c r="S119" s="6">
        <f t="shared" ca="1" si="42"/>
        <v>-540917.47799140215</v>
      </c>
      <c r="T119" s="6">
        <f t="shared" ca="1" si="43"/>
        <v>2350.5752136640681</v>
      </c>
      <c r="U119" s="6">
        <f t="shared" ca="1" si="44"/>
        <v>-31216.411326006582</v>
      </c>
      <c r="V119" s="6"/>
      <c r="W119" s="6"/>
      <c r="X119" s="6"/>
      <c r="Y119" s="6">
        <f t="shared" ca="1" si="45"/>
        <v>19120204.63252693</v>
      </c>
      <c r="Z119" s="6">
        <f ca="1">Y119-'Res Normalized Monthly'!V119</f>
        <v>-601734.33586133271</v>
      </c>
    </row>
    <row r="120" spans="1:27">
      <c r="A120" s="197">
        <v>45231</v>
      </c>
      <c r="B120">
        <f t="shared" si="36"/>
        <v>11</v>
      </c>
      <c r="C120">
        <f t="shared" si="37"/>
        <v>2023</v>
      </c>
      <c r="D120" s="6">
        <f>'Monthly Data (longer 09-23)'!E180</f>
        <v>19498370.0278183</v>
      </c>
      <c r="E120" s="230">
        <f>'Monthly Data (14-23) Used'!AC120</f>
        <v>402.39999999999992</v>
      </c>
      <c r="F120">
        <f>'Monthly Data (14-23) Used'!AF120</f>
        <v>0</v>
      </c>
      <c r="G120" s="7">
        <f t="shared" ca="1" si="38"/>
        <v>404.02065689742301</v>
      </c>
      <c r="H120" s="7">
        <f t="shared" ca="1" si="38"/>
        <v>0.6699999999999996</v>
      </c>
      <c r="I120">
        <f>'Monthly Data (14-23) Used'!CB120</f>
        <v>30</v>
      </c>
      <c r="J120">
        <f>'Monthly Data (14-23) Used'!CA120</f>
        <v>1</v>
      </c>
      <c r="K120">
        <f>'Monthly Data (14-23) Used'!BJ120</f>
        <v>119</v>
      </c>
      <c r="L120" s="6">
        <f>'Monthly Data (14-23) Used'!DD120</f>
        <v>100.59999999999998</v>
      </c>
      <c r="M120" s="6">
        <f>'Monthly Data (14-23) Used'!DG120</f>
        <v>0</v>
      </c>
      <c r="N120" s="7">
        <f t="shared" ca="1" si="39"/>
        <v>101.00516422435575</v>
      </c>
      <c r="O120" s="7">
        <f t="shared" ca="1" si="40"/>
        <v>0.1674999999999999</v>
      </c>
      <c r="P120">
        <f>'Monthly Data (longer 09-23)'!CF180</f>
        <v>0.25</v>
      </c>
      <c r="Q120" s="6"/>
      <c r="R120" s="6">
        <f t="shared" ca="1" si="41"/>
        <v>11505.126352039299</v>
      </c>
      <c r="S120" s="6">
        <f t="shared" ca="1" si="42"/>
        <v>44632.353479586127</v>
      </c>
      <c r="T120" s="6">
        <f t="shared" ca="1" si="43"/>
        <v>975.73560768443224</v>
      </c>
      <c r="U120" s="6">
        <f t="shared" ca="1" si="44"/>
        <v>2575.7383729586704</v>
      </c>
      <c r="V120" s="6"/>
      <c r="W120" s="6"/>
      <c r="X120" s="6"/>
      <c r="Y120" s="6">
        <f t="shared" ca="1" si="45"/>
        <v>19558058.981630567</v>
      </c>
      <c r="Z120" s="6">
        <f ca="1">Y120-'Res Normalized Monthly'!V120</f>
        <v>345574.68051464111</v>
      </c>
      <c r="AA120" s="101"/>
    </row>
    <row r="121" spans="1:27">
      <c r="A121" s="197">
        <v>45261</v>
      </c>
      <c r="B121">
        <f t="shared" si="36"/>
        <v>12</v>
      </c>
      <c r="C121">
        <f t="shared" si="37"/>
        <v>2023</v>
      </c>
      <c r="D121" s="6">
        <f>'Monthly Data (longer 09-23)'!E181</f>
        <v>21949733.195365354</v>
      </c>
      <c r="E121" s="230">
        <f>'Monthly Data (14-23) Used'!AC121</f>
        <v>431.4</v>
      </c>
      <c r="F121">
        <f>'Monthly Data (14-23) Used'!AF121</f>
        <v>0</v>
      </c>
      <c r="G121" s="7">
        <f t="shared" ca="1" si="38"/>
        <v>533.7700000000001</v>
      </c>
      <c r="H121" s="7">
        <f t="shared" ca="1" si="38"/>
        <v>0</v>
      </c>
      <c r="I121">
        <f>'Monthly Data (14-23) Used'!CB121</f>
        <v>31</v>
      </c>
      <c r="J121">
        <f>'Monthly Data (14-23) Used'!CA121</f>
        <v>0</v>
      </c>
      <c r="K121">
        <f>'Monthly Data (14-23) Used'!BJ121</f>
        <v>120</v>
      </c>
      <c r="L121" s="6">
        <f>'Monthly Data (14-23) Used'!DD121</f>
        <v>107.85</v>
      </c>
      <c r="M121" s="6">
        <f>'Monthly Data (14-23) Used'!DG121</f>
        <v>0</v>
      </c>
      <c r="N121" s="7">
        <f t="shared" ca="1" si="39"/>
        <v>133.44250000000002</v>
      </c>
      <c r="O121" s="7">
        <f t="shared" ca="1" si="40"/>
        <v>0</v>
      </c>
      <c r="P121">
        <f>'Monthly Data (longer 09-23)'!CF181</f>
        <v>0.25</v>
      </c>
      <c r="Q121" s="6"/>
      <c r="R121" s="6">
        <f ca="1">(G121-E121)*$AC$9</f>
        <v>726729.87510865659</v>
      </c>
      <c r="S121" s="6">
        <f t="shared" ca="1" si="42"/>
        <v>0</v>
      </c>
      <c r="T121" s="6">
        <f t="shared" ca="1" si="43"/>
        <v>61633.066392694447</v>
      </c>
      <c r="U121" s="6">
        <f t="shared" ca="1" si="44"/>
        <v>0</v>
      </c>
      <c r="V121" s="6"/>
      <c r="W121" s="6"/>
      <c r="X121" s="6"/>
      <c r="Y121" s="6">
        <f t="shared" ca="1" si="45"/>
        <v>22738096.136866704</v>
      </c>
      <c r="Z121" s="6">
        <f ca="1">Y121-'Res Normalized Monthly'!V121</f>
        <v>92314.83516016975</v>
      </c>
      <c r="AA121" s="101"/>
    </row>
    <row r="122" spans="1:27">
      <c r="A122" s="197">
        <v>45292</v>
      </c>
      <c r="B122">
        <f t="shared" ref="B122:B133" si="46">MONTH(A122)</f>
        <v>1</v>
      </c>
      <c r="C122">
        <f t="shared" ref="C122:C133" si="47">YEAR(A122)</f>
        <v>2024</v>
      </c>
      <c r="D122" s="6"/>
      <c r="E122" s="6"/>
      <c r="F122" s="6"/>
      <c r="G122" s="7">
        <f t="shared" ref="G122:J130" ca="1" si="48">G110</f>
        <v>671</v>
      </c>
      <c r="H122" s="7">
        <f t="shared" ca="1" si="48"/>
        <v>0</v>
      </c>
      <c r="I122">
        <f t="shared" ref="I122:I145" si="49">I74</f>
        <v>31</v>
      </c>
      <c r="J122">
        <f t="shared" si="48"/>
        <v>0</v>
      </c>
      <c r="K122">
        <f t="shared" ref="K122:K133" si="50">K121+1</f>
        <v>121</v>
      </c>
      <c r="L122" s="6"/>
      <c r="M122" s="6"/>
      <c r="N122" s="7">
        <f t="shared" ca="1" si="26"/>
        <v>167.75</v>
      </c>
      <c r="O122" s="7">
        <f t="shared" ca="1" si="27"/>
        <v>0</v>
      </c>
      <c r="P122">
        <f t="shared" ref="P122:P133" si="51">P121</f>
        <v>0.25</v>
      </c>
      <c r="Q122" s="6">
        <f t="shared" ref="Q122:Q145" si="52">$AC$8</f>
        <v>-7179191.8731795801</v>
      </c>
      <c r="R122" s="6">
        <f t="shared" ref="R122:R133" ca="1" si="53">G122*$AC$9</f>
        <v>4763463.3798760185</v>
      </c>
      <c r="S122" s="6">
        <f t="shared" ref="S122:S133" ca="1" si="54">H122*$AC$10</f>
        <v>0</v>
      </c>
      <c r="T122" s="6">
        <f t="shared" ref="T122:T145" ca="1" si="55">N122*$AC$11</f>
        <v>403983.46731950698</v>
      </c>
      <c r="U122" s="6">
        <f t="shared" ref="U122:U145" ca="1" si="56">O122*$AC$12</f>
        <v>0</v>
      </c>
      <c r="V122" s="6">
        <f t="shared" ref="V122:V145" si="57">I122*$AC$13</f>
        <v>23117235.833798315</v>
      </c>
      <c r="W122" s="6">
        <f t="shared" ref="W122:W145" si="58">J122*$AC$14</f>
        <v>0</v>
      </c>
      <c r="X122" s="6">
        <f t="shared" ref="X122:X145" si="59">K122*$AC$15</f>
        <v>2618756.8544625621</v>
      </c>
      <c r="Y122" s="6">
        <f t="shared" ref="Y122:Y145" ca="1" si="60">SUM(Q122:X122)</f>
        <v>23724247.662276819</v>
      </c>
      <c r="Z122" s="6">
        <f ca="1">Y122-'Res Normalized Monthly'!V122</f>
        <v>0</v>
      </c>
    </row>
    <row r="123" spans="1:27">
      <c r="A123" s="197">
        <v>45323</v>
      </c>
      <c r="B123">
        <f t="shared" si="46"/>
        <v>2</v>
      </c>
      <c r="C123">
        <f t="shared" si="47"/>
        <v>2024</v>
      </c>
      <c r="D123" s="6"/>
      <c r="E123" s="6"/>
      <c r="F123" s="6"/>
      <c r="G123" s="7">
        <f t="shared" ca="1" si="48"/>
        <v>595.51355229914111</v>
      </c>
      <c r="H123" s="7">
        <f t="shared" ca="1" si="48"/>
        <v>0</v>
      </c>
      <c r="I123">
        <f t="shared" si="49"/>
        <v>29</v>
      </c>
      <c r="J123">
        <f t="shared" si="48"/>
        <v>0</v>
      </c>
      <c r="K123">
        <f>K122+1</f>
        <v>122</v>
      </c>
      <c r="L123" s="6"/>
      <c r="M123" s="6"/>
      <c r="N123" s="7">
        <f ca="1">G123*P123</f>
        <v>148.87838807478528</v>
      </c>
      <c r="O123" s="7">
        <f ca="1">H123*P123</f>
        <v>0</v>
      </c>
      <c r="P123">
        <f>P122</f>
        <v>0.25</v>
      </c>
      <c r="Q123" s="6">
        <f t="shared" si="52"/>
        <v>-7179191.8731795801</v>
      </c>
      <c r="R123" s="6">
        <f ca="1">G123*$AC$9</f>
        <v>4227581.2199654849</v>
      </c>
      <c r="S123" s="6">
        <f ca="1">H123*$AC$10</f>
        <v>0</v>
      </c>
      <c r="T123" s="6">
        <f ca="1">N123*$AC$11</f>
        <v>358535.96079517668</v>
      </c>
      <c r="U123" s="6">
        <f ca="1">O123*$AC$12</f>
        <v>0</v>
      </c>
      <c r="V123" s="6">
        <f>I123*$AC$13</f>
        <v>21625801.263875842</v>
      </c>
      <c r="W123" s="6">
        <f>J123*$AC$14</f>
        <v>0</v>
      </c>
      <c r="X123" s="6">
        <f>K123*$AC$15</f>
        <v>2640399.4730944838</v>
      </c>
      <c r="Y123" s="6">
        <f t="shared" ca="1" si="60"/>
        <v>21673126.04455141</v>
      </c>
      <c r="Z123" s="6">
        <f ca="1">Y123-'Res Normalized Monthly'!V123</f>
        <v>0</v>
      </c>
    </row>
    <row r="124" spans="1:27">
      <c r="A124" s="197">
        <v>45352</v>
      </c>
      <c r="B124">
        <f t="shared" si="46"/>
        <v>3</v>
      </c>
      <c r="C124">
        <f t="shared" si="47"/>
        <v>2024</v>
      </c>
      <c r="D124" s="6"/>
      <c r="E124" s="6"/>
      <c r="F124" s="6"/>
      <c r="G124" s="7">
        <f t="shared" ca="1" si="48"/>
        <v>496.46355229914104</v>
      </c>
      <c r="H124" s="7">
        <f t="shared" ca="1" si="48"/>
        <v>0</v>
      </c>
      <c r="I124">
        <f t="shared" si="49"/>
        <v>31</v>
      </c>
      <c r="J124">
        <f t="shared" si="48"/>
        <v>1</v>
      </c>
      <c r="K124">
        <f t="shared" si="50"/>
        <v>123</v>
      </c>
      <c r="L124" s="6"/>
      <c r="M124" s="6"/>
      <c r="N124" s="7">
        <f t="shared" ca="1" si="26"/>
        <v>124.11588807478526</v>
      </c>
      <c r="O124" s="7">
        <f t="shared" ca="1" si="27"/>
        <v>0</v>
      </c>
      <c r="P124">
        <f t="shared" si="51"/>
        <v>0.25</v>
      </c>
      <c r="Q124" s="6">
        <f t="shared" si="52"/>
        <v>-7179191.8731795801</v>
      </c>
      <c r="R124" s="6">
        <f t="shared" ca="1" si="53"/>
        <v>3524420.194962922</v>
      </c>
      <c r="S124" s="6">
        <f t="shared" ca="1" si="54"/>
        <v>0</v>
      </c>
      <c r="T124" s="6">
        <f t="shared" ca="1" si="55"/>
        <v>298901.73957610485</v>
      </c>
      <c r="U124" s="6">
        <f t="shared" ca="1" si="56"/>
        <v>0</v>
      </c>
      <c r="V124" s="6">
        <f t="shared" si="57"/>
        <v>23117235.833798315</v>
      </c>
      <c r="W124" s="6">
        <f t="shared" si="58"/>
        <v>-1713930.83126266</v>
      </c>
      <c r="X124" s="6">
        <f t="shared" si="59"/>
        <v>2662042.091726406</v>
      </c>
      <c r="Y124" s="6">
        <f t="shared" ca="1" si="60"/>
        <v>20709477.15562151</v>
      </c>
      <c r="Z124" s="6">
        <f ca="1">Y124-'Res Normalized Monthly'!V124</f>
        <v>0</v>
      </c>
    </row>
    <row r="125" spans="1:27">
      <c r="A125" s="197">
        <v>45383</v>
      </c>
      <c r="B125">
        <f t="shared" si="46"/>
        <v>4</v>
      </c>
      <c r="C125">
        <f t="shared" si="47"/>
        <v>2024</v>
      </c>
      <c r="D125" s="6"/>
      <c r="E125" s="6"/>
      <c r="F125" s="6"/>
      <c r="G125" s="7">
        <f t="shared" ca="1" si="48"/>
        <v>296.23000000000008</v>
      </c>
      <c r="H125" s="7">
        <f t="shared" ca="1" si="48"/>
        <v>3.0799999999999996</v>
      </c>
      <c r="I125">
        <f t="shared" si="49"/>
        <v>30</v>
      </c>
      <c r="J125">
        <f t="shared" si="48"/>
        <v>1</v>
      </c>
      <c r="K125">
        <f t="shared" si="50"/>
        <v>124</v>
      </c>
      <c r="L125" s="6"/>
      <c r="M125" s="6"/>
      <c r="N125" s="7">
        <f t="shared" ca="1" si="26"/>
        <v>74.057500000000019</v>
      </c>
      <c r="O125" s="7">
        <f t="shared" ca="1" si="27"/>
        <v>0.76999999999999991</v>
      </c>
      <c r="P125">
        <f t="shared" si="51"/>
        <v>0.25</v>
      </c>
      <c r="Q125" s="6">
        <f t="shared" si="52"/>
        <v>-7179191.8731795801</v>
      </c>
      <c r="R125" s="6">
        <f t="shared" ca="1" si="53"/>
        <v>2102951.9478698559</v>
      </c>
      <c r="S125" s="6">
        <f t="shared" ca="1" si="54"/>
        <v>205175.59510018706</v>
      </c>
      <c r="T125" s="6">
        <f t="shared" ca="1" si="55"/>
        <v>178348.76680187418</v>
      </c>
      <c r="U125" s="6">
        <f t="shared" ca="1" si="56"/>
        <v>11840.707744347326</v>
      </c>
      <c r="V125" s="6">
        <f t="shared" si="57"/>
        <v>22371518.548837077</v>
      </c>
      <c r="W125" s="6">
        <f t="shared" si="58"/>
        <v>-1713930.83126266</v>
      </c>
      <c r="X125" s="6">
        <f t="shared" si="59"/>
        <v>2683684.7103583282</v>
      </c>
      <c r="Y125" s="6">
        <f t="shared" ca="1" si="60"/>
        <v>18660397.572269429</v>
      </c>
      <c r="Z125" s="6">
        <f ca="1">Y125-'Res Normalized Monthly'!V125</f>
        <v>0</v>
      </c>
    </row>
    <row r="126" spans="1:27">
      <c r="A126" s="197">
        <v>45413</v>
      </c>
      <c r="B126">
        <f t="shared" si="46"/>
        <v>5</v>
      </c>
      <c r="C126">
        <f t="shared" si="47"/>
        <v>2024</v>
      </c>
      <c r="D126" s="6"/>
      <c r="E126" s="6"/>
      <c r="F126" s="6"/>
      <c r="G126" s="7">
        <f t="shared" ca="1" si="48"/>
        <v>116.90355229914098</v>
      </c>
      <c r="H126" s="7">
        <f t="shared" ca="1" si="48"/>
        <v>53.286447700859014</v>
      </c>
      <c r="I126">
        <f t="shared" si="49"/>
        <v>31</v>
      </c>
      <c r="J126">
        <f t="shared" si="48"/>
        <v>1</v>
      </c>
      <c r="K126">
        <f t="shared" si="50"/>
        <v>125</v>
      </c>
      <c r="L126" s="6"/>
      <c r="M126" s="6"/>
      <c r="N126" s="7">
        <f t="shared" ca="1" si="26"/>
        <v>29.225888074785246</v>
      </c>
      <c r="O126" s="7">
        <f t="shared" ca="1" si="27"/>
        <v>13.321611925214754</v>
      </c>
      <c r="P126">
        <f t="shared" si="51"/>
        <v>0.25</v>
      </c>
      <c r="Q126" s="6">
        <f t="shared" si="52"/>
        <v>-7179191.8731795801</v>
      </c>
      <c r="R126" s="6">
        <f t="shared" ca="1" si="53"/>
        <v>829904.30753260653</v>
      </c>
      <c r="S126" s="6">
        <f t="shared" ca="1" si="54"/>
        <v>3549700.8499346571</v>
      </c>
      <c r="T126" s="6">
        <f t="shared" ca="1" si="55"/>
        <v>70383.16303990208</v>
      </c>
      <c r="U126" s="6">
        <f t="shared" ca="1" si="56"/>
        <v>204853.65388322086</v>
      </c>
      <c r="V126" s="6">
        <f t="shared" si="57"/>
        <v>23117235.833798315</v>
      </c>
      <c r="W126" s="6">
        <f t="shared" si="58"/>
        <v>-1713930.83126266</v>
      </c>
      <c r="X126" s="6">
        <f t="shared" si="59"/>
        <v>2705327.3289902499</v>
      </c>
      <c r="Y126" s="6">
        <f t="shared" ca="1" si="60"/>
        <v>21584282.432736713</v>
      </c>
      <c r="Z126" s="6">
        <f ca="1">Y126-'Res Normalized Monthly'!V126</f>
        <v>0</v>
      </c>
    </row>
    <row r="127" spans="1:27">
      <c r="A127" s="197">
        <v>45444</v>
      </c>
      <c r="B127">
        <f t="shared" si="46"/>
        <v>6</v>
      </c>
      <c r="C127">
        <f t="shared" si="47"/>
        <v>2024</v>
      </c>
      <c r="D127" s="6"/>
      <c r="E127" s="6"/>
      <c r="F127" s="6"/>
      <c r="G127" s="7">
        <f t="shared" ca="1" si="48"/>
        <v>11.023552299140979</v>
      </c>
      <c r="H127" s="7">
        <f t="shared" ca="1" si="48"/>
        <v>145.07</v>
      </c>
      <c r="I127">
        <f t="shared" si="49"/>
        <v>30</v>
      </c>
      <c r="J127">
        <f t="shared" si="48"/>
        <v>0</v>
      </c>
      <c r="K127">
        <f t="shared" si="50"/>
        <v>126</v>
      </c>
      <c r="L127" s="6"/>
      <c r="M127" s="6"/>
      <c r="N127" s="7">
        <f t="shared" ca="1" si="26"/>
        <v>2.7558880747852448</v>
      </c>
      <c r="O127" s="7">
        <f t="shared" ca="1" si="27"/>
        <v>36.267499999999998</v>
      </c>
      <c r="P127">
        <f t="shared" si="51"/>
        <v>0.25</v>
      </c>
      <c r="Q127" s="6">
        <f t="shared" si="52"/>
        <v>-7179191.8731795801</v>
      </c>
      <c r="R127" s="6">
        <f t="shared" ca="1" si="53"/>
        <v>78256.76258287055</v>
      </c>
      <c r="S127" s="6">
        <f t="shared" ca="1" si="54"/>
        <v>9663903.7601247206</v>
      </c>
      <c r="T127" s="6">
        <f t="shared" ca="1" si="55"/>
        <v>6636.8597317211561</v>
      </c>
      <c r="U127" s="6">
        <f t="shared" ca="1" si="56"/>
        <v>557705.02353002166</v>
      </c>
      <c r="V127" s="6">
        <f t="shared" si="57"/>
        <v>22371518.548837077</v>
      </c>
      <c r="W127" s="6">
        <f t="shared" si="58"/>
        <v>0</v>
      </c>
      <c r="X127" s="6">
        <f t="shared" si="59"/>
        <v>2726969.9476221721</v>
      </c>
      <c r="Y127" s="6">
        <f t="shared" ca="1" si="60"/>
        <v>28225799.029249005</v>
      </c>
      <c r="Z127" s="6">
        <f ca="1">Y127-'Res Normalized Monthly'!V127</f>
        <v>0</v>
      </c>
    </row>
    <row r="128" spans="1:27">
      <c r="A128" s="197">
        <v>45474</v>
      </c>
      <c r="B128">
        <f t="shared" si="46"/>
        <v>7</v>
      </c>
      <c r="C128">
        <f t="shared" si="47"/>
        <v>2024</v>
      </c>
      <c r="D128" s="6"/>
      <c r="E128" s="6"/>
      <c r="F128" s="6"/>
      <c r="G128" s="7">
        <f t="shared" ca="1" si="48"/>
        <v>0.75</v>
      </c>
      <c r="H128" s="7">
        <f t="shared" ca="1" si="48"/>
        <v>211.23289540171805</v>
      </c>
      <c r="I128">
        <f t="shared" si="49"/>
        <v>31</v>
      </c>
      <c r="J128">
        <f t="shared" si="48"/>
        <v>0</v>
      </c>
      <c r="K128">
        <f t="shared" si="50"/>
        <v>127</v>
      </c>
      <c r="L128" s="6"/>
      <c r="M128" s="6"/>
      <c r="N128" s="7">
        <f t="shared" ca="1" si="26"/>
        <v>0.1875</v>
      </c>
      <c r="O128" s="7">
        <f t="shared" ca="1" si="27"/>
        <v>52.808223850429513</v>
      </c>
      <c r="P128">
        <f t="shared" si="51"/>
        <v>0.25</v>
      </c>
      <c r="Q128" s="6">
        <f t="shared" si="52"/>
        <v>-7179191.8731795801</v>
      </c>
      <c r="R128" s="6">
        <f t="shared" ca="1" si="53"/>
        <v>5324.2884275812421</v>
      </c>
      <c r="S128" s="6">
        <f t="shared" ca="1" si="54"/>
        <v>14071375.006098401</v>
      </c>
      <c r="T128" s="6">
        <f t="shared" ca="1" si="55"/>
        <v>451.54634946293623</v>
      </c>
      <c r="U128" s="6">
        <f t="shared" ca="1" si="56"/>
        <v>812060.70793637412</v>
      </c>
      <c r="V128" s="6">
        <f t="shared" si="57"/>
        <v>23117235.833798315</v>
      </c>
      <c r="W128" s="6">
        <f t="shared" si="58"/>
        <v>0</v>
      </c>
      <c r="X128" s="6">
        <f t="shared" si="59"/>
        <v>2748612.5662540938</v>
      </c>
      <c r="Y128" s="6">
        <f t="shared" ca="1" si="60"/>
        <v>33575868.075684644</v>
      </c>
      <c r="Z128" s="6">
        <f ca="1">Y128-'Res Normalized Monthly'!V128</f>
        <v>0</v>
      </c>
    </row>
    <row r="129" spans="1:26">
      <c r="A129" s="197">
        <v>45505</v>
      </c>
      <c r="B129">
        <f t="shared" si="46"/>
        <v>8</v>
      </c>
      <c r="C129">
        <f t="shared" si="47"/>
        <v>2024</v>
      </c>
      <c r="D129" s="6"/>
      <c r="E129" s="6"/>
      <c r="F129" s="6"/>
      <c r="G129" s="7">
        <f t="shared" ca="1" si="48"/>
        <v>2.7971045982819609</v>
      </c>
      <c r="H129" s="7">
        <f t="shared" ca="1" si="48"/>
        <v>183.87605861546231</v>
      </c>
      <c r="I129">
        <f t="shared" si="49"/>
        <v>31</v>
      </c>
      <c r="J129">
        <f t="shared" si="48"/>
        <v>0</v>
      </c>
      <c r="K129">
        <f t="shared" si="50"/>
        <v>128</v>
      </c>
      <c r="L129" s="6"/>
      <c r="M129" s="6"/>
      <c r="N129" s="7">
        <f t="shared" ca="1" si="26"/>
        <v>0.69927614957049022</v>
      </c>
      <c r="O129" s="7">
        <f t="shared" ca="1" si="27"/>
        <v>45.969014653865578</v>
      </c>
      <c r="P129">
        <f t="shared" si="51"/>
        <v>0.25</v>
      </c>
      <c r="Q129" s="6">
        <f t="shared" si="52"/>
        <v>-7179191.8731795801</v>
      </c>
      <c r="R129" s="6">
        <f t="shared" ca="1" si="53"/>
        <v>19856.788857822565</v>
      </c>
      <c r="S129" s="6">
        <f t="shared" ca="1" si="54"/>
        <v>12248986.932176741</v>
      </c>
      <c r="T129" s="6">
        <f t="shared" ca="1" si="55"/>
        <v>1684.0298272269497</v>
      </c>
      <c r="U129" s="6">
        <f t="shared" ca="1" si="56"/>
        <v>706890.4776779766</v>
      </c>
      <c r="V129" s="6">
        <f t="shared" si="57"/>
        <v>23117235.833798315</v>
      </c>
      <c r="W129" s="6">
        <f t="shared" si="58"/>
        <v>0</v>
      </c>
      <c r="X129" s="6">
        <f t="shared" si="59"/>
        <v>2770255.184886016</v>
      </c>
      <c r="Y129" s="6">
        <f t="shared" ca="1" si="60"/>
        <v>31685717.374044519</v>
      </c>
      <c r="Z129" s="6">
        <f ca="1">Y129-'Res Normalized Monthly'!V129</f>
        <v>0</v>
      </c>
    </row>
    <row r="130" spans="1:26">
      <c r="A130" s="197">
        <v>45536</v>
      </c>
      <c r="B130">
        <f t="shared" si="46"/>
        <v>9</v>
      </c>
      <c r="C130">
        <f t="shared" si="47"/>
        <v>2024</v>
      </c>
      <c r="D130" s="6"/>
      <c r="E130" s="6"/>
      <c r="F130" s="6"/>
      <c r="G130" s="7">
        <f t="shared" ca="1" si="48"/>
        <v>39.200656897422931</v>
      </c>
      <c r="H130" s="7">
        <f t="shared" ca="1" si="48"/>
        <v>90.709343102577066</v>
      </c>
      <c r="I130">
        <f t="shared" si="49"/>
        <v>30</v>
      </c>
      <c r="J130">
        <f t="shared" si="48"/>
        <v>0</v>
      </c>
      <c r="K130">
        <f t="shared" si="50"/>
        <v>129</v>
      </c>
      <c r="L130" s="6"/>
      <c r="M130" s="6"/>
      <c r="N130" s="7">
        <f t="shared" ca="1" si="26"/>
        <v>9.8001642243557328</v>
      </c>
      <c r="O130" s="7">
        <f t="shared" ca="1" si="27"/>
        <v>22.677335775644266</v>
      </c>
      <c r="P130">
        <f t="shared" si="51"/>
        <v>0.25</v>
      </c>
      <c r="Q130" s="6">
        <f t="shared" si="52"/>
        <v>-7179191.8731795801</v>
      </c>
      <c r="R130" s="6">
        <f t="shared" ca="1" si="53"/>
        <v>278287.47183004231</v>
      </c>
      <c r="S130" s="6">
        <f t="shared" ca="1" si="54"/>
        <v>6042643.9779929547</v>
      </c>
      <c r="T130" s="6">
        <f t="shared" ca="1" si="55"/>
        <v>23601.218024773862</v>
      </c>
      <c r="U130" s="6">
        <f t="shared" ca="1" si="56"/>
        <v>348721.69524654001</v>
      </c>
      <c r="V130" s="6">
        <f t="shared" si="57"/>
        <v>22371518.548837077</v>
      </c>
      <c r="W130" s="6">
        <f t="shared" si="58"/>
        <v>0</v>
      </c>
      <c r="X130" s="6">
        <f t="shared" si="59"/>
        <v>2791897.8035179381</v>
      </c>
      <c r="Y130" s="6">
        <f t="shared" ca="1" si="60"/>
        <v>24677478.842269745</v>
      </c>
      <c r="Z130" s="6">
        <f ca="1">Y130-'Res Normalized Monthly'!V130</f>
        <v>0</v>
      </c>
    </row>
    <row r="131" spans="1:26">
      <c r="A131" s="197">
        <v>45566</v>
      </c>
      <c r="B131">
        <f t="shared" si="46"/>
        <v>10</v>
      </c>
      <c r="C131">
        <f t="shared" si="47"/>
        <v>2024</v>
      </c>
      <c r="D131" s="6"/>
      <c r="E131" s="6"/>
      <c r="F131" s="6"/>
      <c r="G131" s="7">
        <f t="shared" ref="G131:J133" ca="1" si="61">G119</f>
        <v>194.90420919656393</v>
      </c>
      <c r="H131" s="7">
        <f t="shared" ca="1" si="61"/>
        <v>20.479999999999997</v>
      </c>
      <c r="I131">
        <f t="shared" si="49"/>
        <v>31</v>
      </c>
      <c r="J131">
        <f t="shared" si="61"/>
        <v>1</v>
      </c>
      <c r="K131">
        <f t="shared" si="50"/>
        <v>130</v>
      </c>
      <c r="L131" s="6"/>
      <c r="M131" s="6"/>
      <c r="N131" s="7">
        <f t="shared" ca="1" si="26"/>
        <v>48.726052299140981</v>
      </c>
      <c r="O131" s="7">
        <f t="shared" ca="1" si="27"/>
        <v>5.1199999999999992</v>
      </c>
      <c r="P131">
        <f t="shared" si="51"/>
        <v>0.25</v>
      </c>
      <c r="Q131" s="6">
        <f t="shared" si="52"/>
        <v>-7179191.8731795801</v>
      </c>
      <c r="R131" s="6">
        <f t="shared" ca="1" si="53"/>
        <v>1383634.9673495186</v>
      </c>
      <c r="S131" s="6">
        <f t="shared" ca="1" si="54"/>
        <v>1364284.4765103348</v>
      </c>
      <c r="T131" s="6">
        <f t="shared" ca="1" si="55"/>
        <v>117344.37887689185</v>
      </c>
      <c r="U131" s="6">
        <f t="shared" ca="1" si="56"/>
        <v>78733.017728647159</v>
      </c>
      <c r="V131" s="6">
        <f t="shared" si="57"/>
        <v>23117235.833798315</v>
      </c>
      <c r="W131" s="6">
        <f t="shared" si="58"/>
        <v>-1713930.83126266</v>
      </c>
      <c r="X131" s="6">
        <f t="shared" si="59"/>
        <v>2813540.4221498598</v>
      </c>
      <c r="Y131" s="6">
        <f t="shared" ca="1" si="60"/>
        <v>19981650.391971327</v>
      </c>
      <c r="Z131" s="6">
        <f ca="1">Y131-'Res Normalized Monthly'!V131</f>
        <v>0</v>
      </c>
    </row>
    <row r="132" spans="1:26">
      <c r="A132" s="197">
        <v>45597</v>
      </c>
      <c r="B132">
        <f t="shared" si="46"/>
        <v>11</v>
      </c>
      <c r="C132">
        <f t="shared" si="47"/>
        <v>2024</v>
      </c>
      <c r="D132" s="6"/>
      <c r="E132" s="6"/>
      <c r="F132" s="6"/>
      <c r="G132" s="7">
        <f t="shared" ca="1" si="61"/>
        <v>404.02065689742301</v>
      </c>
      <c r="H132" s="7">
        <f t="shared" ca="1" si="61"/>
        <v>0.6699999999999996</v>
      </c>
      <c r="I132">
        <f t="shared" si="49"/>
        <v>30</v>
      </c>
      <c r="J132">
        <f t="shared" si="61"/>
        <v>1</v>
      </c>
      <c r="K132">
        <f t="shared" si="50"/>
        <v>131</v>
      </c>
      <c r="L132" s="6"/>
      <c r="M132" s="6"/>
      <c r="N132" s="7">
        <f t="shared" ca="1" si="26"/>
        <v>101.00516422435575</v>
      </c>
      <c r="O132" s="7">
        <f t="shared" ca="1" si="27"/>
        <v>0.1674999999999999</v>
      </c>
      <c r="P132">
        <f t="shared" si="51"/>
        <v>0.25</v>
      </c>
      <c r="Q132" s="6">
        <f t="shared" si="52"/>
        <v>-7179191.8731795801</v>
      </c>
      <c r="R132" s="6">
        <f t="shared" ca="1" si="53"/>
        <v>2868163.3440302946</v>
      </c>
      <c r="S132" s="6">
        <f t="shared" ca="1" si="54"/>
        <v>44632.353479586127</v>
      </c>
      <c r="T132" s="6">
        <f t="shared" ca="1" si="55"/>
        <v>243245.40363953178</v>
      </c>
      <c r="U132" s="6">
        <f t="shared" ca="1" si="56"/>
        <v>2575.7383729586704</v>
      </c>
      <c r="V132" s="6">
        <f t="shared" si="57"/>
        <v>22371518.548837077</v>
      </c>
      <c r="W132" s="6">
        <f t="shared" si="58"/>
        <v>-1713930.83126266</v>
      </c>
      <c r="X132" s="6">
        <f t="shared" si="59"/>
        <v>2835183.040781782</v>
      </c>
      <c r="Y132" s="6">
        <f t="shared" ca="1" si="60"/>
        <v>19472195.724698991</v>
      </c>
      <c r="Z132" s="6">
        <f ca="1">Y132-'Res Normalized Monthly'!V132</f>
        <v>0</v>
      </c>
    </row>
    <row r="133" spans="1:26">
      <c r="A133" s="197">
        <v>45627</v>
      </c>
      <c r="B133">
        <f t="shared" si="46"/>
        <v>12</v>
      </c>
      <c r="C133">
        <f t="shared" si="47"/>
        <v>2024</v>
      </c>
      <c r="D133" s="6"/>
      <c r="E133" s="6"/>
      <c r="F133" s="6"/>
      <c r="G133" s="7">
        <f t="shared" ca="1" si="61"/>
        <v>533.7700000000001</v>
      </c>
      <c r="H133" s="7">
        <f t="shared" ca="1" si="61"/>
        <v>0</v>
      </c>
      <c r="I133">
        <f t="shared" si="49"/>
        <v>31</v>
      </c>
      <c r="J133">
        <f t="shared" si="61"/>
        <v>0</v>
      </c>
      <c r="K133">
        <f t="shared" si="50"/>
        <v>132</v>
      </c>
      <c r="L133" s="6"/>
      <c r="M133" s="6"/>
      <c r="N133" s="7">
        <f t="shared" ca="1" si="26"/>
        <v>133.44250000000002</v>
      </c>
      <c r="O133" s="7">
        <f t="shared" ca="1" si="27"/>
        <v>0</v>
      </c>
      <c r="P133">
        <f t="shared" si="51"/>
        <v>0.25</v>
      </c>
      <c r="Q133" s="6">
        <f t="shared" si="52"/>
        <v>-7179191.8731795801</v>
      </c>
      <c r="R133" s="6">
        <f t="shared" ca="1" si="53"/>
        <v>3789260.5786533868</v>
      </c>
      <c r="S133" s="6">
        <f t="shared" ca="1" si="54"/>
        <v>0</v>
      </c>
      <c r="T133" s="6">
        <f t="shared" ca="1" si="55"/>
        <v>321362.52660377533</v>
      </c>
      <c r="U133" s="6">
        <f t="shared" ca="1" si="56"/>
        <v>0</v>
      </c>
      <c r="V133" s="6">
        <f t="shared" si="57"/>
        <v>23117235.833798315</v>
      </c>
      <c r="W133" s="6">
        <f t="shared" si="58"/>
        <v>0</v>
      </c>
      <c r="X133" s="6">
        <f t="shared" si="59"/>
        <v>2856825.6594137037</v>
      </c>
      <c r="Y133" s="6">
        <f t="shared" ca="1" si="60"/>
        <v>22905492.725289598</v>
      </c>
      <c r="Z133" s="6">
        <f ca="1">Y133-'Res Normalized Monthly'!V133</f>
        <v>0</v>
      </c>
    </row>
    <row r="134" spans="1:26">
      <c r="A134" s="197">
        <v>45658</v>
      </c>
      <c r="B134">
        <f t="shared" ref="B134:B145" si="62">MONTH(A134)</f>
        <v>1</v>
      </c>
      <c r="C134">
        <f t="shared" ref="C134:C145" si="63">YEAR(A134)</f>
        <v>2025</v>
      </c>
      <c r="D134" s="6"/>
      <c r="E134" s="6"/>
      <c r="F134" s="6"/>
      <c r="G134" s="7">
        <f t="shared" ref="G134:H145" ca="1" si="64">G122</f>
        <v>671</v>
      </c>
      <c r="H134" s="7">
        <f t="shared" ca="1" si="64"/>
        <v>0</v>
      </c>
      <c r="I134">
        <f t="shared" si="49"/>
        <v>31</v>
      </c>
      <c r="J134">
        <f t="shared" ref="J134:J145" si="65">J122</f>
        <v>0</v>
      </c>
      <c r="K134">
        <f t="shared" ref="K134:K145" si="66">K133+1</f>
        <v>133</v>
      </c>
      <c r="L134" s="6"/>
      <c r="M134" s="6"/>
      <c r="N134" s="7">
        <f t="shared" ref="N134:N145" ca="1" si="67">G134*P134</f>
        <v>167.75</v>
      </c>
      <c r="O134" s="7">
        <f t="shared" ref="O134:O145" ca="1" si="68">H134*P134</f>
        <v>0</v>
      </c>
      <c r="P134">
        <f t="shared" ref="P134:P145" si="69">P133</f>
        <v>0.25</v>
      </c>
      <c r="Q134" s="6">
        <f t="shared" si="52"/>
        <v>-7179191.8731795801</v>
      </c>
      <c r="R134" s="6">
        <f t="shared" ref="R134:R145" ca="1" si="70">G134*$AC$9</f>
        <v>4763463.3798760185</v>
      </c>
      <c r="S134" s="6">
        <f t="shared" ref="S134:S145" ca="1" si="71">H134*$AC$10</f>
        <v>0</v>
      </c>
      <c r="T134" s="6">
        <f t="shared" ca="1" si="55"/>
        <v>403983.46731950698</v>
      </c>
      <c r="U134" s="6">
        <f t="shared" ca="1" si="56"/>
        <v>0</v>
      </c>
      <c r="V134" s="6">
        <f t="shared" si="57"/>
        <v>23117235.833798315</v>
      </c>
      <c r="W134" s="6">
        <f t="shared" si="58"/>
        <v>0</v>
      </c>
      <c r="X134" s="6">
        <f t="shared" si="59"/>
        <v>2878468.2780456259</v>
      </c>
      <c r="Y134" s="6">
        <f t="shared" ca="1" si="60"/>
        <v>23983959.085859884</v>
      </c>
      <c r="Z134" s="6">
        <f ca="1">Y134-'Res Normalized Monthly'!V134</f>
        <v>0</v>
      </c>
    </row>
    <row r="135" spans="1:26">
      <c r="A135" s="197">
        <v>45689</v>
      </c>
      <c r="B135">
        <f t="shared" si="62"/>
        <v>2</v>
      </c>
      <c r="C135">
        <f t="shared" si="63"/>
        <v>2025</v>
      </c>
      <c r="D135" s="6"/>
      <c r="E135" s="6"/>
      <c r="F135" s="6"/>
      <c r="G135" s="7">
        <f t="shared" ca="1" si="64"/>
        <v>595.51355229914111</v>
      </c>
      <c r="H135" s="7">
        <f t="shared" ca="1" si="64"/>
        <v>0</v>
      </c>
      <c r="I135">
        <f t="shared" si="49"/>
        <v>28</v>
      </c>
      <c r="J135">
        <f t="shared" si="65"/>
        <v>0</v>
      </c>
      <c r="K135">
        <f t="shared" si="66"/>
        <v>134</v>
      </c>
      <c r="L135" s="6"/>
      <c r="M135" s="6"/>
      <c r="N135" s="7">
        <f t="shared" ca="1" si="67"/>
        <v>148.87838807478528</v>
      </c>
      <c r="O135" s="7">
        <f t="shared" ca="1" si="68"/>
        <v>0</v>
      </c>
      <c r="P135">
        <f t="shared" si="69"/>
        <v>0.25</v>
      </c>
      <c r="Q135" s="6">
        <f t="shared" si="52"/>
        <v>-7179191.8731795801</v>
      </c>
      <c r="R135" s="6">
        <f t="shared" ca="1" si="70"/>
        <v>4227581.2199654849</v>
      </c>
      <c r="S135" s="6">
        <f t="shared" ca="1" si="71"/>
        <v>0</v>
      </c>
      <c r="T135" s="6">
        <f t="shared" ca="1" si="55"/>
        <v>358535.96079517668</v>
      </c>
      <c r="U135" s="6">
        <f t="shared" ca="1" si="56"/>
        <v>0</v>
      </c>
      <c r="V135" s="6">
        <f t="shared" si="57"/>
        <v>20880083.978914607</v>
      </c>
      <c r="W135" s="6">
        <f t="shared" si="58"/>
        <v>0</v>
      </c>
      <c r="X135" s="6">
        <f t="shared" si="59"/>
        <v>2900110.8966775481</v>
      </c>
      <c r="Y135" s="6">
        <f t="shared" ca="1" si="60"/>
        <v>21187120.183173239</v>
      </c>
      <c r="Z135" s="6">
        <f ca="1">Y135-'Res Normalized Monthly'!V135</f>
        <v>0</v>
      </c>
    </row>
    <row r="136" spans="1:26">
      <c r="A136" s="197">
        <v>45717</v>
      </c>
      <c r="B136">
        <f t="shared" si="62"/>
        <v>3</v>
      </c>
      <c r="C136">
        <f t="shared" si="63"/>
        <v>2025</v>
      </c>
      <c r="D136" s="6"/>
      <c r="E136" s="6"/>
      <c r="F136" s="6"/>
      <c r="G136" s="7">
        <f t="shared" ca="1" si="64"/>
        <v>496.46355229914104</v>
      </c>
      <c r="H136" s="7">
        <f t="shared" ca="1" si="64"/>
        <v>0</v>
      </c>
      <c r="I136">
        <f t="shared" si="49"/>
        <v>31</v>
      </c>
      <c r="J136">
        <f t="shared" si="65"/>
        <v>1</v>
      </c>
      <c r="K136">
        <f t="shared" si="66"/>
        <v>135</v>
      </c>
      <c r="L136" s="6"/>
      <c r="M136" s="6"/>
      <c r="N136" s="7">
        <f t="shared" ca="1" si="67"/>
        <v>124.11588807478526</v>
      </c>
      <c r="O136" s="7">
        <f t="shared" ca="1" si="68"/>
        <v>0</v>
      </c>
      <c r="P136">
        <f t="shared" si="69"/>
        <v>0.25</v>
      </c>
      <c r="Q136" s="6">
        <f t="shared" si="52"/>
        <v>-7179191.8731795801</v>
      </c>
      <c r="R136" s="6">
        <f t="shared" ca="1" si="70"/>
        <v>3524420.194962922</v>
      </c>
      <c r="S136" s="6">
        <f t="shared" ca="1" si="71"/>
        <v>0</v>
      </c>
      <c r="T136" s="6">
        <f t="shared" ca="1" si="55"/>
        <v>298901.73957610485</v>
      </c>
      <c r="U136" s="6">
        <f t="shared" ca="1" si="56"/>
        <v>0</v>
      </c>
      <c r="V136" s="6">
        <f t="shared" si="57"/>
        <v>23117235.833798315</v>
      </c>
      <c r="W136" s="6">
        <f t="shared" si="58"/>
        <v>-1713930.83126266</v>
      </c>
      <c r="X136" s="6">
        <f t="shared" si="59"/>
        <v>2921753.5153094698</v>
      </c>
      <c r="Y136" s="6">
        <f t="shared" ca="1" si="60"/>
        <v>20969188.579204574</v>
      </c>
      <c r="Z136" s="6">
        <f ca="1">Y136-'Res Normalized Monthly'!V136</f>
        <v>0</v>
      </c>
    </row>
    <row r="137" spans="1:26">
      <c r="A137" s="197">
        <v>45748</v>
      </c>
      <c r="B137">
        <f t="shared" si="62"/>
        <v>4</v>
      </c>
      <c r="C137">
        <f t="shared" si="63"/>
        <v>2025</v>
      </c>
      <c r="D137" s="6"/>
      <c r="E137" s="6"/>
      <c r="F137" s="6"/>
      <c r="G137" s="7">
        <f t="shared" ca="1" si="64"/>
        <v>296.23000000000008</v>
      </c>
      <c r="H137" s="7">
        <f t="shared" ca="1" si="64"/>
        <v>3.0799999999999996</v>
      </c>
      <c r="I137">
        <f t="shared" si="49"/>
        <v>30</v>
      </c>
      <c r="J137">
        <f t="shared" si="65"/>
        <v>1</v>
      </c>
      <c r="K137">
        <f t="shared" si="66"/>
        <v>136</v>
      </c>
      <c r="L137" s="6"/>
      <c r="M137" s="6"/>
      <c r="N137" s="7">
        <f t="shared" ca="1" si="67"/>
        <v>74.057500000000019</v>
      </c>
      <c r="O137" s="7">
        <f t="shared" ca="1" si="68"/>
        <v>0.76999999999999991</v>
      </c>
      <c r="P137">
        <f t="shared" si="69"/>
        <v>0.25</v>
      </c>
      <c r="Q137" s="6">
        <f t="shared" si="52"/>
        <v>-7179191.8731795801</v>
      </c>
      <c r="R137" s="6">
        <f t="shared" ca="1" si="70"/>
        <v>2102951.9478698559</v>
      </c>
      <c r="S137" s="6">
        <f t="shared" ca="1" si="71"/>
        <v>205175.59510018706</v>
      </c>
      <c r="T137" s="6">
        <f t="shared" ca="1" si="55"/>
        <v>178348.76680187418</v>
      </c>
      <c r="U137" s="6">
        <f t="shared" ca="1" si="56"/>
        <v>11840.707744347326</v>
      </c>
      <c r="V137" s="6">
        <f t="shared" si="57"/>
        <v>22371518.548837077</v>
      </c>
      <c r="W137" s="6">
        <f t="shared" si="58"/>
        <v>-1713930.83126266</v>
      </c>
      <c r="X137" s="6">
        <f t="shared" si="59"/>
        <v>2943396.1339413919</v>
      </c>
      <c r="Y137" s="6">
        <f t="shared" ca="1" si="60"/>
        <v>18920108.995852493</v>
      </c>
      <c r="Z137" s="6">
        <f ca="1">Y137-'Res Normalized Monthly'!V137</f>
        <v>0</v>
      </c>
    </row>
    <row r="138" spans="1:26">
      <c r="A138" s="197">
        <v>45778</v>
      </c>
      <c r="B138">
        <f t="shared" si="62"/>
        <v>5</v>
      </c>
      <c r="C138">
        <f t="shared" si="63"/>
        <v>2025</v>
      </c>
      <c r="D138" s="6"/>
      <c r="E138" s="6"/>
      <c r="F138" s="6"/>
      <c r="G138" s="7">
        <f t="shared" ca="1" si="64"/>
        <v>116.90355229914098</v>
      </c>
      <c r="H138" s="7">
        <f t="shared" ca="1" si="64"/>
        <v>53.286447700859014</v>
      </c>
      <c r="I138">
        <f t="shared" si="49"/>
        <v>31</v>
      </c>
      <c r="J138">
        <f t="shared" si="65"/>
        <v>1</v>
      </c>
      <c r="K138">
        <f t="shared" si="66"/>
        <v>137</v>
      </c>
      <c r="L138" s="6"/>
      <c r="M138" s="6"/>
      <c r="N138" s="7">
        <f t="shared" ca="1" si="67"/>
        <v>29.225888074785246</v>
      </c>
      <c r="O138" s="7">
        <f t="shared" ca="1" si="68"/>
        <v>13.321611925214754</v>
      </c>
      <c r="P138">
        <f t="shared" si="69"/>
        <v>0.25</v>
      </c>
      <c r="Q138" s="6">
        <f t="shared" si="52"/>
        <v>-7179191.8731795801</v>
      </c>
      <c r="R138" s="6">
        <f t="shared" ca="1" si="70"/>
        <v>829904.30753260653</v>
      </c>
      <c r="S138" s="6">
        <f t="shared" ca="1" si="71"/>
        <v>3549700.8499346571</v>
      </c>
      <c r="T138" s="6">
        <f t="shared" ca="1" si="55"/>
        <v>70383.16303990208</v>
      </c>
      <c r="U138" s="6">
        <f t="shared" ca="1" si="56"/>
        <v>204853.65388322086</v>
      </c>
      <c r="V138" s="6">
        <f t="shared" si="57"/>
        <v>23117235.833798315</v>
      </c>
      <c r="W138" s="6">
        <f t="shared" si="58"/>
        <v>-1713930.83126266</v>
      </c>
      <c r="X138" s="6">
        <f t="shared" si="59"/>
        <v>2965038.7525733141</v>
      </c>
      <c r="Y138" s="6">
        <f t="shared" ca="1" si="60"/>
        <v>21843993.856319778</v>
      </c>
      <c r="Z138" s="6">
        <f ca="1">Y138-'Res Normalized Monthly'!V138</f>
        <v>0</v>
      </c>
    </row>
    <row r="139" spans="1:26">
      <c r="A139" s="197">
        <v>45809</v>
      </c>
      <c r="B139">
        <f t="shared" si="62"/>
        <v>6</v>
      </c>
      <c r="C139">
        <f t="shared" si="63"/>
        <v>2025</v>
      </c>
      <c r="D139" s="6"/>
      <c r="E139" s="6"/>
      <c r="F139" s="6"/>
      <c r="G139" s="7">
        <f t="shared" ca="1" si="64"/>
        <v>11.023552299140979</v>
      </c>
      <c r="H139" s="7">
        <f t="shared" ca="1" si="64"/>
        <v>145.07</v>
      </c>
      <c r="I139">
        <f t="shared" si="49"/>
        <v>30</v>
      </c>
      <c r="J139">
        <f t="shared" si="65"/>
        <v>0</v>
      </c>
      <c r="K139">
        <f t="shared" si="66"/>
        <v>138</v>
      </c>
      <c r="L139" s="6"/>
      <c r="M139" s="6"/>
      <c r="N139" s="7">
        <f t="shared" ca="1" si="67"/>
        <v>2.7558880747852448</v>
      </c>
      <c r="O139" s="7">
        <f t="shared" ca="1" si="68"/>
        <v>36.267499999999998</v>
      </c>
      <c r="P139">
        <f t="shared" si="69"/>
        <v>0.25</v>
      </c>
      <c r="Q139" s="6">
        <f t="shared" si="52"/>
        <v>-7179191.8731795801</v>
      </c>
      <c r="R139" s="6">
        <f t="shared" ca="1" si="70"/>
        <v>78256.76258287055</v>
      </c>
      <c r="S139" s="6">
        <f t="shared" ca="1" si="71"/>
        <v>9663903.7601247206</v>
      </c>
      <c r="T139" s="6">
        <f t="shared" ca="1" si="55"/>
        <v>6636.8597317211561</v>
      </c>
      <c r="U139" s="6">
        <f t="shared" ca="1" si="56"/>
        <v>557705.02353002166</v>
      </c>
      <c r="V139" s="6">
        <f t="shared" si="57"/>
        <v>22371518.548837077</v>
      </c>
      <c r="W139" s="6">
        <f t="shared" si="58"/>
        <v>0</v>
      </c>
      <c r="X139" s="6">
        <f t="shared" si="59"/>
        <v>2986681.3712052358</v>
      </c>
      <c r="Y139" s="6">
        <f t="shared" ca="1" si="60"/>
        <v>28485510.452832069</v>
      </c>
      <c r="Z139" s="6">
        <f ca="1">Y139-'Res Normalized Monthly'!V139</f>
        <v>0</v>
      </c>
    </row>
    <row r="140" spans="1:26">
      <c r="A140" s="197">
        <v>45839</v>
      </c>
      <c r="B140">
        <f t="shared" si="62"/>
        <v>7</v>
      </c>
      <c r="C140">
        <f t="shared" si="63"/>
        <v>2025</v>
      </c>
      <c r="D140" s="6"/>
      <c r="E140" s="6"/>
      <c r="F140" s="6"/>
      <c r="G140" s="7">
        <f t="shared" ca="1" si="64"/>
        <v>0.75</v>
      </c>
      <c r="H140" s="7">
        <f t="shared" ca="1" si="64"/>
        <v>211.23289540171805</v>
      </c>
      <c r="I140">
        <f t="shared" si="49"/>
        <v>31</v>
      </c>
      <c r="J140">
        <f t="shared" si="65"/>
        <v>0</v>
      </c>
      <c r="K140">
        <f t="shared" si="66"/>
        <v>139</v>
      </c>
      <c r="L140" s="6"/>
      <c r="M140" s="6"/>
      <c r="N140" s="7">
        <f t="shared" ca="1" si="67"/>
        <v>0.1875</v>
      </c>
      <c r="O140" s="7">
        <f t="shared" ca="1" si="68"/>
        <v>52.808223850429513</v>
      </c>
      <c r="P140">
        <f t="shared" si="69"/>
        <v>0.25</v>
      </c>
      <c r="Q140" s="6">
        <f t="shared" si="52"/>
        <v>-7179191.8731795801</v>
      </c>
      <c r="R140" s="6">
        <f t="shared" ca="1" si="70"/>
        <v>5324.2884275812421</v>
      </c>
      <c r="S140" s="6">
        <f t="shared" ca="1" si="71"/>
        <v>14071375.006098401</v>
      </c>
      <c r="T140" s="6">
        <f t="shared" ca="1" si="55"/>
        <v>451.54634946293623</v>
      </c>
      <c r="U140" s="6">
        <f t="shared" ca="1" si="56"/>
        <v>812060.70793637412</v>
      </c>
      <c r="V140" s="6">
        <f t="shared" si="57"/>
        <v>23117235.833798315</v>
      </c>
      <c r="W140" s="6">
        <f t="shared" si="58"/>
        <v>0</v>
      </c>
      <c r="X140" s="6">
        <f t="shared" si="59"/>
        <v>3008323.989837158</v>
      </c>
      <c r="Y140" s="6">
        <f t="shared" ca="1" si="60"/>
        <v>33835579.499267712</v>
      </c>
      <c r="Z140" s="6">
        <f ca="1">Y140-'Res Normalized Monthly'!V140</f>
        <v>0</v>
      </c>
    </row>
    <row r="141" spans="1:26">
      <c r="A141" s="197">
        <v>45870</v>
      </c>
      <c r="B141">
        <f t="shared" si="62"/>
        <v>8</v>
      </c>
      <c r="C141">
        <f t="shared" si="63"/>
        <v>2025</v>
      </c>
      <c r="D141" s="6"/>
      <c r="E141" s="6"/>
      <c r="F141" s="6"/>
      <c r="G141" s="7">
        <f t="shared" ca="1" si="64"/>
        <v>2.7971045982819609</v>
      </c>
      <c r="H141" s="7">
        <f t="shared" ca="1" si="64"/>
        <v>183.87605861546231</v>
      </c>
      <c r="I141">
        <f t="shared" si="49"/>
        <v>31</v>
      </c>
      <c r="J141">
        <f t="shared" si="65"/>
        <v>0</v>
      </c>
      <c r="K141">
        <f t="shared" si="66"/>
        <v>140</v>
      </c>
      <c r="L141" s="6"/>
      <c r="M141" s="6"/>
      <c r="N141" s="7">
        <f t="shared" ca="1" si="67"/>
        <v>0.69927614957049022</v>
      </c>
      <c r="O141" s="7">
        <f t="shared" ca="1" si="68"/>
        <v>45.969014653865578</v>
      </c>
      <c r="P141">
        <f t="shared" si="69"/>
        <v>0.25</v>
      </c>
      <c r="Q141" s="6">
        <f t="shared" si="52"/>
        <v>-7179191.8731795801</v>
      </c>
      <c r="R141" s="6">
        <f t="shared" ca="1" si="70"/>
        <v>19856.788857822565</v>
      </c>
      <c r="S141" s="6">
        <f t="shared" ca="1" si="71"/>
        <v>12248986.932176741</v>
      </c>
      <c r="T141" s="6">
        <f t="shared" ca="1" si="55"/>
        <v>1684.0298272269497</v>
      </c>
      <c r="U141" s="6">
        <f t="shared" ca="1" si="56"/>
        <v>706890.4776779766</v>
      </c>
      <c r="V141" s="6">
        <f t="shared" si="57"/>
        <v>23117235.833798315</v>
      </c>
      <c r="W141" s="6">
        <f t="shared" si="58"/>
        <v>0</v>
      </c>
      <c r="X141" s="6">
        <f t="shared" si="59"/>
        <v>3029966.6084690802</v>
      </c>
      <c r="Y141" s="6">
        <f t="shared" ca="1" si="60"/>
        <v>31945428.797627583</v>
      </c>
      <c r="Z141" s="6">
        <f ca="1">Y141-'Res Normalized Monthly'!V141</f>
        <v>0</v>
      </c>
    </row>
    <row r="142" spans="1:26">
      <c r="A142" s="197">
        <v>45901</v>
      </c>
      <c r="B142">
        <f t="shared" si="62"/>
        <v>9</v>
      </c>
      <c r="C142">
        <f t="shared" si="63"/>
        <v>2025</v>
      </c>
      <c r="D142" s="6"/>
      <c r="E142" s="6"/>
      <c r="F142" s="6"/>
      <c r="G142" s="7">
        <f t="shared" ca="1" si="64"/>
        <v>39.200656897422931</v>
      </c>
      <c r="H142" s="7">
        <f t="shared" ca="1" si="64"/>
        <v>90.709343102577066</v>
      </c>
      <c r="I142">
        <f t="shared" si="49"/>
        <v>30</v>
      </c>
      <c r="J142">
        <f t="shared" si="65"/>
        <v>0</v>
      </c>
      <c r="K142">
        <f t="shared" si="66"/>
        <v>141</v>
      </c>
      <c r="L142" s="6"/>
      <c r="M142" s="6"/>
      <c r="N142" s="7">
        <f t="shared" ca="1" si="67"/>
        <v>9.8001642243557328</v>
      </c>
      <c r="O142" s="7">
        <f t="shared" ca="1" si="68"/>
        <v>22.677335775644266</v>
      </c>
      <c r="P142">
        <f t="shared" si="69"/>
        <v>0.25</v>
      </c>
      <c r="Q142" s="6">
        <f t="shared" si="52"/>
        <v>-7179191.8731795801</v>
      </c>
      <c r="R142" s="6">
        <f t="shared" ca="1" si="70"/>
        <v>278287.47183004231</v>
      </c>
      <c r="S142" s="6">
        <f t="shared" ca="1" si="71"/>
        <v>6042643.9779929547</v>
      </c>
      <c r="T142" s="6">
        <f t="shared" ca="1" si="55"/>
        <v>23601.218024773862</v>
      </c>
      <c r="U142" s="6">
        <f t="shared" ca="1" si="56"/>
        <v>348721.69524654001</v>
      </c>
      <c r="V142" s="6">
        <f t="shared" si="57"/>
        <v>22371518.548837077</v>
      </c>
      <c r="W142" s="6">
        <f t="shared" si="58"/>
        <v>0</v>
      </c>
      <c r="X142" s="6">
        <f t="shared" si="59"/>
        <v>3051609.2271010019</v>
      </c>
      <c r="Y142" s="6">
        <f t="shared" ca="1" si="60"/>
        <v>24937190.265852809</v>
      </c>
      <c r="Z142" s="6">
        <f ca="1">Y142-'Res Normalized Monthly'!V142</f>
        <v>0</v>
      </c>
    </row>
    <row r="143" spans="1:26">
      <c r="A143" s="197">
        <v>45931</v>
      </c>
      <c r="B143">
        <f t="shared" si="62"/>
        <v>10</v>
      </c>
      <c r="C143">
        <f t="shared" si="63"/>
        <v>2025</v>
      </c>
      <c r="D143" s="6"/>
      <c r="E143" s="6"/>
      <c r="F143" s="6"/>
      <c r="G143" s="7">
        <f t="shared" ca="1" si="64"/>
        <v>194.90420919656393</v>
      </c>
      <c r="H143" s="7">
        <f t="shared" ca="1" si="64"/>
        <v>20.479999999999997</v>
      </c>
      <c r="I143">
        <f t="shared" si="49"/>
        <v>31</v>
      </c>
      <c r="J143">
        <f t="shared" si="65"/>
        <v>1</v>
      </c>
      <c r="K143">
        <f t="shared" si="66"/>
        <v>142</v>
      </c>
      <c r="L143" s="6"/>
      <c r="M143" s="6"/>
      <c r="N143" s="7">
        <f t="shared" ca="1" si="67"/>
        <v>48.726052299140981</v>
      </c>
      <c r="O143" s="7">
        <f t="shared" ca="1" si="68"/>
        <v>5.1199999999999992</v>
      </c>
      <c r="P143">
        <f t="shared" si="69"/>
        <v>0.25</v>
      </c>
      <c r="Q143" s="6">
        <f t="shared" si="52"/>
        <v>-7179191.8731795801</v>
      </c>
      <c r="R143" s="6">
        <f t="shared" ca="1" si="70"/>
        <v>1383634.9673495186</v>
      </c>
      <c r="S143" s="6">
        <f t="shared" ca="1" si="71"/>
        <v>1364284.4765103348</v>
      </c>
      <c r="T143" s="6">
        <f t="shared" ca="1" si="55"/>
        <v>117344.37887689185</v>
      </c>
      <c r="U143" s="6">
        <f t="shared" ca="1" si="56"/>
        <v>78733.017728647159</v>
      </c>
      <c r="V143" s="6">
        <f t="shared" si="57"/>
        <v>23117235.833798315</v>
      </c>
      <c r="W143" s="6">
        <f t="shared" si="58"/>
        <v>-1713930.83126266</v>
      </c>
      <c r="X143" s="6">
        <f t="shared" si="59"/>
        <v>3073251.8457329241</v>
      </c>
      <c r="Y143" s="6">
        <f t="shared" ca="1" si="60"/>
        <v>20241361.815554392</v>
      </c>
      <c r="Z143" s="6">
        <f ca="1">Y143-'Res Normalized Monthly'!V143</f>
        <v>0</v>
      </c>
    </row>
    <row r="144" spans="1:26">
      <c r="A144" s="197">
        <v>45962</v>
      </c>
      <c r="B144">
        <f t="shared" si="62"/>
        <v>11</v>
      </c>
      <c r="C144">
        <f t="shared" si="63"/>
        <v>2025</v>
      </c>
      <c r="D144" s="6"/>
      <c r="E144" s="6"/>
      <c r="F144" s="6"/>
      <c r="G144" s="7">
        <f t="shared" ca="1" si="64"/>
        <v>404.02065689742301</v>
      </c>
      <c r="H144" s="7">
        <f t="shared" ca="1" si="64"/>
        <v>0.6699999999999996</v>
      </c>
      <c r="I144">
        <f t="shared" si="49"/>
        <v>30</v>
      </c>
      <c r="J144">
        <f t="shared" si="65"/>
        <v>1</v>
      </c>
      <c r="K144">
        <f t="shared" si="66"/>
        <v>143</v>
      </c>
      <c r="L144" s="6"/>
      <c r="M144" s="6"/>
      <c r="N144" s="7">
        <f t="shared" ca="1" si="67"/>
        <v>101.00516422435575</v>
      </c>
      <c r="O144" s="7">
        <f t="shared" ca="1" si="68"/>
        <v>0.1674999999999999</v>
      </c>
      <c r="P144">
        <f t="shared" si="69"/>
        <v>0.25</v>
      </c>
      <c r="Q144" s="6">
        <f t="shared" si="52"/>
        <v>-7179191.8731795801</v>
      </c>
      <c r="R144" s="6">
        <f t="shared" ca="1" si="70"/>
        <v>2868163.3440302946</v>
      </c>
      <c r="S144" s="6">
        <f t="shared" ca="1" si="71"/>
        <v>44632.353479586127</v>
      </c>
      <c r="T144" s="6">
        <f t="shared" ca="1" si="55"/>
        <v>243245.40363953178</v>
      </c>
      <c r="U144" s="6">
        <f t="shared" ca="1" si="56"/>
        <v>2575.7383729586704</v>
      </c>
      <c r="V144" s="6">
        <f t="shared" si="57"/>
        <v>22371518.548837077</v>
      </c>
      <c r="W144" s="6">
        <f t="shared" si="58"/>
        <v>-1713930.83126266</v>
      </c>
      <c r="X144" s="6">
        <f t="shared" si="59"/>
        <v>3094894.4643648458</v>
      </c>
      <c r="Y144" s="6">
        <f t="shared" ca="1" si="60"/>
        <v>19731907.148282055</v>
      </c>
      <c r="Z144" s="6">
        <f ca="1">Y144-'Res Normalized Monthly'!V144</f>
        <v>0</v>
      </c>
    </row>
    <row r="145" spans="1:29">
      <c r="A145" s="197">
        <v>45992</v>
      </c>
      <c r="B145">
        <f t="shared" si="62"/>
        <v>12</v>
      </c>
      <c r="C145">
        <f t="shared" si="63"/>
        <v>2025</v>
      </c>
      <c r="D145" s="6"/>
      <c r="E145" s="6"/>
      <c r="F145" s="6"/>
      <c r="G145" s="7">
        <f t="shared" ca="1" si="64"/>
        <v>533.7700000000001</v>
      </c>
      <c r="H145" s="7">
        <f t="shared" ca="1" si="64"/>
        <v>0</v>
      </c>
      <c r="I145">
        <f t="shared" si="49"/>
        <v>31</v>
      </c>
      <c r="J145">
        <f t="shared" si="65"/>
        <v>0</v>
      </c>
      <c r="K145">
        <f t="shared" si="66"/>
        <v>144</v>
      </c>
      <c r="L145" s="6"/>
      <c r="M145" s="6"/>
      <c r="N145" s="7">
        <f t="shared" ca="1" si="67"/>
        <v>133.44250000000002</v>
      </c>
      <c r="O145" s="7">
        <f t="shared" ca="1" si="68"/>
        <v>0</v>
      </c>
      <c r="P145">
        <f t="shared" si="69"/>
        <v>0.25</v>
      </c>
      <c r="Q145" s="6">
        <f t="shared" si="52"/>
        <v>-7179191.8731795801</v>
      </c>
      <c r="R145" s="6">
        <f t="shared" ca="1" si="70"/>
        <v>3789260.5786533868</v>
      </c>
      <c r="S145" s="6">
        <f t="shared" ca="1" si="71"/>
        <v>0</v>
      </c>
      <c r="T145" s="6">
        <f t="shared" ca="1" si="55"/>
        <v>321362.52660377533</v>
      </c>
      <c r="U145" s="6">
        <f t="shared" ca="1" si="56"/>
        <v>0</v>
      </c>
      <c r="V145" s="6">
        <f t="shared" si="57"/>
        <v>23117235.833798315</v>
      </c>
      <c r="W145" s="6">
        <f t="shared" si="58"/>
        <v>0</v>
      </c>
      <c r="X145" s="6">
        <f t="shared" si="59"/>
        <v>3116537.0829967679</v>
      </c>
      <c r="Y145" s="6">
        <f t="shared" ca="1" si="60"/>
        <v>23165204.148872662</v>
      </c>
      <c r="Z145" s="6">
        <f ca="1">Y145-'Res Normalized Monthly'!V145</f>
        <v>0</v>
      </c>
    </row>
    <row r="146" spans="1:29">
      <c r="A146" s="197"/>
      <c r="D146" s="6"/>
      <c r="E146" s="6"/>
      <c r="F146" s="6"/>
      <c r="G146" s="7"/>
      <c r="H146" s="7"/>
      <c r="L146" s="6"/>
      <c r="M146" s="6"/>
      <c r="N146" s="7"/>
      <c r="O146" s="7"/>
      <c r="Q146" s="6"/>
      <c r="R146" s="6"/>
      <c r="S146" s="6"/>
      <c r="T146" s="6"/>
      <c r="U146" s="6"/>
      <c r="V146" s="6"/>
      <c r="W146" s="6"/>
      <c r="X146" s="6"/>
      <c r="Y146" s="6"/>
    </row>
    <row r="149" spans="1:29">
      <c r="AB149" s="6"/>
      <c r="AC149" s="14"/>
    </row>
    <row r="150" spans="1:29">
      <c r="AB150" s="6"/>
      <c r="AC150" s="14"/>
    </row>
    <row r="151" spans="1:29">
      <c r="AB151" s="6"/>
      <c r="AC151" s="14"/>
    </row>
    <row r="152" spans="1:29">
      <c r="AB152" s="6"/>
      <c r="AC152" s="14"/>
    </row>
    <row r="153" spans="1:29">
      <c r="AB153" s="6"/>
      <c r="AC153" s="14"/>
    </row>
    <row r="154" spans="1:29">
      <c r="AB154" s="6"/>
      <c r="AC154" s="14"/>
    </row>
    <row r="155" spans="1:29">
      <c r="AB155" s="6"/>
      <c r="AC155" s="14"/>
    </row>
    <row r="156" spans="1:29">
      <c r="AB156" s="6"/>
      <c r="AC156" s="14"/>
    </row>
    <row r="157" spans="1:29">
      <c r="AB157" s="6"/>
      <c r="AC157" s="14"/>
    </row>
    <row r="158" spans="1:29">
      <c r="AB158" s="6"/>
      <c r="AC158" s="14"/>
    </row>
    <row r="159" spans="1:29">
      <c r="A159" s="197"/>
      <c r="D159" s="6"/>
      <c r="E159" s="6"/>
      <c r="F159" s="6"/>
      <c r="G159" s="7"/>
      <c r="H159" s="7"/>
      <c r="L159" s="6"/>
      <c r="M159" s="6"/>
      <c r="N159" s="7"/>
      <c r="O159" s="7"/>
      <c r="Q159" s="6"/>
      <c r="R159" s="6"/>
      <c r="S159" s="6"/>
      <c r="T159" s="6"/>
      <c r="U159" s="6"/>
      <c r="V159" s="6"/>
      <c r="W159" s="6"/>
      <c r="X159" s="6"/>
      <c r="Y159" s="6"/>
      <c r="AB159" s="6"/>
      <c r="AC159" s="14"/>
    </row>
    <row r="160" spans="1:29">
      <c r="Y160" s="6"/>
      <c r="AB160" s="6"/>
      <c r="AC160" s="14"/>
    </row>
    <row r="161" spans="25:29">
      <c r="AB161" s="6"/>
      <c r="AC161" s="14"/>
    </row>
    <row r="162" spans="25:29">
      <c r="Y162" s="6"/>
      <c r="AB162" s="6"/>
      <c r="AC162" s="14"/>
    </row>
    <row r="163" spans="25:29">
      <c r="Y163" s="6"/>
      <c r="AB163" s="6"/>
      <c r="AC163" s="14"/>
    </row>
    <row r="164" spans="25:29">
      <c r="Y164" s="6"/>
      <c r="AB164" s="6"/>
      <c r="AC164" s="14"/>
    </row>
    <row r="165" spans="25:29">
      <c r="Y165" s="6"/>
      <c r="AB165" s="6"/>
      <c r="AC165" s="14"/>
    </row>
    <row r="166" spans="25:29">
      <c r="Y166" s="6"/>
      <c r="AB166" s="6"/>
      <c r="AC166" s="14"/>
    </row>
    <row r="167" spans="25:29">
      <c r="Y167" s="6"/>
      <c r="AB167" s="6"/>
      <c r="AC167" s="14"/>
    </row>
    <row r="168" spans="25:29">
      <c r="Y168" s="6"/>
      <c r="AB168" s="6"/>
      <c r="AC168" s="14"/>
    </row>
    <row r="169" spans="25:29">
      <c r="Y169" s="6"/>
      <c r="AB169" s="6"/>
      <c r="AC169" s="14"/>
    </row>
    <row r="170" spans="25:29">
      <c r="Y170" s="6"/>
      <c r="AB170" s="6"/>
      <c r="AC170" s="14"/>
    </row>
    <row r="171" spans="25:29">
      <c r="Y171" s="6"/>
      <c r="AB171" s="6"/>
      <c r="AC171" s="1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4037F-F3E4-409E-8FB8-744CEB1895B3}">
  <sheetPr codeName="Sheet19">
    <tabColor theme="9" tint="0.79998168889431442"/>
  </sheetPr>
  <dimension ref="A1:Y145"/>
  <sheetViews>
    <sheetView topLeftCell="A112" workbookViewId="0">
      <selection activeCell="S122" sqref="S122"/>
    </sheetView>
  </sheetViews>
  <sheetFormatPr defaultRowHeight="14.45"/>
  <cols>
    <col min="1" max="1" width="12.28515625" customWidth="1"/>
    <col min="4" max="4" width="16.85546875" customWidth="1"/>
    <col min="5" max="5" width="8.28515625" bestFit="1" customWidth="1"/>
    <col min="6" max="6" width="8.140625" bestFit="1" customWidth="1"/>
    <col min="9" max="9" width="11.140625" style="6" bestFit="1" customWidth="1"/>
    <col min="13" max="15" width="13.28515625" bestFit="1" customWidth="1"/>
    <col min="16" max="16" width="12.140625" customWidth="1"/>
    <col min="17" max="17" width="12.140625" bestFit="1" customWidth="1"/>
    <col min="18" max="18" width="15" customWidth="1"/>
    <col min="19" max="19" width="14.42578125" bestFit="1" customWidth="1"/>
    <col min="22" max="22" width="11" customWidth="1"/>
    <col min="23" max="23" width="18.7109375" bestFit="1" customWidth="1"/>
  </cols>
  <sheetData>
    <row r="1" spans="1:25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s="6" t="str">
        <f>'Monthly Data (14-23) Used'!AC1</f>
        <v>HDD18</v>
      </c>
      <c r="F1" s="6" t="str">
        <f>'Monthly Data (14-23) Used'!AH1</f>
        <v>CDD14</v>
      </c>
      <c r="G1" s="16" t="str">
        <f>E1</f>
        <v>HDD18</v>
      </c>
      <c r="H1" s="16" t="str">
        <f>F1</f>
        <v>CDD14</v>
      </c>
      <c r="I1" s="6" t="str">
        <f>'Monthly Data (14-23) Used'!BC1</f>
        <v>Total_OEA</v>
      </c>
      <c r="J1" t="str">
        <f>'Monthly Data (14-23) Used'!CB1</f>
        <v>Month Days</v>
      </c>
      <c r="K1" t="str">
        <f>'Monthly Data (14-23) Used'!CA1</f>
        <v>Shoulder</v>
      </c>
      <c r="M1" t="s">
        <v>221</v>
      </c>
      <c r="N1" t="str">
        <f>G1</f>
        <v>HDD18</v>
      </c>
      <c r="O1" t="str">
        <f>H1</f>
        <v>CDD14</v>
      </c>
      <c r="P1" t="str">
        <f>I1</f>
        <v>Total_OEA</v>
      </c>
      <c r="Q1" t="str">
        <f>J1</f>
        <v>Month Days</v>
      </c>
      <c r="R1" t="str">
        <f>K1</f>
        <v>Shoulder</v>
      </c>
      <c r="S1" t="s">
        <v>242</v>
      </c>
    </row>
    <row r="2" spans="1:25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Used'!I2</f>
        <v>6183064.0795246102</v>
      </c>
      <c r="E2" s="6">
        <f>'Monthly Data (14-23) Used'!AC2</f>
        <v>809.69999999999993</v>
      </c>
      <c r="F2" s="6">
        <f>'Monthly Data (14-23) Used'!AH2</f>
        <v>0</v>
      </c>
      <c r="G2" s="226">
        <f ca="1">'Weather Data'!AN38</f>
        <v>671</v>
      </c>
      <c r="H2" s="226">
        <f ca="1">'Weather Data'!BQ38</f>
        <v>0</v>
      </c>
      <c r="I2" s="6">
        <f>'Monthly Data (14-23) Used'!BC2</f>
        <v>699057</v>
      </c>
      <c r="J2">
        <f>'Monthly Data (14-23) Used'!CB2</f>
        <v>31</v>
      </c>
      <c r="K2">
        <f>'Monthly Data (14-23) Used'!CA2</f>
        <v>0</v>
      </c>
      <c r="M2" s="6"/>
      <c r="N2" s="6">
        <f t="shared" ref="N2:N33" ca="1" si="2">(G2-E2)*$V$10</f>
        <v>-237247.17864255016</v>
      </c>
      <c r="O2" s="6">
        <f t="shared" ref="O2:O33" ca="1" si="3">(H2-F2)*$V$11</f>
        <v>0</v>
      </c>
      <c r="P2" s="6"/>
      <c r="Q2" s="6"/>
      <c r="R2" s="6"/>
      <c r="S2" s="6">
        <f t="shared" ref="S2:S33" ca="1" si="4">SUM(D2,M2:R2)</f>
        <v>5945816.9008820597</v>
      </c>
    </row>
    <row r="3" spans="1:25">
      <c r="A3" s="197">
        <v>41671</v>
      </c>
      <c r="B3">
        <f t="shared" si="0"/>
        <v>2</v>
      </c>
      <c r="C3">
        <f t="shared" si="1"/>
        <v>2014</v>
      </c>
      <c r="D3" s="6">
        <f>'Monthly Data (14-23) Used'!I3</f>
        <v>5606514.0795246102</v>
      </c>
      <c r="E3" s="6">
        <f>'Monthly Data (14-23) Used'!AC3</f>
        <v>705.10000000000014</v>
      </c>
      <c r="F3" s="6">
        <f>'Monthly Data (14-23) Used'!AH3</f>
        <v>0</v>
      </c>
      <c r="G3" s="226">
        <f ca="1">'Weather Data'!AN39</f>
        <v>595.51355229914111</v>
      </c>
      <c r="H3" s="226">
        <f ca="1">'Weather Data'!BQ39</f>
        <v>0</v>
      </c>
      <c r="I3" s="6">
        <f>'Monthly Data (14-23) Used'!BC3</f>
        <v>699057</v>
      </c>
      <c r="J3">
        <f>'Monthly Data (14-23) Used'!CB3</f>
        <v>28</v>
      </c>
      <c r="K3">
        <f>'Monthly Data (14-23) Used'!CA3</f>
        <v>0</v>
      </c>
      <c r="M3" s="6"/>
      <c r="N3" s="6">
        <f t="shared" ca="1" si="2"/>
        <v>-187448.27350027539</v>
      </c>
      <c r="O3" s="6">
        <f t="shared" ca="1" si="3"/>
        <v>0</v>
      </c>
      <c r="P3" s="6"/>
      <c r="Q3" s="6"/>
      <c r="R3" s="6"/>
      <c r="S3" s="6">
        <f t="shared" ca="1" si="4"/>
        <v>5419065.8060243344</v>
      </c>
    </row>
    <row r="4" spans="1:25">
      <c r="A4" s="197">
        <v>41699</v>
      </c>
      <c r="B4">
        <f t="shared" si="0"/>
        <v>3</v>
      </c>
      <c r="C4">
        <f t="shared" si="1"/>
        <v>2014</v>
      </c>
      <c r="D4" s="6">
        <f>'Monthly Data (14-23) Used'!I4</f>
        <v>5787989.0795246102</v>
      </c>
      <c r="E4" s="6">
        <f>'Monthly Data (14-23) Used'!AC4</f>
        <v>637.10000000000014</v>
      </c>
      <c r="F4" s="6">
        <f>'Monthly Data (14-23) Used'!AH4</f>
        <v>0</v>
      </c>
      <c r="G4" s="226">
        <f ca="1">'Weather Data'!AN40</f>
        <v>496.46355229914104</v>
      </c>
      <c r="H4" s="226">
        <f ca="1">'Weather Data'!BQ40</f>
        <v>0.16999999999999993</v>
      </c>
      <c r="I4" s="6">
        <f>'Monthly Data (14-23) Used'!BC4</f>
        <v>699057</v>
      </c>
      <c r="J4">
        <f>'Monthly Data (14-23) Used'!CB4</f>
        <v>31</v>
      </c>
      <c r="K4">
        <f>'Monthly Data (14-23) Used'!CA4</f>
        <v>1</v>
      </c>
      <c r="M4" s="6"/>
      <c r="N4" s="6">
        <f t="shared" ca="1" si="2"/>
        <v>-240559.48400388897</v>
      </c>
      <c r="O4" s="6">
        <f t="shared" ca="1" si="3"/>
        <v>1259.2880591515157</v>
      </c>
      <c r="P4" s="6"/>
      <c r="Q4" s="6"/>
      <c r="R4" s="6"/>
      <c r="S4" s="6">
        <f t="shared" ca="1" si="4"/>
        <v>5548688.8835798725</v>
      </c>
      <c r="U4" t="s">
        <v>249</v>
      </c>
    </row>
    <row r="5" spans="1:25">
      <c r="A5" s="197">
        <v>41730</v>
      </c>
      <c r="B5">
        <f t="shared" si="0"/>
        <v>4</v>
      </c>
      <c r="C5">
        <f t="shared" si="1"/>
        <v>2014</v>
      </c>
      <c r="D5" s="6">
        <f>'Monthly Data (14-23) Used'!I5</f>
        <v>5070172.0795246102</v>
      </c>
      <c r="E5" s="6">
        <f>'Monthly Data (14-23) Used'!AC5</f>
        <v>283.40000000000003</v>
      </c>
      <c r="F5" s="6">
        <f>'Monthly Data (14-23) Used'!AH5</f>
        <v>4.6000000000000014</v>
      </c>
      <c r="G5" s="226">
        <f ca="1">'Weather Data'!AN41</f>
        <v>296.23000000000008</v>
      </c>
      <c r="H5" s="226">
        <f ca="1">'Weather Data'!BQ41</f>
        <v>8.7799999999999994</v>
      </c>
      <c r="I5" s="6">
        <f>'Monthly Data (14-23) Used'!BC5</f>
        <v>705966</v>
      </c>
      <c r="J5">
        <f>'Monthly Data (14-23) Used'!CB5</f>
        <v>30</v>
      </c>
      <c r="K5">
        <f>'Monthly Data (14-23) Used'!CA5</f>
        <v>1</v>
      </c>
      <c r="M5" s="6"/>
      <c r="N5" s="6">
        <f t="shared" ca="1" si="2"/>
        <v>21945.791650929561</v>
      </c>
      <c r="O5" s="6">
        <f t="shared" ca="1" si="3"/>
        <v>30963.671101490207</v>
      </c>
      <c r="P5" s="6"/>
      <c r="Q5" s="6"/>
      <c r="R5" s="6"/>
      <c r="S5" s="6">
        <f t="shared" ca="1" si="4"/>
        <v>5123081.5422770297</v>
      </c>
      <c r="U5" t="s">
        <v>250</v>
      </c>
    </row>
    <row r="6" spans="1:25">
      <c r="A6" s="197">
        <v>41760</v>
      </c>
      <c r="B6">
        <f t="shared" si="0"/>
        <v>5</v>
      </c>
      <c r="C6">
        <f t="shared" si="1"/>
        <v>2014</v>
      </c>
      <c r="D6" s="6">
        <f>'Monthly Data (14-23) Used'!I6</f>
        <v>5364456.0795246102</v>
      </c>
      <c r="E6" s="6">
        <f>'Monthly Data (14-23) Used'!AC6</f>
        <v>103.4</v>
      </c>
      <c r="F6" s="6">
        <f>'Monthly Data (14-23) Used'!AH6</f>
        <v>88.8</v>
      </c>
      <c r="G6" s="226">
        <f ca="1">'Weather Data'!AN42</f>
        <v>116.90355229914098</v>
      </c>
      <c r="H6" s="226">
        <f ca="1">'Weather Data'!BQ42</f>
        <v>84.676447700859015</v>
      </c>
      <c r="I6" s="6">
        <f>'Monthly Data (14-23) Used'!BC6</f>
        <v>705966</v>
      </c>
      <c r="J6">
        <f>'Monthly Data (14-23) Used'!CB6</f>
        <v>31</v>
      </c>
      <c r="K6">
        <f>'Monthly Data (14-23) Used'!CA6</f>
        <v>1</v>
      </c>
      <c r="M6" s="6"/>
      <c r="N6" s="6">
        <f t="shared" ca="1" si="2"/>
        <v>23097.906882648305</v>
      </c>
      <c r="O6" s="6">
        <f t="shared" ca="1" si="3"/>
        <v>-30545.530421147174</v>
      </c>
      <c r="P6" s="6"/>
      <c r="Q6" s="6"/>
      <c r="R6" s="6"/>
      <c r="S6" s="6">
        <f t="shared" ca="1" si="4"/>
        <v>5357008.4559861114</v>
      </c>
      <c r="U6" t="s">
        <v>251</v>
      </c>
    </row>
    <row r="7" spans="1:25">
      <c r="A7" s="197">
        <v>41791</v>
      </c>
      <c r="B7">
        <f t="shared" si="0"/>
        <v>6</v>
      </c>
      <c r="C7">
        <f t="shared" si="1"/>
        <v>2014</v>
      </c>
      <c r="D7" s="6">
        <f>'Monthly Data (14-23) Used'!I7</f>
        <v>5896764.0795246102</v>
      </c>
      <c r="E7" s="6">
        <f>'Monthly Data (14-23) Used'!AC7</f>
        <v>4.9999999999999964</v>
      </c>
      <c r="F7" s="6">
        <f>'Monthly Data (14-23) Used'!AH7</f>
        <v>220.5</v>
      </c>
      <c r="G7" s="226">
        <f ca="1">'Weather Data'!AN43</f>
        <v>11.023552299140979</v>
      </c>
      <c r="H7" s="226">
        <f ca="1">'Weather Data'!BQ43</f>
        <v>202.63644770085901</v>
      </c>
      <c r="I7" s="6">
        <f>'Monthly Data (14-23) Used'!BC7</f>
        <v>705966</v>
      </c>
      <c r="J7">
        <f>'Monthly Data (14-23) Used'!CB7</f>
        <v>30</v>
      </c>
      <c r="K7">
        <f>'Monthly Data (14-23) Used'!CA7</f>
        <v>0</v>
      </c>
      <c r="M7" s="6"/>
      <c r="N7" s="6">
        <f t="shared" ca="1" si="2"/>
        <v>10303.322194499244</v>
      </c>
      <c r="O7" s="6">
        <f t="shared" ca="1" si="3"/>
        <v>-132325.63590786391</v>
      </c>
      <c r="P7" s="6"/>
      <c r="Q7" s="6"/>
      <c r="R7" s="6"/>
      <c r="S7" s="6">
        <f t="shared" ca="1" si="4"/>
        <v>5774741.765811245</v>
      </c>
    </row>
    <row r="8" spans="1:25">
      <c r="A8" s="197">
        <v>41821</v>
      </c>
      <c r="B8">
        <f t="shared" si="0"/>
        <v>7</v>
      </c>
      <c r="C8">
        <f t="shared" si="1"/>
        <v>2014</v>
      </c>
      <c r="D8" s="6">
        <f>'Monthly Data (14-23) Used'!I8</f>
        <v>6190188.0795246102</v>
      </c>
      <c r="E8" s="6">
        <f>'Monthly Data (14-23) Used'!AC8</f>
        <v>4.4000000000000021</v>
      </c>
      <c r="F8" s="6">
        <f>'Monthly Data (14-23) Used'!AH8</f>
        <v>204.1</v>
      </c>
      <c r="G8" s="226">
        <f ca="1">'Weather Data'!AN44</f>
        <v>0.75</v>
      </c>
      <c r="H8" s="226">
        <f ca="1">'Weather Data'!BQ44</f>
        <v>273.21289540171807</v>
      </c>
      <c r="I8" s="6">
        <f>'Monthly Data (14-23) Used'!BC8</f>
        <v>713152</v>
      </c>
      <c r="J8">
        <f>'Monthly Data (14-23) Used'!CB8</f>
        <v>31</v>
      </c>
      <c r="K8">
        <f>'Monthly Data (14-23) Used'!CA8</f>
        <v>0</v>
      </c>
      <c r="M8" s="6"/>
      <c r="N8" s="6">
        <f t="shared" ca="1" si="2"/>
        <v>-6243.3468063829059</v>
      </c>
      <c r="O8" s="6">
        <f t="shared" ca="1" si="3"/>
        <v>511959.0818398312</v>
      </c>
      <c r="P8" s="6"/>
      <c r="Q8" s="6"/>
      <c r="R8" s="6"/>
      <c r="S8" s="6">
        <f t="shared" ca="1" si="4"/>
        <v>6695903.814558059</v>
      </c>
      <c r="V8" t="s">
        <v>217</v>
      </c>
      <c r="W8" t="s">
        <v>218</v>
      </c>
      <c r="X8" t="s">
        <v>219</v>
      </c>
      <c r="Y8" t="s">
        <v>220</v>
      </c>
    </row>
    <row r="9" spans="1:25">
      <c r="A9" s="197">
        <v>41852</v>
      </c>
      <c r="B9">
        <f t="shared" si="0"/>
        <v>8</v>
      </c>
      <c r="C9">
        <f t="shared" si="1"/>
        <v>2014</v>
      </c>
      <c r="D9" s="6">
        <f>'Monthly Data (14-23) Used'!I9</f>
        <v>6212359.0795246102</v>
      </c>
      <c r="E9" s="6">
        <f>'Monthly Data (14-23) Used'!AC9</f>
        <v>3.8000000000000007</v>
      </c>
      <c r="F9" s="6">
        <f>'Monthly Data (14-23) Used'!AH9</f>
        <v>216.00000000000003</v>
      </c>
      <c r="G9" s="226">
        <f ca="1">'Weather Data'!AN45</f>
        <v>2.7971045982819609</v>
      </c>
      <c r="H9" s="226">
        <f ca="1">'Weather Data'!BQ45</f>
        <v>245.37605861546234</v>
      </c>
      <c r="I9" s="6">
        <f>'Monthly Data (14-23) Used'!BC9</f>
        <v>713152</v>
      </c>
      <c r="J9">
        <f>'Monthly Data (14-23) Used'!CB9</f>
        <v>31</v>
      </c>
      <c r="K9">
        <f>'Monthly Data (14-23) Used'!CA9</f>
        <v>0</v>
      </c>
      <c r="M9" s="6"/>
      <c r="N9" s="6">
        <f t="shared" ca="1" si="2"/>
        <v>-1715.4585762883346</v>
      </c>
      <c r="O9" s="6">
        <f t="shared" ca="1" si="3"/>
        <v>217605.41081992182</v>
      </c>
      <c r="P9" s="6"/>
      <c r="Q9" s="6"/>
      <c r="R9" s="6"/>
      <c r="S9" s="6">
        <f t="shared" ca="1" si="4"/>
        <v>6428249.0317682438</v>
      </c>
      <c r="U9" t="s">
        <v>221</v>
      </c>
      <c r="V9">
        <v>-3155056.29692131</v>
      </c>
      <c r="W9">
        <v>795990.62951777701</v>
      </c>
      <c r="X9">
        <v>-3.9636852243256699</v>
      </c>
      <c r="Y9">
        <v>1.29112412352355E-4</v>
      </c>
    </row>
    <row r="10" spans="1:25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Used'!I10</f>
        <v>5457268.0795246102</v>
      </c>
      <c r="E10" s="6">
        <f>'Monthly Data (14-23) Used'!AC10</f>
        <v>76.799999999999983</v>
      </c>
      <c r="F10" s="6">
        <f>'Monthly Data (14-23) Used'!AH10</f>
        <v>92.5</v>
      </c>
      <c r="G10" s="226">
        <f ca="1">'Weather Data'!AN46</f>
        <v>39.200656897422931</v>
      </c>
      <c r="H10" s="226">
        <f ca="1">'Weather Data'!BQ46</f>
        <v>139.01579080343606</v>
      </c>
      <c r="I10" s="6">
        <f>'Monthly Data (14-23) Used'!BC10</f>
        <v>713152</v>
      </c>
      <c r="J10">
        <f>'Monthly Data (14-23) Used'!CB10</f>
        <v>30</v>
      </c>
      <c r="K10">
        <f>'Monthly Data (14-23) Used'!CA10</f>
        <v>0</v>
      </c>
      <c r="M10" s="6"/>
      <c r="N10" s="6">
        <f t="shared" ca="1" si="2"/>
        <v>-64313.901008649162</v>
      </c>
      <c r="O10" s="6">
        <f t="shared" ca="1" si="3"/>
        <v>344569.29365151143</v>
      </c>
      <c r="P10" s="6"/>
      <c r="Q10" s="6"/>
      <c r="R10" s="6"/>
      <c r="S10" s="6">
        <f t="shared" ca="1" si="4"/>
        <v>5737523.4721674733</v>
      </c>
      <c r="U10" t="s">
        <v>28</v>
      </c>
      <c r="V10">
        <v>1710.5059743514801</v>
      </c>
      <c r="W10">
        <v>140.87095036202601</v>
      </c>
      <c r="X10">
        <v>12.142361288509999</v>
      </c>
      <c r="Y10" s="18">
        <v>2.8036710512419902E-22</v>
      </c>
    </row>
    <row r="11" spans="1:25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Used'!I11</f>
        <v>5117528.0795246102</v>
      </c>
      <c r="E11" s="6">
        <f>'Monthly Data (14-23) Used'!AC11</f>
        <v>219.2</v>
      </c>
      <c r="F11" s="6">
        <f>'Monthly Data (14-23) Used'!AH11</f>
        <v>12.499999999999998</v>
      </c>
      <c r="G11" s="226">
        <f ca="1">'Weather Data'!AN47</f>
        <v>194.90420919656393</v>
      </c>
      <c r="H11" s="226">
        <f ca="1">'Weather Data'!BQ47</f>
        <v>38.166447700859024</v>
      </c>
      <c r="I11" s="6">
        <f>'Monthly Data (14-23) Used'!BC11</f>
        <v>716976</v>
      </c>
      <c r="J11">
        <f>'Monthly Data (14-23) Used'!CB11</f>
        <v>31</v>
      </c>
      <c r="K11">
        <f>'Monthly Data (14-23) Used'!CA11</f>
        <v>1</v>
      </c>
      <c r="M11" s="6"/>
      <c r="N11" s="6">
        <f t="shared" ca="1" si="2"/>
        <v>-41558.095320871129</v>
      </c>
      <c r="O11" s="6">
        <f t="shared" ca="1" si="3"/>
        <v>190126.18300310973</v>
      </c>
      <c r="P11" s="6"/>
      <c r="Q11" s="6"/>
      <c r="R11" s="6"/>
      <c r="S11" s="6">
        <f t="shared" ca="1" si="4"/>
        <v>5266096.167206849</v>
      </c>
      <c r="U11" t="s">
        <v>33</v>
      </c>
      <c r="V11">
        <v>7407.5768185383304</v>
      </c>
      <c r="W11">
        <v>361.080857585751</v>
      </c>
      <c r="X11">
        <v>20.515008378086499</v>
      </c>
      <c r="Y11" s="18">
        <v>4.54160585117297E-40</v>
      </c>
    </row>
    <row r="12" spans="1:25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Used'!I12</f>
        <v>5344942.0795246102</v>
      </c>
      <c r="E12" s="6">
        <f>'Monthly Data (14-23) Used'!AC12</f>
        <v>479.30000000000013</v>
      </c>
      <c r="F12" s="6">
        <f>'Monthly Data (14-23) Used'!AH12</f>
        <v>0</v>
      </c>
      <c r="G12" s="226">
        <f ca="1">'Weather Data'!AN48</f>
        <v>404.02065689742301</v>
      </c>
      <c r="H12" s="226">
        <f ca="1">'Weather Data'!BQ48</f>
        <v>2.419999999999999</v>
      </c>
      <c r="I12" s="6">
        <f>'Monthly Data (14-23) Used'!BC12</f>
        <v>716976</v>
      </c>
      <c r="J12">
        <f>'Monthly Data (14-23) Used'!CB12</f>
        <v>30</v>
      </c>
      <c r="K12">
        <f>'Monthly Data (14-23) Used'!CA12</f>
        <v>1</v>
      </c>
      <c r="M12" s="6"/>
      <c r="N12" s="6">
        <f t="shared" ca="1" si="2"/>
        <v>-128765.76612221304</v>
      </c>
      <c r="O12" s="6">
        <f t="shared" ca="1" si="3"/>
        <v>17926.335900862752</v>
      </c>
      <c r="P12" s="6"/>
      <c r="Q12" s="6"/>
      <c r="R12" s="6"/>
      <c r="S12" s="6">
        <f t="shared" ca="1" si="4"/>
        <v>5234102.6493032603</v>
      </c>
      <c r="U12" t="s">
        <v>54</v>
      </c>
      <c r="V12">
        <v>5.9715528439523498</v>
      </c>
      <c r="W12">
        <v>0.89666609532294606</v>
      </c>
      <c r="X12">
        <v>6.6597286047730098</v>
      </c>
      <c r="Y12" s="18">
        <v>1.01106218112295E-9</v>
      </c>
    </row>
    <row r="13" spans="1:25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Used'!I13</f>
        <v>5630353.0795246102</v>
      </c>
      <c r="E13" s="6">
        <f>'Monthly Data (14-23) Used'!AC13</f>
        <v>545.20000000000005</v>
      </c>
      <c r="F13" s="6">
        <f>'Monthly Data (14-23) Used'!AH13</f>
        <v>0</v>
      </c>
      <c r="G13" s="226">
        <f ca="1">'Weather Data'!AN49</f>
        <v>533.7700000000001</v>
      </c>
      <c r="H13" s="226">
        <f ca="1">'Weather Data'!BQ49</f>
        <v>0</v>
      </c>
      <c r="I13" s="6">
        <f>'Monthly Data (14-23) Used'!BC13</f>
        <v>716976</v>
      </c>
      <c r="J13">
        <f>'Monthly Data (14-23) Used'!CB13</f>
        <v>31</v>
      </c>
      <c r="K13">
        <f>'Monthly Data (14-23) Used'!CA13</f>
        <v>0</v>
      </c>
      <c r="M13" s="6"/>
      <c r="N13" s="6">
        <f t="shared" ca="1" si="2"/>
        <v>-19551.083286837333</v>
      </c>
      <c r="O13" s="6">
        <f t="shared" ca="1" si="3"/>
        <v>0</v>
      </c>
      <c r="P13" s="6"/>
      <c r="Q13" s="6"/>
      <c r="R13" s="6"/>
      <c r="S13" s="6">
        <f t="shared" ca="1" si="4"/>
        <v>5610801.9962377725</v>
      </c>
      <c r="U13" t="s">
        <v>240</v>
      </c>
      <c r="V13">
        <v>124567.609940537</v>
      </c>
      <c r="W13">
        <v>14353.328351845599</v>
      </c>
      <c r="X13">
        <v>8.6786567468526901</v>
      </c>
      <c r="Y13" s="18">
        <v>3.24100884878617E-14</v>
      </c>
    </row>
    <row r="14" spans="1:25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Used'!I14</f>
        <v>6341995.2771220542</v>
      </c>
      <c r="E14" s="6">
        <f>'Monthly Data (14-23) Used'!AC14</f>
        <v>766.90000000000009</v>
      </c>
      <c r="F14" s="6">
        <f>'Monthly Data (14-23) Used'!AH14</f>
        <v>0</v>
      </c>
      <c r="G14" s="7">
        <f t="shared" ref="G14:H18" ca="1" si="5">G2</f>
        <v>671</v>
      </c>
      <c r="H14" s="7">
        <f t="shared" ca="1" si="5"/>
        <v>0</v>
      </c>
      <c r="I14" s="6">
        <f>'Monthly Data (14-23) Used'!BC14</f>
        <v>718587</v>
      </c>
      <c r="J14">
        <f>'Monthly Data (14-23) Used'!CB14</f>
        <v>31</v>
      </c>
      <c r="K14">
        <f>'Monthly Data (14-23) Used'!CA14</f>
        <v>0</v>
      </c>
      <c r="M14" s="6"/>
      <c r="N14" s="6">
        <f t="shared" ca="1" si="2"/>
        <v>-164037.5229403071</v>
      </c>
      <c r="O14" s="6">
        <f t="shared" ca="1" si="3"/>
        <v>0</v>
      </c>
      <c r="P14" s="6"/>
      <c r="Q14" s="6"/>
      <c r="R14" s="6"/>
      <c r="S14" s="6">
        <f t="shared" ca="1" si="4"/>
        <v>6177957.7541817473</v>
      </c>
      <c r="U14" t="s">
        <v>78</v>
      </c>
      <c r="V14">
        <v>-115215.035448868</v>
      </c>
      <c r="W14">
        <v>40249.224186277701</v>
      </c>
      <c r="X14">
        <v>-2.86254052787802</v>
      </c>
      <c r="Y14">
        <v>5.0022898522437496E-3</v>
      </c>
    </row>
    <row r="15" spans="1:25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Used'!I15</f>
        <v>5968288.2771220542</v>
      </c>
      <c r="E15" s="6">
        <f>'Monthly Data (14-23) Used'!AC15</f>
        <v>811.10000000000014</v>
      </c>
      <c r="F15" s="6">
        <f>'Monthly Data (14-23) Used'!AH15</f>
        <v>0</v>
      </c>
      <c r="G15" s="7">
        <f t="shared" ca="1" si="5"/>
        <v>595.51355229914111</v>
      </c>
      <c r="H15" s="7">
        <f t="shared" ca="1" si="5"/>
        <v>0</v>
      </c>
      <c r="I15" s="6">
        <f>'Monthly Data (14-23) Used'!BC15</f>
        <v>718587</v>
      </c>
      <c r="J15">
        <f>'Monthly Data (14-23) Used'!CB15</f>
        <v>28</v>
      </c>
      <c r="K15">
        <f>'Monthly Data (14-23) Used'!CA15</f>
        <v>0</v>
      </c>
      <c r="M15" s="6"/>
      <c r="N15" s="6">
        <f t="shared" ca="1" si="2"/>
        <v>-368761.90678153228</v>
      </c>
      <c r="O15" s="6">
        <f t="shared" ca="1" si="3"/>
        <v>0</v>
      </c>
      <c r="P15" s="6"/>
      <c r="Q15" s="6"/>
      <c r="R15" s="6"/>
      <c r="S15" s="6">
        <f t="shared" ca="1" si="4"/>
        <v>5599526.3703405224</v>
      </c>
    </row>
    <row r="16" spans="1:25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Used'!I16</f>
        <v>6080630.2771220542</v>
      </c>
      <c r="E16" s="6">
        <f>'Monthly Data (14-23) Used'!AC16</f>
        <v>565.29999999999995</v>
      </c>
      <c r="F16" s="6">
        <f>'Monthly Data (14-23) Used'!AH16</f>
        <v>0</v>
      </c>
      <c r="G16" s="7">
        <f t="shared" ca="1" si="5"/>
        <v>496.46355229914104</v>
      </c>
      <c r="H16" s="7">
        <f t="shared" ca="1" si="5"/>
        <v>0.16999999999999993</v>
      </c>
      <c r="I16" s="6">
        <f>'Monthly Data (14-23) Used'!BC16</f>
        <v>718587</v>
      </c>
      <c r="J16">
        <f>'Monthly Data (14-23) Used'!CB16</f>
        <v>31</v>
      </c>
      <c r="K16">
        <f>'Monthly Data (14-23) Used'!CA16</f>
        <v>1</v>
      </c>
      <c r="M16" s="6"/>
      <c r="N16" s="6">
        <f t="shared" ca="1" si="2"/>
        <v>-117745.15504545237</v>
      </c>
      <c r="O16" s="6">
        <f t="shared" ca="1" si="3"/>
        <v>1259.2880591515157</v>
      </c>
      <c r="P16" s="6"/>
      <c r="Q16" s="6"/>
      <c r="R16" s="6"/>
      <c r="S16" s="6">
        <f t="shared" ca="1" si="4"/>
        <v>5964144.4101357535</v>
      </c>
      <c r="U16" t="s">
        <v>223</v>
      </c>
    </row>
    <row r="17" spans="1:24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Used'!I17</f>
        <v>5459994.2771220542</v>
      </c>
      <c r="E17" s="6">
        <f>'Monthly Data (14-23) Used'!AC17</f>
        <v>283.2</v>
      </c>
      <c r="F17" s="6">
        <f>'Monthly Data (14-23) Used'!AH17</f>
        <v>0.90000000000000036</v>
      </c>
      <c r="G17" s="7">
        <f t="shared" ca="1" si="5"/>
        <v>296.23000000000008</v>
      </c>
      <c r="H17" s="7">
        <f t="shared" ca="1" si="5"/>
        <v>8.7799999999999994</v>
      </c>
      <c r="I17" s="6">
        <f>'Monthly Data (14-23) Used'!BC17</f>
        <v>723726</v>
      </c>
      <c r="J17">
        <f>'Monthly Data (14-23) Used'!CB17</f>
        <v>30</v>
      </c>
      <c r="K17">
        <f>'Monthly Data (14-23) Used'!CA17</f>
        <v>1</v>
      </c>
      <c r="M17" s="6"/>
      <c r="N17" s="6">
        <f t="shared" ca="1" si="2"/>
        <v>22287.892845799932</v>
      </c>
      <c r="O17" s="6">
        <f t="shared" ca="1" si="3"/>
        <v>58371.705330082033</v>
      </c>
      <c r="P17" s="6"/>
      <c r="Q17" s="6"/>
      <c r="R17" s="6"/>
      <c r="S17" s="6">
        <f t="shared" ca="1" si="4"/>
        <v>5540653.8752979366</v>
      </c>
      <c r="U17" t="s">
        <v>226</v>
      </c>
      <c r="V17">
        <v>3138407392490.8799</v>
      </c>
      <c r="W17" t="s">
        <v>227</v>
      </c>
      <c r="X17">
        <v>165921.33499889201</v>
      </c>
    </row>
    <row r="18" spans="1:24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Used'!I18</f>
        <v>5727225.2771220542</v>
      </c>
      <c r="E18" s="6">
        <f>'Monthly Data (14-23) Used'!AC18</f>
        <v>79.599999999999994</v>
      </c>
      <c r="F18" s="6">
        <f>'Monthly Data (14-23) Used'!AH18</f>
        <v>112.99999999999999</v>
      </c>
      <c r="G18" s="7">
        <f t="shared" ca="1" si="5"/>
        <v>116.90355229914098</v>
      </c>
      <c r="H18" s="7">
        <f t="shared" ca="1" si="5"/>
        <v>84.676447700859015</v>
      </c>
      <c r="I18" s="6">
        <f>'Monthly Data (14-23) Used'!BC18</f>
        <v>723726</v>
      </c>
      <c r="J18">
        <f>'Monthly Data (14-23) Used'!CB18</f>
        <v>31</v>
      </c>
      <c r="K18">
        <f>'Monthly Data (14-23) Used'!CA18</f>
        <v>1</v>
      </c>
      <c r="M18" s="6"/>
      <c r="N18" s="6">
        <f t="shared" ca="1" si="2"/>
        <v>63807.949072213552</v>
      </c>
      <c r="O18" s="6">
        <f t="shared" ca="1" si="3"/>
        <v>-209808.88942977469</v>
      </c>
      <c r="P18" s="6"/>
      <c r="Q18" s="6"/>
      <c r="R18" s="6"/>
      <c r="S18" s="6">
        <f t="shared" ca="1" si="4"/>
        <v>5581224.336764493</v>
      </c>
      <c r="U18" t="s">
        <v>228</v>
      </c>
      <c r="V18">
        <v>0.93966126630222202</v>
      </c>
      <c r="W18" t="s">
        <v>229</v>
      </c>
      <c r="X18">
        <v>0.93701483061372304</v>
      </c>
    </row>
    <row r="19" spans="1:24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Used'!I19</f>
        <v>6014804.2771220542</v>
      </c>
      <c r="E19" s="6">
        <f>'Monthly Data (14-23) Used'!AC19</f>
        <v>18.900000000000002</v>
      </c>
      <c r="F19" s="6">
        <f>'Monthly Data (14-23) Used'!AH19</f>
        <v>167.7</v>
      </c>
      <c r="G19" s="7">
        <f t="shared" ref="G19:H34" ca="1" si="6">G7</f>
        <v>11.023552299140979</v>
      </c>
      <c r="H19" s="7">
        <f t="shared" ca="1" si="6"/>
        <v>202.63644770085901</v>
      </c>
      <c r="I19" s="6">
        <f>'Monthly Data (14-23) Used'!BC19</f>
        <v>723726</v>
      </c>
      <c r="J19">
        <f>'Monthly Data (14-23) Used'!CB19</f>
        <v>30</v>
      </c>
      <c r="K19">
        <f>'Monthly Data (14-23) Used'!CA19</f>
        <v>0</v>
      </c>
      <c r="M19" s="6"/>
      <c r="N19" s="6">
        <f t="shared" ca="1" si="2"/>
        <v>-13472.710848986339</v>
      </c>
      <c r="O19" s="6">
        <f t="shared" ca="1" si="3"/>
        <v>258794.42011096003</v>
      </c>
      <c r="P19" s="6"/>
      <c r="Q19" s="6"/>
      <c r="R19" s="6"/>
      <c r="S19" s="6">
        <f t="shared" ca="1" si="4"/>
        <v>6260125.9863840286</v>
      </c>
      <c r="U19" t="s">
        <v>252</v>
      </c>
      <c r="V19">
        <v>239.99322972153399</v>
      </c>
      <c r="W19" t="s">
        <v>231</v>
      </c>
      <c r="X19" s="18">
        <v>8.9231864602597901E-59</v>
      </c>
    </row>
    <row r="20" spans="1:24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Used'!I20</f>
        <v>6767750.2771220542</v>
      </c>
      <c r="E20" s="6">
        <f>'Monthly Data (14-23) Used'!AC20</f>
        <v>2.8999999999999986</v>
      </c>
      <c r="F20" s="6">
        <f>'Monthly Data (14-23) Used'!AH20</f>
        <v>241.60000000000002</v>
      </c>
      <c r="G20" s="7">
        <f t="shared" ca="1" si="6"/>
        <v>0.75</v>
      </c>
      <c r="H20" s="7">
        <f t="shared" ca="1" si="6"/>
        <v>273.21289540171807</v>
      </c>
      <c r="I20" s="6">
        <f>'Monthly Data (14-23) Used'!BC20</f>
        <v>730341</v>
      </c>
      <c r="J20">
        <f>'Monthly Data (14-23) Used'!CB20</f>
        <v>31</v>
      </c>
      <c r="K20">
        <f>'Monthly Data (14-23) Used'!CA20</f>
        <v>0</v>
      </c>
      <c r="M20" s="6"/>
      <c r="N20" s="6">
        <f t="shared" ca="1" si="2"/>
        <v>-3677.5878448556796</v>
      </c>
      <c r="O20" s="6">
        <f t="shared" ca="1" si="3"/>
        <v>234174.95114464359</v>
      </c>
      <c r="P20" s="6"/>
      <c r="Q20" s="6"/>
      <c r="R20" s="6"/>
      <c r="S20" s="6">
        <f t="shared" ca="1" si="4"/>
        <v>6998247.6404218413</v>
      </c>
      <c r="U20" t="s">
        <v>232</v>
      </c>
      <c r="V20">
        <v>-7.1018788360495494E-2</v>
      </c>
      <c r="W20" t="s">
        <v>233</v>
      </c>
      <c r="X20">
        <v>2.1326890262842202</v>
      </c>
    </row>
    <row r="21" spans="1:24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Used'!I21</f>
        <v>6819987.2771220542</v>
      </c>
      <c r="E21" s="6">
        <f>'Monthly Data (14-23) Used'!AC21</f>
        <v>8.5000000000000018</v>
      </c>
      <c r="F21" s="6">
        <f>'Monthly Data (14-23) Used'!AH21</f>
        <v>218.3</v>
      </c>
      <c r="G21" s="7">
        <f t="shared" ca="1" si="6"/>
        <v>2.7971045982819609</v>
      </c>
      <c r="H21" s="7">
        <f t="shared" ca="1" si="6"/>
        <v>245.37605861546234</v>
      </c>
      <c r="I21" s="6">
        <f>'Monthly Data (14-23) Used'!BC21</f>
        <v>730341</v>
      </c>
      <c r="J21">
        <f>'Monthly Data (14-23) Used'!CB21</f>
        <v>31</v>
      </c>
      <c r="K21">
        <f>'Monthly Data (14-23) Used'!CA21</f>
        <v>0</v>
      </c>
      <c r="M21" s="6"/>
      <c r="N21" s="6">
        <f t="shared" ca="1" si="2"/>
        <v>-9754.8366557402933</v>
      </c>
      <c r="O21" s="6">
        <f t="shared" ca="1" si="3"/>
        <v>200567.98413728378</v>
      </c>
      <c r="P21" s="6"/>
      <c r="Q21" s="6"/>
      <c r="R21" s="6"/>
      <c r="S21" s="6">
        <f t="shared" ca="1" si="4"/>
        <v>7010800.4246035973</v>
      </c>
    </row>
    <row r="22" spans="1:24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Used'!I22</f>
        <v>6180848.2771220542</v>
      </c>
      <c r="E22" s="6">
        <f>'Monthly Data (14-23) Used'!AC22</f>
        <v>23.099999999999998</v>
      </c>
      <c r="F22" s="6">
        <f>'Monthly Data (14-23) Used'!AH22</f>
        <v>167.50000000000003</v>
      </c>
      <c r="G22" s="7">
        <f t="shared" ca="1" si="6"/>
        <v>39.200656897422931</v>
      </c>
      <c r="H22" s="7">
        <f t="shared" ca="1" si="6"/>
        <v>139.01579080343606</v>
      </c>
      <c r="I22" s="6">
        <f>'Monthly Data (14-23) Used'!BC22</f>
        <v>730341</v>
      </c>
      <c r="J22">
        <f>'Monthly Data (14-23) Used'!CB22</f>
        <v>30</v>
      </c>
      <c r="K22">
        <f>'Monthly Data (14-23) Used'!CA22</f>
        <v>0</v>
      </c>
      <c r="M22" s="6"/>
      <c r="N22" s="6">
        <f t="shared" ca="1" si="2"/>
        <v>27540.269814025291</v>
      </c>
      <c r="O22" s="6">
        <f t="shared" ca="1" si="3"/>
        <v>-210998.96773886355</v>
      </c>
      <c r="P22" s="6"/>
      <c r="Q22" s="6"/>
      <c r="R22" s="6"/>
      <c r="S22" s="6">
        <f t="shared" ca="1" si="4"/>
        <v>5997389.5791972168</v>
      </c>
      <c r="U22" t="s">
        <v>247</v>
      </c>
    </row>
    <row r="23" spans="1:24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Used'!I23</f>
        <v>5577053.2771220542</v>
      </c>
      <c r="E23" s="6">
        <f>'Monthly Data (14-23) Used'!AC23</f>
        <v>194.50000000000003</v>
      </c>
      <c r="F23" s="6">
        <f>'Monthly Data (14-23) Used'!AH23</f>
        <v>22.999999999999996</v>
      </c>
      <c r="G23" s="7">
        <f t="shared" ca="1" si="6"/>
        <v>194.90420919656393</v>
      </c>
      <c r="H23" s="7">
        <f t="shared" ca="1" si="6"/>
        <v>38.166447700859024</v>
      </c>
      <c r="I23" s="6">
        <f>'Monthly Data (14-23) Used'!BC23</f>
        <v>737784</v>
      </c>
      <c r="J23">
        <f>'Monthly Data (14-23) Used'!CB23</f>
        <v>31</v>
      </c>
      <c r="K23">
        <f>'Monthly Data (14-23) Used'!CA23</f>
        <v>1</v>
      </c>
      <c r="M23" s="6"/>
      <c r="N23" s="6">
        <f t="shared" ca="1" si="2"/>
        <v>691.40224561035825</v>
      </c>
      <c r="O23" s="6">
        <f t="shared" ca="1" si="3"/>
        <v>112346.62640845729</v>
      </c>
      <c r="P23" s="6"/>
      <c r="Q23" s="6"/>
      <c r="R23" s="6"/>
      <c r="S23" s="6">
        <f t="shared" ca="1" si="4"/>
        <v>5690091.3057761211</v>
      </c>
      <c r="U23" t="s">
        <v>224</v>
      </c>
      <c r="V23">
        <v>6353996.4045529701</v>
      </c>
      <c r="W23" t="s">
        <v>225</v>
      </c>
      <c r="X23">
        <v>650493.57014649198</v>
      </c>
    </row>
    <row r="24" spans="1:24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Used'!I24</f>
        <v>5401075.2771220542</v>
      </c>
      <c r="E24" s="6">
        <f>'Monthly Data (14-23) Used'!AC24</f>
        <v>325.2</v>
      </c>
      <c r="F24" s="6">
        <f>'Monthly Data (14-23) Used'!AH24</f>
        <v>5.2999999999999972</v>
      </c>
      <c r="G24" s="7">
        <f t="shared" ca="1" si="6"/>
        <v>404.02065689742301</v>
      </c>
      <c r="H24" s="7">
        <f t="shared" ca="1" si="6"/>
        <v>2.419999999999999</v>
      </c>
      <c r="I24" s="6">
        <f>'Monthly Data (14-23) Used'!BC24</f>
        <v>737784</v>
      </c>
      <c r="J24">
        <f>'Monthly Data (14-23) Used'!CB24</f>
        <v>30</v>
      </c>
      <c r="K24">
        <f>'Monthly Data (14-23) Used'!CA24</f>
        <v>1</v>
      </c>
      <c r="M24" s="6"/>
      <c r="N24" s="6">
        <f t="shared" ca="1" si="2"/>
        <v>134823.20452535027</v>
      </c>
      <c r="O24" s="6">
        <f t="shared" ca="1" si="3"/>
        <v>-21333.821237390377</v>
      </c>
      <c r="P24" s="6"/>
      <c r="Q24" s="6"/>
      <c r="R24" s="6"/>
      <c r="S24" s="6">
        <f t="shared" ca="1" si="4"/>
        <v>5514564.6604100149</v>
      </c>
    </row>
    <row r="25" spans="1:24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Used'!I25</f>
        <v>5640305.2771220542</v>
      </c>
      <c r="E25" s="6">
        <f>'Monthly Data (14-23) Used'!AC25</f>
        <v>417.30000000000007</v>
      </c>
      <c r="F25" s="6">
        <f>'Monthly Data (14-23) Used'!AH25</f>
        <v>0</v>
      </c>
      <c r="G25" s="7">
        <f t="shared" ca="1" si="6"/>
        <v>533.7700000000001</v>
      </c>
      <c r="H25" s="7">
        <f t="shared" ca="1" si="6"/>
        <v>0</v>
      </c>
      <c r="I25" s="6">
        <f>'Monthly Data (14-23) Used'!BC25</f>
        <v>737784</v>
      </c>
      <c r="J25">
        <f>'Monthly Data (14-23) Used'!CB25</f>
        <v>31</v>
      </c>
      <c r="K25">
        <f>'Monthly Data (14-23) Used'!CA25</f>
        <v>0</v>
      </c>
      <c r="M25" s="6"/>
      <c r="N25" s="6">
        <f t="shared" ca="1" si="2"/>
        <v>199222.63083271694</v>
      </c>
      <c r="O25" s="6">
        <f t="shared" ca="1" si="3"/>
        <v>0</v>
      </c>
      <c r="P25" s="6"/>
      <c r="Q25" s="6"/>
      <c r="R25" s="6"/>
      <c r="S25" s="6">
        <f t="shared" ca="1" si="4"/>
        <v>5839527.9079547711</v>
      </c>
    </row>
    <row r="26" spans="1:24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Used'!I26</f>
        <v>6408605.2854596768</v>
      </c>
      <c r="E26" s="6">
        <f>'Monthly Data (14-23) Used'!AC26</f>
        <v>644.9</v>
      </c>
      <c r="F26" s="6">
        <f>'Monthly Data (14-23) Used'!AH26</f>
        <v>0</v>
      </c>
      <c r="G26" s="7">
        <f t="shared" ca="1" si="6"/>
        <v>671</v>
      </c>
      <c r="H26" s="7">
        <f t="shared" ca="1" si="6"/>
        <v>0</v>
      </c>
      <c r="I26" s="6">
        <f>'Monthly Data (14-23) Used'!BC26</f>
        <v>743287</v>
      </c>
      <c r="J26">
        <f>'Monthly Data (14-23) Used'!CB26</f>
        <v>31</v>
      </c>
      <c r="K26">
        <f>'Monthly Data (14-23) Used'!CA26</f>
        <v>0</v>
      </c>
      <c r="M26" s="6"/>
      <c r="N26" s="6">
        <f t="shared" ca="1" si="2"/>
        <v>44644.205930573669</v>
      </c>
      <c r="O26" s="6">
        <f t="shared" ca="1" si="3"/>
        <v>0</v>
      </c>
      <c r="P26" s="6"/>
      <c r="Q26" s="6"/>
      <c r="R26" s="6"/>
      <c r="S26" s="6">
        <f t="shared" ca="1" si="4"/>
        <v>6453249.4913902506</v>
      </c>
    </row>
    <row r="27" spans="1:24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Used'!I27</f>
        <v>6083562.2854596768</v>
      </c>
      <c r="E27" s="6">
        <f>'Monthly Data (14-23) Used'!AC27</f>
        <v>550.19999999999993</v>
      </c>
      <c r="F27" s="6">
        <f>'Monthly Data (14-23) Used'!AH27</f>
        <v>0</v>
      </c>
      <c r="G27" s="7">
        <f t="shared" ca="1" si="6"/>
        <v>595.51355229914111</v>
      </c>
      <c r="H27" s="7">
        <f t="shared" ca="1" si="6"/>
        <v>0</v>
      </c>
      <c r="I27" s="6">
        <f>'Monthly Data (14-23) Used'!BC27</f>
        <v>743287</v>
      </c>
      <c r="J27">
        <f>'Monthly Data (14-23) Used'!CB27</f>
        <v>29</v>
      </c>
      <c r="K27">
        <f>'Monthly Data (14-23) Used'!CA27</f>
        <v>0</v>
      </c>
      <c r="M27" s="6"/>
      <c r="N27" s="6">
        <f t="shared" ca="1" si="2"/>
        <v>77509.101926769232</v>
      </c>
      <c r="O27" s="6">
        <f t="shared" ca="1" si="3"/>
        <v>0</v>
      </c>
      <c r="P27" s="6"/>
      <c r="Q27" s="6"/>
      <c r="R27" s="6"/>
      <c r="S27" s="6">
        <f t="shared" ca="1" si="4"/>
        <v>6161071.3873864459</v>
      </c>
    </row>
    <row r="28" spans="1:24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Used'!I28</f>
        <v>6103345.2854596768</v>
      </c>
      <c r="E28" s="6">
        <f>'Monthly Data (14-23) Used'!AC28</f>
        <v>404.4</v>
      </c>
      <c r="F28" s="6">
        <f>'Monthly Data (14-23) Used'!AH28</f>
        <v>0.59999999999999964</v>
      </c>
      <c r="G28" s="7">
        <f t="shared" ca="1" si="6"/>
        <v>496.46355229914104</v>
      </c>
      <c r="H28" s="7">
        <f t="shared" ca="1" si="6"/>
        <v>0.16999999999999993</v>
      </c>
      <c r="I28" s="6">
        <f>'Monthly Data (14-23) Used'!BC28</f>
        <v>743287</v>
      </c>
      <c r="J28">
        <f>'Monthly Data (14-23) Used'!CB28</f>
        <v>31</v>
      </c>
      <c r="K28">
        <f>'Monthly Data (14-23) Used'!CA28</f>
        <v>1</v>
      </c>
      <c r="M28" s="6"/>
      <c r="N28" s="6">
        <f t="shared" ca="1" si="2"/>
        <v>157475.25622770074</v>
      </c>
      <c r="O28" s="6">
        <f t="shared" ca="1" si="3"/>
        <v>-3185.2580319714798</v>
      </c>
      <c r="P28" s="6"/>
      <c r="Q28" s="6"/>
      <c r="R28" s="6"/>
      <c r="S28" s="6">
        <f t="shared" ca="1" si="4"/>
        <v>6257635.283655406</v>
      </c>
    </row>
    <row r="29" spans="1:24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Used'!I29</f>
        <v>5803136.2854596768</v>
      </c>
      <c r="E29" s="6">
        <f>'Monthly Data (14-23) Used'!AC29</f>
        <v>332.09999999999997</v>
      </c>
      <c r="F29" s="6">
        <f>'Monthly Data (14-23) Used'!AH29</f>
        <v>2.5</v>
      </c>
      <c r="G29" s="7">
        <f t="shared" ca="1" si="6"/>
        <v>296.23000000000008</v>
      </c>
      <c r="H29" s="7">
        <f t="shared" ca="1" si="6"/>
        <v>8.7799999999999994</v>
      </c>
      <c r="I29" s="6">
        <f>'Monthly Data (14-23) Used'!BC29</f>
        <v>740632</v>
      </c>
      <c r="J29">
        <f>'Monthly Data (14-23) Used'!CB29</f>
        <v>30</v>
      </c>
      <c r="K29">
        <f>'Monthly Data (14-23) Used'!CA29</f>
        <v>1</v>
      </c>
      <c r="M29" s="6"/>
      <c r="N29" s="6">
        <f t="shared" ca="1" si="2"/>
        <v>-61355.8492999874</v>
      </c>
      <c r="O29" s="6">
        <f t="shared" ca="1" si="3"/>
        <v>46519.582420420709</v>
      </c>
      <c r="P29" s="6"/>
      <c r="Q29" s="6"/>
      <c r="R29" s="6"/>
      <c r="S29" s="6">
        <f t="shared" ca="1" si="4"/>
        <v>5788300.0185801098</v>
      </c>
    </row>
    <row r="30" spans="1:24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Used'!I30</f>
        <v>6228245.2854596768</v>
      </c>
      <c r="E30" s="6">
        <f>'Monthly Data (14-23) Used'!AC30</f>
        <v>126.6</v>
      </c>
      <c r="F30" s="6">
        <f>'Monthly Data (14-23) Used'!AH30</f>
        <v>80.900000000000006</v>
      </c>
      <c r="G30" s="7">
        <f t="shared" ca="1" si="6"/>
        <v>116.90355229914098</v>
      </c>
      <c r="H30" s="7">
        <f t="shared" ca="1" si="6"/>
        <v>84.676447700859015</v>
      </c>
      <c r="I30" s="6">
        <f>'Monthly Data (14-23) Used'!BC30</f>
        <v>740632</v>
      </c>
      <c r="J30">
        <f>'Monthly Data (14-23) Used'!CB30</f>
        <v>31</v>
      </c>
      <c r="K30">
        <f>'Monthly Data (14-23) Used'!CA30</f>
        <v>1</v>
      </c>
      <c r="M30" s="6"/>
      <c r="N30" s="6">
        <f t="shared" ca="1" si="2"/>
        <v>-16585.831722306011</v>
      </c>
      <c r="O30" s="6">
        <f t="shared" ca="1" si="3"/>
        <v>27974.326445305571</v>
      </c>
      <c r="P30" s="6"/>
      <c r="Q30" s="6"/>
      <c r="R30" s="6"/>
      <c r="S30" s="6">
        <f t="shared" ca="1" si="4"/>
        <v>6239633.7801826764</v>
      </c>
    </row>
    <row r="31" spans="1:24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Used'!I31</f>
        <v>6777772.2854596768</v>
      </c>
      <c r="E31" s="6">
        <f>'Monthly Data (14-23) Used'!AC31</f>
        <v>6.7999999999999989</v>
      </c>
      <c r="F31" s="6">
        <f>'Monthly Data (14-23) Used'!AH31</f>
        <v>214.49999999999991</v>
      </c>
      <c r="G31" s="7">
        <f t="shared" ca="1" si="6"/>
        <v>11.023552299140979</v>
      </c>
      <c r="H31" s="7">
        <f t="shared" ca="1" si="6"/>
        <v>202.63644770085901</v>
      </c>
      <c r="I31" s="6">
        <f>'Monthly Data (14-23) Used'!BC31</f>
        <v>740632</v>
      </c>
      <c r="J31">
        <f>'Monthly Data (14-23) Used'!CB31</f>
        <v>30</v>
      </c>
      <c r="K31">
        <f>'Monthly Data (14-23) Used'!CA31</f>
        <v>0</v>
      </c>
      <c r="M31" s="6"/>
      <c r="N31" s="6">
        <f t="shared" ca="1" si="2"/>
        <v>7224.4114406665758</v>
      </c>
      <c r="O31" s="6">
        <f t="shared" ca="1" si="3"/>
        <v>-87880.174996633286</v>
      </c>
      <c r="P31" s="6"/>
      <c r="Q31" s="6"/>
      <c r="R31" s="6"/>
      <c r="S31" s="6">
        <f t="shared" ca="1" si="4"/>
        <v>6697116.5219037104</v>
      </c>
    </row>
    <row r="32" spans="1:24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Used'!I32</f>
        <v>7694152.2854596768</v>
      </c>
      <c r="E32" s="6">
        <f>'Monthly Data (14-23) Used'!AC32</f>
        <v>0</v>
      </c>
      <c r="F32" s="6">
        <f>'Monthly Data (14-23) Used'!AH32</f>
        <v>302.3</v>
      </c>
      <c r="G32" s="7">
        <f t="shared" ca="1" si="6"/>
        <v>0.75</v>
      </c>
      <c r="H32" s="7">
        <f t="shared" ca="1" si="6"/>
        <v>273.21289540171807</v>
      </c>
      <c r="I32" s="6">
        <f>'Monthly Data (14-23) Used'!BC32</f>
        <v>746606</v>
      </c>
      <c r="J32">
        <f>'Monthly Data (14-23) Used'!CB32</f>
        <v>31</v>
      </c>
      <c r="K32">
        <f>'Monthly Data (14-23) Used'!CA32</f>
        <v>0</v>
      </c>
      <c r="M32" s="6"/>
      <c r="N32" s="6">
        <f t="shared" ca="1" si="2"/>
        <v>1282.87948076361</v>
      </c>
      <c r="O32" s="6">
        <f t="shared" ca="1" si="3"/>
        <v>-215464.96174063298</v>
      </c>
      <c r="P32" s="6"/>
      <c r="Q32" s="6"/>
      <c r="R32" s="6"/>
      <c r="S32" s="6">
        <f t="shared" ca="1" si="4"/>
        <v>7479970.2031998076</v>
      </c>
    </row>
    <row r="33" spans="1:19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Used'!I33</f>
        <v>7705048.2854596768</v>
      </c>
      <c r="E33" s="6">
        <f>'Monthly Data (14-23) Used'!AC33</f>
        <v>0</v>
      </c>
      <c r="F33" s="6">
        <f>'Monthly Data (14-23) Used'!AH33</f>
        <v>298.89999999999992</v>
      </c>
      <c r="G33" s="7">
        <f t="shared" ca="1" si="6"/>
        <v>2.7971045982819609</v>
      </c>
      <c r="H33" s="7">
        <f t="shared" ca="1" si="6"/>
        <v>245.37605861546234</v>
      </c>
      <c r="I33" s="6">
        <f>'Monthly Data (14-23) Used'!BC33</f>
        <v>746606</v>
      </c>
      <c r="J33">
        <f>'Monthly Data (14-23) Used'!CB33</f>
        <v>31</v>
      </c>
      <c r="K33">
        <f>'Monthly Data (14-23) Used'!CA33</f>
        <v>0</v>
      </c>
      <c r="M33" s="6"/>
      <c r="N33" s="6">
        <f t="shared" ca="1" si="2"/>
        <v>4784.4641262472906</v>
      </c>
      <c r="O33" s="6">
        <f t="shared" ca="1" si="3"/>
        <v>-396482.70743690495</v>
      </c>
      <c r="P33" s="6"/>
      <c r="Q33" s="6"/>
      <c r="R33" s="6"/>
      <c r="S33" s="6">
        <f t="shared" ca="1" si="4"/>
        <v>7313350.0421490185</v>
      </c>
    </row>
    <row r="34" spans="1:19">
      <c r="A34" s="197">
        <v>42614</v>
      </c>
      <c r="B34">
        <f t="shared" ref="B34:B53" si="7">MONTH(A34)</f>
        <v>9</v>
      </c>
      <c r="C34">
        <f t="shared" ref="C34:C53" si="8">YEAR(A34)</f>
        <v>2016</v>
      </c>
      <c r="D34" s="6">
        <f>'Monthly Data (14-23) Used'!I34</f>
        <v>6690629.2854596768</v>
      </c>
      <c r="E34" s="6">
        <f>'Monthly Data (14-23) Used'!AC34</f>
        <v>19.399999999999995</v>
      </c>
      <c r="F34" s="6">
        <f>'Monthly Data (14-23) Used'!AH34</f>
        <v>161.5</v>
      </c>
      <c r="G34" s="7">
        <f t="shared" ca="1" si="6"/>
        <v>39.200656897422931</v>
      </c>
      <c r="H34" s="7">
        <f t="shared" ca="1" si="6"/>
        <v>139.01579080343606</v>
      </c>
      <c r="I34" s="6">
        <f>'Monthly Data (14-23) Used'!BC34</f>
        <v>746606</v>
      </c>
      <c r="J34">
        <f>'Monthly Data (14-23) Used'!CB34</f>
        <v>30</v>
      </c>
      <c r="K34">
        <f>'Monthly Data (14-23) Used'!CA34</f>
        <v>0</v>
      </c>
      <c r="M34" s="6"/>
      <c r="N34" s="6">
        <f t="shared" ref="N34:N54" ca="1" si="9">(G34-E34)*$V$10</f>
        <v>33869.141919125774</v>
      </c>
      <c r="O34" s="6">
        <f t="shared" ref="O34:O54" ca="1" si="10">(H34-F34)*$V$11</f>
        <v>-166553.50682763336</v>
      </c>
      <c r="P34" s="6"/>
      <c r="Q34" s="6"/>
      <c r="R34" s="6"/>
      <c r="S34" s="6">
        <f t="shared" ref="S34:S54" ca="1" si="11">SUM(D34,M34:R34)</f>
        <v>6557944.9205511697</v>
      </c>
    </row>
    <row r="35" spans="1:19">
      <c r="A35" s="197">
        <v>42644</v>
      </c>
      <c r="B35">
        <f t="shared" si="7"/>
        <v>10</v>
      </c>
      <c r="C35">
        <f t="shared" si="8"/>
        <v>2016</v>
      </c>
      <c r="D35" s="6">
        <f>'Monthly Data (14-23) Used'!I35</f>
        <v>6031579.2854596768</v>
      </c>
      <c r="E35" s="6">
        <f>'Monthly Data (14-23) Used'!AC35</f>
        <v>173.20000000000002</v>
      </c>
      <c r="F35" s="6">
        <f>'Monthly Data (14-23) Used'!AH35</f>
        <v>53.79999999999999</v>
      </c>
      <c r="G35" s="7">
        <f t="shared" ref="G35:H50" ca="1" si="12">G23</f>
        <v>194.90420919656393</v>
      </c>
      <c r="H35" s="7">
        <f t="shared" ca="1" si="12"/>
        <v>38.166447700859024</v>
      </c>
      <c r="I35" s="6">
        <f>'Monthly Data (14-23) Used'!BC35</f>
        <v>745380</v>
      </c>
      <c r="J35">
        <f>'Monthly Data (14-23) Used'!CB35</f>
        <v>31</v>
      </c>
      <c r="K35">
        <f>'Monthly Data (14-23) Used'!CA35</f>
        <v>1</v>
      </c>
      <c r="M35" s="6"/>
      <c r="N35" s="6">
        <f t="shared" ca="1" si="9"/>
        <v>37125.179499296901</v>
      </c>
      <c r="O35" s="6">
        <f t="shared" ca="1" si="10"/>
        <v>-115806.73960252324</v>
      </c>
      <c r="P35" s="6"/>
      <c r="Q35" s="6"/>
      <c r="R35" s="6"/>
      <c r="S35" s="6">
        <f t="shared" ca="1" si="11"/>
        <v>5952897.7253564503</v>
      </c>
    </row>
    <row r="36" spans="1:19">
      <c r="A36" s="197">
        <v>42675</v>
      </c>
      <c r="B36">
        <f t="shared" si="7"/>
        <v>11</v>
      </c>
      <c r="C36">
        <f t="shared" si="8"/>
        <v>2016</v>
      </c>
      <c r="D36" s="6">
        <f>'Monthly Data (14-23) Used'!I36</f>
        <v>5805354.2854596768</v>
      </c>
      <c r="E36" s="6">
        <f>'Monthly Data (14-23) Used'!AC36</f>
        <v>315.30000000000007</v>
      </c>
      <c r="F36" s="6">
        <f>'Monthly Data (14-23) Used'!AH36</f>
        <v>5.0000000000000018</v>
      </c>
      <c r="G36" s="7">
        <f t="shared" ca="1" si="12"/>
        <v>404.02065689742301</v>
      </c>
      <c r="H36" s="7">
        <f t="shared" ca="1" si="12"/>
        <v>2.419999999999999</v>
      </c>
      <c r="I36" s="6">
        <f>'Monthly Data (14-23) Used'!BC36</f>
        <v>745380</v>
      </c>
      <c r="J36">
        <f>'Monthly Data (14-23) Used'!CB36</f>
        <v>30</v>
      </c>
      <c r="K36">
        <f>'Monthly Data (14-23) Used'!CA36</f>
        <v>1</v>
      </c>
      <c r="M36" s="6"/>
      <c r="N36" s="6">
        <f t="shared" ca="1" si="9"/>
        <v>151757.21367142978</v>
      </c>
      <c r="O36" s="6">
        <f t="shared" ca="1" si="10"/>
        <v>-19111.548191828912</v>
      </c>
      <c r="P36" s="6"/>
      <c r="Q36" s="6"/>
      <c r="R36" s="6"/>
      <c r="S36" s="6">
        <f t="shared" ca="1" si="11"/>
        <v>5937999.9509392781</v>
      </c>
    </row>
    <row r="37" spans="1:19">
      <c r="A37" s="197">
        <v>42705</v>
      </c>
      <c r="B37">
        <f t="shared" si="7"/>
        <v>12</v>
      </c>
      <c r="C37">
        <f t="shared" si="8"/>
        <v>2016</v>
      </c>
      <c r="D37" s="6">
        <f>'Monthly Data (14-23) Used'!I37</f>
        <v>6367639.2854596768</v>
      </c>
      <c r="E37" s="6">
        <f>'Monthly Data (14-23) Used'!AC37</f>
        <v>623.19999999999993</v>
      </c>
      <c r="F37" s="6">
        <f>'Monthly Data (14-23) Used'!AH37</f>
        <v>0</v>
      </c>
      <c r="G37" s="7">
        <f t="shared" ca="1" si="12"/>
        <v>533.7700000000001</v>
      </c>
      <c r="H37" s="7">
        <f t="shared" ca="1" si="12"/>
        <v>0</v>
      </c>
      <c r="I37" s="6">
        <f>'Monthly Data (14-23) Used'!BC37</f>
        <v>745380</v>
      </c>
      <c r="J37">
        <f>'Monthly Data (14-23) Used'!CB37</f>
        <v>31</v>
      </c>
      <c r="K37">
        <f>'Monthly Data (14-23) Used'!CA37</f>
        <v>0</v>
      </c>
      <c r="M37" s="6"/>
      <c r="N37" s="6">
        <f t="shared" ca="1" si="9"/>
        <v>-152970.54928625259</v>
      </c>
      <c r="O37" s="6">
        <f t="shared" ca="1" si="10"/>
        <v>0</v>
      </c>
      <c r="P37" s="6"/>
      <c r="Q37" s="6"/>
      <c r="R37" s="6"/>
      <c r="S37" s="6">
        <f t="shared" ca="1" si="11"/>
        <v>6214668.7361734239</v>
      </c>
    </row>
    <row r="38" spans="1:19">
      <c r="A38" s="197">
        <v>42736</v>
      </c>
      <c r="B38">
        <f t="shared" si="7"/>
        <v>1</v>
      </c>
      <c r="C38">
        <f t="shared" si="8"/>
        <v>2017</v>
      </c>
      <c r="D38" s="6">
        <f>'Monthly Data (14-23) Used'!I38</f>
        <v>6836192.372558577</v>
      </c>
      <c r="E38" s="6">
        <f>'Monthly Data (14-23) Used'!AC38</f>
        <v>584.19999999999993</v>
      </c>
      <c r="F38" s="6">
        <f>'Monthly Data (14-23) Used'!AH38</f>
        <v>0</v>
      </c>
      <c r="G38" s="7">
        <f t="shared" ca="1" si="12"/>
        <v>671</v>
      </c>
      <c r="H38" s="7">
        <f t="shared" ca="1" si="12"/>
        <v>0</v>
      </c>
      <c r="I38" s="6">
        <f>'Monthly Data (14-23) Used'!BC38</f>
        <v>756702</v>
      </c>
      <c r="J38">
        <f>'Monthly Data (14-23) Used'!CB38</f>
        <v>31</v>
      </c>
      <c r="K38">
        <f>'Monthly Data (14-23) Used'!CA38</f>
        <v>0</v>
      </c>
      <c r="M38" s="6"/>
      <c r="N38" s="6">
        <f t="shared" ca="1" si="9"/>
        <v>148471.91857370859</v>
      </c>
      <c r="O38" s="6">
        <f t="shared" ca="1" si="10"/>
        <v>0</v>
      </c>
      <c r="P38" s="6"/>
      <c r="Q38" s="6"/>
      <c r="R38" s="6"/>
      <c r="S38" s="6">
        <f t="shared" ca="1" si="11"/>
        <v>6984664.2911322853</v>
      </c>
    </row>
    <row r="39" spans="1:19">
      <c r="A39" s="197">
        <v>42767</v>
      </c>
      <c r="B39">
        <f t="shared" si="7"/>
        <v>2</v>
      </c>
      <c r="C39">
        <f t="shared" si="8"/>
        <v>2017</v>
      </c>
      <c r="D39" s="6">
        <f>'Monthly Data (14-23) Used'!I39</f>
        <v>5952762.372558577</v>
      </c>
      <c r="E39" s="6">
        <f>'Monthly Data (14-23) Used'!AC39</f>
        <v>440.69999999999987</v>
      </c>
      <c r="F39" s="6">
        <f>'Monthly Data (14-23) Used'!AH39</f>
        <v>0</v>
      </c>
      <c r="G39" s="7">
        <f t="shared" ca="1" si="12"/>
        <v>595.51355229914111</v>
      </c>
      <c r="H39" s="7">
        <f t="shared" ca="1" si="12"/>
        <v>0</v>
      </c>
      <c r="I39" s="6">
        <f>'Monthly Data (14-23) Used'!BC39</f>
        <v>756702</v>
      </c>
      <c r="J39">
        <f>'Monthly Data (14-23) Used'!CB39</f>
        <v>28</v>
      </c>
      <c r="K39">
        <f>'Monthly Data (14-23) Used'!CA39</f>
        <v>0</v>
      </c>
      <c r="M39" s="6"/>
      <c r="N39" s="6">
        <f t="shared" ca="1" si="9"/>
        <v>264809.50611825642</v>
      </c>
      <c r="O39" s="6">
        <f t="shared" ca="1" si="10"/>
        <v>0</v>
      </c>
      <c r="P39" s="6"/>
      <c r="Q39" s="6"/>
      <c r="R39" s="6"/>
      <c r="S39" s="6">
        <f t="shared" ca="1" si="11"/>
        <v>6217571.8786768336</v>
      </c>
    </row>
    <row r="40" spans="1:19">
      <c r="A40" s="197">
        <v>42795</v>
      </c>
      <c r="B40">
        <f t="shared" si="7"/>
        <v>3</v>
      </c>
      <c r="C40">
        <f t="shared" si="8"/>
        <v>2017</v>
      </c>
      <c r="D40" s="6">
        <f>'Monthly Data (14-23) Used'!I40</f>
        <v>6081790.372558577</v>
      </c>
      <c r="E40" s="6">
        <f>'Monthly Data (14-23) Used'!AC40</f>
        <v>507.30000000000007</v>
      </c>
      <c r="F40" s="6">
        <f>'Monthly Data (14-23) Used'!AH40</f>
        <v>0</v>
      </c>
      <c r="G40" s="7">
        <f t="shared" ca="1" si="12"/>
        <v>496.46355229914104</v>
      </c>
      <c r="H40" s="7">
        <f t="shared" ca="1" si="12"/>
        <v>0.16999999999999993</v>
      </c>
      <c r="I40" s="6">
        <f>'Monthly Data (14-23) Used'!BC40</f>
        <v>756702</v>
      </c>
      <c r="J40">
        <f>'Monthly Data (14-23) Used'!CB40</f>
        <v>31</v>
      </c>
      <c r="K40">
        <f>'Monthly Data (14-23) Used'!CA40</f>
        <v>1</v>
      </c>
      <c r="M40" s="6"/>
      <c r="N40" s="6">
        <f t="shared" ca="1" si="9"/>
        <v>-18535.808533066724</v>
      </c>
      <c r="O40" s="6">
        <f t="shared" ca="1" si="10"/>
        <v>1259.2880591515157</v>
      </c>
      <c r="P40" s="6"/>
      <c r="Q40" s="6"/>
      <c r="R40" s="6"/>
      <c r="S40" s="6">
        <f t="shared" ca="1" si="11"/>
        <v>6064513.8520846618</v>
      </c>
    </row>
    <row r="41" spans="1:19">
      <c r="A41" s="197">
        <v>42826</v>
      </c>
      <c r="B41">
        <f t="shared" si="7"/>
        <v>4</v>
      </c>
      <c r="C41">
        <f t="shared" si="8"/>
        <v>2017</v>
      </c>
      <c r="D41" s="6">
        <f>'Monthly Data (14-23) Used'!I41</f>
        <v>5859659.372558577</v>
      </c>
      <c r="E41" s="6">
        <f>'Monthly Data (14-23) Used'!AC41</f>
        <v>200.50000000000003</v>
      </c>
      <c r="F41" s="6">
        <f>'Monthly Data (14-23) Used'!AH41</f>
        <v>21.300000000000004</v>
      </c>
      <c r="G41" s="7">
        <f t="shared" ca="1" si="12"/>
        <v>296.23000000000008</v>
      </c>
      <c r="H41" s="7">
        <f t="shared" ca="1" si="12"/>
        <v>8.7799999999999994</v>
      </c>
      <c r="I41" s="6">
        <f>'Monthly Data (14-23) Used'!BC41</f>
        <v>764644</v>
      </c>
      <c r="J41">
        <f>'Monthly Data (14-23) Used'!CB41</f>
        <v>30</v>
      </c>
      <c r="K41">
        <f>'Monthly Data (14-23) Used'!CA41</f>
        <v>1</v>
      </c>
      <c r="M41" s="6"/>
      <c r="N41" s="6">
        <f t="shared" ca="1" si="9"/>
        <v>163746.73692466726</v>
      </c>
      <c r="O41" s="6">
        <f t="shared" ca="1" si="10"/>
        <v>-92742.86176809993</v>
      </c>
      <c r="P41" s="6"/>
      <c r="Q41" s="6"/>
      <c r="R41" s="6"/>
      <c r="S41" s="6">
        <f t="shared" ca="1" si="11"/>
        <v>5930663.2477151444</v>
      </c>
    </row>
    <row r="42" spans="1:19">
      <c r="A42" s="197">
        <v>42856</v>
      </c>
      <c r="B42">
        <f t="shared" si="7"/>
        <v>5</v>
      </c>
      <c r="C42">
        <f t="shared" si="8"/>
        <v>2017</v>
      </c>
      <c r="D42" s="6">
        <f>'Monthly Data (14-23) Used'!I42</f>
        <v>6077082.372558577</v>
      </c>
      <c r="E42" s="6">
        <f>'Monthly Data (14-23) Used'!AC42</f>
        <v>135.5</v>
      </c>
      <c r="F42" s="6">
        <f>'Monthly Data (14-23) Used'!AH42</f>
        <v>64.7</v>
      </c>
      <c r="G42" s="7">
        <f t="shared" ca="1" si="12"/>
        <v>116.90355229914098</v>
      </c>
      <c r="H42" s="7">
        <f t="shared" ca="1" si="12"/>
        <v>84.676447700859015</v>
      </c>
      <c r="I42" s="6">
        <f>'Monthly Data (14-23) Used'!BC42</f>
        <v>764644</v>
      </c>
      <c r="J42">
        <f>'Monthly Data (14-23) Used'!CB42</f>
        <v>31</v>
      </c>
      <c r="K42">
        <f>'Monthly Data (14-23) Used'!CA42</f>
        <v>1</v>
      </c>
      <c r="M42" s="6"/>
      <c r="N42" s="6">
        <f t="shared" ca="1" si="9"/>
        <v>-31809.334894034193</v>
      </c>
      <c r="O42" s="6">
        <f t="shared" ca="1" si="10"/>
        <v>147977.07090562655</v>
      </c>
      <c r="P42" s="6"/>
      <c r="Q42" s="6"/>
      <c r="R42" s="6"/>
      <c r="S42" s="6">
        <f t="shared" ca="1" si="11"/>
        <v>6193250.1085701697</v>
      </c>
    </row>
    <row r="43" spans="1:19">
      <c r="A43" s="197">
        <v>42887</v>
      </c>
      <c r="B43">
        <f t="shared" si="7"/>
        <v>6</v>
      </c>
      <c r="C43">
        <f t="shared" si="8"/>
        <v>2017</v>
      </c>
      <c r="D43" s="6">
        <f>'Monthly Data (14-23) Used'!I43</f>
        <v>6771723.372558577</v>
      </c>
      <c r="E43" s="6">
        <f>'Monthly Data (14-23) Used'!AC43</f>
        <v>9.1999999999999957</v>
      </c>
      <c r="F43" s="6">
        <f>'Monthly Data (14-23) Used'!AH43</f>
        <v>213.29999999999998</v>
      </c>
      <c r="G43" s="7">
        <f t="shared" ca="1" si="12"/>
        <v>11.023552299140979</v>
      </c>
      <c r="H43" s="7">
        <f t="shared" ca="1" si="12"/>
        <v>202.63644770085901</v>
      </c>
      <c r="I43" s="6">
        <f>'Monthly Data (14-23) Used'!BC43</f>
        <v>764644</v>
      </c>
      <c r="J43">
        <f>'Monthly Data (14-23) Used'!CB43</f>
        <v>30</v>
      </c>
      <c r="K43">
        <f>'Monthly Data (14-23) Used'!CA43</f>
        <v>0</v>
      </c>
      <c r="M43" s="6"/>
      <c r="N43" s="6">
        <f t="shared" ca="1" si="9"/>
        <v>3119.1971022230296</v>
      </c>
      <c r="O43" s="6">
        <f t="shared" ca="1" si="10"/>
        <v>-78991.082814387803</v>
      </c>
      <c r="P43" s="6"/>
      <c r="Q43" s="6"/>
      <c r="R43" s="6"/>
      <c r="S43" s="6">
        <f t="shared" ca="1" si="11"/>
        <v>6695851.4868464116</v>
      </c>
    </row>
    <row r="44" spans="1:19">
      <c r="A44" s="197">
        <v>42917</v>
      </c>
      <c r="B44">
        <f t="shared" si="7"/>
        <v>7</v>
      </c>
      <c r="C44">
        <f t="shared" si="8"/>
        <v>2017</v>
      </c>
      <c r="D44" s="6">
        <f>'Monthly Data (14-23) Used'!I44</f>
        <v>7412106.372558577</v>
      </c>
      <c r="E44" s="6">
        <f>'Monthly Data (14-23) Used'!AC44</f>
        <v>0</v>
      </c>
      <c r="F44" s="6">
        <f>'Monthly Data (14-23) Used'!AH44</f>
        <v>260.99999999999994</v>
      </c>
      <c r="G44" s="7">
        <f t="shared" ca="1" si="12"/>
        <v>0.75</v>
      </c>
      <c r="H44" s="7">
        <f t="shared" ca="1" si="12"/>
        <v>273.21289540171807</v>
      </c>
      <c r="I44" s="6">
        <f>'Monthly Data (14-23) Used'!BC44</f>
        <v>765060</v>
      </c>
      <c r="J44">
        <f>'Monthly Data (14-23) Used'!CB44</f>
        <v>31</v>
      </c>
      <c r="K44">
        <f>'Monthly Data (14-23) Used'!CA44</f>
        <v>0</v>
      </c>
      <c r="M44" s="6"/>
      <c r="N44" s="6">
        <f t="shared" ca="1" si="9"/>
        <v>1282.87948076361</v>
      </c>
      <c r="O44" s="6">
        <f t="shared" ca="1" si="10"/>
        <v>90467.960865000583</v>
      </c>
      <c r="P44" s="6"/>
      <c r="Q44" s="6"/>
      <c r="R44" s="6"/>
      <c r="S44" s="6">
        <f t="shared" ca="1" si="11"/>
        <v>7503857.2129043406</v>
      </c>
    </row>
    <row r="45" spans="1:19">
      <c r="A45" s="197">
        <v>42948</v>
      </c>
      <c r="B45">
        <f t="shared" si="7"/>
        <v>8</v>
      </c>
      <c r="C45">
        <f t="shared" si="8"/>
        <v>2017</v>
      </c>
      <c r="D45" s="6">
        <f>'Monthly Data (14-23) Used'!I45</f>
        <v>7040296.372558577</v>
      </c>
      <c r="E45" s="6">
        <f>'Monthly Data (14-23) Used'!AC45</f>
        <v>6.6999999999999957</v>
      </c>
      <c r="F45" s="6">
        <f>'Monthly Data (14-23) Used'!AH45</f>
        <v>197.89999999999998</v>
      </c>
      <c r="G45" s="7">
        <f t="shared" ca="1" si="12"/>
        <v>2.7971045982819609</v>
      </c>
      <c r="H45" s="7">
        <f t="shared" ca="1" si="12"/>
        <v>245.37605861546234</v>
      </c>
      <c r="I45" s="6">
        <f>'Monthly Data (14-23) Used'!BC45</f>
        <v>765060</v>
      </c>
      <c r="J45">
        <f>'Monthly Data (14-23) Used'!CB45</f>
        <v>31</v>
      </c>
      <c r="K45">
        <f>'Monthly Data (14-23) Used'!CA45</f>
        <v>0</v>
      </c>
      <c r="M45" s="6"/>
      <c r="N45" s="6">
        <f t="shared" ca="1" si="9"/>
        <v>-6675.925901907618</v>
      </c>
      <c r="O45" s="6">
        <f t="shared" ca="1" si="10"/>
        <v>351682.55123546597</v>
      </c>
      <c r="P45" s="6"/>
      <c r="Q45" s="6"/>
      <c r="R45" s="6"/>
      <c r="S45" s="6">
        <f t="shared" ca="1" si="11"/>
        <v>7385302.9978921358</v>
      </c>
    </row>
    <row r="46" spans="1:19">
      <c r="A46" s="197">
        <v>42979</v>
      </c>
      <c r="B46">
        <f t="shared" si="7"/>
        <v>9</v>
      </c>
      <c r="C46">
        <f t="shared" si="8"/>
        <v>2017</v>
      </c>
      <c r="D46" s="6">
        <f>'Monthly Data (14-23) Used'!I46</f>
        <v>6606889.372558577</v>
      </c>
      <c r="E46" s="6">
        <f>'Monthly Data (14-23) Used'!AC46</f>
        <v>47.5</v>
      </c>
      <c r="F46" s="6">
        <f>'Monthly Data (14-23) Used'!AH46</f>
        <v>133.70000000000002</v>
      </c>
      <c r="G46" s="7">
        <f t="shared" ca="1" si="12"/>
        <v>39.200656897422931</v>
      </c>
      <c r="H46" s="7">
        <f t="shared" ca="1" si="12"/>
        <v>139.01579080343606</v>
      </c>
      <c r="I46" s="6">
        <f>'Monthly Data (14-23) Used'!BC46</f>
        <v>765060</v>
      </c>
      <c r="J46">
        <f>'Monthly Data (14-23) Used'!CB46</f>
        <v>30</v>
      </c>
      <c r="K46">
        <f>'Monthly Data (14-23) Used'!CA46</f>
        <v>0</v>
      </c>
      <c r="M46" s="6"/>
      <c r="N46" s="6">
        <f t="shared" ca="1" si="9"/>
        <v>-14196.075960150825</v>
      </c>
      <c r="O46" s="6">
        <f t="shared" ca="1" si="10"/>
        <v>39377.128727732088</v>
      </c>
      <c r="P46" s="6"/>
      <c r="Q46" s="6"/>
      <c r="R46" s="6"/>
      <c r="S46" s="6">
        <f t="shared" ca="1" si="11"/>
        <v>6632070.4253261583</v>
      </c>
    </row>
    <row r="47" spans="1:19">
      <c r="A47" s="197">
        <v>43009</v>
      </c>
      <c r="B47">
        <f t="shared" si="7"/>
        <v>10</v>
      </c>
      <c r="C47">
        <f t="shared" si="8"/>
        <v>2017</v>
      </c>
      <c r="D47" s="6">
        <f>'Monthly Data (14-23) Used'!I47</f>
        <v>6052502.372558577</v>
      </c>
      <c r="E47" s="6">
        <f>'Monthly Data (14-23) Used'!AC47</f>
        <v>151.59999999999997</v>
      </c>
      <c r="F47" s="6">
        <f>'Monthly Data (14-23) Used'!AH47</f>
        <v>55.4</v>
      </c>
      <c r="G47" s="7">
        <f t="shared" ca="1" si="12"/>
        <v>194.90420919656393</v>
      </c>
      <c r="H47" s="7">
        <f t="shared" ca="1" si="12"/>
        <v>38.166447700859024</v>
      </c>
      <c r="I47" s="6">
        <f>'Monthly Data (14-23) Used'!BC47</f>
        <v>771453</v>
      </c>
      <c r="J47">
        <f>'Monthly Data (14-23) Used'!CB47</f>
        <v>31</v>
      </c>
      <c r="K47">
        <f>'Monthly Data (14-23) Used'!CA47</f>
        <v>1</v>
      </c>
      <c r="M47" s="6"/>
      <c r="N47" s="6">
        <f t="shared" ca="1" si="9"/>
        <v>74072.108545288953</v>
      </c>
      <c r="O47" s="6">
        <f t="shared" ca="1" si="10"/>
        <v>-127658.86251218463</v>
      </c>
      <c r="P47" s="6"/>
      <c r="Q47" s="6"/>
      <c r="R47" s="6"/>
      <c r="S47" s="6">
        <f t="shared" ca="1" si="11"/>
        <v>5998915.6185916821</v>
      </c>
    </row>
    <row r="48" spans="1:19">
      <c r="A48" s="197">
        <v>43040</v>
      </c>
      <c r="B48">
        <f t="shared" si="7"/>
        <v>11</v>
      </c>
      <c r="C48">
        <f t="shared" si="8"/>
        <v>2017</v>
      </c>
      <c r="D48" s="6">
        <f>'Monthly Data (14-23) Used'!I48</f>
        <v>5976394.372558577</v>
      </c>
      <c r="E48" s="6">
        <f>'Monthly Data (14-23) Used'!AC48</f>
        <v>414.93552299140981</v>
      </c>
      <c r="F48" s="6">
        <f>'Monthly Data (14-23) Used'!AH48</f>
        <v>0</v>
      </c>
      <c r="G48" s="7">
        <f t="shared" ca="1" si="12"/>
        <v>404.02065689742301</v>
      </c>
      <c r="H48" s="7">
        <f t="shared" ca="1" si="12"/>
        <v>2.419999999999999</v>
      </c>
      <c r="I48" s="6">
        <f>'Monthly Data (14-23) Used'!BC48</f>
        <v>771453</v>
      </c>
      <c r="J48">
        <f>'Monthly Data (14-23) Used'!CB48</f>
        <v>30</v>
      </c>
      <c r="K48">
        <f>'Monthly Data (14-23) Used'!CA48</f>
        <v>1</v>
      </c>
      <c r="M48" s="6"/>
      <c r="N48" s="6">
        <f t="shared" ca="1" si="9"/>
        <v>-18669.943663010828</v>
      </c>
      <c r="O48" s="6">
        <f t="shared" ca="1" si="10"/>
        <v>17926.335900862752</v>
      </c>
      <c r="P48" s="6"/>
      <c r="Q48" s="6"/>
      <c r="R48" s="6"/>
      <c r="S48" s="6">
        <f t="shared" ca="1" si="11"/>
        <v>5975650.7647964293</v>
      </c>
    </row>
    <row r="49" spans="1:19">
      <c r="A49" s="197">
        <v>43070</v>
      </c>
      <c r="B49">
        <f t="shared" si="7"/>
        <v>12</v>
      </c>
      <c r="C49">
        <f t="shared" si="8"/>
        <v>2017</v>
      </c>
      <c r="D49" s="6">
        <f>'Monthly Data (14-23) Used'!I49</f>
        <v>6548924.372558577</v>
      </c>
      <c r="E49" s="6">
        <f>'Monthly Data (14-23) Used'!AC49</f>
        <v>672.00000000000011</v>
      </c>
      <c r="F49" s="6">
        <f>'Monthly Data (14-23) Used'!AH49</f>
        <v>0</v>
      </c>
      <c r="G49" s="7">
        <f t="shared" ca="1" si="12"/>
        <v>533.7700000000001</v>
      </c>
      <c r="H49" s="7">
        <f t="shared" ca="1" si="12"/>
        <v>0</v>
      </c>
      <c r="I49" s="6">
        <f>'Monthly Data (14-23) Used'!BC49</f>
        <v>771453</v>
      </c>
      <c r="J49">
        <f>'Monthly Data (14-23) Used'!CB49</f>
        <v>31</v>
      </c>
      <c r="K49">
        <f>'Monthly Data (14-23) Used'!CA49</f>
        <v>0</v>
      </c>
      <c r="M49" s="6"/>
      <c r="N49" s="6">
        <f t="shared" ca="1" si="9"/>
        <v>-236443.24083460512</v>
      </c>
      <c r="O49" s="6">
        <f t="shared" ca="1" si="10"/>
        <v>0</v>
      </c>
      <c r="P49" s="6"/>
      <c r="Q49" s="6"/>
      <c r="R49" s="6"/>
      <c r="S49" s="6">
        <f t="shared" ca="1" si="11"/>
        <v>6312481.131723972</v>
      </c>
    </row>
    <row r="50" spans="1:19">
      <c r="A50" s="197">
        <v>43101</v>
      </c>
      <c r="B50">
        <f t="shared" si="7"/>
        <v>1</v>
      </c>
      <c r="C50">
        <f t="shared" si="8"/>
        <v>2018</v>
      </c>
      <c r="D50" s="6">
        <f>'Monthly Data (14-23) Used'!I50</f>
        <v>6961673.0655590976</v>
      </c>
      <c r="E50" s="6">
        <f>'Monthly Data (14-23) Used'!AC50</f>
        <v>705.60000000000014</v>
      </c>
      <c r="F50" s="6">
        <f>'Monthly Data (14-23) Used'!AH50</f>
        <v>0</v>
      </c>
      <c r="G50" s="7">
        <f t="shared" ca="1" si="12"/>
        <v>671</v>
      </c>
      <c r="H50" s="7">
        <f t="shared" ca="1" si="12"/>
        <v>0</v>
      </c>
      <c r="I50" s="6">
        <f>'Monthly Data (14-23) Used'!BC50</f>
        <v>779459</v>
      </c>
      <c r="J50">
        <f>'Monthly Data (14-23) Used'!CB50</f>
        <v>31</v>
      </c>
      <c r="K50">
        <f>'Monthly Data (14-23) Used'!CA50</f>
        <v>0</v>
      </c>
      <c r="M50" s="6"/>
      <c r="N50" s="6">
        <f t="shared" ca="1" si="9"/>
        <v>-59183.506712561444</v>
      </c>
      <c r="O50" s="6">
        <f t="shared" ca="1" si="10"/>
        <v>0</v>
      </c>
      <c r="P50" s="6"/>
      <c r="Q50" s="6"/>
      <c r="R50" s="6"/>
      <c r="S50" s="6">
        <f t="shared" ca="1" si="11"/>
        <v>6902489.5588465361</v>
      </c>
    </row>
    <row r="51" spans="1:19">
      <c r="A51" s="197">
        <v>43132</v>
      </c>
      <c r="B51">
        <f t="shared" si="7"/>
        <v>2</v>
      </c>
      <c r="C51">
        <f t="shared" si="8"/>
        <v>2018</v>
      </c>
      <c r="D51" s="6">
        <f>'Monthly Data (14-23) Used'!I51</f>
        <v>6369392.0655590976</v>
      </c>
      <c r="E51" s="6">
        <f>'Monthly Data (14-23) Used'!AC51</f>
        <v>544.49999999999989</v>
      </c>
      <c r="F51" s="6">
        <f>'Monthly Data (14-23) Used'!AH51</f>
        <v>0</v>
      </c>
      <c r="G51" s="7">
        <f t="shared" ref="G51:H66" ca="1" si="13">G39</f>
        <v>595.51355229914111</v>
      </c>
      <c r="H51" s="7">
        <f t="shared" ca="1" si="13"/>
        <v>0</v>
      </c>
      <c r="I51" s="6">
        <f>'Monthly Data (14-23) Used'!BC51</f>
        <v>779459</v>
      </c>
      <c r="J51">
        <f>'Monthly Data (14-23) Used'!CB51</f>
        <v>28</v>
      </c>
      <c r="K51">
        <f>'Monthly Data (14-23) Used'!CA51</f>
        <v>0</v>
      </c>
      <c r="M51" s="6"/>
      <c r="N51" s="6">
        <f t="shared" ca="1" si="9"/>
        <v>87258.985980572746</v>
      </c>
      <c r="O51" s="6">
        <f t="shared" ca="1" si="10"/>
        <v>0</v>
      </c>
      <c r="P51" s="6"/>
      <c r="Q51" s="6"/>
      <c r="R51" s="6"/>
      <c r="S51" s="6">
        <f t="shared" ca="1" si="11"/>
        <v>6456651.0515396707</v>
      </c>
    </row>
    <row r="52" spans="1:19">
      <c r="A52" s="197">
        <v>43160</v>
      </c>
      <c r="B52">
        <f t="shared" si="7"/>
        <v>3</v>
      </c>
      <c r="C52">
        <f t="shared" si="8"/>
        <v>2018</v>
      </c>
      <c r="D52" s="6">
        <f>'Monthly Data (14-23) Used'!I52</f>
        <v>6287610.0655590976</v>
      </c>
      <c r="E52" s="6">
        <f>'Monthly Data (14-23) Used'!AC52</f>
        <v>534.40000000000009</v>
      </c>
      <c r="F52" s="6">
        <f>'Monthly Data (14-23) Used'!AH52</f>
        <v>0</v>
      </c>
      <c r="G52" s="7">
        <f t="shared" ca="1" si="13"/>
        <v>496.46355229914104</v>
      </c>
      <c r="H52" s="7">
        <f t="shared" ca="1" si="13"/>
        <v>0.16999999999999993</v>
      </c>
      <c r="I52" s="6">
        <f>'Monthly Data (14-23) Used'!BC52</f>
        <v>779459</v>
      </c>
      <c r="J52">
        <f>'Monthly Data (14-23) Used'!CB52</f>
        <v>31</v>
      </c>
      <c r="K52">
        <f>'Monthly Data (14-23) Used'!CA52</f>
        <v>1</v>
      </c>
      <c r="M52" s="6"/>
      <c r="N52" s="6">
        <f t="shared" ca="1" si="9"/>
        <v>-64890.520437991872</v>
      </c>
      <c r="O52" s="6">
        <f t="shared" ca="1" si="10"/>
        <v>1259.2880591515157</v>
      </c>
      <c r="P52" s="6"/>
      <c r="Q52" s="6"/>
      <c r="R52" s="6"/>
      <c r="S52" s="6">
        <f t="shared" ca="1" si="11"/>
        <v>6223978.8331802571</v>
      </c>
    </row>
    <row r="53" spans="1:19">
      <c r="A53" s="197">
        <v>43191</v>
      </c>
      <c r="B53">
        <f t="shared" si="7"/>
        <v>4</v>
      </c>
      <c r="C53">
        <f t="shared" si="8"/>
        <v>2018</v>
      </c>
      <c r="D53" s="6">
        <f>'Monthly Data (14-23) Used'!I53</f>
        <v>5925059.0655590976</v>
      </c>
      <c r="E53" s="6">
        <f>'Monthly Data (14-23) Used'!AC53</f>
        <v>395.6</v>
      </c>
      <c r="F53" s="6">
        <f>'Monthly Data (14-23) Used'!AH53</f>
        <v>9.9999999999999645E-2</v>
      </c>
      <c r="G53" s="7">
        <f t="shared" ca="1" si="13"/>
        <v>296.23000000000008</v>
      </c>
      <c r="H53" s="7">
        <f t="shared" ca="1" si="13"/>
        <v>8.7799999999999994</v>
      </c>
      <c r="I53" s="6">
        <f>'Monthly Data (14-23) Used'!BC53</f>
        <v>784896</v>
      </c>
      <c r="J53">
        <f>'Monthly Data (14-23) Used'!CB53</f>
        <v>30</v>
      </c>
      <c r="K53">
        <f>'Monthly Data (14-23) Used'!CA53</f>
        <v>1</v>
      </c>
      <c r="M53" s="6"/>
      <c r="N53" s="6">
        <f t="shared" ca="1" si="9"/>
        <v>-169972.97867130648</v>
      </c>
      <c r="O53" s="6">
        <f t="shared" ca="1" si="10"/>
        <v>64297.766784912703</v>
      </c>
      <c r="P53" s="6"/>
      <c r="Q53" s="6"/>
      <c r="R53" s="6"/>
      <c r="S53" s="6">
        <f t="shared" ca="1" si="11"/>
        <v>5819383.8536727037</v>
      </c>
    </row>
    <row r="54" spans="1:19">
      <c r="A54" s="197">
        <v>43221</v>
      </c>
      <c r="B54">
        <f t="shared" ref="B54:B114" si="14">MONTH(A54)</f>
        <v>5</v>
      </c>
      <c r="C54">
        <f t="shared" ref="C54:C114" si="15">YEAR(A54)</f>
        <v>2018</v>
      </c>
      <c r="D54" s="6">
        <f>'Monthly Data (14-23) Used'!I54</f>
        <v>6527889.0655590976</v>
      </c>
      <c r="E54" s="6">
        <f>'Monthly Data (14-23) Used'!AC54</f>
        <v>62.900000000000006</v>
      </c>
      <c r="F54" s="6">
        <f>'Monthly Data (14-23) Used'!AH54</f>
        <v>127.69999999999999</v>
      </c>
      <c r="G54" s="7">
        <f t="shared" ca="1" si="13"/>
        <v>116.90355229914098</v>
      </c>
      <c r="H54" s="7">
        <f t="shared" ca="1" si="13"/>
        <v>84.676447700859015</v>
      </c>
      <c r="I54" s="6">
        <f>'Monthly Data (14-23) Used'!BC54</f>
        <v>784896</v>
      </c>
      <c r="J54">
        <f>'Monthly Data (14-23) Used'!CB54</f>
        <v>31</v>
      </c>
      <c r="K54">
        <f>'Monthly Data (14-23) Used'!CA54</f>
        <v>1</v>
      </c>
      <c r="M54" s="6"/>
      <c r="N54" s="6">
        <f t="shared" ca="1" si="9"/>
        <v>92373.398843883246</v>
      </c>
      <c r="O54" s="6">
        <f t="shared" ca="1" si="10"/>
        <v>-318700.26866228814</v>
      </c>
      <c r="P54" s="6"/>
      <c r="Q54" s="6"/>
      <c r="R54" s="6"/>
      <c r="S54" s="6">
        <f t="shared" ca="1" si="11"/>
        <v>6301562.1957406932</v>
      </c>
    </row>
    <row r="55" spans="1:19">
      <c r="A55" s="197">
        <v>43252</v>
      </c>
      <c r="B55">
        <f t="shared" si="14"/>
        <v>6</v>
      </c>
      <c r="C55">
        <f t="shared" si="15"/>
        <v>2018</v>
      </c>
      <c r="D55" s="6">
        <f>'Monthly Data (14-23) Used'!I55</f>
        <v>6961182.0655590976</v>
      </c>
      <c r="E55" s="6">
        <f>'Monthly Data (14-23) Used'!AC55</f>
        <v>7.6000000000000014</v>
      </c>
      <c r="F55" s="6">
        <f>'Monthly Data (14-23) Used'!AH55</f>
        <v>206.29999999999998</v>
      </c>
      <c r="G55" s="7">
        <f t="shared" ca="1" si="13"/>
        <v>11.023552299140979</v>
      </c>
      <c r="H55" s="7">
        <f t="shared" ca="1" si="13"/>
        <v>202.63644770085901</v>
      </c>
      <c r="I55" s="6">
        <f>'Monthly Data (14-23) Used'!BC55</f>
        <v>784896</v>
      </c>
      <c r="J55">
        <f>'Monthly Data (14-23) Used'!CB55</f>
        <v>30</v>
      </c>
      <c r="K55">
        <f>'Monthly Data (14-23) Used'!CA55</f>
        <v>0</v>
      </c>
      <c r="M55" s="6"/>
      <c r="N55" s="6">
        <f t="shared" ref="N55:N105" ca="1" si="16">(G55-E55)*$V$10</f>
        <v>5856.0066611853881</v>
      </c>
      <c r="O55" s="6">
        <f t="shared" ref="O55:O105" ca="1" si="17">(H55-F55)*$V$11</f>
        <v>-27138.045084619484</v>
      </c>
      <c r="P55" s="6"/>
      <c r="Q55" s="6"/>
      <c r="R55" s="6"/>
      <c r="S55" s="6">
        <f t="shared" ref="S55:S114" ca="1" si="18">SUM(D55,M55:R55)</f>
        <v>6939900.0271356627</v>
      </c>
    </row>
    <row r="56" spans="1:19">
      <c r="A56" s="197">
        <v>43282</v>
      </c>
      <c r="B56">
        <f t="shared" si="14"/>
        <v>7</v>
      </c>
      <c r="C56">
        <f t="shared" si="15"/>
        <v>2018</v>
      </c>
      <c r="D56" s="6">
        <f>'Monthly Data (14-23) Used'!I56</f>
        <v>7850728.0655590976</v>
      </c>
      <c r="E56" s="6">
        <f>'Monthly Data (14-23) Used'!AC56</f>
        <v>0.19999999999999929</v>
      </c>
      <c r="F56" s="6">
        <f>'Monthly Data (14-23) Used'!AH56</f>
        <v>287.10000000000008</v>
      </c>
      <c r="G56" s="7">
        <f t="shared" ca="1" si="13"/>
        <v>0.75</v>
      </c>
      <c r="H56" s="7">
        <f t="shared" ca="1" si="13"/>
        <v>273.21289540171807</v>
      </c>
      <c r="I56" s="6">
        <f>'Monthly Data (14-23) Used'!BC56</f>
        <v>794140</v>
      </c>
      <c r="J56">
        <f>'Monthly Data (14-23) Used'!CB56</f>
        <v>31</v>
      </c>
      <c r="K56">
        <f>'Monthly Data (14-23) Used'!CA56</f>
        <v>0</v>
      </c>
      <c r="M56" s="6"/>
      <c r="N56" s="6">
        <f t="shared" ca="1" si="16"/>
        <v>940.77828589331523</v>
      </c>
      <c r="O56" s="6">
        <f t="shared" ca="1" si="17"/>
        <v>-102869.79409885085</v>
      </c>
      <c r="P56" s="6"/>
      <c r="Q56" s="6"/>
      <c r="R56" s="6"/>
      <c r="S56" s="6">
        <f t="shared" ca="1" si="18"/>
        <v>7748799.0497461399</v>
      </c>
    </row>
    <row r="57" spans="1:19">
      <c r="A57" s="197">
        <v>43313</v>
      </c>
      <c r="B57">
        <f t="shared" si="14"/>
        <v>8</v>
      </c>
      <c r="C57">
        <f t="shared" si="15"/>
        <v>2018</v>
      </c>
      <c r="D57" s="6">
        <f>'Monthly Data (14-23) Used'!I57</f>
        <v>7800585.0655590976</v>
      </c>
      <c r="E57" s="6">
        <f>'Monthly Data (14-23) Used'!AC57</f>
        <v>0</v>
      </c>
      <c r="F57" s="6">
        <f>'Monthly Data (14-23) Used'!AH57</f>
        <v>283.79999999999995</v>
      </c>
      <c r="G57" s="7">
        <f t="shared" ca="1" si="13"/>
        <v>2.7971045982819609</v>
      </c>
      <c r="H57" s="7">
        <f t="shared" ca="1" si="13"/>
        <v>245.37605861546234</v>
      </c>
      <c r="I57" s="6">
        <f>'Monthly Data (14-23) Used'!BC57</f>
        <v>794140</v>
      </c>
      <c r="J57">
        <f>'Monthly Data (14-23) Used'!CB57</f>
        <v>31</v>
      </c>
      <c r="K57">
        <f>'Monthly Data (14-23) Used'!CA57</f>
        <v>0</v>
      </c>
      <c r="M57" s="6"/>
      <c r="N57" s="6">
        <f t="shared" ca="1" si="16"/>
        <v>4784.4641262472906</v>
      </c>
      <c r="O57" s="6">
        <f t="shared" ca="1" si="17"/>
        <v>-284628.29747697641</v>
      </c>
      <c r="P57" s="6"/>
      <c r="Q57" s="6"/>
      <c r="R57" s="6"/>
      <c r="S57" s="6">
        <f t="shared" ca="1" si="18"/>
        <v>7520741.2322083684</v>
      </c>
    </row>
    <row r="58" spans="1:19">
      <c r="A58" s="197">
        <v>43344</v>
      </c>
      <c r="B58">
        <f t="shared" si="14"/>
        <v>9</v>
      </c>
      <c r="C58">
        <f t="shared" si="15"/>
        <v>2018</v>
      </c>
      <c r="D58" s="6">
        <f>'Monthly Data (14-23) Used'!I58</f>
        <v>6842448.0655590976</v>
      </c>
      <c r="E58" s="6">
        <f>'Monthly Data (14-23) Used'!AC58</f>
        <v>41.400000000000006</v>
      </c>
      <c r="F58" s="6">
        <f>'Monthly Data (14-23) Used'!AH58</f>
        <v>171.29999999999995</v>
      </c>
      <c r="G58" s="7">
        <f t="shared" ca="1" si="13"/>
        <v>39.200656897422931</v>
      </c>
      <c r="H58" s="7">
        <f t="shared" ca="1" si="13"/>
        <v>139.01579080343606</v>
      </c>
      <c r="I58" s="6">
        <f>'Monthly Data (14-23) Used'!BC58</f>
        <v>794140</v>
      </c>
      <c r="J58">
        <f>'Monthly Data (14-23) Used'!CB58</f>
        <v>30</v>
      </c>
      <c r="K58">
        <f>'Monthly Data (14-23) Used'!CA58</f>
        <v>0</v>
      </c>
      <c r="M58" s="6"/>
      <c r="N58" s="6">
        <f t="shared" ca="1" si="16"/>
        <v>-3761.9895166068063</v>
      </c>
      <c r="O58" s="6">
        <f t="shared" ca="1" si="17"/>
        <v>-239147.75964930866</v>
      </c>
      <c r="P58" s="6"/>
      <c r="Q58" s="6"/>
      <c r="R58" s="6"/>
      <c r="S58" s="6">
        <f t="shared" ca="1" si="18"/>
        <v>6599538.3163931826</v>
      </c>
    </row>
    <row r="59" spans="1:19">
      <c r="A59" s="197">
        <v>43374</v>
      </c>
      <c r="B59">
        <f t="shared" si="14"/>
        <v>10</v>
      </c>
      <c r="C59">
        <f t="shared" si="15"/>
        <v>2018</v>
      </c>
      <c r="D59" s="6">
        <f>'Monthly Data (14-23) Used'!I59</f>
        <v>5904622.0655590976</v>
      </c>
      <c r="E59" s="6">
        <f>'Monthly Data (14-23) Used'!AC59</f>
        <v>242.29999999999998</v>
      </c>
      <c r="F59" s="6">
        <f>'Monthly Data (14-23) Used'!AH59</f>
        <v>47.3</v>
      </c>
      <c r="G59" s="7">
        <f t="shared" ca="1" si="13"/>
        <v>194.90420919656393</v>
      </c>
      <c r="H59" s="7">
        <f t="shared" ca="1" si="13"/>
        <v>38.166447700859024</v>
      </c>
      <c r="I59" s="6">
        <f>'Monthly Data (14-23) Used'!BC59</f>
        <v>799632</v>
      </c>
      <c r="J59">
        <f>'Monthly Data (14-23) Used'!CB59</f>
        <v>31</v>
      </c>
      <c r="K59">
        <f>'Monthly Data (14-23) Used'!CA59</f>
        <v>1</v>
      </c>
      <c r="M59" s="6"/>
      <c r="N59" s="6">
        <f t="shared" ca="1" si="16"/>
        <v>-81070.783328390316</v>
      </c>
      <c r="O59" s="6">
        <f t="shared" ca="1" si="17"/>
        <v>-67657.49028202414</v>
      </c>
      <c r="P59" s="6"/>
      <c r="Q59" s="6"/>
      <c r="R59" s="6"/>
      <c r="S59" s="6">
        <f t="shared" ca="1" si="18"/>
        <v>5755893.7919486826</v>
      </c>
    </row>
    <row r="60" spans="1:19">
      <c r="A60" s="197">
        <v>43405</v>
      </c>
      <c r="B60">
        <f t="shared" si="14"/>
        <v>11</v>
      </c>
      <c r="C60">
        <f t="shared" si="15"/>
        <v>2018</v>
      </c>
      <c r="D60" s="6">
        <f>'Monthly Data (14-23) Used'!I60</f>
        <v>6010558.0655590976</v>
      </c>
      <c r="E60" s="6">
        <f>'Monthly Data (14-23) Used'!AC60</f>
        <v>485.73552299140988</v>
      </c>
      <c r="F60" s="6">
        <f>'Monthly Data (14-23) Used'!AH60</f>
        <v>0</v>
      </c>
      <c r="G60" s="7">
        <f t="shared" ca="1" si="13"/>
        <v>404.02065689742301</v>
      </c>
      <c r="H60" s="7">
        <f t="shared" ca="1" si="13"/>
        <v>2.419999999999999</v>
      </c>
      <c r="I60" s="6">
        <f>'Monthly Data (14-23) Used'!BC60</f>
        <v>799632</v>
      </c>
      <c r="J60">
        <f>'Monthly Data (14-23) Used'!CB60</f>
        <v>30</v>
      </c>
      <c r="K60">
        <f>'Monthly Data (14-23) Used'!CA60</f>
        <v>1</v>
      </c>
      <c r="M60" s="6"/>
      <c r="N60" s="6">
        <f t="shared" ca="1" si="16"/>
        <v>-139773.76664709573</v>
      </c>
      <c r="O60" s="6">
        <f t="shared" ca="1" si="17"/>
        <v>17926.335900862752</v>
      </c>
      <c r="P60" s="6"/>
      <c r="Q60" s="6"/>
      <c r="R60" s="6"/>
      <c r="S60" s="6">
        <f t="shared" ca="1" si="18"/>
        <v>5888710.6348128645</v>
      </c>
    </row>
    <row r="61" spans="1:19">
      <c r="A61" s="197">
        <v>43435</v>
      </c>
      <c r="B61">
        <f t="shared" si="14"/>
        <v>12</v>
      </c>
      <c r="C61">
        <f t="shared" si="15"/>
        <v>2018</v>
      </c>
      <c r="D61" s="6">
        <f>'Monthly Data (14-23) Used'!I61</f>
        <v>6187164.0655590976</v>
      </c>
      <c r="E61" s="6">
        <f>'Monthly Data (14-23) Used'!AC61</f>
        <v>533.80000000000007</v>
      </c>
      <c r="F61" s="6">
        <f>'Monthly Data (14-23) Used'!AH61</f>
        <v>0</v>
      </c>
      <c r="G61" s="7">
        <f t="shared" ca="1" si="13"/>
        <v>533.7700000000001</v>
      </c>
      <c r="H61" s="7">
        <f t="shared" ca="1" si="13"/>
        <v>0</v>
      </c>
      <c r="I61" s="6">
        <f>'Monthly Data (14-23) Used'!BC61</f>
        <v>799632</v>
      </c>
      <c r="J61">
        <f>'Monthly Data (14-23) Used'!CB61</f>
        <v>31</v>
      </c>
      <c r="K61">
        <f>'Monthly Data (14-23) Used'!CA61</f>
        <v>0</v>
      </c>
      <c r="M61" s="6"/>
      <c r="N61" s="6">
        <f t="shared" ca="1" si="16"/>
        <v>-51.315179230497733</v>
      </c>
      <c r="O61" s="6">
        <f t="shared" ca="1" si="17"/>
        <v>0</v>
      </c>
      <c r="P61" s="6"/>
      <c r="Q61" s="6"/>
      <c r="R61" s="6"/>
      <c r="S61" s="6">
        <f t="shared" ca="1" si="18"/>
        <v>6187112.7503798669</v>
      </c>
    </row>
    <row r="62" spans="1:19">
      <c r="A62" s="197">
        <v>43466</v>
      </c>
      <c r="B62">
        <f t="shared" si="14"/>
        <v>1</v>
      </c>
      <c r="C62">
        <f t="shared" si="15"/>
        <v>2019</v>
      </c>
      <c r="D62" s="6">
        <f>'Monthly Data (14-23) Used'!I62</f>
        <v>6704950.0149666099</v>
      </c>
      <c r="E62" s="6">
        <f>'Monthly Data (14-23) Used'!AC62</f>
        <v>711.8</v>
      </c>
      <c r="F62" s="6">
        <f>'Monthly Data (14-23) Used'!AH62</f>
        <v>0</v>
      </c>
      <c r="G62" s="7">
        <f t="shared" ca="1" si="13"/>
        <v>671</v>
      </c>
      <c r="H62" s="7">
        <f t="shared" ca="1" si="13"/>
        <v>0</v>
      </c>
      <c r="I62" s="6">
        <f>'Monthly Data (14-23) Used'!BC62</f>
        <v>800724</v>
      </c>
      <c r="J62">
        <f>'Monthly Data (14-23) Used'!CB62</f>
        <v>31</v>
      </c>
      <c r="K62">
        <f>'Monthly Data (14-23) Used'!CA62</f>
        <v>0</v>
      </c>
      <c r="M62" s="6"/>
      <c r="N62" s="6">
        <f t="shared" ca="1" si="16"/>
        <v>-69788.643753540309</v>
      </c>
      <c r="O62" s="6">
        <f t="shared" ca="1" si="17"/>
        <v>0</v>
      </c>
      <c r="P62" s="6"/>
      <c r="Q62" s="6"/>
      <c r="R62" s="6"/>
      <c r="S62" s="6">
        <f t="shared" ca="1" si="18"/>
        <v>6635161.3712130692</v>
      </c>
    </row>
    <row r="63" spans="1:19">
      <c r="A63" s="197">
        <v>43497</v>
      </c>
      <c r="B63">
        <f t="shared" si="14"/>
        <v>2</v>
      </c>
      <c r="C63">
        <f t="shared" si="15"/>
        <v>2019</v>
      </c>
      <c r="D63" s="6">
        <f>'Monthly Data (14-23) Used'!I63</f>
        <v>6155541.0149666099</v>
      </c>
      <c r="E63" s="6">
        <f>'Monthly Data (14-23) Used'!AC63</f>
        <v>580.90000000000009</v>
      </c>
      <c r="F63" s="6">
        <f>'Monthly Data (14-23) Used'!AH63</f>
        <v>0</v>
      </c>
      <c r="G63" s="7">
        <f t="shared" ca="1" si="13"/>
        <v>595.51355229914111</v>
      </c>
      <c r="H63" s="7">
        <f t="shared" ca="1" si="13"/>
        <v>0</v>
      </c>
      <c r="I63" s="6">
        <f>'Monthly Data (14-23) Used'!BC63</f>
        <v>800724</v>
      </c>
      <c r="J63">
        <f>'Monthly Data (14-23) Used'!CB63</f>
        <v>28</v>
      </c>
      <c r="K63">
        <f>'Monthly Data (14-23) Used'!CA63</f>
        <v>0</v>
      </c>
      <c r="M63" s="6"/>
      <c r="N63" s="6">
        <f t="shared" ca="1" si="16"/>
        <v>24996.568514178522</v>
      </c>
      <c r="O63" s="6">
        <f t="shared" ca="1" si="17"/>
        <v>0</v>
      </c>
      <c r="P63" s="6"/>
      <c r="Q63" s="6"/>
      <c r="R63" s="6"/>
      <c r="S63" s="6">
        <f t="shared" ca="1" si="18"/>
        <v>6180537.5834807884</v>
      </c>
    </row>
    <row r="64" spans="1:19">
      <c r="A64" s="197">
        <v>43525</v>
      </c>
      <c r="B64">
        <f t="shared" si="14"/>
        <v>3</v>
      </c>
      <c r="C64">
        <f t="shared" si="15"/>
        <v>2019</v>
      </c>
      <c r="D64" s="6">
        <f>'Monthly Data (14-23) Used'!I64</f>
        <v>6397986.0149666099</v>
      </c>
      <c r="E64" s="6">
        <f>'Monthly Data (14-23) Used'!AC64</f>
        <v>549.4</v>
      </c>
      <c r="F64" s="6">
        <f>'Monthly Data (14-23) Used'!AH64</f>
        <v>0</v>
      </c>
      <c r="G64" s="7">
        <f t="shared" ca="1" si="13"/>
        <v>496.46355229914104</v>
      </c>
      <c r="H64" s="7">
        <f t="shared" ca="1" si="13"/>
        <v>0.16999999999999993</v>
      </c>
      <c r="I64" s="6">
        <f>'Monthly Data (14-23) Used'!BC64</f>
        <v>800724</v>
      </c>
      <c r="J64">
        <f>'Monthly Data (14-23) Used'!CB64</f>
        <v>31</v>
      </c>
      <c r="K64">
        <f>'Monthly Data (14-23) Used'!CA64</f>
        <v>1</v>
      </c>
      <c r="M64" s="6"/>
      <c r="N64" s="6">
        <f t="shared" ca="1" si="16"/>
        <v>-90548.110053263881</v>
      </c>
      <c r="O64" s="6">
        <f t="shared" ca="1" si="17"/>
        <v>1259.2880591515157</v>
      </c>
      <c r="P64" s="6"/>
      <c r="Q64" s="6"/>
      <c r="R64" s="6"/>
      <c r="S64" s="6">
        <f t="shared" ca="1" si="18"/>
        <v>6308697.192972498</v>
      </c>
    </row>
    <row r="65" spans="1:19">
      <c r="A65" s="197">
        <v>43556</v>
      </c>
      <c r="B65">
        <f t="shared" si="14"/>
        <v>4</v>
      </c>
      <c r="C65">
        <f t="shared" si="15"/>
        <v>2019</v>
      </c>
      <c r="D65" s="6">
        <f>'Monthly Data (14-23) Used'!I65</f>
        <v>5860082.0149666099</v>
      </c>
      <c r="E65" s="6">
        <f>'Monthly Data (14-23) Used'!AC65</f>
        <v>278.40000000000003</v>
      </c>
      <c r="F65" s="6">
        <f>'Monthly Data (14-23) Used'!AH65</f>
        <v>3.8999999999999986</v>
      </c>
      <c r="G65" s="7">
        <f t="shared" ca="1" si="13"/>
        <v>296.23000000000008</v>
      </c>
      <c r="H65" s="7">
        <f t="shared" ca="1" si="13"/>
        <v>8.7799999999999994</v>
      </c>
      <c r="I65" s="6">
        <f>'Monthly Data (14-23) Used'!BC65</f>
        <v>806630</v>
      </c>
      <c r="J65">
        <f>'Monthly Data (14-23) Used'!CB65</f>
        <v>30</v>
      </c>
      <c r="K65">
        <f>'Monthly Data (14-23) Used'!CA65</f>
        <v>1</v>
      </c>
      <c r="M65" s="6"/>
      <c r="N65" s="6">
        <f t="shared" ca="1" si="16"/>
        <v>30498.321522686958</v>
      </c>
      <c r="O65" s="6">
        <f t="shared" ca="1" si="17"/>
        <v>36148.974874467058</v>
      </c>
      <c r="P65" s="6"/>
      <c r="Q65" s="6"/>
      <c r="R65" s="6"/>
      <c r="S65" s="6">
        <f t="shared" ca="1" si="18"/>
        <v>5926729.3113637632</v>
      </c>
    </row>
    <row r="66" spans="1:19">
      <c r="A66" s="197">
        <v>43586</v>
      </c>
      <c r="B66">
        <f t="shared" si="14"/>
        <v>5</v>
      </c>
      <c r="C66">
        <f t="shared" si="15"/>
        <v>2019</v>
      </c>
      <c r="D66" s="6">
        <f>'Monthly Data (14-23) Used'!I66</f>
        <v>6045338.0149666099</v>
      </c>
      <c r="E66" s="6">
        <f>'Monthly Data (14-23) Used'!AC66</f>
        <v>139.50000000000006</v>
      </c>
      <c r="F66" s="6">
        <f>'Monthly Data (14-23) Used'!AH66</f>
        <v>47.5</v>
      </c>
      <c r="G66" s="7">
        <f t="shared" ca="1" si="13"/>
        <v>116.90355229914098</v>
      </c>
      <c r="H66" s="7">
        <f t="shared" ca="1" si="13"/>
        <v>84.676447700859015</v>
      </c>
      <c r="I66" s="6">
        <f>'Monthly Data (14-23) Used'!BC66</f>
        <v>806630</v>
      </c>
      <c r="J66">
        <f>'Monthly Data (14-23) Used'!CB66</f>
        <v>31</v>
      </c>
      <c r="K66">
        <f>'Monthly Data (14-23) Used'!CA66</f>
        <v>1</v>
      </c>
      <c r="M66" s="6"/>
      <c r="N66" s="6">
        <f t="shared" ca="1" si="16"/>
        <v>-38651.358791440209</v>
      </c>
      <c r="O66" s="6">
        <f t="shared" ca="1" si="17"/>
        <v>275387.39218448586</v>
      </c>
      <c r="P66" s="6"/>
      <c r="Q66" s="6"/>
      <c r="R66" s="6"/>
      <c r="S66" s="6">
        <f t="shared" ca="1" si="18"/>
        <v>6282074.0483596558</v>
      </c>
    </row>
    <row r="67" spans="1:19">
      <c r="A67" s="197">
        <v>43617</v>
      </c>
      <c r="B67">
        <f t="shared" si="14"/>
        <v>6</v>
      </c>
      <c r="C67">
        <f t="shared" si="15"/>
        <v>2019</v>
      </c>
      <c r="D67" s="6">
        <f>'Monthly Data (14-23) Used'!I67</f>
        <v>6608458.0149666099</v>
      </c>
      <c r="E67" s="6">
        <f>'Monthly Data (14-23) Used'!AC67</f>
        <v>23.9</v>
      </c>
      <c r="F67" s="6">
        <f>'Monthly Data (14-23) Used'!AH67</f>
        <v>157.4</v>
      </c>
      <c r="G67" s="7">
        <f t="shared" ref="G67:H82" ca="1" si="19">G55</f>
        <v>11.023552299140979</v>
      </c>
      <c r="H67" s="7">
        <f t="shared" ca="1" si="19"/>
        <v>202.63644770085901</v>
      </c>
      <c r="I67" s="6">
        <f>'Monthly Data (14-23) Used'!BC67</f>
        <v>806630</v>
      </c>
      <c r="J67">
        <f>'Monthly Data (14-23) Used'!CB67</f>
        <v>30</v>
      </c>
      <c r="K67">
        <f>'Monthly Data (14-23) Used'!CA67</f>
        <v>0</v>
      </c>
      <c r="M67" s="6"/>
      <c r="N67" s="6">
        <f t="shared" ca="1" si="16"/>
        <v>-22025.240720743732</v>
      </c>
      <c r="O67" s="6">
        <f t="shared" ca="1" si="17"/>
        <v>335092.46134190471</v>
      </c>
      <c r="P67" s="6"/>
      <c r="Q67" s="6"/>
      <c r="R67" s="6"/>
      <c r="S67" s="6">
        <f t="shared" ca="1" si="18"/>
        <v>6921525.2355877711</v>
      </c>
    </row>
    <row r="68" spans="1:19">
      <c r="A68" s="197">
        <v>43647</v>
      </c>
      <c r="B68">
        <f t="shared" si="14"/>
        <v>7</v>
      </c>
      <c r="C68">
        <f t="shared" si="15"/>
        <v>2019</v>
      </c>
      <c r="D68" s="6">
        <f>'Monthly Data (14-23) Used'!I68</f>
        <v>7890313.0149666099</v>
      </c>
      <c r="E68" s="6">
        <f>'Monthly Data (14-23) Used'!AC68</f>
        <v>0</v>
      </c>
      <c r="F68" s="6">
        <f>'Monthly Data (14-23) Used'!AH68</f>
        <v>314.46447700859017</v>
      </c>
      <c r="G68" s="7">
        <f t="shared" ca="1" si="19"/>
        <v>0.75</v>
      </c>
      <c r="H68" s="7">
        <f t="shared" ca="1" si="19"/>
        <v>273.21289540171807</v>
      </c>
      <c r="I68" s="6">
        <f>'Monthly Data (14-23) Used'!BC68</f>
        <v>810347</v>
      </c>
      <c r="J68">
        <f>'Monthly Data (14-23) Used'!CB68</f>
        <v>31</v>
      </c>
      <c r="K68">
        <f>'Monthly Data (14-23) Used'!CA68</f>
        <v>0</v>
      </c>
      <c r="M68" s="6"/>
      <c r="N68" s="6">
        <f t="shared" ca="1" si="16"/>
        <v>1282.87948076361</v>
      </c>
      <c r="O68" s="6">
        <f t="shared" ca="1" si="17"/>
        <v>-305574.25963910791</v>
      </c>
      <c r="P68" s="6"/>
      <c r="Q68" s="6"/>
      <c r="R68" s="6"/>
      <c r="S68" s="6">
        <f t="shared" ca="1" si="18"/>
        <v>7586021.6348082656</v>
      </c>
    </row>
    <row r="69" spans="1:19">
      <c r="A69" s="197">
        <v>43678</v>
      </c>
      <c r="B69">
        <f t="shared" si="14"/>
        <v>8</v>
      </c>
      <c r="C69">
        <f t="shared" si="15"/>
        <v>2019</v>
      </c>
      <c r="D69" s="6">
        <f>'Monthly Data (14-23) Used'!I69</f>
        <v>7517234.0149666099</v>
      </c>
      <c r="E69" s="6">
        <f>'Monthly Data (14-23) Used'!AC69</f>
        <v>0.39999999999999858</v>
      </c>
      <c r="F69" s="6">
        <f>'Monthly Data (14-23) Used'!AH69</f>
        <v>247.96447700859014</v>
      </c>
      <c r="G69" s="7">
        <f t="shared" ca="1" si="19"/>
        <v>2.7971045982819609</v>
      </c>
      <c r="H69" s="7">
        <f t="shared" ca="1" si="19"/>
        <v>245.37605861546234</v>
      </c>
      <c r="I69" s="6">
        <f>'Monthly Data (14-23) Used'!BC69</f>
        <v>810347</v>
      </c>
      <c r="J69">
        <f>'Monthly Data (14-23) Used'!CB69</f>
        <v>31</v>
      </c>
      <c r="K69">
        <f>'Monthly Data (14-23) Used'!CA69</f>
        <v>0</v>
      </c>
      <c r="M69" s="6"/>
      <c r="N69" s="6">
        <f t="shared" ca="1" si="16"/>
        <v>4100.2617365067008</v>
      </c>
      <c r="O69" s="6">
        <f t="shared" ca="1" si="17"/>
        <v>-19173.908085611696</v>
      </c>
      <c r="P69" s="6"/>
      <c r="Q69" s="6"/>
      <c r="R69" s="6"/>
      <c r="S69" s="6">
        <f t="shared" ca="1" si="18"/>
        <v>7502160.3686175048</v>
      </c>
    </row>
    <row r="70" spans="1:19">
      <c r="A70" s="197">
        <v>43709</v>
      </c>
      <c r="B70">
        <f t="shared" si="14"/>
        <v>9</v>
      </c>
      <c r="C70">
        <f t="shared" si="15"/>
        <v>2019</v>
      </c>
      <c r="D70" s="6">
        <f>'Monthly Data (14-23) Used'!I70</f>
        <v>6658916.0149666099</v>
      </c>
      <c r="E70" s="6">
        <f>'Monthly Data (14-23) Used'!AC70</f>
        <v>14.699999999999998</v>
      </c>
      <c r="F70" s="6">
        <f>'Monthly Data (14-23) Used'!AH70</f>
        <v>156.19999999999999</v>
      </c>
      <c r="G70" s="7">
        <f t="shared" ca="1" si="19"/>
        <v>39.200656897422931</v>
      </c>
      <c r="H70" s="7">
        <f t="shared" ca="1" si="19"/>
        <v>139.01579080343606</v>
      </c>
      <c r="I70" s="6">
        <f>'Monthly Data (14-23) Used'!BC70</f>
        <v>810347</v>
      </c>
      <c r="J70">
        <f>'Monthly Data (14-23) Used'!CB70</f>
        <v>30</v>
      </c>
      <c r="K70">
        <f>'Monthly Data (14-23) Used'!CA70</f>
        <v>0</v>
      </c>
      <c r="M70" s="6"/>
      <c r="N70" s="6">
        <f t="shared" ca="1" si="16"/>
        <v>41908.519998577729</v>
      </c>
      <c r="O70" s="6">
        <f t="shared" ca="1" si="17"/>
        <v>-127293.34968938013</v>
      </c>
      <c r="P70" s="6"/>
      <c r="Q70" s="6"/>
      <c r="R70" s="6"/>
      <c r="S70" s="6">
        <f t="shared" ca="1" si="18"/>
        <v>6573531.185275807</v>
      </c>
    </row>
    <row r="71" spans="1:19">
      <c r="A71" s="197">
        <v>43739</v>
      </c>
      <c r="B71">
        <f t="shared" si="14"/>
        <v>10</v>
      </c>
      <c r="C71">
        <f t="shared" si="15"/>
        <v>2019</v>
      </c>
      <c r="D71" s="6">
        <f>'Monthly Data (14-23) Used'!I71</f>
        <v>6052514.0149666099</v>
      </c>
      <c r="E71" s="6">
        <f>'Monthly Data (14-23) Used'!AC71</f>
        <v>204.10000000000002</v>
      </c>
      <c r="F71" s="6">
        <f>'Monthly Data (14-23) Used'!AH71</f>
        <v>23.799999999999997</v>
      </c>
      <c r="G71" s="7">
        <f t="shared" ca="1" si="19"/>
        <v>194.90420919656393</v>
      </c>
      <c r="H71" s="7">
        <f t="shared" ca="1" si="19"/>
        <v>38.166447700859024</v>
      </c>
      <c r="I71" s="6">
        <f>'Monthly Data (14-23) Used'!BC71</f>
        <v>811397</v>
      </c>
      <c r="J71">
        <f>'Monthly Data (14-23) Used'!CB71</f>
        <v>31</v>
      </c>
      <c r="K71">
        <f>'Monthly Data (14-23) Used'!CA71</f>
        <v>1</v>
      </c>
      <c r="M71" s="6"/>
      <c r="N71" s="6">
        <f t="shared" ca="1" si="16"/>
        <v>-15729.45510816384</v>
      </c>
      <c r="O71" s="6">
        <f t="shared" ca="1" si="17"/>
        <v>106420.56495362661</v>
      </c>
      <c r="P71" s="6"/>
      <c r="Q71" s="6"/>
      <c r="R71" s="6"/>
      <c r="S71" s="6">
        <f t="shared" ca="1" si="18"/>
        <v>6143205.1248120731</v>
      </c>
    </row>
    <row r="72" spans="1:19">
      <c r="A72" s="197">
        <v>43770</v>
      </c>
      <c r="B72">
        <f t="shared" si="14"/>
        <v>11</v>
      </c>
      <c r="C72">
        <f t="shared" si="15"/>
        <v>2019</v>
      </c>
      <c r="D72" s="6">
        <f>'Monthly Data (14-23) Used'!I72</f>
        <v>6307866.0149666099</v>
      </c>
      <c r="E72" s="6">
        <f>'Monthly Data (14-23) Used'!AC72</f>
        <v>495.19999999999993</v>
      </c>
      <c r="F72" s="6">
        <f>'Monthly Data (14-23) Used'!AH72</f>
        <v>0</v>
      </c>
      <c r="G72" s="7">
        <f t="shared" ca="1" si="19"/>
        <v>404.02065689742301</v>
      </c>
      <c r="H72" s="7">
        <f t="shared" ca="1" si="19"/>
        <v>2.419999999999999</v>
      </c>
      <c r="I72" s="6">
        <f>'Monthly Data (14-23) Used'!BC72</f>
        <v>811397</v>
      </c>
      <c r="J72">
        <f>'Monthly Data (14-23) Used'!CB72</f>
        <v>30</v>
      </c>
      <c r="K72">
        <f>'Monthly Data (14-23) Used'!CA72</f>
        <v>1</v>
      </c>
      <c r="M72" s="6"/>
      <c r="N72" s="6">
        <f t="shared" ca="1" si="16"/>
        <v>-155962.81111440124</v>
      </c>
      <c r="O72" s="6">
        <f t="shared" ca="1" si="17"/>
        <v>17926.335900862752</v>
      </c>
      <c r="P72" s="6"/>
      <c r="Q72" s="6"/>
      <c r="R72" s="6"/>
      <c r="S72" s="6">
        <f t="shared" ca="1" si="18"/>
        <v>6169829.539753071</v>
      </c>
    </row>
    <row r="73" spans="1:19">
      <c r="A73" s="197">
        <v>43800</v>
      </c>
      <c r="B73">
        <f t="shared" si="14"/>
        <v>12</v>
      </c>
      <c r="C73">
        <f t="shared" si="15"/>
        <v>2019</v>
      </c>
      <c r="D73" s="6">
        <f>'Monthly Data (14-23) Used'!I73</f>
        <v>6513521.0149666099</v>
      </c>
      <c r="E73" s="6">
        <f>'Monthly Data (14-23) Used'!AC73</f>
        <v>527.90000000000009</v>
      </c>
      <c r="F73" s="6">
        <f>'Monthly Data (14-23) Used'!AH73</f>
        <v>0</v>
      </c>
      <c r="G73" s="7">
        <f t="shared" ca="1" si="19"/>
        <v>533.7700000000001</v>
      </c>
      <c r="H73" s="7">
        <f t="shared" ca="1" si="19"/>
        <v>0</v>
      </c>
      <c r="I73" s="6">
        <f>'Monthly Data (14-23) Used'!BC73</f>
        <v>811397</v>
      </c>
      <c r="J73">
        <f>'Monthly Data (14-23) Used'!CB73</f>
        <v>31</v>
      </c>
      <c r="K73">
        <f>'Monthly Data (14-23) Used'!CA73</f>
        <v>0</v>
      </c>
      <c r="M73" s="6"/>
      <c r="N73" s="6">
        <f t="shared" ca="1" si="16"/>
        <v>10040.670069443197</v>
      </c>
      <c r="O73" s="6">
        <f t="shared" ca="1" si="17"/>
        <v>0</v>
      </c>
      <c r="P73" s="6"/>
      <c r="Q73" s="6"/>
      <c r="R73" s="6"/>
      <c r="S73" s="6">
        <f t="shared" ca="1" si="18"/>
        <v>6523561.6850360529</v>
      </c>
    </row>
    <row r="74" spans="1:19">
      <c r="A74" s="197">
        <v>43831</v>
      </c>
      <c r="B74">
        <f t="shared" si="14"/>
        <v>1</v>
      </c>
      <c r="C74">
        <f t="shared" si="15"/>
        <v>2020</v>
      </c>
      <c r="D74" s="6">
        <f>'Monthly Data (14-23) Used'!I74</f>
        <v>6672503.2109814025</v>
      </c>
      <c r="E74" s="6">
        <f>'Monthly Data (14-23) Used'!AC74</f>
        <v>561.20000000000016</v>
      </c>
      <c r="F74" s="6">
        <f>'Monthly Data (14-23) Used'!AH74</f>
        <v>0</v>
      </c>
      <c r="G74" s="7">
        <f t="shared" ca="1" si="19"/>
        <v>671</v>
      </c>
      <c r="H74" s="7">
        <f t="shared" ca="1" si="19"/>
        <v>0</v>
      </c>
      <c r="I74" s="6">
        <f>'Monthly Data (14-23) Used'!BC74</f>
        <v>800126</v>
      </c>
      <c r="J74">
        <f>'Monthly Data (14-23) Used'!CB74</f>
        <v>31</v>
      </c>
      <c r="K74">
        <f>'Monthly Data (14-23) Used'!CA74</f>
        <v>0</v>
      </c>
      <c r="M74" s="6"/>
      <c r="N74" s="6">
        <f t="shared" ca="1" si="16"/>
        <v>187813.55598379223</v>
      </c>
      <c r="O74" s="6">
        <f t="shared" ca="1" si="17"/>
        <v>0</v>
      </c>
      <c r="P74" s="6"/>
      <c r="Q74" s="6"/>
      <c r="R74" s="6"/>
      <c r="S74" s="6">
        <f t="shared" ca="1" si="18"/>
        <v>6860316.7669651946</v>
      </c>
    </row>
    <row r="75" spans="1:19">
      <c r="A75" s="197">
        <v>43862</v>
      </c>
      <c r="B75">
        <f t="shared" si="14"/>
        <v>2</v>
      </c>
      <c r="C75">
        <f t="shared" si="15"/>
        <v>2020</v>
      </c>
      <c r="D75" s="6">
        <f>'Monthly Data (14-23) Used'!I75</f>
        <v>6362184.2109814025</v>
      </c>
      <c r="E75" s="6">
        <f>'Monthly Data (14-23) Used'!AC75</f>
        <v>569.29999999999984</v>
      </c>
      <c r="F75" s="6">
        <f>'Monthly Data (14-23) Used'!AH75</f>
        <v>0</v>
      </c>
      <c r="G75" s="7">
        <f t="shared" ca="1" si="19"/>
        <v>595.51355229914111</v>
      </c>
      <c r="H75" s="7">
        <f t="shared" ca="1" si="19"/>
        <v>0</v>
      </c>
      <c r="I75" s="6">
        <f>'Monthly Data (14-23) Used'!BC75</f>
        <v>800126</v>
      </c>
      <c r="J75">
        <f>'Monthly Data (14-23) Used'!CB75</f>
        <v>29</v>
      </c>
      <c r="K75">
        <f>'Monthly Data (14-23) Used'!CA75</f>
        <v>0</v>
      </c>
      <c r="M75" s="6"/>
      <c r="N75" s="6">
        <f t="shared" ca="1" si="16"/>
        <v>44838.437816656122</v>
      </c>
      <c r="O75" s="6">
        <f t="shared" ca="1" si="17"/>
        <v>0</v>
      </c>
      <c r="P75" s="6"/>
      <c r="Q75" s="6"/>
      <c r="R75" s="6"/>
      <c r="S75" s="6">
        <f t="shared" ca="1" si="18"/>
        <v>6407022.6487980587</v>
      </c>
    </row>
    <row r="76" spans="1:19">
      <c r="A76" s="197">
        <v>43891</v>
      </c>
      <c r="B76">
        <f t="shared" si="14"/>
        <v>3</v>
      </c>
      <c r="C76">
        <f t="shared" si="15"/>
        <v>2020</v>
      </c>
      <c r="D76" s="6">
        <f>'Monthly Data (14-23) Used'!I76</f>
        <v>6097155.2109814025</v>
      </c>
      <c r="E76" s="6">
        <f>'Monthly Data (14-23) Used'!AC76</f>
        <v>422.2</v>
      </c>
      <c r="F76" s="6">
        <f>'Monthly Data (14-23) Used'!AH76</f>
        <v>0</v>
      </c>
      <c r="G76" s="7">
        <f t="shared" ca="1" si="19"/>
        <v>496.46355229914104</v>
      </c>
      <c r="H76" s="7">
        <f t="shared" ca="1" si="19"/>
        <v>0.16999999999999993</v>
      </c>
      <c r="I76" s="6">
        <f>'Monthly Data (14-23) Used'!BC76</f>
        <v>800126</v>
      </c>
      <c r="J76">
        <f>'Monthly Data (14-23) Used'!CB76</f>
        <v>31</v>
      </c>
      <c r="K76">
        <f>'Monthly Data (14-23) Used'!CA76</f>
        <v>1</v>
      </c>
      <c r="M76" s="6"/>
      <c r="N76" s="6">
        <f t="shared" ca="1" si="16"/>
        <v>127028.24988424436</v>
      </c>
      <c r="O76" s="6">
        <f t="shared" ca="1" si="17"/>
        <v>1259.2880591515157</v>
      </c>
      <c r="P76" s="6"/>
      <c r="Q76" s="6"/>
      <c r="R76" s="6"/>
      <c r="S76" s="6">
        <f t="shared" ca="1" si="18"/>
        <v>6225442.7489247983</v>
      </c>
    </row>
    <row r="77" spans="1:19">
      <c r="A77" s="197">
        <v>43922</v>
      </c>
      <c r="B77">
        <f t="shared" si="14"/>
        <v>4</v>
      </c>
      <c r="C77">
        <f t="shared" si="15"/>
        <v>2020</v>
      </c>
      <c r="D77" s="6">
        <f>'Monthly Data (14-23) Used'!I77</f>
        <v>5171692.2109814025</v>
      </c>
      <c r="E77" s="6">
        <f>'Monthly Data (14-23) Used'!AC77</f>
        <v>336.5</v>
      </c>
      <c r="F77" s="6">
        <f>'Monthly Data (14-23) Used'!AH77</f>
        <v>2.7000000000000011</v>
      </c>
      <c r="G77" s="7">
        <f t="shared" ca="1" si="19"/>
        <v>296.23000000000008</v>
      </c>
      <c r="H77" s="7">
        <f t="shared" ca="1" si="19"/>
        <v>8.7799999999999994</v>
      </c>
      <c r="I77" s="6">
        <f>'Monthly Data (14-23) Used'!BC77</f>
        <v>706539</v>
      </c>
      <c r="J77">
        <f>'Monthly Data (14-23) Used'!CB77</f>
        <v>30</v>
      </c>
      <c r="K77">
        <f>'Monthly Data (14-23) Used'!CA77</f>
        <v>1</v>
      </c>
      <c r="M77" s="6"/>
      <c r="N77" s="6">
        <f t="shared" ca="1" si="16"/>
        <v>-68882.075587133979</v>
      </c>
      <c r="O77" s="6">
        <f t="shared" ca="1" si="17"/>
        <v>45038.067056713036</v>
      </c>
      <c r="P77" s="6"/>
      <c r="Q77" s="6"/>
      <c r="R77" s="6"/>
      <c r="S77" s="6">
        <f t="shared" ca="1" si="18"/>
        <v>5147848.2024509814</v>
      </c>
    </row>
    <row r="78" spans="1:19">
      <c r="A78" s="197">
        <v>43952</v>
      </c>
      <c r="B78">
        <f t="shared" si="14"/>
        <v>5</v>
      </c>
      <c r="C78">
        <f t="shared" si="15"/>
        <v>2020</v>
      </c>
      <c r="D78" s="6">
        <f>'Monthly Data (14-23) Used'!I78</f>
        <v>5319220.2109814025</v>
      </c>
      <c r="E78" s="6">
        <f>'Monthly Data (14-23) Used'!AC78</f>
        <v>160.50000000000003</v>
      </c>
      <c r="F78" s="6">
        <f>'Monthly Data (14-23) Used'!AH78</f>
        <v>69.8</v>
      </c>
      <c r="G78" s="7">
        <f t="shared" ca="1" si="19"/>
        <v>116.90355229914098</v>
      </c>
      <c r="H78" s="7">
        <f t="shared" ca="1" si="19"/>
        <v>84.676447700859015</v>
      </c>
      <c r="I78" s="6">
        <f>'Monthly Data (14-23) Used'!BC78</f>
        <v>706539</v>
      </c>
      <c r="J78">
        <f>'Monthly Data (14-23) Used'!CB78</f>
        <v>31</v>
      </c>
      <c r="K78">
        <f>'Monthly Data (14-23) Used'!CA78</f>
        <v>1</v>
      </c>
      <c r="M78" s="6"/>
      <c r="N78" s="6">
        <f t="shared" ca="1" si="16"/>
        <v>-74571.984252821247</v>
      </c>
      <c r="O78" s="6">
        <f t="shared" ca="1" si="17"/>
        <v>110198.42913108109</v>
      </c>
      <c r="P78" s="6"/>
      <c r="Q78" s="6"/>
      <c r="R78" s="6"/>
      <c r="S78" s="6">
        <f t="shared" ca="1" si="18"/>
        <v>5354846.6558596622</v>
      </c>
    </row>
    <row r="79" spans="1:19">
      <c r="A79" s="197">
        <v>43983</v>
      </c>
      <c r="B79">
        <f t="shared" si="14"/>
        <v>6</v>
      </c>
      <c r="C79">
        <f t="shared" si="15"/>
        <v>2020</v>
      </c>
      <c r="D79" s="6">
        <f>'Monthly Data (14-23) Used'!I79</f>
        <v>6239078.2109814025</v>
      </c>
      <c r="E79" s="6">
        <f>'Monthly Data (14-23) Used'!AC79</f>
        <v>10.799999999999999</v>
      </c>
      <c r="F79" s="6">
        <f>'Monthly Data (14-23) Used'!AH79</f>
        <v>220.5</v>
      </c>
      <c r="G79" s="7">
        <f t="shared" ca="1" si="19"/>
        <v>11.023552299140979</v>
      </c>
      <c r="H79" s="7">
        <f t="shared" ca="1" si="19"/>
        <v>202.63644770085901</v>
      </c>
      <c r="I79" s="6">
        <f>'Monthly Data (14-23) Used'!BC79</f>
        <v>706539</v>
      </c>
      <c r="J79">
        <f>'Monthly Data (14-23) Used'!CB79</f>
        <v>30</v>
      </c>
      <c r="K79">
        <f>'Monthly Data (14-23) Used'!CA79</f>
        <v>0</v>
      </c>
      <c r="M79" s="6"/>
      <c r="N79" s="6">
        <f t="shared" ca="1" si="16"/>
        <v>382.38754326065583</v>
      </c>
      <c r="O79" s="6">
        <f t="shared" ca="1" si="17"/>
        <v>-132325.63590786391</v>
      </c>
      <c r="P79" s="6"/>
      <c r="Q79" s="6"/>
      <c r="R79" s="6"/>
      <c r="S79" s="6">
        <f t="shared" ca="1" si="18"/>
        <v>6107134.9626167994</v>
      </c>
    </row>
    <row r="80" spans="1:19">
      <c r="A80" s="197">
        <v>44013</v>
      </c>
      <c r="B80">
        <f t="shared" si="14"/>
        <v>7</v>
      </c>
      <c r="C80">
        <f t="shared" si="15"/>
        <v>2020</v>
      </c>
      <c r="D80" s="6">
        <f>'Monthly Data (14-23) Used'!I80</f>
        <v>7576613.2109814025</v>
      </c>
      <c r="E80" s="6">
        <f>'Monthly Data (14-23) Used'!AC80</f>
        <v>0</v>
      </c>
      <c r="F80" s="6">
        <f>'Monthly Data (14-23) Used'!AH80</f>
        <v>329.7</v>
      </c>
      <c r="G80" s="7">
        <f t="shared" ca="1" si="19"/>
        <v>0.75</v>
      </c>
      <c r="H80" s="7">
        <f t="shared" ca="1" si="19"/>
        <v>273.21289540171807</v>
      </c>
      <c r="I80" s="6">
        <f>'Monthly Data (14-23) Used'!BC80</f>
        <v>777225</v>
      </c>
      <c r="J80">
        <f>'Monthly Data (14-23) Used'!CB80</f>
        <v>31</v>
      </c>
      <c r="K80">
        <f>'Monthly Data (14-23) Used'!CA80</f>
        <v>0</v>
      </c>
      <c r="M80" s="6"/>
      <c r="N80" s="6">
        <f t="shared" ca="1" si="16"/>
        <v>1282.87948076361</v>
      </c>
      <c r="O80" s="6">
        <f t="shared" ca="1" si="17"/>
        <v>-418432.56656858308</v>
      </c>
      <c r="P80" s="6"/>
      <c r="Q80" s="6"/>
      <c r="R80" s="6"/>
      <c r="S80" s="6">
        <f t="shared" ca="1" si="18"/>
        <v>7159463.5238935826</v>
      </c>
    </row>
    <row r="81" spans="1:19">
      <c r="A81" s="197">
        <v>44044</v>
      </c>
      <c r="B81">
        <f t="shared" si="14"/>
        <v>8</v>
      </c>
      <c r="C81">
        <f t="shared" si="15"/>
        <v>2020</v>
      </c>
      <c r="D81" s="6">
        <f>'Monthly Data (14-23) Used'!I81</f>
        <v>7200130.2109814025</v>
      </c>
      <c r="E81" s="6">
        <f>'Monthly Data (14-23) Used'!AC81</f>
        <v>0</v>
      </c>
      <c r="F81" s="6">
        <f>'Monthly Data (14-23) Used'!AH81</f>
        <v>244.05790803436074</v>
      </c>
      <c r="G81" s="7">
        <f t="shared" ca="1" si="19"/>
        <v>2.7971045982819609</v>
      </c>
      <c r="H81" s="7">
        <f t="shared" ca="1" si="19"/>
        <v>245.37605861546234</v>
      </c>
      <c r="I81" s="6">
        <f>'Monthly Data (14-23) Used'!BC81</f>
        <v>777225</v>
      </c>
      <c r="J81">
        <f>'Monthly Data (14-23) Used'!CB81</f>
        <v>31</v>
      </c>
      <c r="K81">
        <f>'Monthly Data (14-23) Used'!CA81</f>
        <v>0</v>
      </c>
      <c r="M81" s="6"/>
      <c r="N81" s="6">
        <f t="shared" ca="1" si="16"/>
        <v>4784.4641262472906</v>
      </c>
      <c r="O81" s="6">
        <f t="shared" ca="1" si="17"/>
        <v>9764.3016879110801</v>
      </c>
      <c r="P81" s="6"/>
      <c r="Q81" s="6"/>
      <c r="R81" s="6"/>
      <c r="S81" s="6">
        <f t="shared" ca="1" si="18"/>
        <v>7214678.9767955607</v>
      </c>
    </row>
    <row r="82" spans="1:19">
      <c r="A82" s="197">
        <v>44075</v>
      </c>
      <c r="B82">
        <f t="shared" si="14"/>
        <v>9</v>
      </c>
      <c r="C82">
        <f t="shared" si="15"/>
        <v>2020</v>
      </c>
      <c r="D82" s="6">
        <f>'Monthly Data (14-23) Used'!I82</f>
        <v>6081058.2109814025</v>
      </c>
      <c r="E82" s="6">
        <f>'Monthly Data (14-23) Used'!AC82</f>
        <v>62.1355229914098</v>
      </c>
      <c r="F82" s="6">
        <f>'Monthly Data (14-23) Used'!AH82</f>
        <v>96.328954017180365</v>
      </c>
      <c r="G82" s="7">
        <f t="shared" ca="1" si="19"/>
        <v>39.200656897422931</v>
      </c>
      <c r="H82" s="7">
        <f t="shared" ca="1" si="19"/>
        <v>139.01579080343606</v>
      </c>
      <c r="I82" s="6">
        <f>'Monthly Data (14-23) Used'!BC82</f>
        <v>777225</v>
      </c>
      <c r="J82">
        <f>'Monthly Data (14-23) Used'!CB82</f>
        <v>30</v>
      </c>
      <c r="K82">
        <f>'Monthly Data (14-23) Used'!CA82</f>
        <v>0</v>
      </c>
      <c r="M82" s="6"/>
      <c r="N82" s="6">
        <f t="shared" ca="1" si="16"/>
        <v>-39230.225474715735</v>
      </c>
      <c r="O82" s="6">
        <f t="shared" ca="1" si="17"/>
        <v>316206.02263459691</v>
      </c>
      <c r="P82" s="6"/>
      <c r="Q82" s="6"/>
      <c r="R82" s="6"/>
      <c r="S82" s="6">
        <f t="shared" ca="1" si="18"/>
        <v>6358034.0081412829</v>
      </c>
    </row>
    <row r="83" spans="1:19">
      <c r="A83" s="197">
        <v>44105</v>
      </c>
      <c r="B83">
        <f t="shared" si="14"/>
        <v>10</v>
      </c>
      <c r="C83">
        <f t="shared" si="15"/>
        <v>2020</v>
      </c>
      <c r="D83" s="6">
        <f>'Monthly Data (14-23) Used'!I83</f>
        <v>5728973.2109814025</v>
      </c>
      <c r="E83" s="6">
        <f>'Monthly Data (14-23) Used'!AC83</f>
        <v>239.7</v>
      </c>
      <c r="F83" s="6">
        <f>'Monthly Data (14-23) Used'!AH83</f>
        <v>14.500000000000002</v>
      </c>
      <c r="G83" s="7">
        <f t="shared" ref="G83:H98" ca="1" si="20">G71</f>
        <v>194.90420919656393</v>
      </c>
      <c r="H83" s="7">
        <f t="shared" ca="1" si="20"/>
        <v>38.166447700859024</v>
      </c>
      <c r="I83" s="6">
        <f>'Monthly Data (14-23) Used'!BC83</f>
        <v>795879</v>
      </c>
      <c r="J83">
        <f>'Monthly Data (14-23) Used'!CB83</f>
        <v>31</v>
      </c>
      <c r="K83">
        <f>'Monthly Data (14-23) Used'!CA83</f>
        <v>1</v>
      </c>
      <c r="M83" s="6"/>
      <c r="N83" s="6">
        <f t="shared" ca="1" si="16"/>
        <v>-76623.467795076474</v>
      </c>
      <c r="O83" s="6">
        <f t="shared" ca="1" si="17"/>
        <v>175311.02936603306</v>
      </c>
      <c r="P83" s="6"/>
      <c r="Q83" s="6"/>
      <c r="R83" s="6"/>
      <c r="S83" s="6">
        <f t="shared" ca="1" si="18"/>
        <v>5827660.7725523589</v>
      </c>
    </row>
    <row r="84" spans="1:19">
      <c r="A84" s="197">
        <v>44136</v>
      </c>
      <c r="B84">
        <f t="shared" si="14"/>
        <v>11</v>
      </c>
      <c r="C84">
        <f t="shared" si="15"/>
        <v>2020</v>
      </c>
      <c r="D84" s="6">
        <f>'Monthly Data (14-23) Used'!I84</f>
        <v>5802395.2109814025</v>
      </c>
      <c r="E84" s="6">
        <f>'Monthly Data (14-23) Used'!AC84</f>
        <v>330.63552299140986</v>
      </c>
      <c r="F84" s="6">
        <f>'Monthly Data (14-23) Used'!AH84</f>
        <v>6.3999999999999986</v>
      </c>
      <c r="G84" s="7">
        <f t="shared" ca="1" si="20"/>
        <v>404.02065689742301</v>
      </c>
      <c r="H84" s="7">
        <f t="shared" ca="1" si="20"/>
        <v>2.419999999999999</v>
      </c>
      <c r="I84" s="6">
        <f>'Monthly Data (14-23) Used'!BC84</f>
        <v>795879</v>
      </c>
      <c r="J84">
        <f>'Monthly Data (14-23) Used'!CB84</f>
        <v>30</v>
      </c>
      <c r="K84">
        <f>'Monthly Data (14-23) Used'!CA84</f>
        <v>1</v>
      </c>
      <c r="M84" s="6"/>
      <c r="N84" s="6">
        <f t="shared" ca="1" si="16"/>
        <v>125525.70997481886</v>
      </c>
      <c r="O84" s="6">
        <f t="shared" ca="1" si="17"/>
        <v>-29482.155737782552</v>
      </c>
      <c r="P84" s="6"/>
      <c r="Q84" s="6"/>
      <c r="R84" s="6"/>
      <c r="S84" s="6">
        <f t="shared" ca="1" si="18"/>
        <v>5898438.7652184386</v>
      </c>
    </row>
    <row r="85" spans="1:19">
      <c r="A85" s="197">
        <v>44166</v>
      </c>
      <c r="B85">
        <f t="shared" si="14"/>
        <v>12</v>
      </c>
      <c r="C85">
        <f t="shared" si="15"/>
        <v>2020</v>
      </c>
      <c r="D85" s="6">
        <f>'Monthly Data (14-23) Used'!I85</f>
        <v>6153468.2109814025</v>
      </c>
      <c r="E85" s="6">
        <f>'Monthly Data (14-23) Used'!AC85</f>
        <v>547.4</v>
      </c>
      <c r="F85" s="6">
        <f>'Monthly Data (14-23) Used'!AH85</f>
        <v>0</v>
      </c>
      <c r="G85" s="7">
        <f t="shared" ca="1" si="20"/>
        <v>533.7700000000001</v>
      </c>
      <c r="H85" s="7">
        <f t="shared" ca="1" si="20"/>
        <v>0</v>
      </c>
      <c r="I85" s="6">
        <f>'Monthly Data (14-23) Used'!BC85</f>
        <v>795879</v>
      </c>
      <c r="J85">
        <f>'Monthly Data (14-23) Used'!CB85</f>
        <v>31</v>
      </c>
      <c r="K85">
        <f>'Monthly Data (14-23) Used'!CA85</f>
        <v>0</v>
      </c>
      <c r="M85" s="6"/>
      <c r="N85" s="6">
        <f t="shared" ca="1" si="16"/>
        <v>-23314.196430410469</v>
      </c>
      <c r="O85" s="6">
        <f t="shared" ca="1" si="17"/>
        <v>0</v>
      </c>
      <c r="P85" s="6"/>
      <c r="Q85" s="6"/>
      <c r="R85" s="6"/>
      <c r="S85" s="6">
        <f t="shared" ca="1" si="18"/>
        <v>6130154.0145509923</v>
      </c>
    </row>
    <row r="86" spans="1:19">
      <c r="A86" s="197">
        <v>44197</v>
      </c>
      <c r="B86">
        <f t="shared" si="14"/>
        <v>1</v>
      </c>
      <c r="C86">
        <f t="shared" si="15"/>
        <v>2021</v>
      </c>
      <c r="D86" s="6">
        <f>'Monthly Data (14-23) Used'!I86</f>
        <v>6115554.9338399861</v>
      </c>
      <c r="E86" s="6">
        <f>'Monthly Data (14-23) Used'!AC86</f>
        <v>610.79999999999995</v>
      </c>
      <c r="F86" s="6">
        <f>'Monthly Data (14-23) Used'!AH86</f>
        <v>0</v>
      </c>
      <c r="G86" s="7">
        <f t="shared" ca="1" si="20"/>
        <v>671</v>
      </c>
      <c r="H86" s="7">
        <f t="shared" ca="1" si="20"/>
        <v>0</v>
      </c>
      <c r="I86" s="6">
        <f>'Monthly Data (14-23) Used'!BC86</f>
        <v>805455</v>
      </c>
      <c r="J86">
        <f>'Monthly Data (14-23) Used'!CB86</f>
        <v>31</v>
      </c>
      <c r="K86">
        <f>'Monthly Data (14-23) Used'!CA86</f>
        <v>0</v>
      </c>
      <c r="M86" s="6"/>
      <c r="N86" s="6">
        <f t="shared" ca="1" si="16"/>
        <v>102972.45965595917</v>
      </c>
      <c r="O86" s="6">
        <f t="shared" ca="1" si="17"/>
        <v>0</v>
      </c>
      <c r="P86" s="6"/>
      <c r="Q86" s="6"/>
      <c r="R86" s="6"/>
      <c r="S86" s="6">
        <f t="shared" ca="1" si="18"/>
        <v>6218527.3934959453</v>
      </c>
    </row>
    <row r="87" spans="1:19">
      <c r="A87" s="197">
        <v>44228</v>
      </c>
      <c r="B87">
        <f t="shared" si="14"/>
        <v>2</v>
      </c>
      <c r="C87">
        <f t="shared" si="15"/>
        <v>2021</v>
      </c>
      <c r="D87" s="6">
        <f>'Monthly Data (14-23) Used'!I87</f>
        <v>5910651.9338399861</v>
      </c>
      <c r="E87" s="6">
        <f>'Monthly Data (14-23) Used'!AC87</f>
        <v>654.80000000000018</v>
      </c>
      <c r="F87" s="6">
        <f>'Monthly Data (14-23) Used'!AH87</f>
        <v>0</v>
      </c>
      <c r="G87" s="7">
        <f t="shared" ca="1" si="20"/>
        <v>595.51355229914111</v>
      </c>
      <c r="H87" s="7">
        <f t="shared" ca="1" si="20"/>
        <v>0</v>
      </c>
      <c r="I87" s="6">
        <f>'Monthly Data (14-23) Used'!BC87</f>
        <v>805455</v>
      </c>
      <c r="J87">
        <f>'Monthly Data (14-23) Used'!CB87</f>
        <v>28</v>
      </c>
      <c r="K87">
        <f>'Monthly Data (14-23) Used'!CA87</f>
        <v>0</v>
      </c>
      <c r="M87" s="6"/>
      <c r="N87" s="6">
        <f t="shared" ca="1" si="16"/>
        <v>-101409.82299039602</v>
      </c>
      <c r="O87" s="6">
        <f t="shared" ca="1" si="17"/>
        <v>0</v>
      </c>
      <c r="P87" s="6"/>
      <c r="Q87" s="6"/>
      <c r="R87" s="6"/>
      <c r="S87" s="6">
        <f t="shared" ca="1" si="18"/>
        <v>5809242.11084959</v>
      </c>
    </row>
    <row r="88" spans="1:19">
      <c r="A88" s="197">
        <v>44256</v>
      </c>
      <c r="B88">
        <f t="shared" si="14"/>
        <v>3</v>
      </c>
      <c r="C88">
        <f t="shared" si="15"/>
        <v>2021</v>
      </c>
      <c r="D88" s="6">
        <f>'Monthly Data (14-23) Used'!I88</f>
        <v>6044444.9338399861</v>
      </c>
      <c r="E88" s="6">
        <f>'Monthly Data (14-23) Used'!AC88</f>
        <v>398.49999999999994</v>
      </c>
      <c r="F88" s="6">
        <f>'Monthly Data (14-23) Used'!AH88</f>
        <v>1.0999999999999996</v>
      </c>
      <c r="G88" s="7">
        <f t="shared" ca="1" si="20"/>
        <v>496.46355229914104</v>
      </c>
      <c r="H88" s="7">
        <f t="shared" ca="1" si="20"/>
        <v>0.16999999999999993</v>
      </c>
      <c r="I88" s="6">
        <f>'Monthly Data (14-23) Used'!BC88</f>
        <v>805455</v>
      </c>
      <c r="J88">
        <f>'Monthly Data (14-23) Used'!CB88</f>
        <v>31</v>
      </c>
      <c r="K88">
        <f>'Monthly Data (14-23) Used'!CA88</f>
        <v>1</v>
      </c>
      <c r="M88" s="6"/>
      <c r="N88" s="6">
        <f t="shared" ca="1" si="16"/>
        <v>167567.24147637453</v>
      </c>
      <c r="O88" s="6">
        <f t="shared" ca="1" si="17"/>
        <v>-6889.0464412406454</v>
      </c>
      <c r="P88" s="6"/>
      <c r="Q88" s="6"/>
      <c r="R88" s="6"/>
      <c r="S88" s="6">
        <f t="shared" ca="1" si="18"/>
        <v>6205123.1288751205</v>
      </c>
    </row>
    <row r="89" spans="1:19">
      <c r="A89" s="197">
        <v>44287</v>
      </c>
      <c r="B89">
        <f t="shared" si="14"/>
        <v>4</v>
      </c>
      <c r="C89">
        <f t="shared" si="15"/>
        <v>2021</v>
      </c>
      <c r="D89" s="6">
        <f>'Monthly Data (14-23) Used'!I89</f>
        <v>5428045.9338399861</v>
      </c>
      <c r="E89" s="6">
        <f>'Monthly Data (14-23) Used'!AC89</f>
        <v>254.90000000000003</v>
      </c>
      <c r="F89" s="6">
        <f>'Monthly Data (14-23) Used'!AH89</f>
        <v>18.999999999999993</v>
      </c>
      <c r="G89" s="7">
        <f t="shared" ca="1" si="20"/>
        <v>296.23000000000008</v>
      </c>
      <c r="H89" s="7">
        <f t="shared" ca="1" si="20"/>
        <v>8.7799999999999994</v>
      </c>
      <c r="I89" s="6">
        <f>'Monthly Data (14-23) Used'!BC89</f>
        <v>795824</v>
      </c>
      <c r="J89">
        <f>'Monthly Data (14-23) Used'!CB89</f>
        <v>30</v>
      </c>
      <c r="K89">
        <f>'Monthly Data (14-23) Used'!CA89</f>
        <v>1</v>
      </c>
      <c r="M89" s="6"/>
      <c r="N89" s="6">
        <f t="shared" ca="1" si="16"/>
        <v>70695.211919946742</v>
      </c>
      <c r="O89" s="6">
        <f t="shared" ca="1" si="17"/>
        <v>-75705.435085461693</v>
      </c>
      <c r="P89" s="6"/>
      <c r="Q89" s="6"/>
      <c r="R89" s="6"/>
      <c r="S89" s="6">
        <f t="shared" ca="1" si="18"/>
        <v>5423035.7106744712</v>
      </c>
    </row>
    <row r="90" spans="1:19">
      <c r="A90" s="197">
        <v>44317</v>
      </c>
      <c r="B90">
        <f t="shared" si="14"/>
        <v>5</v>
      </c>
      <c r="C90">
        <f t="shared" si="15"/>
        <v>2021</v>
      </c>
      <c r="D90" s="6">
        <f>'Monthly Data (14-23) Used'!I90</f>
        <v>5680903.9338399861</v>
      </c>
      <c r="E90" s="6">
        <f>'Monthly Data (14-23) Used'!AC90</f>
        <v>145.83552299140982</v>
      </c>
      <c r="F90" s="6">
        <f>'Monthly Data (14-23) Used'!AH90</f>
        <v>85.764477008590191</v>
      </c>
      <c r="G90" s="7">
        <f t="shared" ca="1" si="20"/>
        <v>116.90355229914098</v>
      </c>
      <c r="H90" s="7">
        <f t="shared" ca="1" si="20"/>
        <v>84.676447700859015</v>
      </c>
      <c r="I90" s="6">
        <f>'Monthly Data (14-23) Used'!BC90</f>
        <v>795824</v>
      </c>
      <c r="J90">
        <f>'Monthly Data (14-23) Used'!CB90</f>
        <v>31</v>
      </c>
      <c r="K90">
        <f>'Monthly Data (14-23) Used'!CA90</f>
        <v>1</v>
      </c>
      <c r="M90" s="6"/>
      <c r="N90" s="6">
        <f t="shared" ca="1" si="16"/>
        <v>-49488.308718887769</v>
      </c>
      <c r="O90" s="6">
        <f t="shared" ca="1" si="17"/>
        <v>-8059.6606778397681</v>
      </c>
      <c r="P90" s="6"/>
      <c r="Q90" s="6"/>
      <c r="R90" s="6"/>
      <c r="S90" s="6">
        <f t="shared" ca="1" si="18"/>
        <v>5623355.964443258</v>
      </c>
    </row>
    <row r="91" spans="1:19">
      <c r="A91" s="197">
        <v>44348</v>
      </c>
      <c r="B91">
        <f t="shared" si="14"/>
        <v>6</v>
      </c>
      <c r="C91">
        <f t="shared" si="15"/>
        <v>2021</v>
      </c>
      <c r="D91" s="6">
        <f>'Monthly Data (14-23) Used'!I91</f>
        <v>6714011.9338399861</v>
      </c>
      <c r="E91" s="6">
        <f>'Monthly Data (14-23) Used'!AC91</f>
        <v>6.9</v>
      </c>
      <c r="F91" s="6">
        <f>'Monthly Data (14-23) Used'!AH91</f>
        <v>248.09999999999994</v>
      </c>
      <c r="G91" s="7">
        <f t="shared" ca="1" si="20"/>
        <v>11.023552299140979</v>
      </c>
      <c r="H91" s="7">
        <f t="shared" ca="1" si="20"/>
        <v>202.63644770085901</v>
      </c>
      <c r="I91" s="6">
        <f>'Monthly Data (14-23) Used'!BC91</f>
        <v>795824</v>
      </c>
      <c r="J91">
        <f>'Monthly Data (14-23) Used'!CB91</f>
        <v>30</v>
      </c>
      <c r="K91">
        <f>'Monthly Data (14-23) Used'!CA91</f>
        <v>0</v>
      </c>
      <c r="M91" s="6"/>
      <c r="N91" s="6">
        <f t="shared" ca="1" si="16"/>
        <v>7053.3608432314259</v>
      </c>
      <c r="O91" s="6">
        <f t="shared" ca="1" si="17"/>
        <v>-336774.75609952136</v>
      </c>
      <c r="P91" s="6"/>
      <c r="Q91" s="6"/>
      <c r="R91" s="6"/>
      <c r="S91" s="6">
        <f t="shared" ca="1" si="18"/>
        <v>6384290.5385836959</v>
      </c>
    </row>
    <row r="92" spans="1:19">
      <c r="A92" s="197">
        <v>44378</v>
      </c>
      <c r="B92">
        <f t="shared" si="14"/>
        <v>7</v>
      </c>
      <c r="C92">
        <f t="shared" si="15"/>
        <v>2021</v>
      </c>
      <c r="D92" s="6">
        <f>'Monthly Data (14-23) Used'!I92</f>
        <v>7218985.9338399861</v>
      </c>
      <c r="E92" s="6">
        <f>'Monthly Data (14-23) Used'!AC92</f>
        <v>0</v>
      </c>
      <c r="F92" s="6">
        <f>'Monthly Data (14-23) Used'!AH92</f>
        <v>254.40000000000003</v>
      </c>
      <c r="G92" s="7">
        <f t="shared" ca="1" si="20"/>
        <v>0.75</v>
      </c>
      <c r="H92" s="7">
        <f t="shared" ca="1" si="20"/>
        <v>273.21289540171807</v>
      </c>
      <c r="I92" s="6">
        <f>'Monthly Data (14-23) Used'!BC92</f>
        <v>810982</v>
      </c>
      <c r="J92">
        <f>'Monthly Data (14-23) Used'!CB92</f>
        <v>31</v>
      </c>
      <c r="K92">
        <f>'Monthly Data (14-23) Used'!CA92</f>
        <v>0</v>
      </c>
      <c r="M92" s="6"/>
      <c r="N92" s="6">
        <f t="shared" ca="1" si="16"/>
        <v>1282.87948076361</v>
      </c>
      <c r="O92" s="6">
        <f t="shared" ca="1" si="17"/>
        <v>139357.96786735288</v>
      </c>
      <c r="P92" s="6"/>
      <c r="Q92" s="6"/>
      <c r="R92" s="6"/>
      <c r="S92" s="6">
        <f t="shared" ca="1" si="18"/>
        <v>7359626.7811881024</v>
      </c>
    </row>
    <row r="93" spans="1:19">
      <c r="A93" s="197">
        <v>44409</v>
      </c>
      <c r="B93">
        <f t="shared" si="14"/>
        <v>8</v>
      </c>
      <c r="C93">
        <f t="shared" si="15"/>
        <v>2021</v>
      </c>
      <c r="D93" s="6">
        <f>'Monthly Data (14-23) Used'!I93</f>
        <v>7769864.9338399861</v>
      </c>
      <c r="E93" s="6">
        <f>'Monthly Data (14-23) Used'!AC93</f>
        <v>0</v>
      </c>
      <c r="F93" s="6">
        <f>'Monthly Data (14-23) Used'!AH93</f>
        <v>286.29343102577059</v>
      </c>
      <c r="G93" s="7">
        <f t="shared" ca="1" si="20"/>
        <v>2.7971045982819609</v>
      </c>
      <c r="H93" s="7">
        <f t="shared" ca="1" si="20"/>
        <v>245.37605861546234</v>
      </c>
      <c r="I93" s="6">
        <f>'Monthly Data (14-23) Used'!BC93</f>
        <v>810982</v>
      </c>
      <c r="J93">
        <f>'Monthly Data (14-23) Used'!CB93</f>
        <v>31</v>
      </c>
      <c r="K93">
        <f>'Monthly Data (14-23) Used'!CA93</f>
        <v>0</v>
      </c>
      <c r="M93" s="6"/>
      <c r="N93" s="6">
        <f t="shared" ca="1" si="16"/>
        <v>4784.4641262472906</v>
      </c>
      <c r="O93" s="6">
        <f t="shared" ca="1" si="17"/>
        <v>-303098.5793420992</v>
      </c>
      <c r="P93" s="6"/>
      <c r="Q93" s="6"/>
      <c r="R93" s="6"/>
      <c r="S93" s="6">
        <f t="shared" ca="1" si="18"/>
        <v>7471550.8186241342</v>
      </c>
    </row>
    <row r="94" spans="1:19">
      <c r="A94" s="197">
        <v>44440</v>
      </c>
      <c r="B94">
        <f t="shared" si="14"/>
        <v>9</v>
      </c>
      <c r="C94">
        <f t="shared" si="15"/>
        <v>2021</v>
      </c>
      <c r="D94" s="6">
        <f>'Monthly Data (14-23) Used'!I94</f>
        <v>6525829.9338399861</v>
      </c>
      <c r="E94" s="6">
        <f>'Monthly Data (14-23) Used'!AC94</f>
        <v>33.400000000000006</v>
      </c>
      <c r="F94" s="6">
        <f>'Monthly Data (14-23) Used'!AH94</f>
        <v>141.39999999999998</v>
      </c>
      <c r="G94" s="7">
        <f t="shared" ca="1" si="20"/>
        <v>39.200656897422931</v>
      </c>
      <c r="H94" s="7">
        <f t="shared" ca="1" si="20"/>
        <v>139.01579080343606</v>
      </c>
      <c r="I94" s="6">
        <f>'Monthly Data (14-23) Used'!BC94</f>
        <v>810982</v>
      </c>
      <c r="J94">
        <f>'Monthly Data (14-23) Used'!CB94</f>
        <v>30</v>
      </c>
      <c r="K94">
        <f>'Monthly Data (14-23) Used'!CA94</f>
        <v>0</v>
      </c>
      <c r="M94" s="6"/>
      <c r="N94" s="6">
        <f t="shared" ca="1" si="16"/>
        <v>9922.0582782050351</v>
      </c>
      <c r="O94" s="6">
        <f t="shared" ca="1" si="17"/>
        <v>-17661.212775012758</v>
      </c>
      <c r="P94" s="6"/>
      <c r="Q94" s="6"/>
      <c r="R94" s="6"/>
      <c r="S94" s="6">
        <f t="shared" ca="1" si="18"/>
        <v>6518090.7793431785</v>
      </c>
    </row>
    <row r="95" spans="1:19">
      <c r="A95" s="197">
        <v>44470</v>
      </c>
      <c r="B95">
        <f t="shared" si="14"/>
        <v>10</v>
      </c>
      <c r="C95">
        <f t="shared" si="15"/>
        <v>2021</v>
      </c>
      <c r="D95" s="6">
        <f>'Monthly Data (14-23) Used'!I95</f>
        <v>5883672.9338399861</v>
      </c>
      <c r="E95" s="6">
        <f>'Monthly Data (14-23) Used'!AC95</f>
        <v>123.80000000000001</v>
      </c>
      <c r="F95" s="6">
        <f>'Monthly Data (14-23) Used'!AH95</f>
        <v>80.799999999999983</v>
      </c>
      <c r="G95" s="7">
        <f t="shared" ca="1" si="20"/>
        <v>194.90420919656393</v>
      </c>
      <c r="H95" s="7">
        <f t="shared" ca="1" si="20"/>
        <v>38.166447700859024</v>
      </c>
      <c r="I95" s="6">
        <f>'Monthly Data (14-23) Used'!BC95</f>
        <v>826374</v>
      </c>
      <c r="J95">
        <f>'Monthly Data (14-23) Used'!CB95</f>
        <v>31</v>
      </c>
      <c r="K95">
        <f>'Monthly Data (14-23) Used'!CA95</f>
        <v>1</v>
      </c>
      <c r="M95" s="6"/>
      <c r="N95" s="6">
        <f t="shared" ca="1" si="16"/>
        <v>121624.17463226002</v>
      </c>
      <c r="O95" s="6">
        <f t="shared" ca="1" si="17"/>
        <v>-315811.31370305811</v>
      </c>
      <c r="P95" s="6"/>
      <c r="Q95" s="6"/>
      <c r="R95" s="6"/>
      <c r="S95" s="6">
        <f t="shared" ca="1" si="18"/>
        <v>5689485.7947691875</v>
      </c>
    </row>
    <row r="96" spans="1:19">
      <c r="A96" s="197">
        <v>44501</v>
      </c>
      <c r="B96">
        <f t="shared" si="14"/>
        <v>11</v>
      </c>
      <c r="C96">
        <f t="shared" si="15"/>
        <v>2021</v>
      </c>
      <c r="D96" s="6">
        <f>'Monthly Data (14-23) Used'!I96</f>
        <v>5929416.9338399861</v>
      </c>
      <c r="E96" s="6">
        <f>'Monthly Data (14-23) Used'!AC96</f>
        <v>422.90000000000003</v>
      </c>
      <c r="F96" s="6">
        <f>'Monthly Data (14-23) Used'!AH96</f>
        <v>0</v>
      </c>
      <c r="G96" s="7">
        <f t="shared" ca="1" si="20"/>
        <v>404.02065689742301</v>
      </c>
      <c r="H96" s="7">
        <f t="shared" ca="1" si="20"/>
        <v>2.419999999999999</v>
      </c>
      <c r="I96" s="6">
        <f>'Monthly Data (14-23) Used'!BC96</f>
        <v>826374</v>
      </c>
      <c r="J96">
        <f>'Monthly Data (14-23) Used'!CB96</f>
        <v>30</v>
      </c>
      <c r="K96">
        <f>'Monthly Data (14-23) Used'!CA96</f>
        <v>1</v>
      </c>
      <c r="M96" s="6"/>
      <c r="N96" s="6">
        <f t="shared" ca="1" si="16"/>
        <v>-32293.229168789407</v>
      </c>
      <c r="O96" s="6">
        <f t="shared" ca="1" si="17"/>
        <v>17926.335900862752</v>
      </c>
      <c r="P96" s="6"/>
      <c r="Q96" s="6"/>
      <c r="R96" s="6"/>
      <c r="S96" s="6">
        <f t="shared" ca="1" si="18"/>
        <v>5915050.0405720593</v>
      </c>
    </row>
    <row r="97" spans="1:19">
      <c r="A97" s="197">
        <v>44531</v>
      </c>
      <c r="B97">
        <f t="shared" si="14"/>
        <v>12</v>
      </c>
      <c r="C97">
        <f t="shared" si="15"/>
        <v>2021</v>
      </c>
      <c r="D97" s="6">
        <f>'Monthly Data (14-23) Used'!I97</f>
        <v>6454484.9338399861</v>
      </c>
      <c r="E97" s="6">
        <f>'Monthly Data (14-23) Used'!AC97</f>
        <v>483.4</v>
      </c>
      <c r="F97" s="6">
        <f>'Monthly Data (14-23) Used'!AH97</f>
        <v>0</v>
      </c>
      <c r="G97" s="7">
        <f t="shared" ca="1" si="20"/>
        <v>533.7700000000001</v>
      </c>
      <c r="H97" s="7">
        <f t="shared" ca="1" si="20"/>
        <v>0</v>
      </c>
      <c r="I97" s="6">
        <f>'Monthly Data (14-23) Used'!BC97</f>
        <v>826374</v>
      </c>
      <c r="J97">
        <f>'Monthly Data (14-23) Used'!CB97</f>
        <v>31</v>
      </c>
      <c r="K97">
        <f>'Monthly Data (14-23) Used'!CA97</f>
        <v>0</v>
      </c>
      <c r="M97" s="6"/>
      <c r="N97" s="6">
        <f t="shared" ca="1" si="16"/>
        <v>86158.185928084247</v>
      </c>
      <c r="O97" s="6">
        <f t="shared" ca="1" si="17"/>
        <v>0</v>
      </c>
      <c r="P97" s="6"/>
      <c r="Q97" s="6"/>
      <c r="R97" s="6"/>
      <c r="S97" s="6">
        <f t="shared" ca="1" si="18"/>
        <v>6540643.1197680701</v>
      </c>
    </row>
    <row r="98" spans="1:19">
      <c r="A98" s="197">
        <v>44562</v>
      </c>
      <c r="B98">
        <f t="shared" si="14"/>
        <v>1</v>
      </c>
      <c r="C98">
        <f t="shared" si="15"/>
        <v>2022</v>
      </c>
      <c r="D98" s="6">
        <f>'Monthly Data (14-23) Used'!I98</f>
        <v>6893379.3523487775</v>
      </c>
      <c r="E98" s="6">
        <f>'Monthly Data (14-23) Used'!AC98</f>
        <v>766.2</v>
      </c>
      <c r="F98" s="6">
        <f>'Monthly Data (14-23) Used'!AH98</f>
        <v>0</v>
      </c>
      <c r="G98" s="7">
        <f t="shared" ca="1" si="20"/>
        <v>671</v>
      </c>
      <c r="H98" s="7">
        <f t="shared" ca="1" si="20"/>
        <v>0</v>
      </c>
      <c r="I98" s="6">
        <f>'Monthly Data (14-23) Used'!BC98</f>
        <v>833713</v>
      </c>
      <c r="J98">
        <f>'Monthly Data (14-23) Used'!CB98</f>
        <v>31</v>
      </c>
      <c r="K98">
        <f>'Monthly Data (14-23) Used'!CA98</f>
        <v>0</v>
      </c>
      <c r="M98" s="6"/>
      <c r="N98" s="6">
        <f t="shared" ca="1" si="16"/>
        <v>-162840.16875826099</v>
      </c>
      <c r="O98" s="6">
        <f t="shared" ca="1" si="17"/>
        <v>0</v>
      </c>
      <c r="P98" s="6"/>
      <c r="Q98" s="6"/>
      <c r="R98" s="6"/>
      <c r="S98" s="6">
        <f t="shared" ca="1" si="18"/>
        <v>6730539.1835905164</v>
      </c>
    </row>
    <row r="99" spans="1:19">
      <c r="A99" s="197">
        <v>44593</v>
      </c>
      <c r="B99">
        <f t="shared" si="14"/>
        <v>2</v>
      </c>
      <c r="C99">
        <f t="shared" si="15"/>
        <v>2022</v>
      </c>
      <c r="D99" s="6">
        <f>'Monthly Data (14-23) Used'!I99</f>
        <v>6371811.3523487775</v>
      </c>
      <c r="E99" s="6">
        <f>'Monthly Data (14-23) Used'!AC99</f>
        <v>607.30000000000018</v>
      </c>
      <c r="F99" s="6">
        <f>'Monthly Data (14-23) Used'!AH99</f>
        <v>0</v>
      </c>
      <c r="G99" s="7">
        <f t="shared" ref="G99:H114" ca="1" si="21">G87</f>
        <v>595.51355229914111</v>
      </c>
      <c r="H99" s="7">
        <f t="shared" ca="1" si="21"/>
        <v>0</v>
      </c>
      <c r="I99" s="6">
        <f>'Monthly Data (14-23) Used'!BC99</f>
        <v>833713</v>
      </c>
      <c r="J99">
        <f>'Monthly Data (14-23) Used'!CB99</f>
        <v>28</v>
      </c>
      <c r="K99">
        <f>'Monthly Data (14-23) Used'!CA99</f>
        <v>0</v>
      </c>
      <c r="M99" s="6"/>
      <c r="N99" s="6">
        <f t="shared" ca="1" si="16"/>
        <v>-20160.789208700706</v>
      </c>
      <c r="O99" s="6">
        <f t="shared" ca="1" si="17"/>
        <v>0</v>
      </c>
      <c r="P99" s="6"/>
      <c r="Q99" s="6"/>
      <c r="R99" s="6"/>
      <c r="S99" s="6">
        <f t="shared" ca="1" si="18"/>
        <v>6351650.5631400766</v>
      </c>
    </row>
    <row r="100" spans="1:19">
      <c r="A100" s="197">
        <v>44621</v>
      </c>
      <c r="B100">
        <f t="shared" si="14"/>
        <v>3</v>
      </c>
      <c r="C100">
        <f t="shared" si="15"/>
        <v>2022</v>
      </c>
      <c r="D100" s="6">
        <f>'Monthly Data (14-23) Used'!I100</f>
        <v>6579535.3523487775</v>
      </c>
      <c r="E100" s="6">
        <f>'Monthly Data (14-23) Used'!AC100</f>
        <v>465.93552299140975</v>
      </c>
      <c r="F100" s="6">
        <f>'Monthly Data (14-23) Used'!AH100</f>
        <v>0</v>
      </c>
      <c r="G100" s="7">
        <f t="shared" ca="1" si="21"/>
        <v>496.46355229914104</v>
      </c>
      <c r="H100" s="7">
        <f t="shared" ca="1" si="21"/>
        <v>0.16999999999999993</v>
      </c>
      <c r="I100" s="6">
        <f>'Monthly Data (14-23) Used'!BC100</f>
        <v>833713</v>
      </c>
      <c r="J100">
        <f>'Monthly Data (14-23) Used'!CB100</f>
        <v>31</v>
      </c>
      <c r="K100">
        <f>'Monthly Data (14-23) Used'!CA100</f>
        <v>1</v>
      </c>
      <c r="M100" s="6"/>
      <c r="N100" s="6">
        <f t="shared" ca="1" si="16"/>
        <v>52218.376516051445</v>
      </c>
      <c r="O100" s="6">
        <f t="shared" ca="1" si="17"/>
        <v>1259.2880591515157</v>
      </c>
      <c r="P100" s="6"/>
      <c r="Q100" s="6"/>
      <c r="R100" s="6"/>
      <c r="S100" s="6">
        <f t="shared" ca="1" si="18"/>
        <v>6633013.0169239808</v>
      </c>
    </row>
    <row r="101" spans="1:19">
      <c r="A101" s="197">
        <v>44652</v>
      </c>
      <c r="B101">
        <f t="shared" si="14"/>
        <v>4</v>
      </c>
      <c r="C101">
        <f t="shared" si="15"/>
        <v>2022</v>
      </c>
      <c r="D101" s="6">
        <f>'Monthly Data (14-23) Used'!I101</f>
        <v>6070000.3523487775</v>
      </c>
      <c r="E101" s="6">
        <f>'Monthly Data (14-23) Used'!AC101</f>
        <v>333.80000000000007</v>
      </c>
      <c r="F101" s="6">
        <f>'Monthly Data (14-23) Used'!AH101</f>
        <v>8.1</v>
      </c>
      <c r="G101" s="7">
        <f t="shared" ca="1" si="21"/>
        <v>296.23000000000008</v>
      </c>
      <c r="H101" s="7">
        <f t="shared" ca="1" si="21"/>
        <v>8.7799999999999994</v>
      </c>
      <c r="I101" s="6">
        <f>'Monthly Data (14-23) Used'!BC101</f>
        <v>840190</v>
      </c>
      <c r="J101">
        <f>'Monthly Data (14-23) Used'!CB101</f>
        <v>30</v>
      </c>
      <c r="K101">
        <f>'Monthly Data (14-23) Used'!CA101</f>
        <v>1</v>
      </c>
      <c r="M101" s="6"/>
      <c r="N101" s="6">
        <f t="shared" ca="1" si="16"/>
        <v>-64263.709456385091</v>
      </c>
      <c r="O101" s="6">
        <f t="shared" ca="1" si="17"/>
        <v>5037.1522366060626</v>
      </c>
      <c r="P101" s="6"/>
      <c r="Q101" s="6"/>
      <c r="R101" s="6"/>
      <c r="S101" s="6">
        <f t="shared" ca="1" si="18"/>
        <v>6010773.7951289983</v>
      </c>
    </row>
    <row r="102" spans="1:19">
      <c r="A102" s="197">
        <v>44682</v>
      </c>
      <c r="B102">
        <f t="shared" si="14"/>
        <v>5</v>
      </c>
      <c r="C102">
        <f t="shared" si="15"/>
        <v>2022</v>
      </c>
      <c r="D102" s="6">
        <f>'Monthly Data (14-23) Used'!I102</f>
        <v>6515619.3523487775</v>
      </c>
      <c r="E102" s="6">
        <f>'Monthly Data (14-23) Used'!AC102</f>
        <v>92.700000000000031</v>
      </c>
      <c r="F102" s="6">
        <f>'Monthly Data (14-23) Used'!AH102</f>
        <v>106.6</v>
      </c>
      <c r="G102" s="7">
        <f t="shared" ca="1" si="21"/>
        <v>116.90355229914098</v>
      </c>
      <c r="H102" s="7">
        <f t="shared" ca="1" si="21"/>
        <v>84.676447700859015</v>
      </c>
      <c r="I102" s="6">
        <f>'Monthly Data (14-23) Used'!BC102</f>
        <v>840190</v>
      </c>
      <c r="J102">
        <f>'Monthly Data (14-23) Used'!CB102</f>
        <v>31</v>
      </c>
      <c r="K102">
        <f>'Monthly Data (14-23) Used'!CA102</f>
        <v>1</v>
      </c>
      <c r="M102" s="6"/>
      <c r="N102" s="6">
        <f t="shared" ca="1" si="16"/>
        <v>41400.320808209101</v>
      </c>
      <c r="O102" s="6">
        <f t="shared" ca="1" si="17"/>
        <v>-162400.39779112942</v>
      </c>
      <c r="P102" s="6"/>
      <c r="Q102" s="6"/>
      <c r="R102" s="6"/>
      <c r="S102" s="6">
        <f t="shared" ca="1" si="18"/>
        <v>6394619.2753658574</v>
      </c>
    </row>
    <row r="103" spans="1:19">
      <c r="A103" s="197">
        <v>44713</v>
      </c>
      <c r="B103">
        <f t="shared" si="14"/>
        <v>6</v>
      </c>
      <c r="C103">
        <f t="shared" si="15"/>
        <v>2022</v>
      </c>
      <c r="D103" s="6">
        <f>'Monthly Data (14-23) Used'!I103</f>
        <v>7534710.3523487775</v>
      </c>
      <c r="E103" s="6">
        <f>'Monthly Data (14-23) Used'!AC103</f>
        <v>6.5355229914098061</v>
      </c>
      <c r="F103" s="6">
        <f>'Monthly Data (14-23) Used'!AH103</f>
        <v>207.3644770085902</v>
      </c>
      <c r="G103" s="7">
        <f t="shared" ca="1" si="21"/>
        <v>11.023552299140979</v>
      </c>
      <c r="H103" s="7">
        <f t="shared" ca="1" si="21"/>
        <v>202.63644770085901</v>
      </c>
      <c r="I103" s="6">
        <f>'Monthly Data (14-23) Used'!BC103</f>
        <v>840190</v>
      </c>
      <c r="J103">
        <f>'Monthly Data (14-23) Used'!CB103</f>
        <v>30</v>
      </c>
      <c r="K103">
        <f>'Monthly Data (14-23) Used'!CA103</f>
        <v>0</v>
      </c>
      <c r="M103" s="6"/>
      <c r="N103" s="6">
        <f t="shared" ca="1" si="16"/>
        <v>7676.8009439387088</v>
      </c>
      <c r="O103" s="6">
        <f t="shared" ca="1" si="17"/>
        <v>-35023.240297319404</v>
      </c>
      <c r="P103" s="6"/>
      <c r="Q103" s="6"/>
      <c r="R103" s="6"/>
      <c r="S103" s="6">
        <f t="shared" ca="1" si="18"/>
        <v>7507363.9129953971</v>
      </c>
    </row>
    <row r="104" spans="1:19">
      <c r="A104" s="197">
        <v>44743</v>
      </c>
      <c r="B104">
        <f t="shared" si="14"/>
        <v>7</v>
      </c>
      <c r="C104">
        <f t="shared" si="15"/>
        <v>2022</v>
      </c>
      <c r="D104" s="6">
        <f>'Monthly Data (14-23) Used'!I104</f>
        <v>7972148.3523487775</v>
      </c>
      <c r="E104" s="6">
        <f>'Monthly Data (14-23) Used'!AC104</f>
        <v>0</v>
      </c>
      <c r="F104" s="6">
        <f>'Monthly Data (14-23) Used'!AH104</f>
        <v>280.60000000000002</v>
      </c>
      <c r="G104" s="7">
        <f t="shared" ca="1" si="21"/>
        <v>0.75</v>
      </c>
      <c r="H104" s="7">
        <f t="shared" ca="1" si="21"/>
        <v>273.21289540171807</v>
      </c>
      <c r="I104" s="6">
        <f>'Monthly Data (14-23) Used'!BC104</f>
        <v>842100</v>
      </c>
      <c r="J104">
        <f>'Monthly Data (14-23) Used'!CB104</f>
        <v>31</v>
      </c>
      <c r="K104">
        <f>'Monthly Data (14-23) Used'!CA104</f>
        <v>0</v>
      </c>
      <c r="M104" s="6"/>
      <c r="N104" s="6">
        <f t="shared" ca="1" si="16"/>
        <v>1282.87948076361</v>
      </c>
      <c r="O104" s="6">
        <f t="shared" ca="1" si="17"/>
        <v>-54720.544778351286</v>
      </c>
      <c r="P104" s="6"/>
      <c r="Q104" s="6"/>
      <c r="R104" s="6"/>
      <c r="S104" s="6">
        <f t="shared" ca="1" si="18"/>
        <v>7918710.6870511891</v>
      </c>
    </row>
    <row r="105" spans="1:19">
      <c r="A105" s="197">
        <v>44774</v>
      </c>
      <c r="B105">
        <f t="shared" si="14"/>
        <v>8</v>
      </c>
      <c r="C105">
        <f t="shared" si="15"/>
        <v>2022</v>
      </c>
      <c r="D105" s="6">
        <f>'Monthly Data (14-23) Used'!I105</f>
        <v>7910079.3523487775</v>
      </c>
      <c r="E105" s="6">
        <f>'Monthly Data (14-23) Used'!AC105</f>
        <v>0</v>
      </c>
      <c r="F105" s="6">
        <f>'Monthly Data (14-23) Used'!AH105</f>
        <v>260.92895401718039</v>
      </c>
      <c r="G105" s="7">
        <f t="shared" ca="1" si="21"/>
        <v>2.7971045982819609</v>
      </c>
      <c r="H105" s="7">
        <f t="shared" ca="1" si="21"/>
        <v>245.37605861546234</v>
      </c>
      <c r="I105" s="6">
        <f>'Monthly Data (14-23) Used'!BC105</f>
        <v>842100</v>
      </c>
      <c r="J105">
        <f>'Monthly Data (14-23) Used'!CB105</f>
        <v>31</v>
      </c>
      <c r="K105">
        <f>'Monthly Data (14-23) Used'!CA105</f>
        <v>0</v>
      </c>
      <c r="M105" s="6"/>
      <c r="N105" s="6">
        <f t="shared" ca="1" si="16"/>
        <v>4784.4641262472906</v>
      </c>
      <c r="O105" s="6">
        <f t="shared" ca="1" si="17"/>
        <v>-115209.267438918</v>
      </c>
      <c r="P105" s="6"/>
      <c r="Q105" s="6"/>
      <c r="R105" s="6"/>
      <c r="S105" s="6">
        <f t="shared" ca="1" si="18"/>
        <v>7799654.5490361061</v>
      </c>
    </row>
    <row r="106" spans="1:19">
      <c r="A106" s="197">
        <v>44805</v>
      </c>
      <c r="B106">
        <f t="shared" si="14"/>
        <v>9</v>
      </c>
      <c r="C106">
        <f t="shared" si="15"/>
        <v>2022</v>
      </c>
      <c r="D106" s="6">
        <f>'Monthly Data (14-23) Used'!I106</f>
        <v>6898117.3523487775</v>
      </c>
      <c r="E106" s="6">
        <f>'Monthly Data (14-23) Used'!AC106</f>
        <v>47.400000000000006</v>
      </c>
      <c r="F106" s="6">
        <f>'Monthly Data (14-23) Used'!AH106</f>
        <v>141.1</v>
      </c>
      <c r="G106" s="7">
        <f t="shared" ca="1" si="21"/>
        <v>39.200656897422931</v>
      </c>
      <c r="H106" s="7">
        <f t="shared" ca="1" si="21"/>
        <v>139.01579080343606</v>
      </c>
      <c r="I106" s="6">
        <f>'Monthly Data (14-23) Used'!BC106</f>
        <v>842100</v>
      </c>
      <c r="J106">
        <f>'Monthly Data (14-23) Used'!CB106</f>
        <v>30</v>
      </c>
      <c r="K106">
        <f>'Monthly Data (14-23) Used'!CA106</f>
        <v>0</v>
      </c>
      <c r="M106" s="6"/>
      <c r="N106" s="6">
        <f t="shared" ref="N106:N114" ca="1" si="22">(G106-E106)*$V$10</f>
        <v>-14025.025362715687</v>
      </c>
      <c r="O106" s="6">
        <f t="shared" ref="O106:O114" ca="1" si="23">(H106-F106)*$V$11</f>
        <v>-15438.939729451386</v>
      </c>
      <c r="P106" s="6"/>
      <c r="Q106" s="6"/>
      <c r="R106" s="6"/>
      <c r="S106" s="6">
        <f t="shared" ca="1" si="18"/>
        <v>6868653.3872566102</v>
      </c>
    </row>
    <row r="107" spans="1:19">
      <c r="A107" s="197">
        <v>44835</v>
      </c>
      <c r="B107">
        <f t="shared" si="14"/>
        <v>10</v>
      </c>
      <c r="C107">
        <f t="shared" si="15"/>
        <v>2022</v>
      </c>
      <c r="D107" s="6">
        <f>'Monthly Data (14-23) Used'!I107</f>
        <v>6096244.3523487775</v>
      </c>
      <c r="E107" s="6">
        <f>'Monthly Data (14-23) Used'!AC107</f>
        <v>209.6420919656392</v>
      </c>
      <c r="F107" s="6">
        <f>'Monthly Data (14-23) Used'!AH107</f>
        <v>23.8644770085902</v>
      </c>
      <c r="G107" s="7">
        <f t="shared" ca="1" si="21"/>
        <v>194.90420919656393</v>
      </c>
      <c r="H107" s="7">
        <f t="shared" ca="1" si="21"/>
        <v>38.166447700859024</v>
      </c>
      <c r="I107" s="6">
        <f>'Monthly Data (14-23) Used'!BC107</f>
        <v>841987</v>
      </c>
      <c r="J107">
        <f>'Monthly Data (14-23) Used'!CB107</f>
        <v>31</v>
      </c>
      <c r="K107">
        <f>'Monthly Data (14-23) Used'!CA107</f>
        <v>1</v>
      </c>
      <c r="M107" s="6"/>
      <c r="N107" s="6">
        <f t="shared" ca="1" si="22"/>
        <v>-25209.236525794982</v>
      </c>
      <c r="O107" s="6">
        <f t="shared" ca="1" si="23"/>
        <v>105942.94655946514</v>
      </c>
      <c r="P107" s="6"/>
      <c r="Q107" s="6"/>
      <c r="R107" s="6"/>
      <c r="S107" s="6">
        <f t="shared" ca="1" si="18"/>
        <v>6176978.0623824475</v>
      </c>
    </row>
    <row r="108" spans="1:19">
      <c r="A108" s="197">
        <v>44866</v>
      </c>
      <c r="B108">
        <f t="shared" si="14"/>
        <v>11</v>
      </c>
      <c r="C108">
        <f t="shared" si="15"/>
        <v>2022</v>
      </c>
      <c r="D108" s="6">
        <f>'Monthly Data (14-23) Used'!I108</f>
        <v>6165537.3523487775</v>
      </c>
      <c r="E108" s="6">
        <f>'Monthly Data (14-23) Used'!AC108</f>
        <v>368.6</v>
      </c>
      <c r="F108" s="6">
        <f>'Monthly Data (14-23) Used'!AH108</f>
        <v>7.4999999999999964</v>
      </c>
      <c r="G108" s="7">
        <f t="shared" ca="1" si="21"/>
        <v>404.02065689742301</v>
      </c>
      <c r="H108" s="7">
        <f t="shared" ca="1" si="21"/>
        <v>2.419999999999999</v>
      </c>
      <c r="I108" s="6">
        <f>'Monthly Data (14-23) Used'!BC108</f>
        <v>841987</v>
      </c>
      <c r="J108">
        <f>'Monthly Data (14-23) Used'!CB108</f>
        <v>30</v>
      </c>
      <c r="K108">
        <f>'Monthly Data (14-23) Used'!CA108</f>
        <v>1</v>
      </c>
      <c r="M108" s="6"/>
      <c r="N108" s="6">
        <f t="shared" ca="1" si="22"/>
        <v>60587.245238495976</v>
      </c>
      <c r="O108" s="6">
        <f t="shared" ca="1" si="23"/>
        <v>-37630.490238174702</v>
      </c>
      <c r="P108" s="6"/>
      <c r="Q108" s="6"/>
      <c r="R108" s="6"/>
      <c r="S108" s="6">
        <f t="shared" ca="1" si="18"/>
        <v>6188494.1073490987</v>
      </c>
    </row>
    <row r="109" spans="1:19">
      <c r="A109" s="197">
        <v>44896</v>
      </c>
      <c r="B109">
        <f t="shared" si="14"/>
        <v>12</v>
      </c>
      <c r="C109">
        <f t="shared" si="15"/>
        <v>2022</v>
      </c>
      <c r="D109" s="6">
        <f>'Monthly Data (14-23) Used'!I109</f>
        <v>6634550.3523487775</v>
      </c>
      <c r="E109" s="6">
        <f>'Monthly Data (14-23) Used'!AC109</f>
        <v>556.1</v>
      </c>
      <c r="F109" s="6">
        <f>'Monthly Data (14-23) Used'!AH109</f>
        <v>0</v>
      </c>
      <c r="G109" s="7">
        <f t="shared" ca="1" si="21"/>
        <v>533.7700000000001</v>
      </c>
      <c r="H109" s="7">
        <f t="shared" ca="1" si="21"/>
        <v>0</v>
      </c>
      <c r="I109" s="6">
        <f>'Monthly Data (14-23) Used'!BC109</f>
        <v>841987</v>
      </c>
      <c r="J109">
        <f>'Monthly Data (14-23) Used'!CB109</f>
        <v>31</v>
      </c>
      <c r="K109">
        <f>'Monthly Data (14-23) Used'!CA109</f>
        <v>0</v>
      </c>
      <c r="M109" s="6"/>
      <c r="N109" s="6">
        <f t="shared" ca="1" si="22"/>
        <v>-38195.598407268422</v>
      </c>
      <c r="O109" s="6">
        <f t="shared" ca="1" si="23"/>
        <v>0</v>
      </c>
      <c r="P109" s="6"/>
      <c r="Q109" s="6"/>
      <c r="R109" s="6"/>
      <c r="S109" s="6">
        <f t="shared" ca="1" si="18"/>
        <v>6596354.7539415089</v>
      </c>
    </row>
    <row r="110" spans="1:19">
      <c r="A110" s="197">
        <v>44927</v>
      </c>
      <c r="B110">
        <f t="shared" si="14"/>
        <v>1</v>
      </c>
      <c r="C110">
        <f t="shared" si="15"/>
        <v>2023</v>
      </c>
      <c r="D110" s="6">
        <f>'Monthly Data (14-23) Used'!I110</f>
        <v>6632556.9823921332</v>
      </c>
      <c r="E110" s="6">
        <f>'Monthly Data (14-23) Used'!AC110</f>
        <v>548.70000000000005</v>
      </c>
      <c r="F110" s="6">
        <f>'Monthly Data (14-23) Used'!AH110</f>
        <v>0</v>
      </c>
      <c r="G110" s="7">
        <f t="shared" ca="1" si="21"/>
        <v>671</v>
      </c>
      <c r="H110" s="7">
        <f t="shared" ca="1" si="21"/>
        <v>0</v>
      </c>
      <c r="I110" s="6">
        <f>'Monthly Data (14-23) Used'!BC110</f>
        <v>848873</v>
      </c>
      <c r="J110">
        <f>'Monthly Data (14-23) Used'!CB110</f>
        <v>31</v>
      </c>
      <c r="K110">
        <f>'Monthly Data (14-23) Used'!CA110</f>
        <v>0</v>
      </c>
      <c r="M110" s="6"/>
      <c r="N110" s="6">
        <f t="shared" ca="1" si="22"/>
        <v>209194.88066318593</v>
      </c>
      <c r="O110" s="6">
        <f t="shared" ca="1" si="23"/>
        <v>0</v>
      </c>
      <c r="P110" s="6"/>
      <c r="Q110" s="6"/>
      <c r="R110" s="6"/>
      <c r="S110" s="6">
        <f t="shared" ca="1" si="18"/>
        <v>6841751.8630553195</v>
      </c>
    </row>
    <row r="111" spans="1:19">
      <c r="A111" s="197">
        <v>44958</v>
      </c>
      <c r="B111">
        <f t="shared" si="14"/>
        <v>2</v>
      </c>
      <c r="C111">
        <f t="shared" si="15"/>
        <v>2023</v>
      </c>
      <c r="D111" s="6">
        <f>'Monthly Data (14-23) Used'!I111</f>
        <v>6092001.2530621132</v>
      </c>
      <c r="E111" s="6">
        <f>'Monthly Data (14-23) Used'!AC111</f>
        <v>491.23552299140994</v>
      </c>
      <c r="F111" s="6">
        <f>'Monthly Data (14-23) Used'!AH111</f>
        <v>0</v>
      </c>
      <c r="G111" s="7">
        <f t="shared" ca="1" si="21"/>
        <v>595.51355229914111</v>
      </c>
      <c r="H111" s="7">
        <f t="shared" ca="1" si="21"/>
        <v>0</v>
      </c>
      <c r="I111" s="6">
        <f>'Monthly Data (14-23) Used'!BC111</f>
        <v>848873</v>
      </c>
      <c r="J111">
        <f>'Monthly Data (14-23) Used'!CB111</f>
        <v>28</v>
      </c>
      <c r="K111">
        <f>'Monthly Data (14-23) Used'!CA111</f>
        <v>0</v>
      </c>
      <c r="M111" s="6"/>
      <c r="N111" s="6">
        <f t="shared" ca="1" si="22"/>
        <v>178368.1921244729</v>
      </c>
      <c r="O111" s="6">
        <f t="shared" ca="1" si="23"/>
        <v>0</v>
      </c>
      <c r="P111" s="6"/>
      <c r="Q111" s="6"/>
      <c r="R111" s="6"/>
      <c r="S111" s="6">
        <f t="shared" ca="1" si="18"/>
        <v>6270369.4451865861</v>
      </c>
    </row>
    <row r="112" spans="1:19">
      <c r="A112" s="197">
        <v>44986</v>
      </c>
      <c r="B112">
        <f t="shared" si="14"/>
        <v>3</v>
      </c>
      <c r="C112">
        <f t="shared" si="15"/>
        <v>2023</v>
      </c>
      <c r="D112" s="6">
        <f>'Monthly Data (14-23) Used'!I112</f>
        <v>6511113.9685091265</v>
      </c>
      <c r="E112" s="6">
        <f>'Monthly Data (14-23) Used'!AC112</f>
        <v>480.09999999999997</v>
      </c>
      <c r="F112" s="6">
        <f>'Monthly Data (14-23) Used'!AH112</f>
        <v>0</v>
      </c>
      <c r="G112" s="7">
        <f t="shared" ca="1" si="21"/>
        <v>496.46355229914104</v>
      </c>
      <c r="H112" s="7">
        <f t="shared" ca="1" si="21"/>
        <v>0.16999999999999993</v>
      </c>
      <c r="I112" s="6">
        <f>'Monthly Data (14-23) Used'!BC112</f>
        <v>848873</v>
      </c>
      <c r="J112">
        <f>'Monthly Data (14-23) Used'!CB112</f>
        <v>31</v>
      </c>
      <c r="K112">
        <f>'Monthly Data (14-23) Used'!CA112</f>
        <v>1</v>
      </c>
      <c r="M112" s="6"/>
      <c r="N112" s="6">
        <f t="shared" ca="1" si="22"/>
        <v>27989.953969293711</v>
      </c>
      <c r="O112" s="6">
        <f t="shared" ca="1" si="23"/>
        <v>1259.2880591515157</v>
      </c>
      <c r="P112" s="6"/>
      <c r="Q112" s="6"/>
      <c r="R112" s="6"/>
      <c r="S112" s="6">
        <f t="shared" ca="1" si="18"/>
        <v>6540363.2105375715</v>
      </c>
    </row>
    <row r="113" spans="1:19">
      <c r="A113" s="197">
        <v>45017</v>
      </c>
      <c r="B113">
        <f t="shared" si="14"/>
        <v>4</v>
      </c>
      <c r="C113">
        <f t="shared" si="15"/>
        <v>2023</v>
      </c>
      <c r="D113" s="6">
        <f>'Monthly Data (14-23) Used'!I113</f>
        <v>5983004.3456301186</v>
      </c>
      <c r="E113" s="6">
        <f>'Monthly Data (14-23) Used'!AC113</f>
        <v>263.89999999999998</v>
      </c>
      <c r="F113" s="6">
        <f>'Monthly Data (14-23) Used'!AH113</f>
        <v>24.699999999999996</v>
      </c>
      <c r="G113" s="7">
        <f t="shared" ca="1" si="21"/>
        <v>296.23000000000008</v>
      </c>
      <c r="H113" s="7">
        <f t="shared" ca="1" si="21"/>
        <v>8.7799999999999994</v>
      </c>
      <c r="I113" s="6">
        <f>'Monthly Data (14-23) Used'!BC113</f>
        <v>852586</v>
      </c>
      <c r="J113">
        <f>'Monthly Data (14-23) Used'!CB113</f>
        <v>30</v>
      </c>
      <c r="K113">
        <f>'Monthly Data (14-23) Used'!CA113</f>
        <v>1</v>
      </c>
      <c r="M113" s="6"/>
      <c r="N113" s="6">
        <f t="shared" ca="1" si="22"/>
        <v>55300.658150783514</v>
      </c>
      <c r="O113" s="6">
        <f t="shared" ca="1" si="23"/>
        <v>-117928.62295113019</v>
      </c>
      <c r="P113" s="6"/>
      <c r="Q113" s="6"/>
      <c r="R113" s="6"/>
      <c r="S113" s="6">
        <f t="shared" ca="1" si="18"/>
        <v>5920376.380829772</v>
      </c>
    </row>
    <row r="114" spans="1:19">
      <c r="A114" s="197">
        <v>45047</v>
      </c>
      <c r="B114">
        <f t="shared" si="14"/>
        <v>5</v>
      </c>
      <c r="C114">
        <f t="shared" si="15"/>
        <v>2023</v>
      </c>
      <c r="D114" s="6">
        <f>'Monthly Data (14-23) Used'!I114</f>
        <v>6178583.7201271262</v>
      </c>
      <c r="E114" s="6">
        <f>'Monthly Data (14-23) Used'!AC114</f>
        <v>122.5</v>
      </c>
      <c r="F114" s="6">
        <f>'Monthly Data (14-23) Used'!AH114</f>
        <v>62.000000000000007</v>
      </c>
      <c r="G114" s="7">
        <f t="shared" ca="1" si="21"/>
        <v>116.90355229914098</v>
      </c>
      <c r="H114" s="7">
        <f t="shared" ca="1" si="21"/>
        <v>84.676447700859015</v>
      </c>
      <c r="I114" s="6">
        <f>'Monthly Data (14-23) Used'!BC114</f>
        <v>852586</v>
      </c>
      <c r="J114">
        <f>'Monthly Data (14-23) Used'!CB114</f>
        <v>31</v>
      </c>
      <c r="K114">
        <f>'Monthly Data (14-23) Used'!CA114</f>
        <v>1</v>
      </c>
      <c r="M114" s="6"/>
      <c r="N114" s="6">
        <f t="shared" ca="1" si="22"/>
        <v>-9572.7572274649519</v>
      </c>
      <c r="O114" s="6">
        <f t="shared" ca="1" si="23"/>
        <v>167977.52831568001</v>
      </c>
      <c r="P114" s="6"/>
      <c r="Q114" s="6"/>
      <c r="R114" s="6"/>
      <c r="S114" s="6">
        <f t="shared" ca="1" si="18"/>
        <v>6336988.4912153417</v>
      </c>
    </row>
    <row r="115" spans="1:19">
      <c r="A115" s="197">
        <v>45078</v>
      </c>
      <c r="B115">
        <f t="shared" ref="B115:B121" si="24">MONTH(A115)</f>
        <v>6</v>
      </c>
      <c r="C115">
        <f t="shared" ref="C115:C121" si="25">YEAR(A115)</f>
        <v>2023</v>
      </c>
      <c r="D115" s="6">
        <f>'Monthly Data (14-23) Used'!I115</f>
        <v>6628058.2686011204</v>
      </c>
      <c r="E115" s="6">
        <f>'Monthly Data (14-23) Used'!AC115</f>
        <v>14.600000000000001</v>
      </c>
      <c r="F115" s="6">
        <f>'Monthly Data (14-23) Used'!AH115</f>
        <v>170.69999999999996</v>
      </c>
      <c r="G115" s="7">
        <f t="shared" ref="G115:H121" ca="1" si="26">G103</f>
        <v>11.023552299140979</v>
      </c>
      <c r="H115" s="7">
        <f t="shared" ca="1" si="26"/>
        <v>202.63644770085901</v>
      </c>
      <c r="I115" s="6">
        <f>'Monthly Data (14-23) Used'!BC115</f>
        <v>852586</v>
      </c>
      <c r="J115">
        <f>'Monthly Data (14-23) Used'!CB115</f>
        <v>30</v>
      </c>
      <c r="K115">
        <f>'Monthly Data (14-23) Used'!CA115</f>
        <v>0</v>
      </c>
      <c r="M115" s="6"/>
      <c r="N115" s="6">
        <f t="shared" ref="N115:N121" ca="1" si="27">(G115-E115)*$V$10</f>
        <v>-6117.535159274973</v>
      </c>
      <c r="O115" s="6">
        <f t="shared" ref="O115:O121" ca="1" si="28">(H115-F115)*$V$11</f>
        <v>236571.68965534525</v>
      </c>
      <c r="P115" s="6"/>
      <c r="Q115" s="6"/>
      <c r="R115" s="6"/>
      <c r="S115" s="6">
        <f t="shared" ref="S115:S121" ca="1" si="29">SUM(D115,M115:R115)</f>
        <v>6858512.4230971904</v>
      </c>
    </row>
    <row r="116" spans="1:19">
      <c r="A116" s="197">
        <v>45108</v>
      </c>
      <c r="B116">
        <f t="shared" si="24"/>
        <v>7</v>
      </c>
      <c r="C116">
        <f t="shared" si="25"/>
        <v>2023</v>
      </c>
      <c r="D116" s="6">
        <f>'Monthly Data (14-23) Used'!I116</f>
        <v>7467103.0032031108</v>
      </c>
      <c r="E116" s="6">
        <f>'Monthly Data (14-23) Used'!AC116</f>
        <v>0</v>
      </c>
      <c r="F116" s="6">
        <f>'Monthly Data (14-23) Used'!AH116</f>
        <v>256.86447700859026</v>
      </c>
      <c r="G116" s="7">
        <f t="shared" ca="1" si="26"/>
        <v>0.75</v>
      </c>
      <c r="H116" s="7">
        <f t="shared" ca="1" si="26"/>
        <v>273.21289540171807</v>
      </c>
      <c r="I116" s="6">
        <f>'Monthly Data (14-23) Used'!BC116</f>
        <v>852629</v>
      </c>
      <c r="J116">
        <f>'Monthly Data (14-23) Used'!CB116</f>
        <v>31</v>
      </c>
      <c r="K116">
        <f>'Monthly Data (14-23) Used'!CA116</f>
        <v>0</v>
      </c>
      <c r="M116" s="6"/>
      <c r="N116" s="6">
        <f t="shared" ca="1" si="27"/>
        <v>1282.87948076361</v>
      </c>
      <c r="O116" s="6">
        <f t="shared" ca="1" si="28"/>
        <v>121102.16510869926</v>
      </c>
      <c r="P116" s="6"/>
      <c r="Q116" s="6"/>
      <c r="R116" s="6"/>
      <c r="S116" s="6">
        <f t="shared" ca="1" si="29"/>
        <v>7589488.0477925735</v>
      </c>
    </row>
    <row r="117" spans="1:19">
      <c r="A117" s="197">
        <v>45139</v>
      </c>
      <c r="B117">
        <f t="shared" si="24"/>
        <v>8</v>
      </c>
      <c r="C117">
        <f t="shared" si="25"/>
        <v>2023</v>
      </c>
      <c r="D117" s="6">
        <f>'Monthly Data (14-23) Used'!I117</f>
        <v>7241241.0790991215</v>
      </c>
      <c r="E117" s="6">
        <f>'Monthly Data (14-23) Used'!AC117</f>
        <v>8.5710459828196122</v>
      </c>
      <c r="F117" s="6">
        <f>'Monthly Data (14-23) Used'!AH117</f>
        <v>199.61581606872156</v>
      </c>
      <c r="G117" s="7">
        <f t="shared" ca="1" si="26"/>
        <v>2.7971045982819609</v>
      </c>
      <c r="H117" s="7">
        <f t="shared" ca="1" si="26"/>
        <v>245.37605861546234</v>
      </c>
      <c r="I117" s="6">
        <f>'Monthly Data (14-23) Used'!BC117</f>
        <v>852629</v>
      </c>
      <c r="J117">
        <f>'Monthly Data (14-23) Used'!CB117</f>
        <v>31</v>
      </c>
      <c r="K117">
        <f>'Monthly Data (14-23) Used'!CA117</f>
        <v>0</v>
      </c>
      <c r="M117" s="6"/>
      <c r="N117" s="6">
        <f t="shared" ca="1" si="27"/>
        <v>-9876.3612338069088</v>
      </c>
      <c r="O117" s="6">
        <f t="shared" ca="1" si="28"/>
        <v>338972.51189992845</v>
      </c>
      <c r="P117" s="6"/>
      <c r="Q117" s="6"/>
      <c r="R117" s="6"/>
      <c r="S117" s="6">
        <f t="shared" ca="1" si="29"/>
        <v>7570337.2297652429</v>
      </c>
    </row>
    <row r="118" spans="1:19">
      <c r="A118" s="197">
        <v>45170</v>
      </c>
      <c r="B118">
        <f t="shared" si="24"/>
        <v>9</v>
      </c>
      <c r="C118">
        <f t="shared" si="25"/>
        <v>2023</v>
      </c>
      <c r="D118" s="6">
        <f>'Monthly Data (14-23) Used'!I118</f>
        <v>6559154.6408421202</v>
      </c>
      <c r="E118" s="6">
        <f>'Monthly Data (14-23) Used'!AC118</f>
        <v>26.171045982819621</v>
      </c>
      <c r="F118" s="6">
        <f>'Monthly Data (14-23) Used'!AH118</f>
        <v>128.6289540171804</v>
      </c>
      <c r="G118" s="7">
        <f t="shared" ca="1" si="26"/>
        <v>39.200656897422931</v>
      </c>
      <c r="H118" s="7">
        <f t="shared" ca="1" si="26"/>
        <v>139.01579080343606</v>
      </c>
      <c r="I118" s="6">
        <f>'Monthly Data (14-23) Used'!BC118</f>
        <v>852629</v>
      </c>
      <c r="J118">
        <f>'Monthly Data (14-23) Used'!CB118</f>
        <v>30</v>
      </c>
      <c r="K118">
        <f>'Monthly Data (14-23) Used'!CA118</f>
        <v>0</v>
      </c>
      <c r="M118" s="6"/>
      <c r="N118" s="6">
        <f t="shared" ca="1" si="27"/>
        <v>22287.227312904215</v>
      </c>
      <c r="O118" s="6">
        <f t="shared" ca="1" si="28"/>
        <v>76941.29139580857</v>
      </c>
      <c r="P118" s="6"/>
      <c r="Q118" s="6"/>
      <c r="R118" s="6"/>
      <c r="S118" s="6">
        <f t="shared" ca="1" si="29"/>
        <v>6658383.1595508326</v>
      </c>
    </row>
    <row r="119" spans="1:19">
      <c r="A119" s="197">
        <v>45200</v>
      </c>
      <c r="B119">
        <f t="shared" si="24"/>
        <v>10</v>
      </c>
      <c r="C119">
        <f t="shared" si="25"/>
        <v>2023</v>
      </c>
      <c r="D119" s="6">
        <f>'Monthly Data (14-23) Used'!I119</f>
        <v>6056406.6039701235</v>
      </c>
      <c r="E119" s="6">
        <f>'Monthly Data (14-23) Used'!AC119</f>
        <v>191.00000000000003</v>
      </c>
      <c r="F119" s="6">
        <f>'Monthly Data (14-23) Used'!AH119</f>
        <v>46.699999999999996</v>
      </c>
      <c r="G119" s="7">
        <f t="shared" ca="1" si="26"/>
        <v>194.90420919656393</v>
      </c>
      <c r="H119" s="7">
        <f t="shared" ca="1" si="26"/>
        <v>38.166447700859024</v>
      </c>
      <c r="I119" s="6">
        <f>'Monthly Data (14-23) Used'!BC119</f>
        <v>852090.84400000004</v>
      </c>
      <c r="J119">
        <f>'Monthly Data (14-23) Used'!CB119</f>
        <v>31</v>
      </c>
      <c r="K119">
        <f>'Monthly Data (14-23) Used'!CA119</f>
        <v>1</v>
      </c>
      <c r="M119" s="6"/>
      <c r="N119" s="6">
        <f t="shared" ca="1" si="27"/>
        <v>6678.1731558405381</v>
      </c>
      <c r="O119" s="6">
        <f t="shared" ca="1" si="28"/>
        <v>-63212.944190901137</v>
      </c>
      <c r="P119" s="6"/>
      <c r="Q119" s="6"/>
      <c r="R119" s="6"/>
      <c r="S119" s="6">
        <f t="shared" ca="1" si="29"/>
        <v>5999871.8329350632</v>
      </c>
    </row>
    <row r="120" spans="1:19">
      <c r="A120" s="197">
        <v>45231</v>
      </c>
      <c r="B120">
        <f t="shared" si="24"/>
        <v>11</v>
      </c>
      <c r="C120">
        <f t="shared" si="25"/>
        <v>2023</v>
      </c>
      <c r="D120" s="6">
        <f>'Monthly Data (14-23) Used'!I120</f>
        <v>6059588.0768571198</v>
      </c>
      <c r="E120" s="6">
        <f>'Monthly Data (14-23) Used'!AC120</f>
        <v>402.39999999999992</v>
      </c>
      <c r="F120" s="6">
        <f>'Monthly Data (14-23) Used'!AH120</f>
        <v>0</v>
      </c>
      <c r="G120" s="7">
        <f t="shared" ca="1" si="26"/>
        <v>404.02065689742301</v>
      </c>
      <c r="H120" s="7">
        <f t="shared" ca="1" si="26"/>
        <v>2.419999999999999</v>
      </c>
      <c r="I120" s="6">
        <f>'Monthly Data (14-23) Used'!BC120</f>
        <v>852090.84400000004</v>
      </c>
      <c r="J120">
        <f>'Monthly Data (14-23) Used'!CB120</f>
        <v>30</v>
      </c>
      <c r="K120">
        <f>'Monthly Data (14-23) Used'!CA120</f>
        <v>1</v>
      </c>
      <c r="M120" s="6"/>
      <c r="N120" s="6">
        <f t="shared" ca="1" si="27"/>
        <v>2772.1433054161275</v>
      </c>
      <c r="O120" s="6">
        <f t="shared" ca="1" si="28"/>
        <v>17926.335900862752</v>
      </c>
      <c r="P120" s="6"/>
      <c r="Q120" s="6"/>
      <c r="R120" s="6"/>
      <c r="S120" s="6">
        <f t="shared" ca="1" si="29"/>
        <v>6080286.5560633987</v>
      </c>
    </row>
    <row r="121" spans="1:19">
      <c r="A121" s="197">
        <v>45261</v>
      </c>
      <c r="B121">
        <f t="shared" si="24"/>
        <v>12</v>
      </c>
      <c r="C121">
        <f t="shared" si="25"/>
        <v>2023</v>
      </c>
      <c r="D121" s="6">
        <f>'Monthly Data (14-23) Used'!I121</f>
        <v>6250104.4957341198</v>
      </c>
      <c r="E121" s="6">
        <f>'Monthly Data (14-23) Used'!AC121</f>
        <v>431.4</v>
      </c>
      <c r="F121" s="6">
        <f>'Monthly Data (14-23) Used'!AH121</f>
        <v>0</v>
      </c>
      <c r="G121" s="7">
        <f t="shared" ca="1" si="26"/>
        <v>533.7700000000001</v>
      </c>
      <c r="H121" s="7">
        <f t="shared" ca="1" si="26"/>
        <v>0</v>
      </c>
      <c r="I121" s="6">
        <f>'Monthly Data (14-23) Used'!BC121</f>
        <v>852090.84400000004</v>
      </c>
      <c r="J121">
        <f>'Monthly Data (14-23) Used'!CB121</f>
        <v>31</v>
      </c>
      <c r="K121">
        <f>'Monthly Data (14-23) Used'!CA121</f>
        <v>0</v>
      </c>
      <c r="M121" s="6"/>
      <c r="N121" s="6">
        <f t="shared" ca="1" si="27"/>
        <v>175104.4965943612</v>
      </c>
      <c r="O121" s="6">
        <f t="shared" ca="1" si="28"/>
        <v>0</v>
      </c>
      <c r="P121" s="6"/>
      <c r="Q121" s="6"/>
      <c r="R121" s="6"/>
      <c r="S121" s="6">
        <f t="shared" ca="1" si="29"/>
        <v>6425208.9923284808</v>
      </c>
    </row>
    <row r="122" spans="1:19">
      <c r="A122" s="197">
        <v>45292</v>
      </c>
      <c r="B122">
        <f t="shared" ref="B122:B133" si="30">MONTH(A122)</f>
        <v>1</v>
      </c>
      <c r="C122">
        <f t="shared" ref="C122:C133" si="31">YEAR(A122)</f>
        <v>2024</v>
      </c>
      <c r="D122" s="6"/>
      <c r="E122" s="6"/>
      <c r="F122" s="6"/>
      <c r="G122" s="7">
        <f t="shared" ref="G122:H130" ca="1" si="32">G110</f>
        <v>671</v>
      </c>
      <c r="H122" s="7">
        <f t="shared" ca="1" si="32"/>
        <v>0</v>
      </c>
      <c r="I122" s="452">
        <f>'Economic Data'!Q148</f>
        <v>853966.23800000001</v>
      </c>
      <c r="J122">
        <f t="shared" ref="J122:K145" si="33">J74</f>
        <v>31</v>
      </c>
      <c r="K122">
        <f t="shared" si="33"/>
        <v>0</v>
      </c>
      <c r="M122" s="6">
        <f t="shared" ref="M122:M145" si="34">$V$9</f>
        <v>-3155056.29692131</v>
      </c>
      <c r="N122" s="6">
        <f ca="1">G122*$V$10</f>
        <v>1147749.5087898432</v>
      </c>
      <c r="O122" s="6">
        <f ca="1">H122*$V$11</f>
        <v>0</v>
      </c>
      <c r="P122" s="6">
        <f>I122*$V$12</f>
        <v>5099504.5171681894</v>
      </c>
      <c r="Q122" s="6">
        <f>J122*$V$13</f>
        <v>3861595.9081566473</v>
      </c>
      <c r="R122" s="6">
        <f>K122*$V$14</f>
        <v>0</v>
      </c>
      <c r="S122" s="6">
        <f t="shared" ref="S122:S144" ca="1" si="35">SUM(M122:R122)</f>
        <v>6953793.6371933697</v>
      </c>
    </row>
    <row r="123" spans="1:19">
      <c r="A123" s="197">
        <v>45323</v>
      </c>
      <c r="B123">
        <f t="shared" si="30"/>
        <v>2</v>
      </c>
      <c r="C123">
        <f t="shared" si="31"/>
        <v>2024</v>
      </c>
      <c r="D123" s="6"/>
      <c r="E123" s="6"/>
      <c r="F123" s="6"/>
      <c r="G123" s="7">
        <f t="shared" ca="1" si="32"/>
        <v>595.51355229914111</v>
      </c>
      <c r="H123" s="7">
        <f t="shared" ca="1" si="32"/>
        <v>0</v>
      </c>
      <c r="I123" s="452">
        <f>'Economic Data'!Q149</f>
        <v>853966.23800000001</v>
      </c>
      <c r="J123">
        <f t="shared" si="33"/>
        <v>29</v>
      </c>
      <c r="K123">
        <f t="shared" si="33"/>
        <v>0</v>
      </c>
      <c r="M123" s="6">
        <f t="shared" si="34"/>
        <v>-3155056.29692131</v>
      </c>
      <c r="N123" s="6">
        <f t="shared" ref="N123:N133" ca="1" si="36">G123*$V$10</f>
        <v>1018629.4890149535</v>
      </c>
      <c r="O123" s="6">
        <f t="shared" ref="O123:O133" ca="1" si="37">H123*$V$11</f>
        <v>0</v>
      </c>
      <c r="P123" s="6">
        <f t="shared" ref="P123:P133" si="38">I123*$V$12</f>
        <v>5099504.5171681894</v>
      </c>
      <c r="Q123" s="6">
        <f t="shared" ref="Q123:Q133" si="39">J123*$V$13</f>
        <v>3612460.6882755733</v>
      </c>
      <c r="R123" s="6">
        <f t="shared" ref="R123:R145" si="40">K123*$V$14</f>
        <v>0</v>
      </c>
      <c r="S123" s="6">
        <f t="shared" ca="1" si="35"/>
        <v>6575538.3975374065</v>
      </c>
    </row>
    <row r="124" spans="1:19">
      <c r="A124" s="197">
        <v>45352</v>
      </c>
      <c r="B124">
        <f t="shared" si="30"/>
        <v>3</v>
      </c>
      <c r="C124">
        <f t="shared" si="31"/>
        <v>2024</v>
      </c>
      <c r="D124" s="6"/>
      <c r="E124" s="6"/>
      <c r="F124" s="6"/>
      <c r="G124" s="7">
        <f t="shared" ca="1" si="32"/>
        <v>496.46355229914104</v>
      </c>
      <c r="H124" s="7">
        <f t="shared" ca="1" si="32"/>
        <v>0.16999999999999993</v>
      </c>
      <c r="I124" s="452">
        <f>'Economic Data'!Q150</f>
        <v>853966.23800000001</v>
      </c>
      <c r="J124">
        <f t="shared" si="33"/>
        <v>31</v>
      </c>
      <c r="K124">
        <f t="shared" si="33"/>
        <v>1</v>
      </c>
      <c r="M124" s="6">
        <f t="shared" si="34"/>
        <v>-3155056.29692131</v>
      </c>
      <c r="N124" s="6">
        <f t="shared" ca="1" si="36"/>
        <v>849203.87225543917</v>
      </c>
      <c r="O124" s="6">
        <f t="shared" ca="1" si="37"/>
        <v>1259.2880591515157</v>
      </c>
      <c r="P124" s="6">
        <f t="shared" si="38"/>
        <v>5099504.5171681894</v>
      </c>
      <c r="Q124" s="6">
        <f t="shared" si="39"/>
        <v>3861595.9081566473</v>
      </c>
      <c r="R124" s="6">
        <f t="shared" si="40"/>
        <v>-115215.035448868</v>
      </c>
      <c r="S124" s="6">
        <f t="shared" ca="1" si="35"/>
        <v>6541292.2532692496</v>
      </c>
    </row>
    <row r="125" spans="1:19">
      <c r="A125" s="197">
        <v>45383</v>
      </c>
      <c r="B125">
        <f t="shared" si="30"/>
        <v>4</v>
      </c>
      <c r="C125">
        <f t="shared" si="31"/>
        <v>2024</v>
      </c>
      <c r="D125" s="6"/>
      <c r="E125" s="6"/>
      <c r="F125" s="6"/>
      <c r="G125" s="7">
        <f t="shared" ca="1" si="32"/>
        <v>296.23000000000008</v>
      </c>
      <c r="H125" s="7">
        <f t="shared" ca="1" si="32"/>
        <v>8.7799999999999994</v>
      </c>
      <c r="I125" s="452">
        <f>'Economic Data'!Q151</f>
        <v>857701.51600000006</v>
      </c>
      <c r="J125">
        <f t="shared" si="33"/>
        <v>30</v>
      </c>
      <c r="K125">
        <f t="shared" si="33"/>
        <v>1</v>
      </c>
      <c r="M125" s="6">
        <f t="shared" si="34"/>
        <v>-3155056.29692131</v>
      </c>
      <c r="N125" s="6">
        <f t="shared" ca="1" si="36"/>
        <v>506703.18478213908</v>
      </c>
      <c r="O125" s="6">
        <f t="shared" ca="1" si="37"/>
        <v>65038.524466766539</v>
      </c>
      <c r="P125" s="6">
        <f t="shared" si="38"/>
        <v>5121809.9271320421</v>
      </c>
      <c r="Q125" s="6">
        <f t="shared" si="39"/>
        <v>3737028.2982161101</v>
      </c>
      <c r="R125" s="6">
        <f t="shared" si="40"/>
        <v>-115215.035448868</v>
      </c>
      <c r="S125" s="6">
        <f t="shared" ca="1" si="35"/>
        <v>6160308.6022268794</v>
      </c>
    </row>
    <row r="126" spans="1:19">
      <c r="A126" s="197">
        <v>45413</v>
      </c>
      <c r="B126">
        <f t="shared" si="30"/>
        <v>5</v>
      </c>
      <c r="C126">
        <f t="shared" si="31"/>
        <v>2024</v>
      </c>
      <c r="D126" s="6"/>
      <c r="E126" s="6"/>
      <c r="F126" s="6"/>
      <c r="G126" s="7">
        <f t="shared" ca="1" si="32"/>
        <v>116.90355229914098</v>
      </c>
      <c r="H126" s="7">
        <f t="shared" ca="1" si="32"/>
        <v>84.676447700859015</v>
      </c>
      <c r="I126" s="452">
        <f>'Economic Data'!Q152</f>
        <v>857701.51600000006</v>
      </c>
      <c r="J126">
        <f t="shared" si="33"/>
        <v>31</v>
      </c>
      <c r="K126">
        <f t="shared" si="33"/>
        <v>1</v>
      </c>
      <c r="M126" s="6">
        <f t="shared" si="34"/>
        <v>-3155056.29692131</v>
      </c>
      <c r="N126" s="6">
        <f t="shared" ca="1" si="36"/>
        <v>199964.22463059134</v>
      </c>
      <c r="O126" s="6">
        <f t="shared" ca="1" si="37"/>
        <v>627247.29106505658</v>
      </c>
      <c r="P126" s="6">
        <f t="shared" si="38"/>
        <v>5121809.9271320421</v>
      </c>
      <c r="Q126" s="6">
        <f t="shared" si="39"/>
        <v>3861595.9081566473</v>
      </c>
      <c r="R126" s="6">
        <f t="shared" si="40"/>
        <v>-115215.035448868</v>
      </c>
      <c r="S126" s="6">
        <f t="shared" ca="1" si="35"/>
        <v>6540346.0186141599</v>
      </c>
    </row>
    <row r="127" spans="1:19">
      <c r="A127" s="197">
        <v>45444</v>
      </c>
      <c r="B127">
        <f t="shared" si="30"/>
        <v>6</v>
      </c>
      <c r="C127">
        <f t="shared" si="31"/>
        <v>2024</v>
      </c>
      <c r="D127" s="6"/>
      <c r="E127" s="6"/>
      <c r="F127" s="6"/>
      <c r="G127" s="7">
        <f t="shared" ca="1" si="32"/>
        <v>11.023552299140979</v>
      </c>
      <c r="H127" s="7">
        <f t="shared" ca="1" si="32"/>
        <v>202.63644770085901</v>
      </c>
      <c r="I127" s="452">
        <f>'Economic Data'!Q153</f>
        <v>857701.51600000006</v>
      </c>
      <c r="J127">
        <f t="shared" si="33"/>
        <v>30</v>
      </c>
      <c r="K127">
        <f t="shared" si="33"/>
        <v>0</v>
      </c>
      <c r="M127" s="6">
        <f t="shared" si="34"/>
        <v>-3155056.29692131</v>
      </c>
      <c r="N127" s="6">
        <f t="shared" ca="1" si="36"/>
        <v>18855.852066256637</v>
      </c>
      <c r="O127" s="6">
        <f t="shared" ca="1" si="37"/>
        <v>1501045.0525798379</v>
      </c>
      <c r="P127" s="6">
        <f t="shared" si="38"/>
        <v>5121809.9271320421</v>
      </c>
      <c r="Q127" s="6">
        <f t="shared" si="39"/>
        <v>3737028.2982161101</v>
      </c>
      <c r="R127" s="6">
        <f t="shared" si="40"/>
        <v>0</v>
      </c>
      <c r="S127" s="6">
        <f t="shared" ca="1" si="35"/>
        <v>7223682.8330729362</v>
      </c>
    </row>
    <row r="128" spans="1:19">
      <c r="A128" s="197">
        <v>45474</v>
      </c>
      <c r="B128">
        <f t="shared" si="30"/>
        <v>7</v>
      </c>
      <c r="C128">
        <f t="shared" si="31"/>
        <v>2024</v>
      </c>
      <c r="D128" s="6"/>
      <c r="E128" s="6"/>
      <c r="F128" s="6"/>
      <c r="G128" s="7">
        <f t="shared" ca="1" si="32"/>
        <v>0.75</v>
      </c>
      <c r="H128" s="7">
        <f t="shared" ca="1" si="32"/>
        <v>273.21289540171807</v>
      </c>
      <c r="I128" s="452">
        <f>'Economic Data'!Q154</f>
        <v>857744.77399999998</v>
      </c>
      <c r="J128">
        <f t="shared" si="33"/>
        <v>31</v>
      </c>
      <c r="K128">
        <f t="shared" si="33"/>
        <v>0</v>
      </c>
      <c r="M128" s="6">
        <f t="shared" si="34"/>
        <v>-3155056.29692131</v>
      </c>
      <c r="N128" s="6">
        <f t="shared" ca="1" si="36"/>
        <v>1282.87948076361</v>
      </c>
      <c r="O128" s="6">
        <f t="shared" ca="1" si="37"/>
        <v>2023845.5105035044</v>
      </c>
      <c r="P128" s="6">
        <f t="shared" si="38"/>
        <v>5122068.2445649654</v>
      </c>
      <c r="Q128" s="6">
        <f t="shared" si="39"/>
        <v>3861595.9081566473</v>
      </c>
      <c r="R128" s="6">
        <f t="shared" si="40"/>
        <v>0</v>
      </c>
      <c r="S128" s="6">
        <f t="shared" ca="1" si="35"/>
        <v>7853736.2457845714</v>
      </c>
    </row>
    <row r="129" spans="1:19">
      <c r="A129" s="197">
        <v>45505</v>
      </c>
      <c r="B129">
        <f t="shared" si="30"/>
        <v>8</v>
      </c>
      <c r="C129">
        <f t="shared" si="31"/>
        <v>2024</v>
      </c>
      <c r="D129" s="6"/>
      <c r="E129" s="6"/>
      <c r="F129" s="6"/>
      <c r="G129" s="7">
        <f t="shared" ca="1" si="32"/>
        <v>2.7971045982819609</v>
      </c>
      <c r="H129" s="7">
        <f t="shared" ca="1" si="32"/>
        <v>245.37605861546234</v>
      </c>
      <c r="I129" s="452">
        <f>'Economic Data'!Q155</f>
        <v>857744.77399999998</v>
      </c>
      <c r="J129">
        <f t="shared" si="33"/>
        <v>31</v>
      </c>
      <c r="K129">
        <f t="shared" si="33"/>
        <v>0</v>
      </c>
      <c r="M129" s="6">
        <f t="shared" si="34"/>
        <v>-3155056.29692131</v>
      </c>
      <c r="N129" s="6">
        <f t="shared" ca="1" si="36"/>
        <v>4784.4641262472906</v>
      </c>
      <c r="O129" s="6">
        <f t="shared" ca="1" si="37"/>
        <v>1817642.0036242013</v>
      </c>
      <c r="P129" s="6">
        <f t="shared" si="38"/>
        <v>5122068.2445649654</v>
      </c>
      <c r="Q129" s="6">
        <f t="shared" si="39"/>
        <v>3861595.9081566473</v>
      </c>
      <c r="R129" s="6">
        <f t="shared" si="40"/>
        <v>0</v>
      </c>
      <c r="S129" s="6">
        <f t="shared" ca="1" si="35"/>
        <v>7651034.3235507514</v>
      </c>
    </row>
    <row r="130" spans="1:19">
      <c r="A130" s="197">
        <v>45536</v>
      </c>
      <c r="B130">
        <f t="shared" si="30"/>
        <v>9</v>
      </c>
      <c r="C130">
        <f t="shared" si="31"/>
        <v>2024</v>
      </c>
      <c r="D130" s="6"/>
      <c r="E130" s="6"/>
      <c r="F130" s="6"/>
      <c r="G130" s="7">
        <f t="shared" ca="1" si="32"/>
        <v>39.200656897422931</v>
      </c>
      <c r="H130" s="7">
        <f t="shared" ca="1" si="32"/>
        <v>139.01579080343606</v>
      </c>
      <c r="I130" s="452">
        <f>'Economic Data'!Q156</f>
        <v>857744.77399999998</v>
      </c>
      <c r="J130">
        <f t="shared" si="33"/>
        <v>30</v>
      </c>
      <c r="K130">
        <f t="shared" si="33"/>
        <v>0</v>
      </c>
      <c r="M130" s="6">
        <f t="shared" si="34"/>
        <v>-3155056.29692131</v>
      </c>
      <c r="N130" s="6">
        <f t="shared" ca="1" si="36"/>
        <v>67052.957821544478</v>
      </c>
      <c r="O130" s="6">
        <f t="shared" ca="1" si="37"/>
        <v>1029770.149366307</v>
      </c>
      <c r="P130" s="6">
        <f t="shared" si="38"/>
        <v>5122068.2445649654</v>
      </c>
      <c r="Q130" s="6">
        <f t="shared" si="39"/>
        <v>3737028.2982161101</v>
      </c>
      <c r="R130" s="6">
        <f t="shared" si="40"/>
        <v>0</v>
      </c>
      <c r="S130" s="6">
        <f t="shared" ca="1" si="35"/>
        <v>6800863.3530476168</v>
      </c>
    </row>
    <row r="131" spans="1:19">
      <c r="A131" s="197">
        <v>45566</v>
      </c>
      <c r="B131">
        <f t="shared" si="30"/>
        <v>10</v>
      </c>
      <c r="C131">
        <f t="shared" si="31"/>
        <v>2024</v>
      </c>
      <c r="D131" s="6"/>
      <c r="E131" s="6"/>
      <c r="F131" s="6"/>
      <c r="G131" s="7">
        <f t="shared" ref="G131:H133" ca="1" si="41">G119</f>
        <v>194.90420919656393</v>
      </c>
      <c r="H131" s="7">
        <f t="shared" ca="1" si="41"/>
        <v>38.166447700859024</v>
      </c>
      <c r="I131" s="452">
        <f>'Economic Data'!Q157</f>
        <v>857203.38906399999</v>
      </c>
      <c r="J131">
        <f t="shared" si="33"/>
        <v>31</v>
      </c>
      <c r="K131">
        <f t="shared" si="33"/>
        <v>1</v>
      </c>
      <c r="M131" s="6">
        <f t="shared" si="34"/>
        <v>-3155056.29692131</v>
      </c>
      <c r="N131" s="6">
        <f t="shared" ca="1" si="36"/>
        <v>333384.81425697327</v>
      </c>
      <c r="O131" s="6">
        <f t="shared" ca="1" si="37"/>
        <v>282720.89323483885</v>
      </c>
      <c r="P131" s="6">
        <f t="shared" si="38"/>
        <v>5118835.3358107219</v>
      </c>
      <c r="Q131" s="6">
        <f t="shared" si="39"/>
        <v>3861595.9081566473</v>
      </c>
      <c r="R131" s="6">
        <f t="shared" si="40"/>
        <v>-115215.035448868</v>
      </c>
      <c r="S131" s="6">
        <f t="shared" ca="1" si="35"/>
        <v>6326265.6190890037</v>
      </c>
    </row>
    <row r="132" spans="1:19">
      <c r="A132" s="197">
        <v>45597</v>
      </c>
      <c r="B132">
        <f t="shared" si="30"/>
        <v>11</v>
      </c>
      <c r="C132">
        <f t="shared" si="31"/>
        <v>2024</v>
      </c>
      <c r="D132" s="6"/>
      <c r="E132" s="6"/>
      <c r="F132" s="6"/>
      <c r="G132" s="7">
        <f t="shared" ca="1" si="41"/>
        <v>404.02065689742301</v>
      </c>
      <c r="H132" s="7">
        <f t="shared" ca="1" si="41"/>
        <v>2.419999999999999</v>
      </c>
      <c r="I132" s="452">
        <f>'Economic Data'!Q158</f>
        <v>857203.38906399999</v>
      </c>
      <c r="J132">
        <f t="shared" si="33"/>
        <v>30</v>
      </c>
      <c r="K132">
        <f t="shared" si="33"/>
        <v>1</v>
      </c>
      <c r="M132" s="6">
        <f t="shared" si="34"/>
        <v>-3155056.29692131</v>
      </c>
      <c r="N132" s="6">
        <f t="shared" ca="1" si="36"/>
        <v>691079.74738445156</v>
      </c>
      <c r="O132" s="6">
        <f t="shared" ca="1" si="37"/>
        <v>17926.335900862752</v>
      </c>
      <c r="P132" s="6">
        <f t="shared" si="38"/>
        <v>5118835.3358107219</v>
      </c>
      <c r="Q132" s="6">
        <f t="shared" si="39"/>
        <v>3737028.2982161101</v>
      </c>
      <c r="R132" s="6">
        <f t="shared" si="40"/>
        <v>-115215.035448868</v>
      </c>
      <c r="S132" s="6">
        <f t="shared" ca="1" si="35"/>
        <v>6294598.3849419681</v>
      </c>
    </row>
    <row r="133" spans="1:19">
      <c r="A133" s="197">
        <v>45627</v>
      </c>
      <c r="B133">
        <f t="shared" si="30"/>
        <v>12</v>
      </c>
      <c r="C133">
        <f t="shared" si="31"/>
        <v>2024</v>
      </c>
      <c r="D133" s="6"/>
      <c r="E133" s="6"/>
      <c r="F133" s="6"/>
      <c r="G133" s="7">
        <f t="shared" ca="1" si="41"/>
        <v>533.7700000000001</v>
      </c>
      <c r="H133" s="7">
        <f t="shared" ca="1" si="41"/>
        <v>0</v>
      </c>
      <c r="I133" s="452">
        <f>'Economic Data'!Q159</f>
        <v>857203.38906399999</v>
      </c>
      <c r="J133">
        <f t="shared" si="33"/>
        <v>31</v>
      </c>
      <c r="K133">
        <f t="shared" si="33"/>
        <v>0</v>
      </c>
      <c r="M133" s="6">
        <f t="shared" si="34"/>
        <v>-3155056.29692131</v>
      </c>
      <c r="N133" s="6">
        <f t="shared" ca="1" si="36"/>
        <v>913016.77392958966</v>
      </c>
      <c r="O133" s="6">
        <f t="shared" ca="1" si="37"/>
        <v>0</v>
      </c>
      <c r="P133" s="6">
        <f t="shared" si="38"/>
        <v>5118835.3358107219</v>
      </c>
      <c r="Q133" s="6">
        <f t="shared" si="39"/>
        <v>3861595.9081566473</v>
      </c>
      <c r="R133" s="6">
        <f t="shared" si="40"/>
        <v>0</v>
      </c>
      <c r="S133" s="6">
        <f t="shared" ca="1" si="35"/>
        <v>6738391.7209756486</v>
      </c>
    </row>
    <row r="134" spans="1:19">
      <c r="A134" s="197">
        <v>45658</v>
      </c>
      <c r="B134">
        <f t="shared" ref="B134:B145" si="42">MONTH(A134)</f>
        <v>1</v>
      </c>
      <c r="C134">
        <f t="shared" ref="C134:C145" si="43">YEAR(A134)</f>
        <v>2025</v>
      </c>
      <c r="D134" s="6"/>
      <c r="E134" s="6"/>
      <c r="F134" s="6"/>
      <c r="G134" s="7">
        <f t="shared" ref="G134:H145" ca="1" si="44">G122</f>
        <v>671</v>
      </c>
      <c r="H134" s="7">
        <f t="shared" ca="1" si="44"/>
        <v>0</v>
      </c>
      <c r="I134" s="452">
        <f>'Economic Data'!Q160</f>
        <v>871472.54587899998</v>
      </c>
      <c r="J134">
        <f t="shared" si="33"/>
        <v>31</v>
      </c>
      <c r="K134">
        <f t="shared" si="33"/>
        <v>0</v>
      </c>
      <c r="M134" s="6">
        <f t="shared" si="34"/>
        <v>-3155056.29692131</v>
      </c>
      <c r="N134" s="6">
        <f t="shared" ref="N134:N145" ca="1" si="45">G134*$V$10</f>
        <v>1147749.5087898432</v>
      </c>
      <c r="O134" s="6">
        <f t="shared" ref="O134:O145" ca="1" si="46">H134*$V$11</f>
        <v>0</v>
      </c>
      <c r="P134" s="6">
        <f t="shared" ref="P134:P145" si="47">I134*$V$12</f>
        <v>5204044.3597701369</v>
      </c>
      <c r="Q134" s="6">
        <f t="shared" ref="Q134:Q145" si="48">J134*$V$13</f>
        <v>3861595.9081566473</v>
      </c>
      <c r="R134" s="6">
        <f t="shared" si="40"/>
        <v>0</v>
      </c>
      <c r="S134" s="6">
        <f t="shared" ca="1" si="35"/>
        <v>7058333.4797953172</v>
      </c>
    </row>
    <row r="135" spans="1:19">
      <c r="A135" s="197">
        <v>45689</v>
      </c>
      <c r="B135">
        <f t="shared" si="42"/>
        <v>2</v>
      </c>
      <c r="C135">
        <f t="shared" si="43"/>
        <v>2025</v>
      </c>
      <c r="D135" s="6"/>
      <c r="E135" s="6"/>
      <c r="F135" s="6"/>
      <c r="G135" s="7">
        <f t="shared" ca="1" si="44"/>
        <v>595.51355229914111</v>
      </c>
      <c r="H135" s="7">
        <f t="shared" ca="1" si="44"/>
        <v>0</v>
      </c>
      <c r="I135" s="452">
        <f>'Economic Data'!Q161</f>
        <v>871472.54587899998</v>
      </c>
      <c r="J135">
        <f t="shared" si="33"/>
        <v>28</v>
      </c>
      <c r="K135">
        <f t="shared" si="33"/>
        <v>0</v>
      </c>
      <c r="M135" s="6">
        <f t="shared" si="34"/>
        <v>-3155056.29692131</v>
      </c>
      <c r="N135" s="6">
        <f t="shared" ca="1" si="45"/>
        <v>1018629.4890149535</v>
      </c>
      <c r="O135" s="6">
        <f t="shared" ca="1" si="46"/>
        <v>0</v>
      </c>
      <c r="P135" s="6">
        <f t="shared" si="47"/>
        <v>5204044.3597701369</v>
      </c>
      <c r="Q135" s="6">
        <f t="shared" si="48"/>
        <v>3487893.0783350361</v>
      </c>
      <c r="R135" s="6">
        <f t="shared" si="40"/>
        <v>0</v>
      </c>
      <c r="S135" s="6">
        <f t="shared" ca="1" si="35"/>
        <v>6555510.6301988158</v>
      </c>
    </row>
    <row r="136" spans="1:19">
      <c r="A136" s="197">
        <v>45717</v>
      </c>
      <c r="B136">
        <f t="shared" si="42"/>
        <v>3</v>
      </c>
      <c r="C136">
        <f t="shared" si="43"/>
        <v>2025</v>
      </c>
      <c r="D136" s="6"/>
      <c r="E136" s="6"/>
      <c r="F136" s="6"/>
      <c r="G136" s="7">
        <f t="shared" ca="1" si="44"/>
        <v>496.46355229914104</v>
      </c>
      <c r="H136" s="7">
        <f t="shared" ca="1" si="44"/>
        <v>0.16999999999999993</v>
      </c>
      <c r="I136" s="452">
        <f>'Economic Data'!Q162</f>
        <v>871472.54587899998</v>
      </c>
      <c r="J136">
        <f t="shared" si="33"/>
        <v>31</v>
      </c>
      <c r="K136">
        <f t="shared" si="33"/>
        <v>1</v>
      </c>
      <c r="M136" s="6">
        <f t="shared" si="34"/>
        <v>-3155056.29692131</v>
      </c>
      <c r="N136" s="6">
        <f t="shared" ca="1" si="45"/>
        <v>849203.87225543917</v>
      </c>
      <c r="O136" s="6">
        <f t="shared" ca="1" si="46"/>
        <v>1259.2880591515157</v>
      </c>
      <c r="P136" s="6">
        <f t="shared" si="47"/>
        <v>5204044.3597701369</v>
      </c>
      <c r="Q136" s="6">
        <f t="shared" si="48"/>
        <v>3861595.9081566473</v>
      </c>
      <c r="R136" s="6">
        <f t="shared" si="40"/>
        <v>-115215.035448868</v>
      </c>
      <c r="S136" s="6">
        <f t="shared" ca="1" si="35"/>
        <v>6645832.0958711971</v>
      </c>
    </row>
    <row r="137" spans="1:19">
      <c r="A137" s="197">
        <v>45748</v>
      </c>
      <c r="B137">
        <f t="shared" si="42"/>
        <v>4</v>
      </c>
      <c r="C137">
        <f t="shared" si="43"/>
        <v>2025</v>
      </c>
      <c r="D137" s="6"/>
      <c r="E137" s="6"/>
      <c r="F137" s="6"/>
      <c r="G137" s="7">
        <f t="shared" ca="1" si="44"/>
        <v>296.23000000000008</v>
      </c>
      <c r="H137" s="7">
        <f t="shared" ca="1" si="44"/>
        <v>8.7799999999999994</v>
      </c>
      <c r="I137" s="452">
        <f>'Economic Data'!Q163</f>
        <v>875284.39707800001</v>
      </c>
      <c r="J137">
        <f t="shared" si="33"/>
        <v>30</v>
      </c>
      <c r="K137">
        <f t="shared" si="33"/>
        <v>1</v>
      </c>
      <c r="M137" s="6">
        <f t="shared" si="34"/>
        <v>-3155056.29692131</v>
      </c>
      <c r="N137" s="6">
        <f t="shared" ca="1" si="45"/>
        <v>506703.18478213908</v>
      </c>
      <c r="O137" s="6">
        <f t="shared" ca="1" si="46"/>
        <v>65038.524466766539</v>
      </c>
      <c r="P137" s="6">
        <f t="shared" si="47"/>
        <v>5226807.0306382487</v>
      </c>
      <c r="Q137" s="6">
        <f t="shared" si="48"/>
        <v>3737028.2982161101</v>
      </c>
      <c r="R137" s="6">
        <f t="shared" si="40"/>
        <v>-115215.035448868</v>
      </c>
      <c r="S137" s="6">
        <f t="shared" ca="1" si="35"/>
        <v>6265305.7057330869</v>
      </c>
    </row>
    <row r="138" spans="1:19">
      <c r="A138" s="197">
        <v>45778</v>
      </c>
      <c r="B138">
        <f t="shared" si="42"/>
        <v>5</v>
      </c>
      <c r="C138">
        <f t="shared" si="43"/>
        <v>2025</v>
      </c>
      <c r="D138" s="6"/>
      <c r="E138" s="6"/>
      <c r="F138" s="6"/>
      <c r="G138" s="7">
        <f t="shared" ca="1" si="44"/>
        <v>116.90355229914098</v>
      </c>
      <c r="H138" s="7">
        <f t="shared" ca="1" si="44"/>
        <v>84.676447700859015</v>
      </c>
      <c r="I138" s="452">
        <f>'Economic Data'!Q164</f>
        <v>875284.39707800001</v>
      </c>
      <c r="J138">
        <f t="shared" si="33"/>
        <v>31</v>
      </c>
      <c r="K138">
        <f t="shared" si="33"/>
        <v>1</v>
      </c>
      <c r="M138" s="6">
        <f t="shared" si="34"/>
        <v>-3155056.29692131</v>
      </c>
      <c r="N138" s="6">
        <f t="shared" ca="1" si="45"/>
        <v>199964.22463059134</v>
      </c>
      <c r="O138" s="6">
        <f t="shared" ca="1" si="46"/>
        <v>627247.29106505658</v>
      </c>
      <c r="P138" s="6">
        <f t="shared" si="47"/>
        <v>5226807.0306382487</v>
      </c>
      <c r="Q138" s="6">
        <f t="shared" si="48"/>
        <v>3861595.9081566473</v>
      </c>
      <c r="R138" s="6">
        <f t="shared" si="40"/>
        <v>-115215.035448868</v>
      </c>
      <c r="S138" s="6">
        <f t="shared" ca="1" si="35"/>
        <v>6645343.1221203664</v>
      </c>
    </row>
    <row r="139" spans="1:19">
      <c r="A139" s="197">
        <v>45809</v>
      </c>
      <c r="B139">
        <f t="shared" si="42"/>
        <v>6</v>
      </c>
      <c r="C139">
        <f t="shared" si="43"/>
        <v>2025</v>
      </c>
      <c r="D139" s="6"/>
      <c r="E139" s="6"/>
      <c r="F139" s="6"/>
      <c r="G139" s="7">
        <f t="shared" ca="1" si="44"/>
        <v>11.023552299140979</v>
      </c>
      <c r="H139" s="7">
        <f t="shared" ca="1" si="44"/>
        <v>202.63644770085901</v>
      </c>
      <c r="I139" s="452">
        <f>'Economic Data'!Q165</f>
        <v>875284.39707800001</v>
      </c>
      <c r="J139">
        <f t="shared" si="33"/>
        <v>30</v>
      </c>
      <c r="K139">
        <f t="shared" si="33"/>
        <v>0</v>
      </c>
      <c r="M139" s="6">
        <f t="shared" si="34"/>
        <v>-3155056.29692131</v>
      </c>
      <c r="N139" s="6">
        <f t="shared" ca="1" si="45"/>
        <v>18855.852066256637</v>
      </c>
      <c r="O139" s="6">
        <f t="shared" ca="1" si="46"/>
        <v>1501045.0525798379</v>
      </c>
      <c r="P139" s="6">
        <f t="shared" si="47"/>
        <v>5226807.0306382487</v>
      </c>
      <c r="Q139" s="6">
        <f t="shared" si="48"/>
        <v>3737028.2982161101</v>
      </c>
      <c r="R139" s="6">
        <f t="shared" si="40"/>
        <v>0</v>
      </c>
      <c r="S139" s="6">
        <f t="shared" ca="1" si="35"/>
        <v>7328679.9365791436</v>
      </c>
    </row>
    <row r="140" spans="1:19">
      <c r="A140" s="197">
        <v>45839</v>
      </c>
      <c r="B140">
        <f t="shared" si="42"/>
        <v>7</v>
      </c>
      <c r="C140">
        <f t="shared" si="43"/>
        <v>2025</v>
      </c>
      <c r="D140" s="6"/>
      <c r="E140" s="6"/>
      <c r="F140" s="6"/>
      <c r="G140" s="7">
        <f t="shared" ca="1" si="44"/>
        <v>0.75</v>
      </c>
      <c r="H140" s="7">
        <f t="shared" ca="1" si="44"/>
        <v>273.21289540171807</v>
      </c>
      <c r="I140" s="452">
        <f>'Economic Data'!Q166</f>
        <v>875328.54186699993</v>
      </c>
      <c r="J140">
        <f t="shared" si="33"/>
        <v>31</v>
      </c>
      <c r="K140">
        <f t="shared" si="33"/>
        <v>0</v>
      </c>
      <c r="M140" s="6">
        <f t="shared" si="34"/>
        <v>-3155056.29692131</v>
      </c>
      <c r="N140" s="6">
        <f t="shared" ca="1" si="45"/>
        <v>1282.87948076361</v>
      </c>
      <c r="O140" s="6">
        <f t="shared" ca="1" si="46"/>
        <v>2023845.5105035044</v>
      </c>
      <c r="P140" s="6">
        <f t="shared" si="47"/>
        <v>5227070.6435785471</v>
      </c>
      <c r="Q140" s="6">
        <f t="shared" si="48"/>
        <v>3861595.9081566473</v>
      </c>
      <c r="R140" s="6">
        <f t="shared" si="40"/>
        <v>0</v>
      </c>
      <c r="S140" s="6">
        <f t="shared" ca="1" si="35"/>
        <v>7958738.6447981521</v>
      </c>
    </row>
    <row r="141" spans="1:19">
      <c r="A141" s="197">
        <v>45870</v>
      </c>
      <c r="B141">
        <f t="shared" si="42"/>
        <v>8</v>
      </c>
      <c r="C141">
        <f t="shared" si="43"/>
        <v>2025</v>
      </c>
      <c r="D141" s="6"/>
      <c r="E141" s="6"/>
      <c r="F141" s="6"/>
      <c r="G141" s="7">
        <f t="shared" ca="1" si="44"/>
        <v>2.7971045982819609</v>
      </c>
      <c r="H141" s="7">
        <f t="shared" ca="1" si="44"/>
        <v>245.37605861546234</v>
      </c>
      <c r="I141" s="452">
        <f>'Economic Data'!Q167</f>
        <v>875328.54186699993</v>
      </c>
      <c r="J141">
        <f t="shared" si="33"/>
        <v>31</v>
      </c>
      <c r="K141">
        <f t="shared" si="33"/>
        <v>0</v>
      </c>
      <c r="M141" s="6">
        <f t="shared" si="34"/>
        <v>-3155056.29692131</v>
      </c>
      <c r="N141" s="6">
        <f t="shared" ca="1" si="45"/>
        <v>4784.4641262472906</v>
      </c>
      <c r="O141" s="6">
        <f t="shared" ca="1" si="46"/>
        <v>1817642.0036242013</v>
      </c>
      <c r="P141" s="6">
        <f t="shared" si="47"/>
        <v>5227070.6435785471</v>
      </c>
      <c r="Q141" s="6">
        <f t="shared" si="48"/>
        <v>3861595.9081566473</v>
      </c>
      <c r="R141" s="6">
        <f t="shared" si="40"/>
        <v>0</v>
      </c>
      <c r="S141" s="6">
        <f t="shared" ca="1" si="35"/>
        <v>7756036.7225643331</v>
      </c>
    </row>
    <row r="142" spans="1:19">
      <c r="A142" s="197">
        <v>45901</v>
      </c>
      <c r="B142">
        <f t="shared" si="42"/>
        <v>9</v>
      </c>
      <c r="C142">
        <f t="shared" si="43"/>
        <v>2025</v>
      </c>
      <c r="D142" s="6"/>
      <c r="E142" s="6"/>
      <c r="F142" s="6"/>
      <c r="G142" s="7">
        <f t="shared" ca="1" si="44"/>
        <v>39.200656897422931</v>
      </c>
      <c r="H142" s="7">
        <f t="shared" ca="1" si="44"/>
        <v>139.01579080343606</v>
      </c>
      <c r="I142" s="452">
        <f>'Economic Data'!Q168</f>
        <v>875328.54186699993</v>
      </c>
      <c r="J142">
        <f t="shared" si="33"/>
        <v>30</v>
      </c>
      <c r="K142">
        <f t="shared" si="33"/>
        <v>0</v>
      </c>
      <c r="M142" s="6">
        <f t="shared" si="34"/>
        <v>-3155056.29692131</v>
      </c>
      <c r="N142" s="6">
        <f t="shared" ca="1" si="45"/>
        <v>67052.957821544478</v>
      </c>
      <c r="O142" s="6">
        <f t="shared" ca="1" si="46"/>
        <v>1029770.149366307</v>
      </c>
      <c r="P142" s="6">
        <f t="shared" si="47"/>
        <v>5227070.6435785471</v>
      </c>
      <c r="Q142" s="6">
        <f t="shared" si="48"/>
        <v>3737028.2982161101</v>
      </c>
      <c r="R142" s="6">
        <f t="shared" si="40"/>
        <v>0</v>
      </c>
      <c r="S142" s="6">
        <f t="shared" ca="1" si="35"/>
        <v>6905865.7520611985</v>
      </c>
    </row>
    <row r="143" spans="1:19">
      <c r="A143" s="197">
        <v>45931</v>
      </c>
      <c r="B143">
        <f t="shared" si="42"/>
        <v>10</v>
      </c>
      <c r="C143">
        <f t="shared" si="43"/>
        <v>2025</v>
      </c>
      <c r="D143" s="6"/>
      <c r="E143" s="6"/>
      <c r="F143" s="6"/>
      <c r="G143" s="7">
        <f t="shared" ca="1" si="44"/>
        <v>194.90420919656393</v>
      </c>
      <c r="H143" s="7">
        <f t="shared" ca="1" si="44"/>
        <v>38.166447700859024</v>
      </c>
      <c r="I143" s="452">
        <f>'Economic Data'!Q169</f>
        <v>874776.05853981199</v>
      </c>
      <c r="J143">
        <f t="shared" si="33"/>
        <v>31</v>
      </c>
      <c r="K143">
        <f t="shared" si="33"/>
        <v>1</v>
      </c>
      <c r="M143" s="6">
        <f t="shared" si="34"/>
        <v>-3155056.29692131</v>
      </c>
      <c r="N143" s="6">
        <f t="shared" ca="1" si="45"/>
        <v>333384.81425697327</v>
      </c>
      <c r="O143" s="6">
        <f t="shared" ca="1" si="46"/>
        <v>282720.89323483885</v>
      </c>
      <c r="P143" s="6">
        <f t="shared" si="47"/>
        <v>5223771.460194841</v>
      </c>
      <c r="Q143" s="6">
        <f t="shared" si="48"/>
        <v>3861595.9081566473</v>
      </c>
      <c r="R143" s="6">
        <f t="shared" si="40"/>
        <v>-115215.035448868</v>
      </c>
      <c r="S143" s="6">
        <f t="shared" ca="1" si="35"/>
        <v>6431201.7434731219</v>
      </c>
    </row>
    <row r="144" spans="1:19">
      <c r="A144" s="197">
        <v>45962</v>
      </c>
      <c r="B144">
        <f t="shared" si="42"/>
        <v>11</v>
      </c>
      <c r="C144">
        <f t="shared" si="43"/>
        <v>2025</v>
      </c>
      <c r="D144" s="6"/>
      <c r="E144" s="6"/>
      <c r="F144" s="6"/>
      <c r="G144" s="7">
        <f t="shared" ca="1" si="44"/>
        <v>404.02065689742301</v>
      </c>
      <c r="H144" s="7">
        <f t="shared" ca="1" si="44"/>
        <v>2.419999999999999</v>
      </c>
      <c r="I144" s="452">
        <f>'Economic Data'!Q170</f>
        <v>874776.05853981199</v>
      </c>
      <c r="J144">
        <f t="shared" si="33"/>
        <v>30</v>
      </c>
      <c r="K144">
        <f t="shared" si="33"/>
        <v>1</v>
      </c>
      <c r="M144" s="6">
        <f t="shared" si="34"/>
        <v>-3155056.29692131</v>
      </c>
      <c r="N144" s="6">
        <f t="shared" ca="1" si="45"/>
        <v>691079.74738445156</v>
      </c>
      <c r="O144" s="6">
        <f t="shared" ca="1" si="46"/>
        <v>17926.335900862752</v>
      </c>
      <c r="P144" s="6">
        <f t="shared" si="47"/>
        <v>5223771.460194841</v>
      </c>
      <c r="Q144" s="6">
        <f t="shared" si="48"/>
        <v>3737028.2982161101</v>
      </c>
      <c r="R144" s="6">
        <f t="shared" si="40"/>
        <v>-115215.035448868</v>
      </c>
      <c r="S144" s="6">
        <f t="shared" ca="1" si="35"/>
        <v>6399534.5093260873</v>
      </c>
    </row>
    <row r="145" spans="1:19">
      <c r="A145" s="197">
        <v>45992</v>
      </c>
      <c r="B145">
        <f t="shared" si="42"/>
        <v>12</v>
      </c>
      <c r="C145">
        <f t="shared" si="43"/>
        <v>2025</v>
      </c>
      <c r="D145" s="6"/>
      <c r="E145" s="6"/>
      <c r="F145" s="6"/>
      <c r="G145" s="7">
        <f t="shared" ca="1" si="44"/>
        <v>533.7700000000001</v>
      </c>
      <c r="H145" s="7">
        <f t="shared" ca="1" si="44"/>
        <v>0</v>
      </c>
      <c r="I145" s="452">
        <f>'Economic Data'!Q171</f>
        <v>874776.05853981199</v>
      </c>
      <c r="J145">
        <f t="shared" si="33"/>
        <v>31</v>
      </c>
      <c r="K145">
        <f t="shared" si="33"/>
        <v>0</v>
      </c>
      <c r="M145" s="6">
        <f t="shared" si="34"/>
        <v>-3155056.29692131</v>
      </c>
      <c r="N145" s="6">
        <f t="shared" ca="1" si="45"/>
        <v>913016.77392958966</v>
      </c>
      <c r="O145" s="6">
        <f t="shared" ca="1" si="46"/>
        <v>0</v>
      </c>
      <c r="P145" s="6">
        <f t="shared" si="47"/>
        <v>5223771.460194841</v>
      </c>
      <c r="Q145" s="6">
        <f t="shared" si="48"/>
        <v>3861595.9081566473</v>
      </c>
      <c r="R145" s="6">
        <f t="shared" si="40"/>
        <v>0</v>
      </c>
      <c r="S145" s="6">
        <f ca="1">SUM(M145:R145)</f>
        <v>6843327.8453597678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65CC-D9C4-473E-8384-FD3B759825AE}">
  <sheetPr codeName="Sheet24">
    <tabColor theme="9" tint="0.79998168889431442"/>
  </sheetPr>
  <dimension ref="A1:AA145"/>
  <sheetViews>
    <sheetView topLeftCell="M1" workbookViewId="0">
      <selection activeCell="W4" sqref="W4:AB24"/>
    </sheetView>
  </sheetViews>
  <sheetFormatPr defaultRowHeight="14.45"/>
  <cols>
    <col min="1" max="1" width="12.28515625" customWidth="1"/>
    <col min="4" max="4" width="19" bestFit="1" customWidth="1"/>
    <col min="5" max="6" width="7" bestFit="1" customWidth="1"/>
    <col min="7" max="7" width="9.85546875" customWidth="1"/>
    <col min="9" max="9" width="11.85546875" customWidth="1"/>
    <col min="14" max="14" width="15" bestFit="1" customWidth="1"/>
    <col min="15" max="15" width="15" customWidth="1"/>
    <col min="16" max="16" width="13.28515625" bestFit="1" customWidth="1"/>
    <col min="17" max="17" width="14.28515625" customWidth="1"/>
    <col min="18" max="18" width="14.28515625" bestFit="1" customWidth="1"/>
    <col min="19" max="20" width="14.28515625" customWidth="1"/>
    <col min="21" max="21" width="16" customWidth="1"/>
    <col min="24" max="24" width="11.5703125" bestFit="1" customWidth="1"/>
    <col min="25" max="25" width="18.7109375" bestFit="1" customWidth="1"/>
  </cols>
  <sheetData>
    <row r="1" spans="1:27">
      <c r="A1" t="s">
        <v>0</v>
      </c>
      <c r="B1" t="s">
        <v>151</v>
      </c>
      <c r="C1" t="s">
        <v>1</v>
      </c>
      <c r="D1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t="str">
        <f>E1</f>
        <v>HDD16</v>
      </c>
      <c r="H1" t="str">
        <f>F1</f>
        <v>CDD12</v>
      </c>
      <c r="I1" t="str">
        <f>'Monthly Data (14-23) Used'!BC1</f>
        <v>Total_OEA</v>
      </c>
      <c r="J1" t="str">
        <f>'Monthly Data (14-23) Used'!CC1</f>
        <v>Peak Days</v>
      </c>
      <c r="K1" t="str">
        <f>'Monthly Data (14-23) Used'!BU1</f>
        <v>Sept</v>
      </c>
      <c r="L1" t="str">
        <f>'Monthly Data (14-23) Used'!BZ1</f>
        <v>Fall</v>
      </c>
      <c r="N1" t="s">
        <v>221</v>
      </c>
      <c r="O1" t="str">
        <f t="shared" ref="O1:T1" si="0">G1</f>
        <v>HDD16</v>
      </c>
      <c r="P1" t="str">
        <f t="shared" si="0"/>
        <v>CDD12</v>
      </c>
      <c r="Q1" t="str">
        <f t="shared" si="0"/>
        <v>Total_OEA</v>
      </c>
      <c r="R1" t="str">
        <f t="shared" si="0"/>
        <v>Peak Days</v>
      </c>
      <c r="S1" t="str">
        <f t="shared" si="0"/>
        <v>Sept</v>
      </c>
      <c r="T1" t="str">
        <f t="shared" si="0"/>
        <v>Fall</v>
      </c>
      <c r="U1" t="s">
        <v>242</v>
      </c>
    </row>
    <row r="2" spans="1:27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Used'!M2</f>
        <v>14677049.996043535</v>
      </c>
      <c r="E2" s="64">
        <f>'Monthly Data (14-23) Used'!AE2</f>
        <v>747.69999999999982</v>
      </c>
      <c r="F2" s="64">
        <f>'Monthly Data (14-23) Used'!AJ2</f>
        <v>0</v>
      </c>
      <c r="G2" s="226">
        <f ca="1">'Weather Data'!BB38</f>
        <v>608.99999999999989</v>
      </c>
      <c r="H2" s="226">
        <f ca="1">'Weather Data'!CE38</f>
        <v>0</v>
      </c>
      <c r="I2" s="6">
        <f>'Monthly Data (14-23) Used'!BC2</f>
        <v>699057</v>
      </c>
      <c r="J2">
        <f>'Monthly Data (14-23) Used'!CC2</f>
        <v>22</v>
      </c>
      <c r="K2">
        <f>'Monthly Data (14-23) Used'!BU2</f>
        <v>0</v>
      </c>
      <c r="L2">
        <f>'Monthly Data (14-23) Used'!BZ2</f>
        <v>0</v>
      </c>
      <c r="N2" s="6"/>
      <c r="O2" s="6">
        <f t="shared" ref="O2:O21" ca="1" si="3">(G2-E2)*$X$10</f>
        <v>-547488.99391687661</v>
      </c>
      <c r="P2" s="6">
        <f t="shared" ref="P2:P33" ca="1" si="4">(H2-F2)*$X$11</f>
        <v>0</v>
      </c>
      <c r="Q2" s="6"/>
      <c r="R2" s="6"/>
      <c r="S2" s="6"/>
      <c r="T2" s="6"/>
      <c r="U2" s="6">
        <f t="shared" ref="U2:U21" ca="1" si="5">SUM(D2,N2:T2)</f>
        <v>14129561.002126658</v>
      </c>
    </row>
    <row r="3" spans="1:27">
      <c r="A3" s="197">
        <v>41671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64">
        <f>'Monthly Data (14-23) Used'!AE3</f>
        <v>649.1</v>
      </c>
      <c r="F3" s="64">
        <f>'Monthly Data (14-23) Used'!AJ3</f>
        <v>0</v>
      </c>
      <c r="G3" s="226">
        <f ca="1">'Weather Data'!BB39</f>
        <v>539.11355229914102</v>
      </c>
      <c r="H3" s="226">
        <f ca="1">'Weather Data'!CE39</f>
        <v>0.1</v>
      </c>
      <c r="I3" s="6">
        <f>'Monthly Data (14-23) Used'!BC3</f>
        <v>699057</v>
      </c>
      <c r="J3">
        <f>'Monthly Data (14-23) Used'!CC3</f>
        <v>19</v>
      </c>
      <c r="K3">
        <f>'Monthly Data (14-23) Used'!BU3</f>
        <v>0</v>
      </c>
      <c r="L3">
        <f>'Monthly Data (14-23) Used'!BZ3</f>
        <v>0</v>
      </c>
      <c r="N3" s="6"/>
      <c r="O3" s="6">
        <f t="shared" ca="1" si="3"/>
        <v>-434148.30278467544</v>
      </c>
      <c r="P3" s="6">
        <f t="shared" ca="1" si="4"/>
        <v>1525.92085938324</v>
      </c>
      <c r="Q3" s="6"/>
      <c r="R3" s="6"/>
      <c r="S3" s="6"/>
      <c r="T3" s="6"/>
      <c r="U3" s="6">
        <f t="shared" ca="1" si="5"/>
        <v>13046146.614118243</v>
      </c>
    </row>
    <row r="4" spans="1:27">
      <c r="A4" s="197">
        <v>41699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64">
        <f>'Monthly Data (14-23) Used'!AE4</f>
        <v>575.1</v>
      </c>
      <c r="F4" s="64">
        <f>'Monthly Data (14-23) Used'!AJ4</f>
        <v>0</v>
      </c>
      <c r="G4" s="226">
        <f ca="1">'Weather Data'!BB40</f>
        <v>434.46355229914104</v>
      </c>
      <c r="H4" s="226">
        <f ca="1">'Weather Data'!CE40</f>
        <v>1.2599999999999998</v>
      </c>
      <c r="I4" s="6">
        <f>'Monthly Data (14-23) Used'!BC4</f>
        <v>699057</v>
      </c>
      <c r="J4">
        <f>'Monthly Data (14-23) Used'!CC4</f>
        <v>21</v>
      </c>
      <c r="K4">
        <f>'Monthly Data (14-23) Used'!BU4</f>
        <v>0</v>
      </c>
      <c r="L4">
        <f>'Monthly Data (14-23) Used'!BZ4</f>
        <v>0</v>
      </c>
      <c r="N4" s="6"/>
      <c r="O4" s="6">
        <f t="shared" ca="1" si="3"/>
        <v>-555132.71275981795</v>
      </c>
      <c r="P4" s="6">
        <f t="shared" ca="1" si="4"/>
        <v>19226.602828228821</v>
      </c>
      <c r="Q4" s="6"/>
      <c r="R4" s="6"/>
      <c r="S4" s="6"/>
      <c r="T4" s="6"/>
      <c r="U4" s="6">
        <f t="shared" ca="1" si="5"/>
        <v>13585557.886111947</v>
      </c>
      <c r="W4" t="s">
        <v>253</v>
      </c>
    </row>
    <row r="5" spans="1:27">
      <c r="A5" s="197">
        <v>41730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64">
        <f>'Monthly Data (14-23) Used'!AE5</f>
        <v>223.7</v>
      </c>
      <c r="F5" s="64">
        <f>'Monthly Data (14-23) Used'!AJ5</f>
        <v>14.800000000000002</v>
      </c>
      <c r="G5" s="226">
        <f ca="1">'Weather Data'!BB41</f>
        <v>238.61000000000004</v>
      </c>
      <c r="H5" s="226">
        <f ca="1">'Weather Data'!CE41</f>
        <v>18.349999999999998</v>
      </c>
      <c r="I5" s="6">
        <f>'Monthly Data (14-23) Used'!BC5</f>
        <v>705966</v>
      </c>
      <c r="J5">
        <f>'Monthly Data (14-23) Used'!CC5</f>
        <v>20</v>
      </c>
      <c r="K5">
        <f>'Monthly Data (14-23) Used'!BU5</f>
        <v>0</v>
      </c>
      <c r="L5">
        <f>'Monthly Data (14-23) Used'!BZ5</f>
        <v>0</v>
      </c>
      <c r="N5" s="6"/>
      <c r="O5" s="6">
        <f t="shared" ca="1" si="3"/>
        <v>58854.080023797134</v>
      </c>
      <c r="P5" s="6">
        <f t="shared" ca="1" si="4"/>
        <v>54170.190508104948</v>
      </c>
      <c r="Q5" s="6"/>
      <c r="R5" s="6"/>
      <c r="S5" s="6"/>
      <c r="T5" s="6"/>
      <c r="U5" s="6">
        <f t="shared" ca="1" si="5"/>
        <v>12256548.266575437</v>
      </c>
      <c r="W5" t="s">
        <v>254</v>
      </c>
    </row>
    <row r="6" spans="1:27">
      <c r="A6" s="197">
        <v>41760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64">
        <f>'Monthly Data (14-23) Used'!AE6</f>
        <v>67.800000000000011</v>
      </c>
      <c r="F6" s="64">
        <f>'Monthly Data (14-23) Used'!AJ6</f>
        <v>128.69999999999999</v>
      </c>
      <c r="G6" s="226">
        <f ca="1">'Weather Data'!BB42</f>
        <v>77.693552299140975</v>
      </c>
      <c r="H6" s="226">
        <f ca="1">'Weather Data'!CE42</f>
        <v>124.82289540171806</v>
      </c>
      <c r="I6" s="6">
        <f>'Monthly Data (14-23) Used'!BC6</f>
        <v>705966</v>
      </c>
      <c r="J6">
        <f>'Monthly Data (14-23) Used'!CC6</f>
        <v>22</v>
      </c>
      <c r="K6">
        <f>'Monthly Data (14-23) Used'!BU6</f>
        <v>0</v>
      </c>
      <c r="L6">
        <f>'Monthly Data (14-23) Used'!BZ6</f>
        <v>0</v>
      </c>
      <c r="N6" s="6"/>
      <c r="O6" s="6">
        <f t="shared" ca="1" si="3"/>
        <v>39052.7108473013</v>
      </c>
      <c r="P6" s="6">
        <f t="shared" ca="1" si="4"/>
        <v>-59161.547805290764</v>
      </c>
      <c r="Q6" s="6"/>
      <c r="R6" s="6"/>
      <c r="S6" s="6"/>
      <c r="T6" s="6"/>
      <c r="U6" s="6">
        <f t="shared" ca="1" si="5"/>
        <v>12803119.159085546</v>
      </c>
      <c r="W6" t="s">
        <v>255</v>
      </c>
    </row>
    <row r="7" spans="1:27">
      <c r="A7" s="197">
        <v>41791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64">
        <f>'Monthly Data (14-23) Used'!AE7</f>
        <v>0</v>
      </c>
      <c r="F7" s="64">
        <f>'Monthly Data (14-23) Used'!AJ7</f>
        <v>280.50000000000006</v>
      </c>
      <c r="G7" s="226">
        <f ca="1">'Weather Data'!BB43</f>
        <v>2.8535522991409801</v>
      </c>
      <c r="H7" s="226">
        <f ca="1">'Weather Data'!CE43</f>
        <v>262.25644770085898</v>
      </c>
      <c r="I7" s="6">
        <f>'Monthly Data (14-23) Used'!BC7</f>
        <v>705966</v>
      </c>
      <c r="J7">
        <f>'Monthly Data (14-23) Used'!CC7</f>
        <v>21</v>
      </c>
      <c r="K7">
        <f>'Monthly Data (14-23) Used'!BU7</f>
        <v>0</v>
      </c>
      <c r="L7">
        <f>'Monthly Data (14-23) Used'!BZ7</f>
        <v>0</v>
      </c>
      <c r="N7" s="6"/>
      <c r="O7" s="6">
        <f t="shared" ca="1" si="3"/>
        <v>11263.79579917726</v>
      </c>
      <c r="P7" s="6">
        <f t="shared" ca="1" si="4"/>
        <v>-278382.17002508428</v>
      </c>
      <c r="Q7" s="6"/>
      <c r="R7" s="6"/>
      <c r="S7" s="6"/>
      <c r="T7" s="6"/>
      <c r="U7" s="6">
        <f t="shared" ca="1" si="5"/>
        <v>14304456.621817628</v>
      </c>
    </row>
    <row r="8" spans="1:27">
      <c r="A8" s="197">
        <v>41821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64">
        <f>'Monthly Data (14-23) Used'!AE8</f>
        <v>0</v>
      </c>
      <c r="F8" s="64">
        <f>'Monthly Data (14-23) Used'!AJ8</f>
        <v>266.09999999999997</v>
      </c>
      <c r="G8" s="226">
        <f ca="1">'Weather Data'!BB44</f>
        <v>1.9999999999999928E-2</v>
      </c>
      <c r="H8" s="226">
        <f ca="1">'Weather Data'!CE44</f>
        <v>335.21289540171807</v>
      </c>
      <c r="I8" s="6">
        <f>'Monthly Data (14-23) Used'!BC8</f>
        <v>713152</v>
      </c>
      <c r="J8">
        <f>'Monthly Data (14-23) Used'!CC8</f>
        <v>22</v>
      </c>
      <c r="K8">
        <f>'Monthly Data (14-23) Used'!BU8</f>
        <v>0</v>
      </c>
      <c r="L8">
        <f>'Monthly Data (14-23) Used'!BZ8</f>
        <v>0</v>
      </c>
      <c r="N8" s="6"/>
      <c r="O8" s="6">
        <f t="shared" ca="1" si="3"/>
        <v>78.945781386715908</v>
      </c>
      <c r="P8" s="6">
        <f t="shared" ca="1" si="4"/>
        <v>1054608.0874585367</v>
      </c>
      <c r="Q8" s="6"/>
      <c r="R8" s="6"/>
      <c r="S8" s="6"/>
      <c r="T8" s="6"/>
      <c r="U8" s="6">
        <f t="shared" ca="1" si="5"/>
        <v>15820181.029283458</v>
      </c>
      <c r="X8" t="s">
        <v>217</v>
      </c>
      <c r="Y8" t="s">
        <v>218</v>
      </c>
      <c r="Z8" t="s">
        <v>219</v>
      </c>
      <c r="AA8" t="s">
        <v>220</v>
      </c>
    </row>
    <row r="9" spans="1:27">
      <c r="A9" s="197">
        <v>41852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64">
        <f>'Monthly Data (14-23) Used'!AE9</f>
        <v>0</v>
      </c>
      <c r="F9" s="64">
        <f>'Monthly Data (14-23) Used'!AJ9</f>
        <v>278.00000000000006</v>
      </c>
      <c r="G9" s="226">
        <f ca="1">'Weather Data'!BB45</f>
        <v>0.49999999999999983</v>
      </c>
      <c r="H9" s="226">
        <f ca="1">'Weather Data'!CE45</f>
        <v>307.37605861546228</v>
      </c>
      <c r="I9" s="6">
        <f>'Monthly Data (14-23) Used'!BC9</f>
        <v>713152</v>
      </c>
      <c r="J9">
        <f>'Monthly Data (14-23) Used'!CC9</f>
        <v>20</v>
      </c>
      <c r="K9">
        <f>'Monthly Data (14-23) Used'!BU9</f>
        <v>0</v>
      </c>
      <c r="L9">
        <f>'Monthly Data (14-23) Used'!BZ9</f>
        <v>0</v>
      </c>
      <c r="N9" s="6"/>
      <c r="O9" s="6">
        <f t="shared" ca="1" si="3"/>
        <v>1973.6445346679043</v>
      </c>
      <c r="P9" s="6">
        <f t="shared" ca="1" si="4"/>
        <v>448255.40607798554</v>
      </c>
      <c r="Q9" s="6"/>
      <c r="R9" s="6"/>
      <c r="S9" s="6"/>
      <c r="T9" s="6"/>
      <c r="U9" s="6">
        <f t="shared" ca="1" si="5"/>
        <v>16225516.046656188</v>
      </c>
      <c r="W9" t="s">
        <v>221</v>
      </c>
      <c r="X9" s="6">
        <v>-4689965.23186938</v>
      </c>
      <c r="Y9" s="6">
        <v>2465916.44720787</v>
      </c>
      <c r="Z9" s="105">
        <v>-1.90191571055855</v>
      </c>
      <c r="AA9" s="105">
        <v>5.9728245860705097E-2</v>
      </c>
    </row>
    <row r="10" spans="1:27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64">
        <f>'Monthly Data (14-23) Used'!AE10</f>
        <v>41.7</v>
      </c>
      <c r="F10" s="64">
        <f>'Monthly Data (14-23) Used'!AJ10</f>
        <v>138.6</v>
      </c>
      <c r="G10" s="226">
        <f ca="1">'Weather Data'!BB46</f>
        <v>17.56355229914098</v>
      </c>
      <c r="H10" s="226">
        <f ca="1">'Weather Data'!CE46</f>
        <v>194.39579080343606</v>
      </c>
      <c r="I10" s="6">
        <f>'Monthly Data (14-23) Used'!BC10</f>
        <v>713152</v>
      </c>
      <c r="J10">
        <f>'Monthly Data (14-23) Used'!CC10</f>
        <v>21</v>
      </c>
      <c r="K10">
        <f>'Monthly Data (14-23) Used'!BU10</f>
        <v>1</v>
      </c>
      <c r="L10">
        <f>'Monthly Data (14-23) Used'!BZ10</f>
        <v>0</v>
      </c>
      <c r="N10" s="6"/>
      <c r="O10" s="6">
        <f t="shared" ca="1" si="3"/>
        <v>-95273.536182196258</v>
      </c>
      <c r="P10" s="6">
        <f t="shared" ca="1" si="4"/>
        <v>851399.6105274664</v>
      </c>
      <c r="Q10" s="6"/>
      <c r="R10" s="6"/>
      <c r="S10" s="6"/>
      <c r="T10" s="6"/>
      <c r="U10" s="6">
        <f t="shared" ca="1" si="5"/>
        <v>16181686.070388805</v>
      </c>
      <c r="W10" t="s">
        <v>30</v>
      </c>
      <c r="X10" s="6">
        <v>3947.2890693358099</v>
      </c>
      <c r="Y10" s="6">
        <v>680.30913363443995</v>
      </c>
      <c r="Z10" s="105">
        <v>5.8021991388650997</v>
      </c>
      <c r="AA10" s="105">
        <v>6.0748460030362197E-8</v>
      </c>
    </row>
    <row r="11" spans="1:27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64">
        <f>'Monthly Data (14-23) Used'!AE11</f>
        <v>159.9</v>
      </c>
      <c r="F11" s="64">
        <f>'Monthly Data (14-23) Used'!AJ11</f>
        <v>32.199999999999996</v>
      </c>
      <c r="G11" s="226">
        <f ca="1">'Weather Data'!BB47</f>
        <v>143.81420919656392</v>
      </c>
      <c r="H11" s="226">
        <f ca="1">'Weather Data'!CE47</f>
        <v>62.822895401718029</v>
      </c>
      <c r="I11" s="6">
        <f>'Monthly Data (14-23) Used'!BC11</f>
        <v>716976</v>
      </c>
      <c r="J11">
        <f>'Monthly Data (14-23) Used'!CC11</f>
        <v>22</v>
      </c>
      <c r="K11">
        <f>'Monthly Data (14-23) Used'!BU11</f>
        <v>0</v>
      </c>
      <c r="L11">
        <f>'Monthly Data (14-23) Used'!BZ11</f>
        <v>1</v>
      </c>
      <c r="N11" s="6"/>
      <c r="O11" s="6">
        <f t="shared" ca="1" si="3"/>
        <v>-63495.266210025744</v>
      </c>
      <c r="P11" s="6">
        <f t="shared" ca="1" si="4"/>
        <v>467281.14868192648</v>
      </c>
      <c r="Q11" s="6"/>
      <c r="R11" s="6"/>
      <c r="S11" s="6"/>
      <c r="T11" s="6"/>
      <c r="U11" s="6">
        <f t="shared" ca="1" si="5"/>
        <v>14427408.878515435</v>
      </c>
      <c r="W11" t="s">
        <v>35</v>
      </c>
      <c r="X11" s="6">
        <v>15259.2085938324</v>
      </c>
      <c r="Y11" s="6">
        <v>1218.6844542321101</v>
      </c>
      <c r="Z11" s="105">
        <v>12.521049678480701</v>
      </c>
      <c r="AA11" s="105">
        <v>4.3331405569901797E-23</v>
      </c>
    </row>
    <row r="12" spans="1:27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64">
        <f>'Monthly Data (14-23) Used'!AE12</f>
        <v>419.30000000000007</v>
      </c>
      <c r="F12" s="64">
        <f>'Monthly Data (14-23) Used'!AJ12</f>
        <v>0</v>
      </c>
      <c r="G12" s="226">
        <f ca="1">'Weather Data'!BB48</f>
        <v>344.55065689742298</v>
      </c>
      <c r="H12" s="226">
        <f ca="1">'Weather Data'!CE48</f>
        <v>6.1599999999999984</v>
      </c>
      <c r="I12" s="6">
        <f>'Monthly Data (14-23) Used'!BC12</f>
        <v>716976</v>
      </c>
      <c r="J12">
        <f>'Monthly Data (14-23) Used'!CC12</f>
        <v>20</v>
      </c>
      <c r="K12">
        <f>'Monthly Data (14-23) Used'!BU12</f>
        <v>0</v>
      </c>
      <c r="L12">
        <f>'Monthly Data (14-23) Used'!BZ12</f>
        <v>1</v>
      </c>
      <c r="N12" s="6"/>
      <c r="O12" s="6">
        <f t="shared" ca="1" si="3"/>
        <v>-295057.26496883464</v>
      </c>
      <c r="P12" s="6">
        <f t="shared" ca="1" si="4"/>
        <v>93996.724938007552</v>
      </c>
      <c r="Q12" s="6"/>
      <c r="R12" s="6"/>
      <c r="S12" s="6"/>
      <c r="T12" s="6"/>
      <c r="U12" s="6">
        <f t="shared" ca="1" si="5"/>
        <v>13914029.456012707</v>
      </c>
      <c r="W12" t="s">
        <v>54</v>
      </c>
      <c r="X12" s="64">
        <v>16.2749605095261</v>
      </c>
      <c r="Y12" s="64">
        <v>2.83883033416893</v>
      </c>
      <c r="Z12" s="105">
        <v>5.7329810498486697</v>
      </c>
      <c r="AA12" s="105">
        <v>8.3413886060426594E-8</v>
      </c>
    </row>
    <row r="13" spans="1:27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64">
        <f>'Monthly Data (14-23) Used'!AE13</f>
        <v>483.2</v>
      </c>
      <c r="F13" s="64">
        <f>'Monthly Data (14-23) Used'!AJ13</f>
        <v>0</v>
      </c>
      <c r="G13" s="226">
        <f ca="1">'Weather Data'!BB49</f>
        <v>471.77</v>
      </c>
      <c r="H13" s="226">
        <f ca="1">'Weather Data'!CE49</f>
        <v>8.0000000000000071E-2</v>
      </c>
      <c r="I13" s="6">
        <f>'Monthly Data (14-23) Used'!BC13</f>
        <v>716976</v>
      </c>
      <c r="J13">
        <f>'Monthly Data (14-23) Used'!CC13</f>
        <v>21</v>
      </c>
      <c r="K13">
        <f>'Monthly Data (14-23) Used'!BU13</f>
        <v>0</v>
      </c>
      <c r="L13">
        <f>'Monthly Data (14-23) Used'!BZ13</f>
        <v>0</v>
      </c>
      <c r="N13" s="6"/>
      <c r="O13" s="6">
        <f t="shared" ca="1" si="3"/>
        <v>-45117.514062508337</v>
      </c>
      <c r="P13" s="6">
        <f t="shared" ca="1" si="4"/>
        <v>1220.7366875065932</v>
      </c>
      <c r="Q13" s="6"/>
      <c r="R13" s="6"/>
      <c r="S13" s="6"/>
      <c r="T13" s="6"/>
      <c r="U13" s="6">
        <f t="shared" ca="1" si="5"/>
        <v>14149438.218668533</v>
      </c>
      <c r="W13" t="s">
        <v>256</v>
      </c>
      <c r="X13" s="6">
        <v>228822.71870278701</v>
      </c>
      <c r="Y13" s="6">
        <v>47454.677771270697</v>
      </c>
      <c r="Z13" s="105">
        <v>4.8219212404244303</v>
      </c>
      <c r="AA13" s="105">
        <v>4.4708263240126299E-6</v>
      </c>
    </row>
    <row r="14" spans="1:27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64">
        <f>'Monthly Data (14-23) Used'!AE14</f>
        <v>704.90000000000009</v>
      </c>
      <c r="F14" s="64">
        <f>'Monthly Data (14-23) Used'!AJ14</f>
        <v>0</v>
      </c>
      <c r="G14" s="7">
        <f t="shared" ref="G14:H17" ca="1" si="6">G2</f>
        <v>608.99999999999989</v>
      </c>
      <c r="H14" s="7">
        <f t="shared" ca="1" si="6"/>
        <v>0</v>
      </c>
      <c r="I14" s="6">
        <f>'Monthly Data (14-23) Used'!BC14</f>
        <v>718587</v>
      </c>
      <c r="J14">
        <f>'Monthly Data (14-23) Used'!CC14</f>
        <v>21</v>
      </c>
      <c r="K14">
        <f>'Monthly Data (14-23) Used'!BU14</f>
        <v>0</v>
      </c>
      <c r="L14">
        <f>'Monthly Data (14-23) Used'!BZ14</f>
        <v>0</v>
      </c>
      <c r="N14" s="6"/>
      <c r="O14" s="6">
        <f t="shared" ca="1" si="3"/>
        <v>-378545.02174930496</v>
      </c>
      <c r="P14" s="6">
        <f t="shared" ca="1" si="4"/>
        <v>0</v>
      </c>
      <c r="Q14" s="6"/>
      <c r="R14" s="6"/>
      <c r="S14" s="6"/>
      <c r="T14" s="6"/>
      <c r="U14" s="6">
        <f t="shared" ca="1" si="5"/>
        <v>14660092.564997608</v>
      </c>
      <c r="W14" t="s">
        <v>72</v>
      </c>
      <c r="X14" s="6">
        <v>1564224.56108409</v>
      </c>
      <c r="Y14" s="6">
        <v>244561.33319117699</v>
      </c>
      <c r="Z14" s="105">
        <v>6.3960420098843498</v>
      </c>
      <c r="AA14" s="105">
        <v>3.72170242585152E-9</v>
      </c>
    </row>
    <row r="15" spans="1:27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64">
        <f>'Monthly Data (14-23) Used'!AE15</f>
        <v>755.10000000000014</v>
      </c>
      <c r="F15" s="64">
        <f>'Monthly Data (14-23) Used'!AJ15</f>
        <v>0</v>
      </c>
      <c r="G15" s="7">
        <f t="shared" ca="1" si="6"/>
        <v>539.11355229914102</v>
      </c>
      <c r="H15" s="7">
        <f t="shared" ca="1" si="6"/>
        <v>0.1</v>
      </c>
      <c r="I15" s="6">
        <f>'Monthly Data (14-23) Used'!BC15</f>
        <v>718587</v>
      </c>
      <c r="J15">
        <f>'Monthly Data (14-23) Used'!CC15</f>
        <v>19</v>
      </c>
      <c r="K15">
        <f>'Monthly Data (14-23) Used'!BU15</f>
        <v>0</v>
      </c>
      <c r="L15">
        <f>'Monthly Data (14-23) Used'!BZ15</f>
        <v>0</v>
      </c>
      <c r="N15" s="6"/>
      <c r="O15" s="6">
        <f t="shared" ca="1" si="3"/>
        <v>-852560.94413427182</v>
      </c>
      <c r="P15" s="6">
        <f t="shared" ca="1" si="4"/>
        <v>1525.92085938324</v>
      </c>
      <c r="Q15" s="6"/>
      <c r="R15" s="6"/>
      <c r="S15" s="6"/>
      <c r="T15" s="6"/>
      <c r="U15" s="6">
        <f t="shared" ca="1" si="5"/>
        <v>12516331.563472023</v>
      </c>
      <c r="W15" t="s">
        <v>77</v>
      </c>
      <c r="X15" s="6">
        <v>1139330.72171186</v>
      </c>
      <c r="Y15" s="64">
        <v>247781.440583282</v>
      </c>
      <c r="Z15" s="75">
        <v>4.5981277654607604</v>
      </c>
      <c r="AA15" s="192">
        <v>1.1187788117597399E-5</v>
      </c>
    </row>
    <row r="16" spans="1:27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64">
        <f>'Monthly Data (14-23) Used'!AE16</f>
        <v>503.3</v>
      </c>
      <c r="F16" s="64">
        <f>'Monthly Data (14-23) Used'!AJ16</f>
        <v>0</v>
      </c>
      <c r="G16" s="7">
        <f t="shared" ca="1" si="6"/>
        <v>434.46355229914104</v>
      </c>
      <c r="H16" s="7">
        <f t="shared" ca="1" si="6"/>
        <v>1.2599999999999998</v>
      </c>
      <c r="I16" s="6">
        <f>'Monthly Data (14-23) Used'!BC16</f>
        <v>718587</v>
      </c>
      <c r="J16">
        <f>'Monthly Data (14-23) Used'!CC16</f>
        <v>22</v>
      </c>
      <c r="K16">
        <f>'Monthly Data (14-23) Used'!BU16</f>
        <v>0</v>
      </c>
      <c r="L16">
        <f>'Monthly Data (14-23) Used'!BZ16</f>
        <v>0</v>
      </c>
      <c r="N16" s="6"/>
      <c r="O16" s="6">
        <f t="shared" ca="1" si="3"/>
        <v>-271717.35758150677</v>
      </c>
      <c r="P16" s="6">
        <f t="shared" ca="1" si="4"/>
        <v>19226.602828228821</v>
      </c>
      <c r="Q16" s="6"/>
      <c r="R16" s="6"/>
      <c r="S16" s="6"/>
      <c r="T16" s="6"/>
      <c r="U16" s="6">
        <f t="shared" ca="1" si="5"/>
        <v>13641728.831993634</v>
      </c>
    </row>
    <row r="17" spans="1:26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64">
        <f>'Monthly Data (14-23) Used'!AE17</f>
        <v>223.19999999999996</v>
      </c>
      <c r="F17" s="64">
        <f>'Monthly Data (14-23) Used'!AJ17</f>
        <v>7</v>
      </c>
      <c r="G17" s="7">
        <f t="shared" ca="1" si="6"/>
        <v>238.61000000000004</v>
      </c>
      <c r="H17" s="7">
        <f t="shared" ca="1" si="6"/>
        <v>18.349999999999998</v>
      </c>
      <c r="I17" s="6">
        <f>'Monthly Data (14-23) Used'!BC17</f>
        <v>723726</v>
      </c>
      <c r="J17">
        <f>'Monthly Data (14-23) Used'!CC17</f>
        <v>20</v>
      </c>
      <c r="K17">
        <f>'Monthly Data (14-23) Used'!BU17</f>
        <v>0</v>
      </c>
      <c r="L17">
        <f>'Monthly Data (14-23) Used'!BZ17</f>
        <v>0</v>
      </c>
      <c r="N17" s="6"/>
      <c r="O17" s="6">
        <f t="shared" ca="1" si="3"/>
        <v>60827.724558465154</v>
      </c>
      <c r="P17" s="6">
        <f t="shared" ca="1" si="4"/>
        <v>173192.0175399977</v>
      </c>
      <c r="Q17" s="6"/>
      <c r="R17" s="6"/>
      <c r="S17" s="6"/>
      <c r="T17" s="6"/>
      <c r="U17" s="6">
        <f t="shared" ca="1" si="5"/>
        <v>13430015.328845376</v>
      </c>
      <c r="W17" t="s">
        <v>223</v>
      </c>
      <c r="X17" s="193"/>
      <c r="Z17" s="193"/>
    </row>
    <row r="18" spans="1:26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64">
        <f>'Monthly Data (14-23) Used'!AE18</f>
        <v>50.9</v>
      </c>
      <c r="F18" s="64">
        <f>'Monthly Data (14-23) Used'!AJ18</f>
        <v>159.69999999999999</v>
      </c>
      <c r="G18" s="7">
        <f t="shared" ref="G18:H33" ca="1" si="7">G6</f>
        <v>77.693552299140975</v>
      </c>
      <c r="H18" s="7">
        <f t="shared" ca="1" si="7"/>
        <v>124.82289540171806</v>
      </c>
      <c r="I18" s="6">
        <f>'Monthly Data (14-23) Used'!BC18</f>
        <v>723726</v>
      </c>
      <c r="J18">
        <f>'Monthly Data (14-23) Used'!CC18</f>
        <v>20</v>
      </c>
      <c r="K18">
        <f>'Monthly Data (14-23) Used'!BU18</f>
        <v>0</v>
      </c>
      <c r="L18">
        <f>'Monthly Data (14-23) Used'!BZ18</f>
        <v>0</v>
      </c>
      <c r="N18" s="6"/>
      <c r="O18" s="6">
        <f t="shared" ca="1" si="3"/>
        <v>105761.89611907654</v>
      </c>
      <c r="P18" s="6">
        <f t="shared" ca="1" si="4"/>
        <v>-532197.01421409519</v>
      </c>
      <c r="Q18" s="6"/>
      <c r="R18" s="6"/>
      <c r="S18" s="6"/>
      <c r="T18" s="6"/>
      <c r="U18" s="6">
        <f t="shared" ca="1" si="5"/>
        <v>13345686.468651894</v>
      </c>
      <c r="W18" t="s">
        <v>226</v>
      </c>
      <c r="X18" s="193">
        <v>62519724798321</v>
      </c>
      <c r="Y18" t="s">
        <v>227</v>
      </c>
      <c r="Z18" s="193">
        <v>743822.49285034195</v>
      </c>
    </row>
    <row r="19" spans="1:26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64">
        <f>'Monthly Data (14-23) Used'!AE19</f>
        <v>7.9</v>
      </c>
      <c r="F19" s="64">
        <f>'Monthly Data (14-23) Used'!AJ19</f>
        <v>225.4</v>
      </c>
      <c r="G19" s="7">
        <f t="shared" ca="1" si="7"/>
        <v>2.8535522991409801</v>
      </c>
      <c r="H19" s="7">
        <f t="shared" ca="1" si="7"/>
        <v>262.25644770085898</v>
      </c>
      <c r="I19" s="6">
        <f>'Monthly Data (14-23) Used'!BC19</f>
        <v>723726</v>
      </c>
      <c r="J19">
        <f>'Monthly Data (14-23) Used'!CC19</f>
        <v>22</v>
      </c>
      <c r="K19">
        <f>'Monthly Data (14-23) Used'!BU19</f>
        <v>0</v>
      </c>
      <c r="L19">
        <f>'Monthly Data (14-23) Used'!BZ19</f>
        <v>0</v>
      </c>
      <c r="N19" s="6"/>
      <c r="O19" s="6">
        <f t="shared" ca="1" si="3"/>
        <v>-19919.787848575641</v>
      </c>
      <c r="P19" s="6">
        <f t="shared" ca="1" si="4"/>
        <v>562400.22349508177</v>
      </c>
      <c r="Q19" s="6"/>
      <c r="R19" s="6"/>
      <c r="S19" s="6"/>
      <c r="T19" s="6"/>
      <c r="U19" s="6">
        <f t="shared" ca="1" si="5"/>
        <v>15007266.022393418</v>
      </c>
      <c r="W19" t="s">
        <v>228</v>
      </c>
      <c r="X19" s="193">
        <v>0.85366726299066598</v>
      </c>
      <c r="Y19" t="s">
        <v>229</v>
      </c>
      <c r="Z19" s="193">
        <v>0.84589738314946195</v>
      </c>
    </row>
    <row r="20" spans="1:26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64">
        <f>'Monthly Data (14-23) Used'!AE20</f>
        <v>0.19999999999999929</v>
      </c>
      <c r="F20" s="64">
        <f>'Monthly Data (14-23) Used'!AJ20</f>
        <v>303.60000000000002</v>
      </c>
      <c r="G20" s="7">
        <f t="shared" ca="1" si="7"/>
        <v>1.9999999999999928E-2</v>
      </c>
      <c r="H20" s="7">
        <f t="shared" ca="1" si="7"/>
        <v>335.21289540171807</v>
      </c>
      <c r="I20" s="6">
        <f>'Monthly Data (14-23) Used'!BC20</f>
        <v>730341</v>
      </c>
      <c r="J20">
        <f>'Monthly Data (14-23) Used'!CC20</f>
        <v>22</v>
      </c>
      <c r="K20">
        <f>'Monthly Data (14-23) Used'!BU20</f>
        <v>0</v>
      </c>
      <c r="L20">
        <f>'Monthly Data (14-23) Used'!BZ20</f>
        <v>0</v>
      </c>
      <c r="N20" s="6"/>
      <c r="O20" s="6">
        <f t="shared" ca="1" si="3"/>
        <v>-710.51203248044328</v>
      </c>
      <c r="P20" s="6">
        <f t="shared" ca="1" si="4"/>
        <v>482387.76518982078</v>
      </c>
      <c r="Q20" s="6"/>
      <c r="R20" s="6"/>
      <c r="S20" s="6"/>
      <c r="T20" s="6"/>
      <c r="U20" s="6">
        <f t="shared" ca="1" si="5"/>
        <v>17290930.839904252</v>
      </c>
      <c r="W20" t="s">
        <v>257</v>
      </c>
      <c r="X20" s="75">
        <v>52.903039035104698</v>
      </c>
      <c r="Y20" t="s">
        <v>231</v>
      </c>
      <c r="Z20" s="105">
        <v>1.41502064571364E-30</v>
      </c>
    </row>
    <row r="21" spans="1:26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64">
        <f>'Monthly Data (14-23) Used'!AE21</f>
        <v>2.0999999999999996</v>
      </c>
      <c r="F21" s="64">
        <f>'Monthly Data (14-23) Used'!AJ21</f>
        <v>280.3</v>
      </c>
      <c r="G21" s="7">
        <f t="shared" ca="1" si="7"/>
        <v>0.49999999999999983</v>
      </c>
      <c r="H21" s="7">
        <f t="shared" ca="1" si="7"/>
        <v>307.37605861546228</v>
      </c>
      <c r="I21" s="6">
        <f>'Monthly Data (14-23) Used'!BC21</f>
        <v>730341</v>
      </c>
      <c r="J21">
        <f>'Monthly Data (14-23) Used'!CC21</f>
        <v>20</v>
      </c>
      <c r="K21">
        <f>'Monthly Data (14-23) Used'!BU21</f>
        <v>0</v>
      </c>
      <c r="L21">
        <f>'Monthly Data (14-23) Used'!BZ21</f>
        <v>0</v>
      </c>
      <c r="N21" s="6"/>
      <c r="O21" s="6">
        <f t="shared" ca="1" si="3"/>
        <v>-6315.6625109372953</v>
      </c>
      <c r="P21" s="6">
        <f t="shared" ca="1" si="4"/>
        <v>413159.22631217173</v>
      </c>
      <c r="Q21" s="6"/>
      <c r="R21" s="6"/>
      <c r="S21" s="6"/>
      <c r="T21" s="6"/>
      <c r="U21" s="6">
        <f t="shared" ca="1" si="5"/>
        <v>17269679.150548145</v>
      </c>
      <c r="W21" t="s">
        <v>232</v>
      </c>
      <c r="X21" s="75">
        <v>-3.4653999143158899E-2</v>
      </c>
      <c r="Y21" t="s">
        <v>233</v>
      </c>
      <c r="Z21" s="105">
        <v>2.0644896093157898</v>
      </c>
    </row>
    <row r="22" spans="1:26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64">
        <f>'Monthly Data (14-23) Used'!AE22</f>
        <v>7.2999999999999972</v>
      </c>
      <c r="F22" s="64">
        <f>'Monthly Data (14-23) Used'!AJ22</f>
        <v>227.30000000000007</v>
      </c>
      <c r="G22" s="7">
        <f t="shared" ca="1" si="7"/>
        <v>17.56355229914098</v>
      </c>
      <c r="H22" s="7">
        <f t="shared" ca="1" si="7"/>
        <v>194.39579080343606</v>
      </c>
      <c r="I22" s="6">
        <f>'Monthly Data (14-23) Used'!BC22</f>
        <v>730341</v>
      </c>
      <c r="J22">
        <f>'Monthly Data (14-23) Used'!CC22</f>
        <v>21</v>
      </c>
      <c r="K22">
        <f>'Monthly Data (14-23) Used'!BU22</f>
        <v>1</v>
      </c>
      <c r="L22">
        <f>'Monthly Data (14-23) Used'!BZ22</f>
        <v>0</v>
      </c>
      <c r="N22" s="6"/>
      <c r="O22" s="6">
        <f t="shared" ref="O22:O53" ca="1" si="8">(G22-E22)*$X$10</f>
        <v>40513.207802955621</v>
      </c>
      <c r="P22" s="6">
        <f t="shared" ca="1" si="4"/>
        <v>-502092.19174546865</v>
      </c>
      <c r="Q22" s="6"/>
      <c r="R22" s="6"/>
      <c r="S22" s="6"/>
      <c r="T22" s="6"/>
      <c r="U22" s="6">
        <f t="shared" ref="U22:U53" ca="1" si="9">SUM(D22,N22:T22)</f>
        <v>17002904.6028044</v>
      </c>
      <c r="X22" s="195"/>
      <c r="Z22" s="105"/>
    </row>
    <row r="23" spans="1:26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64">
        <f>'Monthly Data (14-23) Used'!AE23</f>
        <v>138.6</v>
      </c>
      <c r="F23" s="64">
        <f>'Monthly Data (14-23) Used'!AJ23</f>
        <v>45.4</v>
      </c>
      <c r="G23" s="7">
        <f t="shared" ca="1" si="7"/>
        <v>143.81420919656392</v>
      </c>
      <c r="H23" s="7">
        <f t="shared" ca="1" si="7"/>
        <v>62.822895401718029</v>
      </c>
      <c r="I23" s="6">
        <f>'Monthly Data (14-23) Used'!BC23</f>
        <v>737784</v>
      </c>
      <c r="J23">
        <f>'Monthly Data (14-23) Used'!CC23</f>
        <v>21</v>
      </c>
      <c r="K23">
        <f>'Monthly Data (14-23) Used'!BU23</f>
        <v>0</v>
      </c>
      <c r="L23">
        <f>'Monthly Data (14-23) Used'!BZ23</f>
        <v>1</v>
      </c>
      <c r="N23" s="6"/>
      <c r="O23" s="6">
        <f t="shared" ca="1" si="8"/>
        <v>20581.990966827048</v>
      </c>
      <c r="P23" s="6">
        <f t="shared" ca="1" si="4"/>
        <v>265859.59524333879</v>
      </c>
      <c r="Q23" s="6"/>
      <c r="R23" s="6"/>
      <c r="S23" s="6"/>
      <c r="T23" s="6"/>
      <c r="U23" s="6">
        <f t="shared" ca="1" si="9"/>
        <v>15777973.172957078</v>
      </c>
      <c r="W23" t="s">
        <v>247</v>
      </c>
    </row>
    <row r="24" spans="1:26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64">
        <f>'Monthly Data (14-23) Used'!AE24</f>
        <v>266.09999999999997</v>
      </c>
      <c r="F24" s="64">
        <f>'Monthly Data (14-23) Used'!AJ24</f>
        <v>15.199999999999998</v>
      </c>
      <c r="G24" s="7">
        <f t="shared" ca="1" si="7"/>
        <v>344.55065689742298</v>
      </c>
      <c r="H24" s="7">
        <f t="shared" ca="1" si="7"/>
        <v>6.1599999999999984</v>
      </c>
      <c r="I24" s="6">
        <f>'Monthly Data (14-23) Used'!BC24</f>
        <v>737784</v>
      </c>
      <c r="J24">
        <f>'Monthly Data (14-23) Used'!CC24</f>
        <v>21</v>
      </c>
      <c r="K24">
        <f>'Monthly Data (14-23) Used'!BU24</f>
        <v>0</v>
      </c>
      <c r="L24">
        <f>'Monthly Data (14-23) Used'!BZ24</f>
        <v>1</v>
      </c>
      <c r="N24" s="6"/>
      <c r="O24" s="6">
        <f t="shared" ca="1" si="8"/>
        <v>309667.42045341182</v>
      </c>
      <c r="P24" s="6">
        <f t="shared" ca="1" si="4"/>
        <v>-137943.24568824488</v>
      </c>
      <c r="Q24" s="6"/>
      <c r="R24" s="6"/>
      <c r="S24" s="6"/>
      <c r="T24" s="6"/>
      <c r="U24" s="6">
        <f t="shared" ca="1" si="9"/>
        <v>15046624.76151208</v>
      </c>
      <c r="W24" t="s">
        <v>224</v>
      </c>
      <c r="X24">
        <v>15734301.292447999</v>
      </c>
      <c r="Y24" t="s">
        <v>225</v>
      </c>
      <c r="Z24">
        <v>1861094.1616274901</v>
      </c>
    </row>
    <row r="25" spans="1:26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64">
        <f>'Monthly Data (14-23) Used'!AE25</f>
        <v>355.3</v>
      </c>
      <c r="F25" s="64">
        <f>'Monthly Data (14-23) Used'!AJ25</f>
        <v>0.80000000000000071</v>
      </c>
      <c r="G25" s="7">
        <f t="shared" ca="1" si="7"/>
        <v>471.77</v>
      </c>
      <c r="H25" s="7">
        <f t="shared" ca="1" si="7"/>
        <v>8.0000000000000071E-2</v>
      </c>
      <c r="I25" s="6">
        <f>'Monthly Data (14-23) Used'!BC25</f>
        <v>737784</v>
      </c>
      <c r="J25">
        <f>'Monthly Data (14-23) Used'!CC25</f>
        <v>21</v>
      </c>
      <c r="K25">
        <f>'Monthly Data (14-23) Used'!BU25</f>
        <v>0</v>
      </c>
      <c r="L25">
        <f>'Monthly Data (14-23) Used'!BZ25</f>
        <v>0</v>
      </c>
      <c r="N25" s="6"/>
      <c r="O25" s="6">
        <f t="shared" ca="1" si="8"/>
        <v>459740.75790554169</v>
      </c>
      <c r="P25" s="6">
        <f t="shared" ca="1" si="4"/>
        <v>-10986.630187559338</v>
      </c>
      <c r="Q25" s="6"/>
      <c r="R25" s="6"/>
      <c r="S25" s="6"/>
      <c r="T25" s="6"/>
      <c r="U25" s="6">
        <f t="shared" ca="1" si="9"/>
        <v>14458878.714464894</v>
      </c>
    </row>
    <row r="26" spans="1:26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64">
        <f>'Monthly Data (14-23) Used'!AE26</f>
        <v>582.9</v>
      </c>
      <c r="F26" s="64">
        <f>'Monthly Data (14-23) Used'!AJ26</f>
        <v>0</v>
      </c>
      <c r="G26" s="7">
        <f t="shared" ca="1" si="7"/>
        <v>608.99999999999989</v>
      </c>
      <c r="H26" s="7">
        <f t="shared" ca="1" si="7"/>
        <v>0</v>
      </c>
      <c r="I26" s="6">
        <f>'Monthly Data (14-23) Used'!BC26</f>
        <v>743287</v>
      </c>
      <c r="J26">
        <f>'Monthly Data (14-23) Used'!CC26</f>
        <v>20</v>
      </c>
      <c r="K26">
        <f>'Monthly Data (14-23) Used'!BU26</f>
        <v>0</v>
      </c>
      <c r="L26">
        <f>'Monthly Data (14-23) Used'!BZ26</f>
        <v>0</v>
      </c>
      <c r="N26" s="6"/>
      <c r="O26" s="6">
        <f t="shared" ca="1" si="8"/>
        <v>103024.24470966429</v>
      </c>
      <c r="P26" s="6">
        <f t="shared" ca="1" si="4"/>
        <v>0</v>
      </c>
      <c r="Q26" s="6"/>
      <c r="R26" s="6"/>
      <c r="S26" s="6"/>
      <c r="T26" s="6"/>
      <c r="U26" s="6">
        <f t="shared" ca="1" si="9"/>
        <v>15063129.234944027</v>
      </c>
    </row>
    <row r="27" spans="1:26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64">
        <f>'Monthly Data (14-23) Used'!AE27</f>
        <v>492.2</v>
      </c>
      <c r="F27" s="64">
        <f>'Monthly Data (14-23) Used'!AJ27</f>
        <v>0</v>
      </c>
      <c r="G27" s="7">
        <f t="shared" ca="1" si="7"/>
        <v>539.11355229914102</v>
      </c>
      <c r="H27" s="7">
        <f t="shared" ca="1" si="7"/>
        <v>0.1</v>
      </c>
      <c r="I27" s="6">
        <f>'Monthly Data (14-23) Used'!BC27</f>
        <v>743287</v>
      </c>
      <c r="J27">
        <f>'Monthly Data (14-23) Used'!CC27</f>
        <v>20</v>
      </c>
      <c r="K27">
        <f>'Monthly Data (14-23) Used'!BU27</f>
        <v>0</v>
      </c>
      <c r="L27">
        <f>'Monthly Data (14-23) Used'!BZ27</f>
        <v>0</v>
      </c>
      <c r="N27" s="6"/>
      <c r="O27" s="6">
        <f t="shared" ca="1" si="8"/>
        <v>185181.35219411325</v>
      </c>
      <c r="P27" s="6">
        <f t="shared" ca="1" si="4"/>
        <v>1525.92085938324</v>
      </c>
      <c r="Q27" s="6"/>
      <c r="R27" s="6"/>
      <c r="S27" s="6"/>
      <c r="T27" s="6"/>
      <c r="U27" s="6">
        <f t="shared" ca="1" si="9"/>
        <v>14746251.263287859</v>
      </c>
    </row>
    <row r="28" spans="1:26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64">
        <f>'Monthly Data (14-23) Used'!AE28</f>
        <v>342.4</v>
      </c>
      <c r="F28" s="64">
        <f>'Monthly Data (14-23) Used'!AJ28</f>
        <v>6.1</v>
      </c>
      <c r="G28" s="7">
        <f t="shared" ca="1" si="7"/>
        <v>434.46355229914104</v>
      </c>
      <c r="H28" s="7">
        <f t="shared" ca="1" si="7"/>
        <v>1.2599999999999998</v>
      </c>
      <c r="I28" s="6">
        <f>'Monthly Data (14-23) Used'!BC28</f>
        <v>743287</v>
      </c>
      <c r="J28">
        <f>'Monthly Data (14-23) Used'!CC28</f>
        <v>21</v>
      </c>
      <c r="K28">
        <f>'Monthly Data (14-23) Used'!BU28</f>
        <v>0</v>
      </c>
      <c r="L28">
        <f>'Monthly Data (14-23) Used'!BZ28</f>
        <v>0</v>
      </c>
      <c r="N28" s="6"/>
      <c r="O28" s="6">
        <f t="shared" ca="1" si="8"/>
        <v>363401.4536746252</v>
      </c>
      <c r="P28" s="6">
        <f t="shared" ca="1" si="4"/>
        <v>-73854.569594148808</v>
      </c>
      <c r="Q28" s="6"/>
      <c r="R28" s="6"/>
      <c r="S28" s="6"/>
      <c r="T28" s="6"/>
      <c r="U28" s="6">
        <f t="shared" ca="1" si="9"/>
        <v>14940583.874314839</v>
      </c>
    </row>
    <row r="29" spans="1:26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64">
        <f>'Monthly Data (14-23) Used'!AE29</f>
        <v>272.10000000000002</v>
      </c>
      <c r="F29" s="64">
        <f>'Monthly Data (14-23) Used'!AJ29</f>
        <v>9.4</v>
      </c>
      <c r="G29" s="7">
        <f t="shared" ca="1" si="7"/>
        <v>238.61000000000004</v>
      </c>
      <c r="H29" s="7">
        <f t="shared" ca="1" si="7"/>
        <v>18.349999999999998</v>
      </c>
      <c r="I29" s="6">
        <f>'Monthly Data (14-23) Used'!BC29</f>
        <v>740632</v>
      </c>
      <c r="J29">
        <f>'Monthly Data (14-23) Used'!CC29</f>
        <v>21</v>
      </c>
      <c r="K29">
        <f>'Monthly Data (14-23) Used'!BU29</f>
        <v>0</v>
      </c>
      <c r="L29">
        <f>'Monthly Data (14-23) Used'!BZ29</f>
        <v>0</v>
      </c>
      <c r="N29" s="6"/>
      <c r="O29" s="6">
        <f t="shared" ca="1" si="8"/>
        <v>-132194.71093205619</v>
      </c>
      <c r="P29" s="6">
        <f t="shared" ca="1" si="4"/>
        <v>136569.91691479995</v>
      </c>
      <c r="Q29" s="6"/>
      <c r="R29" s="6"/>
      <c r="S29" s="6"/>
      <c r="T29" s="6"/>
      <c r="U29" s="6">
        <f t="shared" ca="1" si="9"/>
        <v>14336707.196217107</v>
      </c>
    </row>
    <row r="30" spans="1:26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64">
        <f>'Monthly Data (14-23) Used'!AE30</f>
        <v>82.399999999999991</v>
      </c>
      <c r="F30" s="64">
        <f>'Monthly Data (14-23) Used'!AJ30</f>
        <v>116.89999999999998</v>
      </c>
      <c r="G30" s="7">
        <f t="shared" ca="1" si="7"/>
        <v>77.693552299140975</v>
      </c>
      <c r="H30" s="7">
        <f t="shared" ca="1" si="7"/>
        <v>124.82289540171806</v>
      </c>
      <c r="I30" s="6">
        <f>'Monthly Data (14-23) Used'!BC30</f>
        <v>740632</v>
      </c>
      <c r="J30">
        <f>'Monthly Data (14-23) Used'!CC30</f>
        <v>21</v>
      </c>
      <c r="K30">
        <f>'Monthly Data (14-23) Used'!BU30</f>
        <v>0</v>
      </c>
      <c r="L30">
        <f>'Monthly Data (14-23) Used'!BZ30</f>
        <v>0</v>
      </c>
      <c r="N30" s="6"/>
      <c r="O30" s="6">
        <f t="shared" ca="1" si="8"/>
        <v>-18577.709565001449</v>
      </c>
      <c r="P30" s="6">
        <f t="shared" ca="1" si="4"/>
        <v>120897.11360193172</v>
      </c>
      <c r="Q30" s="6"/>
      <c r="R30" s="6"/>
      <c r="S30" s="6"/>
      <c r="T30" s="6"/>
      <c r="U30" s="6">
        <f t="shared" ca="1" si="9"/>
        <v>14914275.394271294</v>
      </c>
    </row>
    <row r="31" spans="1:26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64">
        <f>'Monthly Data (14-23) Used'!AE31</f>
        <v>0.90000000000000036</v>
      </c>
      <c r="F31" s="64">
        <f>'Monthly Data (14-23) Used'!AJ31</f>
        <v>274.49999999999989</v>
      </c>
      <c r="G31" s="7">
        <f t="shared" ca="1" si="7"/>
        <v>2.8535522991409801</v>
      </c>
      <c r="H31" s="7">
        <f t="shared" ca="1" si="7"/>
        <v>262.25644770085898</v>
      </c>
      <c r="I31" s="6">
        <f>'Monthly Data (14-23) Used'!BC31</f>
        <v>740632</v>
      </c>
      <c r="J31">
        <f>'Monthly Data (14-23) Used'!CC31</f>
        <v>22</v>
      </c>
      <c r="K31">
        <f>'Monthly Data (14-23) Used'!BU31</f>
        <v>0</v>
      </c>
      <c r="L31">
        <f>'Monthly Data (14-23) Used'!BZ31</f>
        <v>0</v>
      </c>
      <c r="N31" s="6"/>
      <c r="O31" s="6">
        <f t="shared" ca="1" si="8"/>
        <v>7711.2356367750299</v>
      </c>
      <c r="P31" s="6">
        <f t="shared" ca="1" si="4"/>
        <v>-186826.91846208728</v>
      </c>
      <c r="Q31" s="6"/>
      <c r="R31" s="6"/>
      <c r="S31" s="6"/>
      <c r="T31" s="6"/>
      <c r="U31" s="6">
        <f t="shared" ca="1" si="9"/>
        <v>16363515.30740905</v>
      </c>
    </row>
    <row r="32" spans="1:26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64">
        <f>'Monthly Data (14-23) Used'!AE32</f>
        <v>0</v>
      </c>
      <c r="F32" s="64">
        <f>'Monthly Data (14-23) Used'!AJ32</f>
        <v>364.29999999999995</v>
      </c>
      <c r="G32" s="7">
        <f t="shared" ca="1" si="7"/>
        <v>1.9999999999999928E-2</v>
      </c>
      <c r="H32" s="7">
        <f t="shared" ca="1" si="7"/>
        <v>335.21289540171807</v>
      </c>
      <c r="I32" s="6">
        <f>'Monthly Data (14-23) Used'!BC32</f>
        <v>746606</v>
      </c>
      <c r="J32">
        <f>'Monthly Data (14-23) Used'!CC32</f>
        <v>20</v>
      </c>
      <c r="K32">
        <f>'Monthly Data (14-23) Used'!BU32</f>
        <v>0</v>
      </c>
      <c r="L32">
        <f>'Monthly Data (14-23) Used'!BZ32</f>
        <v>0</v>
      </c>
      <c r="N32" s="6"/>
      <c r="O32" s="6">
        <f t="shared" ca="1" si="8"/>
        <v>78.945781386715908</v>
      </c>
      <c r="P32" s="6">
        <f t="shared" ca="1" si="4"/>
        <v>-443846.19645580481</v>
      </c>
      <c r="Q32" s="6"/>
      <c r="R32" s="6"/>
      <c r="S32" s="6"/>
      <c r="T32" s="6"/>
      <c r="U32" s="6">
        <f t="shared" ca="1" si="9"/>
        <v>18066330.739559945</v>
      </c>
    </row>
    <row r="33" spans="1:21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64">
        <f>'Monthly Data (14-23) Used'!AE33</f>
        <v>0</v>
      </c>
      <c r="F33" s="64">
        <f>'Monthly Data (14-23) Used'!AJ33</f>
        <v>360.9</v>
      </c>
      <c r="G33" s="7">
        <f t="shared" ca="1" si="7"/>
        <v>0.49999999999999983</v>
      </c>
      <c r="H33" s="7">
        <f t="shared" ca="1" si="7"/>
        <v>307.37605861546228</v>
      </c>
      <c r="I33" s="6">
        <f>'Monthly Data (14-23) Used'!BC33</f>
        <v>746606</v>
      </c>
      <c r="J33">
        <f>'Monthly Data (14-23) Used'!CC33</f>
        <v>22</v>
      </c>
      <c r="K33">
        <f>'Monthly Data (14-23) Used'!BU33</f>
        <v>0</v>
      </c>
      <c r="L33">
        <f>'Monthly Data (14-23) Used'!BZ33</f>
        <v>0</v>
      </c>
      <c r="N33" s="6"/>
      <c r="O33" s="6">
        <f t="shared" ca="1" si="8"/>
        <v>1973.6445346679043</v>
      </c>
      <c r="P33" s="6">
        <f t="shared" ca="1" si="4"/>
        <v>-816732.98635071923</v>
      </c>
      <c r="Q33" s="6"/>
      <c r="R33" s="6"/>
      <c r="S33" s="6"/>
      <c r="T33" s="6"/>
      <c r="U33" s="6">
        <f t="shared" ca="1" si="9"/>
        <v>19872966.648418311</v>
      </c>
    </row>
    <row r="34" spans="1:21">
      <c r="A34" s="197">
        <v>42614</v>
      </c>
      <c r="B34">
        <f t="shared" ref="B34:B53" si="10">MONTH(A34)</f>
        <v>9</v>
      </c>
      <c r="C34">
        <f t="shared" ref="C34:C53" si="11">YEAR(A34)</f>
        <v>2016</v>
      </c>
      <c r="D34" s="6">
        <f>'Monthly Data (14-23) Used'!M34</f>
        <v>19809166.990234364</v>
      </c>
      <c r="E34" s="64">
        <f>'Monthly Data (14-23) Used'!AE34</f>
        <v>3.5999999999999979</v>
      </c>
      <c r="F34" s="64">
        <f>'Monthly Data (14-23) Used'!AJ34</f>
        <v>221.29999999999998</v>
      </c>
      <c r="G34" s="7">
        <f t="shared" ref="G34:H49" ca="1" si="12">G22</f>
        <v>17.56355229914098</v>
      </c>
      <c r="H34" s="7">
        <f t="shared" ca="1" si="12"/>
        <v>194.39579080343606</v>
      </c>
      <c r="I34" s="6">
        <f>'Monthly Data (14-23) Used'!BC34</f>
        <v>746606</v>
      </c>
      <c r="J34">
        <f>'Monthly Data (14-23) Used'!CC34</f>
        <v>21</v>
      </c>
      <c r="K34">
        <f>'Monthly Data (14-23) Used'!BU34</f>
        <v>1</v>
      </c>
      <c r="L34">
        <f>'Monthly Data (14-23) Used'!BZ34</f>
        <v>0</v>
      </c>
      <c r="N34" s="6"/>
      <c r="O34" s="6">
        <f t="shared" ca="1" si="8"/>
        <v>55118.177359498113</v>
      </c>
      <c r="P34" s="6">
        <f t="shared" ref="P34:P53" ca="1" si="13">(H34-F34)*$X$11</f>
        <v>-410536.94018247293</v>
      </c>
      <c r="Q34" s="6"/>
      <c r="R34" s="6"/>
      <c r="S34" s="6"/>
      <c r="T34" s="6"/>
      <c r="U34" s="6">
        <f t="shared" ca="1" si="9"/>
        <v>19453748.227411389</v>
      </c>
    </row>
    <row r="35" spans="1:21">
      <c r="A35" s="197">
        <v>42644</v>
      </c>
      <c r="B35">
        <f t="shared" si="10"/>
        <v>10</v>
      </c>
      <c r="C35">
        <f t="shared" si="11"/>
        <v>2016</v>
      </c>
      <c r="D35" s="6">
        <f>'Monthly Data (14-23) Used'!M35</f>
        <v>17394767.990234364</v>
      </c>
      <c r="E35" s="64">
        <f>'Monthly Data (14-23) Used'!AE35</f>
        <v>127</v>
      </c>
      <c r="F35" s="64">
        <f>'Monthly Data (14-23) Used'!AJ35</f>
        <v>82.799999999999983</v>
      </c>
      <c r="G35" s="7">
        <f t="shared" ca="1" si="12"/>
        <v>143.81420919656392</v>
      </c>
      <c r="H35" s="7">
        <f t="shared" ca="1" si="12"/>
        <v>62.822895401718029</v>
      </c>
      <c r="I35" s="6">
        <f>'Monthly Data (14-23) Used'!BC35</f>
        <v>745380</v>
      </c>
      <c r="J35">
        <f>'Monthly Data (14-23) Used'!CC35</f>
        <v>20</v>
      </c>
      <c r="K35">
        <f>'Monthly Data (14-23) Used'!BU35</f>
        <v>0</v>
      </c>
      <c r="L35">
        <f>'Monthly Data (14-23) Used'!BZ35</f>
        <v>1</v>
      </c>
      <c r="N35" s="6"/>
      <c r="O35" s="6">
        <f t="shared" ca="1" si="8"/>
        <v>66370.544171122427</v>
      </c>
      <c r="P35" s="6">
        <f t="shared" ca="1" si="13"/>
        <v>-304834.80616599275</v>
      </c>
      <c r="Q35" s="6"/>
      <c r="R35" s="6"/>
      <c r="S35" s="6"/>
      <c r="T35" s="6"/>
      <c r="U35" s="6">
        <f t="shared" ca="1" si="9"/>
        <v>17156303.728239492</v>
      </c>
    </row>
    <row r="36" spans="1:21">
      <c r="A36" s="197">
        <v>42675</v>
      </c>
      <c r="B36">
        <f t="shared" si="10"/>
        <v>11</v>
      </c>
      <c r="C36">
        <f t="shared" si="11"/>
        <v>2016</v>
      </c>
      <c r="D36" s="6">
        <f>'Monthly Data (14-23) Used'!M36</f>
        <v>16436231.990234362</v>
      </c>
      <c r="E36" s="64">
        <f>'Monthly Data (14-23) Used'!AE36</f>
        <v>255.4</v>
      </c>
      <c r="F36" s="64">
        <f>'Monthly Data (14-23) Used'!AJ36</f>
        <v>11.600000000000001</v>
      </c>
      <c r="G36" s="7">
        <f t="shared" ca="1" si="12"/>
        <v>344.55065689742298</v>
      </c>
      <c r="H36" s="7">
        <f t="shared" ca="1" si="12"/>
        <v>6.1599999999999984</v>
      </c>
      <c r="I36" s="6">
        <f>'Monthly Data (14-23) Used'!BC36</f>
        <v>745380</v>
      </c>
      <c r="J36">
        <f>'Monthly Data (14-23) Used'!CC36</f>
        <v>22</v>
      </c>
      <c r="K36">
        <f>'Monthly Data (14-23) Used'!BU36</f>
        <v>0</v>
      </c>
      <c r="L36">
        <f>'Monthly Data (14-23) Used'!BZ36</f>
        <v>1</v>
      </c>
      <c r="N36" s="6"/>
      <c r="O36" s="6">
        <f t="shared" ca="1" si="8"/>
        <v>351903.41349530482</v>
      </c>
      <c r="P36" s="6">
        <f t="shared" ca="1" si="13"/>
        <v>-83010.094750448305</v>
      </c>
      <c r="Q36" s="6"/>
      <c r="R36" s="6"/>
      <c r="S36" s="6"/>
      <c r="T36" s="6"/>
      <c r="U36" s="6">
        <f t="shared" ca="1" si="9"/>
        <v>16705125.308979217</v>
      </c>
    </row>
    <row r="37" spans="1:21">
      <c r="A37" s="197">
        <v>42705</v>
      </c>
      <c r="B37">
        <f t="shared" si="10"/>
        <v>12</v>
      </c>
      <c r="C37">
        <f t="shared" si="11"/>
        <v>2016</v>
      </c>
      <c r="D37" s="6">
        <f>'Monthly Data (14-23) Used'!M37</f>
        <v>16007365.990234362</v>
      </c>
      <c r="E37" s="64">
        <f>'Monthly Data (14-23) Used'!AE37</f>
        <v>561.20000000000005</v>
      </c>
      <c r="F37" s="64">
        <f>'Monthly Data (14-23) Used'!AJ37</f>
        <v>0</v>
      </c>
      <c r="G37" s="7">
        <f t="shared" ca="1" si="12"/>
        <v>471.77</v>
      </c>
      <c r="H37" s="7">
        <f t="shared" ca="1" si="12"/>
        <v>8.0000000000000071E-2</v>
      </c>
      <c r="I37" s="6">
        <f>'Monthly Data (14-23) Used'!BC37</f>
        <v>745380</v>
      </c>
      <c r="J37">
        <f>'Monthly Data (14-23) Used'!CC37</f>
        <v>20</v>
      </c>
      <c r="K37">
        <f>'Monthly Data (14-23) Used'!BU37</f>
        <v>0</v>
      </c>
      <c r="L37">
        <f>'Monthly Data (14-23) Used'!BZ37</f>
        <v>0</v>
      </c>
      <c r="N37" s="6"/>
      <c r="O37" s="6">
        <f t="shared" ca="1" si="8"/>
        <v>-353006.06147070171</v>
      </c>
      <c r="P37" s="6">
        <f t="shared" ca="1" si="13"/>
        <v>1220.7366875065932</v>
      </c>
      <c r="Q37" s="6"/>
      <c r="R37" s="6"/>
      <c r="S37" s="6"/>
      <c r="T37" s="6"/>
      <c r="U37" s="6">
        <f t="shared" ca="1" si="9"/>
        <v>15655580.665451167</v>
      </c>
    </row>
    <row r="38" spans="1:21">
      <c r="A38" s="197">
        <v>42736</v>
      </c>
      <c r="B38">
        <f t="shared" si="10"/>
        <v>1</v>
      </c>
      <c r="C38">
        <f t="shared" si="11"/>
        <v>2017</v>
      </c>
      <c r="D38" s="6">
        <f>'Monthly Data (14-23) Used'!M38</f>
        <v>14446532.461887022</v>
      </c>
      <c r="E38" s="64">
        <f>'Monthly Data (14-23) Used'!AE38</f>
        <v>522.19999999999993</v>
      </c>
      <c r="F38" s="64">
        <f>'Monthly Data (14-23) Used'!AJ38</f>
        <v>0</v>
      </c>
      <c r="G38" s="7">
        <f t="shared" ca="1" si="12"/>
        <v>608.99999999999989</v>
      </c>
      <c r="H38" s="7">
        <f t="shared" ca="1" si="12"/>
        <v>0</v>
      </c>
      <c r="I38" s="6">
        <f>'Monthly Data (14-23) Used'!BC38</f>
        <v>756702</v>
      </c>
      <c r="J38">
        <f>'Monthly Data (14-23) Used'!CC38</f>
        <v>22</v>
      </c>
      <c r="K38">
        <f>'Monthly Data (14-23) Used'!BU38</f>
        <v>0</v>
      </c>
      <c r="L38">
        <f>'Monthly Data (14-23) Used'!BZ38</f>
        <v>0</v>
      </c>
      <c r="N38" s="6"/>
      <c r="O38" s="6">
        <f t="shared" ca="1" si="8"/>
        <v>342624.6912183481</v>
      </c>
      <c r="P38" s="6">
        <f t="shared" ca="1" si="13"/>
        <v>0</v>
      </c>
      <c r="Q38" s="6"/>
      <c r="R38" s="6"/>
      <c r="S38" s="6"/>
      <c r="T38" s="6"/>
      <c r="U38" s="6">
        <f t="shared" ca="1" si="9"/>
        <v>14789157.153105371</v>
      </c>
    </row>
    <row r="39" spans="1:21">
      <c r="A39" s="197">
        <v>42767</v>
      </c>
      <c r="B39">
        <f t="shared" si="10"/>
        <v>2</v>
      </c>
      <c r="C39">
        <f t="shared" si="11"/>
        <v>2017</v>
      </c>
      <c r="D39" s="6">
        <f>'Monthly Data (14-23) Used'!M39</f>
        <v>12489324.461887022</v>
      </c>
      <c r="E39" s="64">
        <f>'Monthly Data (14-23) Used'!AE39</f>
        <v>384.69999999999987</v>
      </c>
      <c r="F39" s="64">
        <f>'Monthly Data (14-23) Used'!AJ39</f>
        <v>0</v>
      </c>
      <c r="G39" s="7">
        <f t="shared" ca="1" si="12"/>
        <v>539.11355229914102</v>
      </c>
      <c r="H39" s="7">
        <f t="shared" ca="1" si="12"/>
        <v>0.1</v>
      </c>
      <c r="I39" s="6">
        <f>'Monthly Data (14-23) Used'!BC39</f>
        <v>756702</v>
      </c>
      <c r="J39">
        <f>'Monthly Data (14-23) Used'!CC39</f>
        <v>19</v>
      </c>
      <c r="K39">
        <f>'Monthly Data (14-23) Used'!BU39</f>
        <v>0</v>
      </c>
      <c r="L39">
        <f>'Monthly Data (14-23) Used'!BZ39</f>
        <v>0</v>
      </c>
      <c r="N39" s="6"/>
      <c r="O39" s="6">
        <f t="shared" ca="1" si="8"/>
        <v>609514.92714771326</v>
      </c>
      <c r="P39" s="6">
        <f t="shared" ca="1" si="13"/>
        <v>1525.92085938324</v>
      </c>
      <c r="Q39" s="6"/>
      <c r="R39" s="6"/>
      <c r="S39" s="6"/>
      <c r="T39" s="6"/>
      <c r="U39" s="6">
        <f t="shared" ca="1" si="9"/>
        <v>13100365.309894118</v>
      </c>
    </row>
    <row r="40" spans="1:21">
      <c r="A40" s="197">
        <v>42795</v>
      </c>
      <c r="B40">
        <f t="shared" si="10"/>
        <v>3</v>
      </c>
      <c r="C40">
        <f t="shared" si="11"/>
        <v>2017</v>
      </c>
      <c r="D40" s="6">
        <f>'Monthly Data (14-23) Used'!M40</f>
        <v>14870617.461887022</v>
      </c>
      <c r="E40" s="64">
        <f>'Monthly Data (14-23) Used'!AE40</f>
        <v>445.30000000000013</v>
      </c>
      <c r="F40" s="64">
        <f>'Monthly Data (14-23) Used'!AJ40</f>
        <v>1</v>
      </c>
      <c r="G40" s="7">
        <f t="shared" ca="1" si="12"/>
        <v>434.46355229914104</v>
      </c>
      <c r="H40" s="7">
        <f t="shared" ca="1" si="12"/>
        <v>1.2599999999999998</v>
      </c>
      <c r="I40" s="6">
        <f>'Monthly Data (14-23) Used'!BC40</f>
        <v>756702</v>
      </c>
      <c r="J40">
        <f>'Monthly Data (14-23) Used'!CC40</f>
        <v>23</v>
      </c>
      <c r="K40">
        <f>'Monthly Data (14-23) Used'!BU40</f>
        <v>0</v>
      </c>
      <c r="L40">
        <f>'Monthly Data (14-23) Used'!BZ40</f>
        <v>0</v>
      </c>
      <c r="N40" s="6"/>
      <c r="O40" s="6">
        <f t="shared" ca="1" si="8"/>
        <v>-42774.591560030225</v>
      </c>
      <c r="P40" s="6">
        <f t="shared" ca="1" si="13"/>
        <v>3967.3942343964209</v>
      </c>
      <c r="Q40" s="6"/>
      <c r="R40" s="6"/>
      <c r="S40" s="6"/>
      <c r="T40" s="6"/>
      <c r="U40" s="6">
        <f t="shared" ca="1" si="9"/>
        <v>14831810.264561389</v>
      </c>
    </row>
    <row r="41" spans="1:21">
      <c r="A41" s="197">
        <v>42826</v>
      </c>
      <c r="B41">
        <f t="shared" si="10"/>
        <v>4</v>
      </c>
      <c r="C41">
        <f t="shared" si="11"/>
        <v>2017</v>
      </c>
      <c r="D41" s="6">
        <f>'Monthly Data (14-23) Used'!M41</f>
        <v>12959068.461887022</v>
      </c>
      <c r="E41" s="64">
        <f>'Monthly Data (14-23) Used'!AE41</f>
        <v>147.39999999999995</v>
      </c>
      <c r="F41" s="64">
        <f>'Monthly Data (14-23) Used'!AJ41</f>
        <v>40.300000000000004</v>
      </c>
      <c r="G41" s="7">
        <f t="shared" ca="1" si="12"/>
        <v>238.61000000000004</v>
      </c>
      <c r="H41" s="7">
        <f t="shared" ca="1" si="12"/>
        <v>18.349999999999998</v>
      </c>
      <c r="I41" s="6">
        <f>'Monthly Data (14-23) Used'!BC41</f>
        <v>764644</v>
      </c>
      <c r="J41">
        <f>'Monthly Data (14-23) Used'!CC41</f>
        <v>19</v>
      </c>
      <c r="K41">
        <f>'Monthly Data (14-23) Used'!BU41</f>
        <v>0</v>
      </c>
      <c r="L41">
        <f>'Monthly Data (14-23) Used'!BZ41</f>
        <v>0</v>
      </c>
      <c r="N41" s="6"/>
      <c r="O41" s="6">
        <f t="shared" ca="1" si="8"/>
        <v>360032.23601411958</v>
      </c>
      <c r="P41" s="6">
        <f t="shared" ca="1" si="13"/>
        <v>-334939.62863462127</v>
      </c>
      <c r="Q41" s="6"/>
      <c r="R41" s="6"/>
      <c r="S41" s="6"/>
      <c r="T41" s="6"/>
      <c r="U41" s="6">
        <f t="shared" ca="1" si="9"/>
        <v>12984161.069266522</v>
      </c>
    </row>
    <row r="42" spans="1:21">
      <c r="A42" s="197">
        <v>42856</v>
      </c>
      <c r="B42">
        <f t="shared" si="10"/>
        <v>5</v>
      </c>
      <c r="C42">
        <f t="shared" si="11"/>
        <v>2017</v>
      </c>
      <c r="D42" s="6">
        <f>'Monthly Data (14-23) Used'!M42</f>
        <v>14186076.461887022</v>
      </c>
      <c r="E42" s="64">
        <f>'Monthly Data (14-23) Used'!AE42</f>
        <v>93.700000000000017</v>
      </c>
      <c r="F42" s="64">
        <f>'Monthly Data (14-23) Used'!AJ42</f>
        <v>100.50000000000001</v>
      </c>
      <c r="G42" s="7">
        <f t="shared" ca="1" si="12"/>
        <v>77.693552299140975</v>
      </c>
      <c r="H42" s="7">
        <f t="shared" ca="1" si="12"/>
        <v>124.82289540171806</v>
      </c>
      <c r="I42" s="6">
        <f>'Monthly Data (14-23) Used'!BC42</f>
        <v>764644</v>
      </c>
      <c r="J42">
        <f>'Monthly Data (14-23) Used'!CC42</f>
        <v>22</v>
      </c>
      <c r="K42">
        <f>'Monthly Data (14-23) Used'!BU42</f>
        <v>0</v>
      </c>
      <c r="L42">
        <f>'Monthly Data (14-23) Used'!BZ42</f>
        <v>0</v>
      </c>
      <c r="N42" s="6"/>
      <c r="O42" s="6">
        <f t="shared" ca="1" si="8"/>
        <v>-63182.076048496201</v>
      </c>
      <c r="P42" s="6">
        <f t="shared" ca="1" si="13"/>
        <v>371148.13454078254</v>
      </c>
      <c r="Q42" s="6"/>
      <c r="R42" s="6"/>
      <c r="S42" s="6"/>
      <c r="T42" s="6"/>
      <c r="U42" s="6">
        <f t="shared" ca="1" si="9"/>
        <v>14494042.520379309</v>
      </c>
    </row>
    <row r="43" spans="1:21">
      <c r="A43" s="197">
        <v>42887</v>
      </c>
      <c r="B43">
        <f t="shared" si="10"/>
        <v>6</v>
      </c>
      <c r="C43">
        <f t="shared" si="11"/>
        <v>2017</v>
      </c>
      <c r="D43" s="6">
        <f>'Monthly Data (14-23) Used'!M43</f>
        <v>15543861.461887022</v>
      </c>
      <c r="E43" s="64">
        <f>'Monthly Data (14-23) Used'!AE43</f>
        <v>0</v>
      </c>
      <c r="F43" s="64">
        <f>'Monthly Data (14-23) Used'!AJ43</f>
        <v>273.3</v>
      </c>
      <c r="G43" s="7">
        <f t="shared" ca="1" si="12"/>
        <v>2.8535522991409801</v>
      </c>
      <c r="H43" s="7">
        <f t="shared" ca="1" si="12"/>
        <v>262.25644770085898</v>
      </c>
      <c r="I43" s="6">
        <f>'Monthly Data (14-23) Used'!BC43</f>
        <v>764644</v>
      </c>
      <c r="J43">
        <f>'Monthly Data (14-23) Used'!CC43</f>
        <v>22</v>
      </c>
      <c r="K43">
        <f>'Monthly Data (14-23) Used'!BU43</f>
        <v>0</v>
      </c>
      <c r="L43">
        <f>'Monthly Data (14-23) Used'!BZ43</f>
        <v>0</v>
      </c>
      <c r="N43" s="6"/>
      <c r="O43" s="6">
        <f t="shared" ca="1" si="8"/>
        <v>11263.79579917726</v>
      </c>
      <c r="P43" s="6">
        <f t="shared" ca="1" si="13"/>
        <v>-168515.8681494903</v>
      </c>
      <c r="Q43" s="6"/>
      <c r="R43" s="6"/>
      <c r="S43" s="6"/>
      <c r="T43" s="6"/>
      <c r="U43" s="6">
        <f t="shared" ca="1" si="9"/>
        <v>15386609.389536709</v>
      </c>
    </row>
    <row r="44" spans="1:21">
      <c r="A44" s="197">
        <v>42917</v>
      </c>
      <c r="B44">
        <f t="shared" si="10"/>
        <v>7</v>
      </c>
      <c r="C44">
        <f t="shared" si="11"/>
        <v>2017</v>
      </c>
      <c r="D44" s="6">
        <f>'Monthly Data (14-23) Used'!M44</f>
        <v>17365234.461887024</v>
      </c>
      <c r="E44" s="64">
        <f>'Monthly Data (14-23) Used'!AE44</f>
        <v>0</v>
      </c>
      <c r="F44" s="64">
        <f>'Monthly Data (14-23) Used'!AJ44</f>
        <v>323</v>
      </c>
      <c r="G44" s="7">
        <f t="shared" ca="1" si="12"/>
        <v>1.9999999999999928E-2</v>
      </c>
      <c r="H44" s="7">
        <f t="shared" ca="1" si="12"/>
        <v>335.21289540171807</v>
      </c>
      <c r="I44" s="6">
        <f>'Monthly Data (14-23) Used'!BC44</f>
        <v>765060</v>
      </c>
      <c r="J44">
        <f>'Monthly Data (14-23) Used'!CC44</f>
        <v>20</v>
      </c>
      <c r="K44">
        <f>'Monthly Data (14-23) Used'!BU44</f>
        <v>0</v>
      </c>
      <c r="L44">
        <f>'Monthly Data (14-23) Used'!BZ44</f>
        <v>0</v>
      </c>
      <c r="N44" s="6"/>
      <c r="O44" s="6">
        <f t="shared" ca="1" si="8"/>
        <v>78.945781386715908</v>
      </c>
      <c r="P44" s="6">
        <f t="shared" ca="1" si="13"/>
        <v>186359.1184694726</v>
      </c>
      <c r="Q44" s="6"/>
      <c r="R44" s="6"/>
      <c r="S44" s="6"/>
      <c r="T44" s="6"/>
      <c r="U44" s="6">
        <f t="shared" ca="1" si="9"/>
        <v>17551672.526137885</v>
      </c>
    </row>
    <row r="45" spans="1:21">
      <c r="A45" s="197">
        <v>42948</v>
      </c>
      <c r="B45">
        <f t="shared" si="10"/>
        <v>8</v>
      </c>
      <c r="C45">
        <f t="shared" si="11"/>
        <v>2017</v>
      </c>
      <c r="D45" s="6">
        <f>'Monthly Data (14-23) Used'!M45</f>
        <v>16941793.461887024</v>
      </c>
      <c r="E45" s="64">
        <f>'Monthly Data (14-23) Used'!AE45</f>
        <v>0.5</v>
      </c>
      <c r="F45" s="64">
        <f>'Monthly Data (14-23) Used'!AJ45</f>
        <v>259.89999999999998</v>
      </c>
      <c r="G45" s="7">
        <f t="shared" ca="1" si="12"/>
        <v>0.49999999999999983</v>
      </c>
      <c r="H45" s="7">
        <f t="shared" ca="1" si="12"/>
        <v>307.37605861546228</v>
      </c>
      <c r="I45" s="6">
        <f>'Monthly Data (14-23) Used'!BC45</f>
        <v>765060</v>
      </c>
      <c r="J45">
        <f>'Monthly Data (14-23) Used'!CC45</f>
        <v>22</v>
      </c>
      <c r="K45">
        <f>'Monthly Data (14-23) Used'!BU45</f>
        <v>0</v>
      </c>
      <c r="L45">
        <f>'Monthly Data (14-23) Used'!BZ45</f>
        <v>0</v>
      </c>
      <c r="N45" s="6"/>
      <c r="O45" s="6">
        <f t="shared" ca="1" si="8"/>
        <v>-6.5735568144417335E-13</v>
      </c>
      <c r="P45" s="6">
        <f t="shared" ca="1" si="13"/>
        <v>724447.0816263532</v>
      </c>
      <c r="Q45" s="6"/>
      <c r="R45" s="6"/>
      <c r="S45" s="6"/>
      <c r="T45" s="6"/>
      <c r="U45" s="6">
        <f t="shared" ca="1" si="9"/>
        <v>17666240.543513376</v>
      </c>
    </row>
    <row r="46" spans="1:21">
      <c r="A46" s="197">
        <v>42979</v>
      </c>
      <c r="B46">
        <f t="shared" si="10"/>
        <v>9</v>
      </c>
      <c r="C46">
        <f t="shared" si="11"/>
        <v>2017</v>
      </c>
      <c r="D46" s="6">
        <f>'Monthly Data (14-23) Used'!M46</f>
        <v>17044512.461887024</v>
      </c>
      <c r="E46" s="64">
        <f>'Monthly Data (14-23) Used'!AE46</f>
        <v>22.1</v>
      </c>
      <c r="F46" s="64">
        <f>'Monthly Data (14-23) Used'!AJ46</f>
        <v>189.50000000000003</v>
      </c>
      <c r="G46" s="7">
        <f t="shared" ca="1" si="12"/>
        <v>17.56355229914098</v>
      </c>
      <c r="H46" s="7">
        <f t="shared" ca="1" si="12"/>
        <v>194.39579080343606</v>
      </c>
      <c r="I46" s="6">
        <f>'Monthly Data (14-23) Used'!BC46</f>
        <v>765060</v>
      </c>
      <c r="J46">
        <f>'Monthly Data (14-23) Used'!CC46</f>
        <v>20</v>
      </c>
      <c r="K46">
        <f>'Monthly Data (14-23) Used'!BU46</f>
        <v>1</v>
      </c>
      <c r="L46">
        <f>'Monthly Data (14-23) Used'!BZ46</f>
        <v>0</v>
      </c>
      <c r="N46" s="6"/>
      <c r="O46" s="6">
        <f t="shared" ca="1" si="8"/>
        <v>-17906.670423214382</v>
      </c>
      <c r="P46" s="6">
        <f t="shared" ca="1" si="13"/>
        <v>74705.893101396679</v>
      </c>
      <c r="Q46" s="6"/>
      <c r="R46" s="6"/>
      <c r="S46" s="6"/>
      <c r="T46" s="6"/>
      <c r="U46" s="6">
        <f t="shared" ca="1" si="9"/>
        <v>17101311.684565209</v>
      </c>
    </row>
    <row r="47" spans="1:21">
      <c r="A47" s="197">
        <v>43009</v>
      </c>
      <c r="B47">
        <f t="shared" si="10"/>
        <v>10</v>
      </c>
      <c r="C47">
        <f t="shared" si="11"/>
        <v>2017</v>
      </c>
      <c r="D47" s="6">
        <f>'Monthly Data (14-23) Used'!M47</f>
        <v>15614935.461887022</v>
      </c>
      <c r="E47" s="64">
        <f>'Monthly Data (14-23) Used'!AE47</f>
        <v>105.10000000000001</v>
      </c>
      <c r="F47" s="64">
        <f>'Monthly Data (14-23) Used'!AJ47</f>
        <v>91.399999999999991</v>
      </c>
      <c r="G47" s="7">
        <f t="shared" ca="1" si="12"/>
        <v>143.81420919656392</v>
      </c>
      <c r="H47" s="7">
        <f t="shared" ca="1" si="12"/>
        <v>62.822895401718029</v>
      </c>
      <c r="I47" s="6">
        <f>'Monthly Data (14-23) Used'!BC47</f>
        <v>771453</v>
      </c>
      <c r="J47">
        <f>'Monthly Data (14-23) Used'!CC47</f>
        <v>21</v>
      </c>
      <c r="K47">
        <f>'Monthly Data (14-23) Used'!BU47</f>
        <v>0</v>
      </c>
      <c r="L47">
        <f>'Monthly Data (14-23) Used'!BZ47</f>
        <v>1</v>
      </c>
      <c r="N47" s="6"/>
      <c r="O47" s="6">
        <f t="shared" ca="1" si="8"/>
        <v>152816.17478957662</v>
      </c>
      <c r="P47" s="6">
        <f t="shared" ca="1" si="13"/>
        <v>-436064.00007295155</v>
      </c>
      <c r="Q47" s="6"/>
      <c r="R47" s="6"/>
      <c r="S47" s="6"/>
      <c r="T47" s="6"/>
      <c r="U47" s="6">
        <f t="shared" ca="1" si="9"/>
        <v>15331687.636603646</v>
      </c>
    </row>
    <row r="48" spans="1:21">
      <c r="A48" s="197">
        <v>43040</v>
      </c>
      <c r="B48">
        <f t="shared" si="10"/>
        <v>11</v>
      </c>
      <c r="C48">
        <f t="shared" si="11"/>
        <v>2017</v>
      </c>
      <c r="D48" s="6">
        <f>'Monthly Data (14-23) Used'!M48</f>
        <v>14960151.461887022</v>
      </c>
      <c r="E48" s="64">
        <f>'Monthly Data (14-23) Used'!AE48</f>
        <v>354.93552299140981</v>
      </c>
      <c r="F48" s="64">
        <f>'Monthly Data (14-23) Used'!AJ48</f>
        <v>0.40000000000000036</v>
      </c>
      <c r="G48" s="7">
        <f t="shared" ca="1" si="12"/>
        <v>344.55065689742298</v>
      </c>
      <c r="H48" s="7">
        <f t="shared" ca="1" si="12"/>
        <v>6.1599999999999984</v>
      </c>
      <c r="I48" s="6">
        <f>'Monthly Data (14-23) Used'!BC48</f>
        <v>771453</v>
      </c>
      <c r="J48">
        <f>'Monthly Data (14-23) Used'!CC48</f>
        <v>22</v>
      </c>
      <c r="K48">
        <f>'Monthly Data (14-23) Used'!BU48</f>
        <v>0</v>
      </c>
      <c r="L48">
        <f>'Monthly Data (14-23) Used'!BZ48</f>
        <v>1</v>
      </c>
      <c r="N48" s="6"/>
      <c r="O48" s="6">
        <f t="shared" ca="1" si="8"/>
        <v>-40992.068419310279</v>
      </c>
      <c r="P48" s="6">
        <f t="shared" ca="1" si="13"/>
        <v>87893.041500474588</v>
      </c>
      <c r="Q48" s="6"/>
      <c r="R48" s="6"/>
      <c r="S48" s="6"/>
      <c r="T48" s="6"/>
      <c r="U48" s="6">
        <f t="shared" ca="1" si="9"/>
        <v>15007052.434968187</v>
      </c>
    </row>
    <row r="49" spans="1:21">
      <c r="A49" s="197">
        <v>43070</v>
      </c>
      <c r="B49">
        <f t="shared" si="10"/>
        <v>12</v>
      </c>
      <c r="C49">
        <f t="shared" si="11"/>
        <v>2017</v>
      </c>
      <c r="D49" s="6">
        <f>'Monthly Data (14-23) Used'!M49</f>
        <v>13081358.461887022</v>
      </c>
      <c r="E49" s="64">
        <f>'Monthly Data (14-23) Used'!AE49</f>
        <v>610.00000000000011</v>
      </c>
      <c r="F49" s="64">
        <f>'Monthly Data (14-23) Used'!AJ49</f>
        <v>0</v>
      </c>
      <c r="G49" s="7">
        <f t="shared" ca="1" si="12"/>
        <v>471.77</v>
      </c>
      <c r="H49" s="7">
        <f t="shared" ca="1" si="12"/>
        <v>8.0000000000000071E-2</v>
      </c>
      <c r="I49" s="6">
        <f>'Monthly Data (14-23) Used'!BC49</f>
        <v>771453</v>
      </c>
      <c r="J49">
        <f>'Monthly Data (14-23) Used'!CC49</f>
        <v>19</v>
      </c>
      <c r="K49">
        <f>'Monthly Data (14-23) Used'!BU49</f>
        <v>0</v>
      </c>
      <c r="L49">
        <f>'Monthly Data (14-23) Used'!BZ49</f>
        <v>0</v>
      </c>
      <c r="N49" s="6"/>
      <c r="O49" s="6">
        <f t="shared" ca="1" si="8"/>
        <v>-545633.76805428951</v>
      </c>
      <c r="P49" s="6">
        <f t="shared" ca="1" si="13"/>
        <v>1220.7366875065932</v>
      </c>
      <c r="Q49" s="6"/>
      <c r="R49" s="6"/>
      <c r="S49" s="6"/>
      <c r="T49" s="6"/>
      <c r="U49" s="6">
        <f t="shared" ca="1" si="9"/>
        <v>12536945.43052024</v>
      </c>
    </row>
    <row r="50" spans="1:21">
      <c r="A50" s="197">
        <v>43101</v>
      </c>
      <c r="B50">
        <f t="shared" si="10"/>
        <v>1</v>
      </c>
      <c r="C50">
        <f t="shared" si="11"/>
        <v>2018</v>
      </c>
      <c r="D50" s="6">
        <f>'Monthly Data (14-23) Used'!M50</f>
        <v>15580080.174657103</v>
      </c>
      <c r="E50" s="64">
        <f>'Monthly Data (14-23) Used'!AE50</f>
        <v>643.6</v>
      </c>
      <c r="F50" s="64">
        <f>'Monthly Data (14-23) Used'!AJ50</f>
        <v>0</v>
      </c>
      <c r="G50" s="7">
        <f t="shared" ref="G50:H65" ca="1" si="14">G38</f>
        <v>608.99999999999989</v>
      </c>
      <c r="H50" s="7">
        <f t="shared" ca="1" si="14"/>
        <v>0</v>
      </c>
      <c r="I50" s="6">
        <f>'Monthly Data (14-23) Used'!BC50</f>
        <v>779459</v>
      </c>
      <c r="J50">
        <f>'Monthly Data (14-23) Used'!CC50</f>
        <v>22</v>
      </c>
      <c r="K50">
        <f>'Monthly Data (14-23) Used'!BU50</f>
        <v>0</v>
      </c>
      <c r="L50">
        <f>'Monthly Data (14-23) Used'!BZ50</f>
        <v>0</v>
      </c>
      <c r="N50" s="6"/>
      <c r="O50" s="6">
        <f t="shared" ca="1" si="8"/>
        <v>-136576.20179901956</v>
      </c>
      <c r="P50" s="6">
        <f t="shared" ca="1" si="13"/>
        <v>0</v>
      </c>
      <c r="Q50" s="6"/>
      <c r="R50" s="6"/>
      <c r="S50" s="6"/>
      <c r="T50" s="6"/>
      <c r="U50" s="6">
        <f t="shared" ca="1" si="9"/>
        <v>15443503.972858083</v>
      </c>
    </row>
    <row r="51" spans="1:21">
      <c r="A51" s="197">
        <v>43132</v>
      </c>
      <c r="B51">
        <f t="shared" si="10"/>
        <v>2</v>
      </c>
      <c r="C51">
        <f t="shared" si="11"/>
        <v>2018</v>
      </c>
      <c r="D51" s="6">
        <f>'Monthly Data (14-23) Used'!M51</f>
        <v>11579961.174657103</v>
      </c>
      <c r="E51" s="64">
        <f>'Monthly Data (14-23) Used'!AE51</f>
        <v>488.49999999999994</v>
      </c>
      <c r="F51" s="64">
        <f>'Monthly Data (14-23) Used'!AJ51</f>
        <v>1</v>
      </c>
      <c r="G51" s="7">
        <f t="shared" ca="1" si="14"/>
        <v>539.11355229914102</v>
      </c>
      <c r="H51" s="7">
        <f t="shared" ca="1" si="14"/>
        <v>0.1</v>
      </c>
      <c r="I51" s="6">
        <f>'Monthly Data (14-23) Used'!BC51</f>
        <v>779459</v>
      </c>
      <c r="J51">
        <f>'Monthly Data (14-23) Used'!CC51</f>
        <v>19</v>
      </c>
      <c r="K51">
        <f>'Monthly Data (14-23) Used'!BU51</f>
        <v>0</v>
      </c>
      <c r="L51">
        <f>'Monthly Data (14-23) Used'!BZ51</f>
        <v>0</v>
      </c>
      <c r="N51" s="6"/>
      <c r="O51" s="6">
        <f t="shared" ca="1" si="8"/>
        <v>199786.32175065592</v>
      </c>
      <c r="P51" s="6">
        <f t="shared" ca="1" si="13"/>
        <v>-13733.287734449161</v>
      </c>
      <c r="Q51" s="6"/>
      <c r="R51" s="6"/>
      <c r="S51" s="6"/>
      <c r="T51" s="6"/>
      <c r="U51" s="6">
        <f t="shared" ca="1" si="9"/>
        <v>11766014.20867331</v>
      </c>
    </row>
    <row r="52" spans="1:21">
      <c r="A52" s="197">
        <v>43160</v>
      </c>
      <c r="B52">
        <f t="shared" si="10"/>
        <v>3</v>
      </c>
      <c r="C52">
        <f t="shared" si="11"/>
        <v>2018</v>
      </c>
      <c r="D52" s="6">
        <f>'Monthly Data (14-23) Used'!M52</f>
        <v>14641672.174657103</v>
      </c>
      <c r="E52" s="64">
        <f>'Monthly Data (14-23) Used'!AE52</f>
        <v>472.40000000000003</v>
      </c>
      <c r="F52" s="64">
        <f>'Monthly Data (14-23) Used'!AJ52</f>
        <v>0</v>
      </c>
      <c r="G52" s="7">
        <f t="shared" ca="1" si="14"/>
        <v>434.46355229914104</v>
      </c>
      <c r="H52" s="7">
        <f t="shared" ca="1" si="14"/>
        <v>1.2599999999999998</v>
      </c>
      <c r="I52" s="6">
        <f>'Monthly Data (14-23) Used'!BC52</f>
        <v>779459</v>
      </c>
      <c r="J52">
        <f>'Monthly Data (14-23) Used'!CC52</f>
        <v>21</v>
      </c>
      <c r="K52">
        <f>'Monthly Data (14-23) Used'!BU52</f>
        <v>0</v>
      </c>
      <c r="L52">
        <f>'Monthly Data (14-23) Used'!BZ52</f>
        <v>0</v>
      </c>
      <c r="N52" s="6"/>
      <c r="O52" s="6">
        <f t="shared" ca="1" si="8"/>
        <v>-149746.12533903032</v>
      </c>
      <c r="P52" s="6">
        <f t="shared" ca="1" si="13"/>
        <v>19226.602828228821</v>
      </c>
      <c r="Q52" s="6"/>
      <c r="R52" s="6"/>
      <c r="S52" s="6"/>
      <c r="T52" s="6"/>
      <c r="U52" s="6">
        <f t="shared" ca="1" si="9"/>
        <v>14511152.6521463</v>
      </c>
    </row>
    <row r="53" spans="1:21">
      <c r="A53" s="197">
        <v>43191</v>
      </c>
      <c r="B53">
        <f t="shared" si="10"/>
        <v>4</v>
      </c>
      <c r="C53">
        <f t="shared" si="11"/>
        <v>2018</v>
      </c>
      <c r="D53" s="6">
        <f>'Monthly Data (14-23) Used'!M53</f>
        <v>13663498.174657103</v>
      </c>
      <c r="E53" s="64">
        <f>'Monthly Data (14-23) Used'!AE53</f>
        <v>335.59999999999997</v>
      </c>
      <c r="F53" s="64">
        <f>'Monthly Data (14-23) Used'!AJ53</f>
        <v>2.2999999999999989</v>
      </c>
      <c r="G53" s="7">
        <f t="shared" ca="1" si="14"/>
        <v>238.61000000000004</v>
      </c>
      <c r="H53" s="7">
        <f t="shared" ca="1" si="14"/>
        <v>18.349999999999998</v>
      </c>
      <c r="I53" s="6">
        <f>'Monthly Data (14-23) Used'!BC53</f>
        <v>784896</v>
      </c>
      <c r="J53">
        <f>'Monthly Data (14-23) Used'!CC53</f>
        <v>21</v>
      </c>
      <c r="K53">
        <f>'Monthly Data (14-23) Used'!BU53</f>
        <v>0</v>
      </c>
      <c r="L53">
        <f>'Monthly Data (14-23) Used'!BZ53</f>
        <v>0</v>
      </c>
      <c r="N53" s="6"/>
      <c r="O53" s="6">
        <f t="shared" ca="1" si="8"/>
        <v>-382847.56683487992</v>
      </c>
      <c r="P53" s="6">
        <f t="shared" ca="1" si="13"/>
        <v>244910.29793100996</v>
      </c>
      <c r="Q53" s="6"/>
      <c r="R53" s="6"/>
      <c r="S53" s="6"/>
      <c r="T53" s="6"/>
      <c r="U53" s="6">
        <f t="shared" ca="1" si="9"/>
        <v>13525560.905753233</v>
      </c>
    </row>
    <row r="54" spans="1:21">
      <c r="A54" s="197">
        <v>43221</v>
      </c>
      <c r="B54">
        <f t="shared" ref="B54:B115" si="15">MONTH(A54)</f>
        <v>5</v>
      </c>
      <c r="C54">
        <f t="shared" ref="C54:C115" si="16">YEAR(A54)</f>
        <v>2018</v>
      </c>
      <c r="D54" s="6">
        <f>'Monthly Data (14-23) Used'!M54</f>
        <v>14444843.174657103</v>
      </c>
      <c r="E54" s="64">
        <f>'Monthly Data (14-23) Used'!AE54</f>
        <v>33.099999999999994</v>
      </c>
      <c r="F54" s="64">
        <f>'Monthly Data (14-23) Used'!AJ54</f>
        <v>182.1</v>
      </c>
      <c r="G54" s="7">
        <f t="shared" ca="1" si="14"/>
        <v>77.693552299140975</v>
      </c>
      <c r="H54" s="7">
        <f t="shared" ca="1" si="14"/>
        <v>124.82289540171806</v>
      </c>
      <c r="I54" s="6">
        <f>'Monthly Data (14-23) Used'!BC54</f>
        <v>784896</v>
      </c>
      <c r="J54">
        <f>'Monthly Data (14-23) Used'!CC54</f>
        <v>22</v>
      </c>
      <c r="K54">
        <f>'Monthly Data (14-23) Used'!BU54</f>
        <v>0</v>
      </c>
      <c r="L54">
        <f>'Monthly Data (14-23) Used'!BZ54</f>
        <v>0</v>
      </c>
      <c r="N54" s="6"/>
      <c r="O54" s="6">
        <f t="shared" ref="O54:O85" ca="1" si="17">(G54-E54)*$X$10</f>
        <v>176023.64155325398</v>
      </c>
      <c r="P54" s="6">
        <f t="shared" ref="P54:P114" ca="1" si="18">(H54-F54)*$X$11</f>
        <v>-874003.28671594104</v>
      </c>
      <c r="Q54" s="6"/>
      <c r="R54" s="6"/>
      <c r="S54" s="6"/>
      <c r="T54" s="6"/>
      <c r="U54" s="6">
        <f t="shared" ref="U54:U85" ca="1" si="19">SUM(D54,N54:T54)</f>
        <v>13746863.529494416</v>
      </c>
    </row>
    <row r="55" spans="1:21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Used'!M55</f>
        <v>15625564.174657103</v>
      </c>
      <c r="E55" s="64">
        <f>'Monthly Data (14-23) Used'!AE55</f>
        <v>2.5</v>
      </c>
      <c r="F55" s="64">
        <f>'Monthly Data (14-23) Used'!AJ55</f>
        <v>266.29999999999995</v>
      </c>
      <c r="G55" s="7">
        <f t="shared" ca="1" si="14"/>
        <v>2.8535522991409801</v>
      </c>
      <c r="H55" s="7">
        <f t="shared" ca="1" si="14"/>
        <v>262.25644770085898</v>
      </c>
      <c r="I55" s="6">
        <f>'Monthly Data (14-23) Used'!BC55</f>
        <v>784896</v>
      </c>
      <c r="J55">
        <f>'Monthly Data (14-23) Used'!CC55</f>
        <v>21</v>
      </c>
      <c r="K55">
        <f>'Monthly Data (14-23) Used'!BU55</f>
        <v>0</v>
      </c>
      <c r="L55">
        <f>'Monthly Data (14-23) Used'!BZ55</f>
        <v>0</v>
      </c>
      <c r="N55" s="6"/>
      <c r="O55" s="6">
        <f t="shared" ca="1" si="17"/>
        <v>1395.573125837735</v>
      </c>
      <c r="P55" s="6">
        <f t="shared" ca="1" si="18"/>
        <v>-61701.407992662644</v>
      </c>
      <c r="Q55" s="6"/>
      <c r="R55" s="6"/>
      <c r="S55" s="6"/>
      <c r="T55" s="6"/>
      <c r="U55" s="6">
        <f t="shared" ca="1" si="19"/>
        <v>15565258.339790277</v>
      </c>
    </row>
    <row r="56" spans="1:21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Used'!M56</f>
        <v>17089508.174657103</v>
      </c>
      <c r="E56" s="64">
        <f>'Monthly Data (14-23) Used'!AE56</f>
        <v>0</v>
      </c>
      <c r="F56" s="64">
        <f>'Monthly Data (14-23) Used'!AJ56</f>
        <v>349.10000000000008</v>
      </c>
      <c r="G56" s="7">
        <f t="shared" ca="1" si="14"/>
        <v>1.9999999999999928E-2</v>
      </c>
      <c r="H56" s="7">
        <f t="shared" ca="1" si="14"/>
        <v>335.21289540171807</v>
      </c>
      <c r="I56" s="6">
        <f>'Monthly Data (14-23) Used'!BC56</f>
        <v>794140</v>
      </c>
      <c r="J56">
        <f>'Monthly Data (14-23) Used'!CC56</f>
        <v>21</v>
      </c>
      <c r="K56">
        <f>'Monthly Data (14-23) Used'!BU56</f>
        <v>0</v>
      </c>
      <c r="L56">
        <f>'Monthly Data (14-23) Used'!BZ56</f>
        <v>0</v>
      </c>
      <c r="N56" s="6"/>
      <c r="O56" s="6">
        <f t="shared" ca="1" si="17"/>
        <v>78.945781386715908</v>
      </c>
      <c r="P56" s="6">
        <f t="shared" ca="1" si="18"/>
        <v>-211906.22582955426</v>
      </c>
      <c r="Q56" s="6"/>
      <c r="R56" s="6"/>
      <c r="S56" s="6"/>
      <c r="T56" s="6"/>
      <c r="U56" s="6">
        <f t="shared" ca="1" si="19"/>
        <v>16877680.894608937</v>
      </c>
    </row>
    <row r="57" spans="1:21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Used'!M57</f>
        <v>17969716.174657103</v>
      </c>
      <c r="E57" s="64">
        <f>'Monthly Data (14-23) Used'!AE57</f>
        <v>0</v>
      </c>
      <c r="F57" s="64">
        <f>'Monthly Data (14-23) Used'!AJ57</f>
        <v>345.79999999999995</v>
      </c>
      <c r="G57" s="7">
        <f t="shared" ca="1" si="14"/>
        <v>0.49999999999999983</v>
      </c>
      <c r="H57" s="7">
        <f t="shared" ca="1" si="14"/>
        <v>307.37605861546228</v>
      </c>
      <c r="I57" s="6">
        <f>'Monthly Data (14-23) Used'!BC57</f>
        <v>794140</v>
      </c>
      <c r="J57">
        <f>'Monthly Data (14-23) Used'!CC57</f>
        <v>22</v>
      </c>
      <c r="K57">
        <f>'Monthly Data (14-23) Used'!BU57</f>
        <v>0</v>
      </c>
      <c r="L57">
        <f>'Monthly Data (14-23) Used'!BZ57</f>
        <v>0</v>
      </c>
      <c r="N57" s="6"/>
      <c r="O57" s="6">
        <f t="shared" ca="1" si="17"/>
        <v>1973.6445346679043</v>
      </c>
      <c r="P57" s="6">
        <f t="shared" ca="1" si="18"/>
        <v>-586318.9365838496</v>
      </c>
      <c r="Q57" s="6"/>
      <c r="R57" s="6"/>
      <c r="S57" s="6"/>
      <c r="T57" s="6"/>
      <c r="U57" s="6">
        <f t="shared" ca="1" si="19"/>
        <v>17385370.882607918</v>
      </c>
    </row>
    <row r="58" spans="1:21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Used'!M58</f>
        <v>18103668.174657103</v>
      </c>
      <c r="E58" s="64">
        <f>'Monthly Data (14-23) Used'!AE58</f>
        <v>21.2</v>
      </c>
      <c r="F58" s="64">
        <f>'Monthly Data (14-23) Used'!AJ58</f>
        <v>224.19999999999996</v>
      </c>
      <c r="G58" s="7">
        <f t="shared" ca="1" si="14"/>
        <v>17.56355229914098</v>
      </c>
      <c r="H58" s="7">
        <f t="shared" ca="1" si="14"/>
        <v>194.39579080343606</v>
      </c>
      <c r="I58" s="6">
        <f>'Monthly Data (14-23) Used'!BC58</f>
        <v>794140</v>
      </c>
      <c r="J58">
        <f>'Monthly Data (14-23) Used'!CC58</f>
        <v>19</v>
      </c>
      <c r="K58">
        <f>'Monthly Data (14-23) Used'!BU58</f>
        <v>1</v>
      </c>
      <c r="L58">
        <f>'Monthly Data (14-23) Used'!BZ58</f>
        <v>0</v>
      </c>
      <c r="N58" s="6"/>
      <c r="O58" s="6">
        <f t="shared" ca="1" si="17"/>
        <v>-14354.110260812144</v>
      </c>
      <c r="P58" s="6">
        <f t="shared" ca="1" si="18"/>
        <v>-454788.64510458655</v>
      </c>
      <c r="Q58" s="6"/>
      <c r="R58" s="6"/>
      <c r="S58" s="6"/>
      <c r="T58" s="6"/>
      <c r="U58" s="6">
        <f t="shared" ca="1" si="19"/>
        <v>17634525.419291705</v>
      </c>
    </row>
    <row r="59" spans="1:21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Used'!M59</f>
        <v>16238325.174657103</v>
      </c>
      <c r="E59" s="64">
        <f>'Monthly Data (14-23) Used'!AE59</f>
        <v>192.49999999999997</v>
      </c>
      <c r="F59" s="64">
        <f>'Monthly Data (14-23) Used'!AJ59</f>
        <v>67.3</v>
      </c>
      <c r="G59" s="7">
        <f t="shared" ca="1" si="14"/>
        <v>143.81420919656392</v>
      </c>
      <c r="H59" s="7">
        <f t="shared" ca="1" si="14"/>
        <v>62.822895401718029</v>
      </c>
      <c r="I59" s="6">
        <f>'Monthly Data (14-23) Used'!BC59</f>
        <v>799632</v>
      </c>
      <c r="J59">
        <f>'Monthly Data (14-23) Used'!CC59</f>
        <v>22</v>
      </c>
      <c r="K59">
        <f>'Monthly Data (14-23) Used'!BU59</f>
        <v>0</v>
      </c>
      <c r="L59">
        <f>'Monthly Data (14-23) Used'!BZ59</f>
        <v>1</v>
      </c>
      <c r="N59" s="6"/>
      <c r="O59" s="6">
        <f t="shared" ca="1" si="17"/>
        <v>-192176.88987037301</v>
      </c>
      <c r="P59" s="6">
        <f t="shared" ca="1" si="18"/>
        <v>-68317.072961590777</v>
      </c>
      <c r="Q59" s="6"/>
      <c r="R59" s="6"/>
      <c r="S59" s="6"/>
      <c r="T59" s="6"/>
      <c r="U59" s="6">
        <f t="shared" ca="1" si="19"/>
        <v>15977831.211825138</v>
      </c>
    </row>
    <row r="60" spans="1:21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Used'!M60</f>
        <v>15711352.174657103</v>
      </c>
      <c r="E60" s="64">
        <f>'Monthly Data (14-23) Used'!AE60</f>
        <v>425.73552299140994</v>
      </c>
      <c r="F60" s="64">
        <f>'Monthly Data (14-23) Used'!AJ60</f>
        <v>0</v>
      </c>
      <c r="G60" s="7">
        <f t="shared" ca="1" si="14"/>
        <v>344.55065689742298</v>
      </c>
      <c r="H60" s="7">
        <f t="shared" ca="1" si="14"/>
        <v>6.1599999999999984</v>
      </c>
      <c r="I60" s="6">
        <f>'Monthly Data (14-23) Used'!BC60</f>
        <v>799632</v>
      </c>
      <c r="J60">
        <f>'Monthly Data (14-23) Used'!CC60</f>
        <v>22</v>
      </c>
      <c r="K60">
        <f>'Monthly Data (14-23) Used'!BU60</f>
        <v>0</v>
      </c>
      <c r="L60">
        <f>'Monthly Data (14-23) Used'!BZ60</f>
        <v>1</v>
      </c>
      <c r="N60" s="6"/>
      <c r="O60" s="6">
        <f t="shared" ca="1" si="17"/>
        <v>-320460.13452828611</v>
      </c>
      <c r="P60" s="6">
        <f t="shared" ca="1" si="18"/>
        <v>93996.724938007552</v>
      </c>
      <c r="Q60" s="6"/>
      <c r="R60" s="6"/>
      <c r="S60" s="6"/>
      <c r="T60" s="6"/>
      <c r="U60" s="6">
        <f t="shared" ca="1" si="19"/>
        <v>15484888.765066823</v>
      </c>
    </row>
    <row r="61" spans="1:21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Used'!M61</f>
        <v>14656942.174657103</v>
      </c>
      <c r="E61" s="64">
        <f>'Monthly Data (14-23) Used'!AE61</f>
        <v>471.79999999999995</v>
      </c>
      <c r="F61" s="64">
        <f>'Monthly Data (14-23) Used'!AJ61</f>
        <v>0</v>
      </c>
      <c r="G61" s="7">
        <f t="shared" ca="1" si="14"/>
        <v>471.77</v>
      </c>
      <c r="H61" s="7">
        <f t="shared" ca="1" si="14"/>
        <v>8.0000000000000071E-2</v>
      </c>
      <c r="I61" s="6">
        <f>'Monthly Data (14-23) Used'!BC61</f>
        <v>799632</v>
      </c>
      <c r="J61">
        <f>'Monthly Data (14-23) Used'!CC61</f>
        <v>19</v>
      </c>
      <c r="K61">
        <f>'Monthly Data (14-23) Used'!BU61</f>
        <v>0</v>
      </c>
      <c r="L61">
        <f>'Monthly Data (14-23) Used'!BZ61</f>
        <v>0</v>
      </c>
      <c r="N61" s="6"/>
      <c r="O61" s="6">
        <f t="shared" ca="1" si="17"/>
        <v>-118.4186720799666</v>
      </c>
      <c r="P61" s="6">
        <f t="shared" ca="1" si="18"/>
        <v>1220.7366875065932</v>
      </c>
      <c r="Q61" s="6"/>
      <c r="R61" s="6"/>
      <c r="S61" s="6"/>
      <c r="T61" s="6"/>
      <c r="U61" s="6">
        <f t="shared" ca="1" si="19"/>
        <v>14658044.492672531</v>
      </c>
    </row>
    <row r="62" spans="1:21">
      <c r="A62" s="197">
        <v>43466</v>
      </c>
      <c r="B62">
        <f t="shared" si="15"/>
        <v>1</v>
      </c>
      <c r="C62">
        <f t="shared" si="16"/>
        <v>2019</v>
      </c>
      <c r="D62" s="6">
        <f>'Monthly Data (14-23) Used'!M62</f>
        <v>16080001.374472635</v>
      </c>
      <c r="E62" s="64">
        <f>'Monthly Data (14-23) Used'!AE62</f>
        <v>649.79999999999995</v>
      </c>
      <c r="F62" s="64">
        <f>'Monthly Data (14-23) Used'!AJ62</f>
        <v>0</v>
      </c>
      <c r="G62" s="7">
        <f t="shared" ca="1" si="14"/>
        <v>608.99999999999989</v>
      </c>
      <c r="H62" s="7">
        <f t="shared" ca="1" si="14"/>
        <v>0</v>
      </c>
      <c r="I62" s="6">
        <f>'Monthly Data (14-23) Used'!BC62</f>
        <v>800724</v>
      </c>
      <c r="J62">
        <f>'Monthly Data (14-23) Used'!CC62</f>
        <v>22</v>
      </c>
      <c r="K62">
        <f>'Monthly Data (14-23) Used'!BU62</f>
        <v>0</v>
      </c>
      <c r="L62">
        <f>'Monthly Data (14-23) Used'!BZ62</f>
        <v>0</v>
      </c>
      <c r="N62" s="6"/>
      <c r="O62" s="6">
        <f t="shared" ca="1" si="17"/>
        <v>-161049.39402890133</v>
      </c>
      <c r="P62" s="6">
        <f t="shared" ca="1" si="18"/>
        <v>0</v>
      </c>
      <c r="Q62" s="6"/>
      <c r="R62" s="6"/>
      <c r="S62" s="6"/>
      <c r="T62" s="6"/>
      <c r="U62" s="6">
        <f t="shared" ca="1" si="19"/>
        <v>15918951.980443733</v>
      </c>
    </row>
    <row r="63" spans="1:21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Used'!M63</f>
        <v>14838000.374472635</v>
      </c>
      <c r="E63" s="64">
        <f>'Monthly Data (14-23) Used'!AE63</f>
        <v>524.90000000000009</v>
      </c>
      <c r="F63" s="64">
        <f>'Monthly Data (14-23) Used'!AJ63</f>
        <v>0</v>
      </c>
      <c r="G63" s="7">
        <f t="shared" ca="1" si="14"/>
        <v>539.11355229914102</v>
      </c>
      <c r="H63" s="7">
        <f t="shared" ca="1" si="14"/>
        <v>0.1</v>
      </c>
      <c r="I63" s="6">
        <f>'Monthly Data (14-23) Used'!BC63</f>
        <v>800724</v>
      </c>
      <c r="J63">
        <f>'Monthly Data (14-23) Used'!CC63</f>
        <v>19</v>
      </c>
      <c r="K63">
        <f>'Monthly Data (14-23) Used'!BU63</f>
        <v>0</v>
      </c>
      <c r="L63">
        <f>'Monthly Data (14-23) Used'!BZ63</f>
        <v>0</v>
      </c>
      <c r="N63" s="6"/>
      <c r="O63" s="6">
        <f t="shared" ca="1" si="17"/>
        <v>56104.999626831857</v>
      </c>
      <c r="P63" s="6">
        <f t="shared" ca="1" si="18"/>
        <v>1525.92085938324</v>
      </c>
      <c r="Q63" s="6"/>
      <c r="R63" s="6"/>
      <c r="S63" s="6"/>
      <c r="T63" s="6"/>
      <c r="U63" s="6">
        <f t="shared" ca="1" si="19"/>
        <v>14895631.29495885</v>
      </c>
    </row>
    <row r="64" spans="1:21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Used'!M64</f>
        <v>15694211.374472635</v>
      </c>
      <c r="E64" s="64">
        <f>'Monthly Data (14-23) Used'!AE64</f>
        <v>487.4</v>
      </c>
      <c r="F64" s="64">
        <f>'Monthly Data (14-23) Used'!AJ64</f>
        <v>0</v>
      </c>
      <c r="G64" s="7">
        <f t="shared" ca="1" si="14"/>
        <v>434.46355229914104</v>
      </c>
      <c r="H64" s="7">
        <f t="shared" ca="1" si="14"/>
        <v>1.2599999999999998</v>
      </c>
      <c r="I64" s="6">
        <f>'Monthly Data (14-23) Used'!BC64</f>
        <v>800724</v>
      </c>
      <c r="J64">
        <f>'Monthly Data (14-23) Used'!CC64</f>
        <v>22</v>
      </c>
      <c r="K64">
        <f>'Monthly Data (14-23) Used'!BU64</f>
        <v>0</v>
      </c>
      <c r="L64">
        <f>'Monthly Data (14-23) Used'!BZ64</f>
        <v>0</v>
      </c>
      <c r="N64" s="6"/>
      <c r="O64" s="6">
        <f t="shared" ca="1" si="17"/>
        <v>-208955.46137906724</v>
      </c>
      <c r="P64" s="6">
        <f t="shared" ca="1" si="18"/>
        <v>19226.602828228821</v>
      </c>
      <c r="Q64" s="6"/>
      <c r="R64" s="6"/>
      <c r="S64" s="6"/>
      <c r="T64" s="6"/>
      <c r="U64" s="6">
        <f t="shared" ca="1" si="19"/>
        <v>15504482.515921796</v>
      </c>
    </row>
    <row r="65" spans="1:21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Used'!M65</f>
        <v>14423362.374472635</v>
      </c>
      <c r="E65" s="64">
        <f>'Monthly Data (14-23) Used'!AE65</f>
        <v>218.8</v>
      </c>
      <c r="F65" s="64">
        <f>'Monthly Data (14-23) Used'!AJ65</f>
        <v>11.399999999999999</v>
      </c>
      <c r="G65" s="7">
        <f t="shared" ca="1" si="14"/>
        <v>238.61000000000004</v>
      </c>
      <c r="H65" s="7">
        <f t="shared" ca="1" si="14"/>
        <v>18.349999999999998</v>
      </c>
      <c r="I65" s="6">
        <f>'Monthly Data (14-23) Used'!BC65</f>
        <v>806630</v>
      </c>
      <c r="J65">
        <f>'Monthly Data (14-23) Used'!CC65</f>
        <v>21</v>
      </c>
      <c r="K65">
        <f>'Monthly Data (14-23) Used'!BU65</f>
        <v>0</v>
      </c>
      <c r="L65">
        <f>'Monthly Data (14-23) Used'!BZ65</f>
        <v>0</v>
      </c>
      <c r="N65" s="6"/>
      <c r="O65" s="6">
        <f t="shared" ca="1" si="17"/>
        <v>78195.796463542516</v>
      </c>
      <c r="P65" s="6">
        <f t="shared" ca="1" si="18"/>
        <v>106051.49972713517</v>
      </c>
      <c r="Q65" s="6"/>
      <c r="R65" s="6"/>
      <c r="S65" s="6"/>
      <c r="T65" s="6"/>
      <c r="U65" s="6">
        <f t="shared" ca="1" si="19"/>
        <v>14607609.670663312</v>
      </c>
    </row>
    <row r="66" spans="1:21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Used'!M66</f>
        <v>14808434.374472635</v>
      </c>
      <c r="E66" s="64">
        <f>'Monthly Data (14-23) Used'!AE66</f>
        <v>89.4</v>
      </c>
      <c r="F66" s="64">
        <f>'Monthly Data (14-23) Used'!AJ66</f>
        <v>83.399999999999991</v>
      </c>
      <c r="G66" s="7">
        <f t="shared" ref="G66:H81" ca="1" si="20">G54</f>
        <v>77.693552299140975</v>
      </c>
      <c r="H66" s="7">
        <f t="shared" ca="1" si="20"/>
        <v>124.82289540171806</v>
      </c>
      <c r="I66" s="6">
        <f>'Monthly Data (14-23) Used'!BC66</f>
        <v>806630</v>
      </c>
      <c r="J66">
        <f>'Monthly Data (14-23) Used'!CC66</f>
        <v>20</v>
      </c>
      <c r="K66">
        <f>'Monthly Data (14-23) Used'!BU66</f>
        <v>0</v>
      </c>
      <c r="L66">
        <f>'Monthly Data (14-23) Used'!BZ66</f>
        <v>0</v>
      </c>
      <c r="N66" s="6"/>
      <c r="O66" s="6">
        <f t="shared" ca="1" si="17"/>
        <v>-46208.733050352173</v>
      </c>
      <c r="P66" s="6">
        <f t="shared" ca="1" si="18"/>
        <v>632080.60149531695</v>
      </c>
      <c r="Q66" s="6"/>
      <c r="R66" s="6"/>
      <c r="S66" s="6"/>
      <c r="T66" s="6"/>
      <c r="U66" s="6">
        <f t="shared" ca="1" si="19"/>
        <v>15394306.242917599</v>
      </c>
    </row>
    <row r="67" spans="1:21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Used'!M67</f>
        <v>15415733.374472635</v>
      </c>
      <c r="E67" s="64">
        <f>'Monthly Data (14-23) Used'!AE67</f>
        <v>7.1</v>
      </c>
      <c r="F67" s="64">
        <f>'Monthly Data (14-23) Used'!AJ67</f>
        <v>216.00000000000003</v>
      </c>
      <c r="G67" s="7">
        <f t="shared" ca="1" si="20"/>
        <v>2.8535522991409801</v>
      </c>
      <c r="H67" s="7">
        <f t="shared" ca="1" si="20"/>
        <v>262.25644770085898</v>
      </c>
      <c r="I67" s="6">
        <f>'Monthly Data (14-23) Used'!BC67</f>
        <v>806630</v>
      </c>
      <c r="J67">
        <f>'Monthly Data (14-23) Used'!CC67</f>
        <v>22</v>
      </c>
      <c r="K67">
        <f>'Monthly Data (14-23) Used'!BU67</f>
        <v>0</v>
      </c>
      <c r="L67">
        <f>'Monthly Data (14-23) Used'!BZ67</f>
        <v>0</v>
      </c>
      <c r="N67" s="6"/>
      <c r="O67" s="6">
        <f t="shared" ca="1" si="17"/>
        <v>-16761.956593106988</v>
      </c>
      <c r="P67" s="6">
        <f t="shared" ca="1" si="18"/>
        <v>705836.78427710594</v>
      </c>
      <c r="Q67" s="6"/>
      <c r="R67" s="6"/>
      <c r="S67" s="6"/>
      <c r="T67" s="6"/>
      <c r="U67" s="6">
        <f t="shared" ca="1" si="19"/>
        <v>16104808.202156633</v>
      </c>
    </row>
    <row r="68" spans="1:21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Used'!M68</f>
        <v>18581661.374472633</v>
      </c>
      <c r="E68" s="64">
        <f>'Monthly Data (14-23) Used'!AE68</f>
        <v>0</v>
      </c>
      <c r="F68" s="64">
        <f>'Monthly Data (14-23) Used'!AJ68</f>
        <v>376.46447700859022</v>
      </c>
      <c r="G68" s="7">
        <f t="shared" ca="1" si="20"/>
        <v>1.9999999999999928E-2</v>
      </c>
      <c r="H68" s="7">
        <f t="shared" ca="1" si="20"/>
        <v>335.21289540171807</v>
      </c>
      <c r="I68" s="6">
        <f>'Monthly Data (14-23) Used'!BC68</f>
        <v>810347</v>
      </c>
      <c r="J68">
        <f>'Monthly Data (14-23) Used'!CC68</f>
        <v>22</v>
      </c>
      <c r="K68">
        <f>'Monthly Data (14-23) Used'!BU68</f>
        <v>0</v>
      </c>
      <c r="L68">
        <f>'Monthly Data (14-23) Used'!BZ68</f>
        <v>0</v>
      </c>
      <c r="N68" s="6"/>
      <c r="O68" s="6">
        <f t="shared" ca="1" si="17"/>
        <v>78.945781386715908</v>
      </c>
      <c r="P68" s="6">
        <f t="shared" ca="1" si="18"/>
        <v>-629466.48856476205</v>
      </c>
      <c r="Q68" s="6"/>
      <c r="R68" s="6"/>
      <c r="S68" s="6"/>
      <c r="T68" s="6"/>
      <c r="U68" s="6">
        <f t="shared" ca="1" si="19"/>
        <v>17952273.831689257</v>
      </c>
    </row>
    <row r="69" spans="1:21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Used'!M69</f>
        <v>18671585.374472633</v>
      </c>
      <c r="E69" s="64">
        <f>'Monthly Data (14-23) Used'!AE69</f>
        <v>0</v>
      </c>
      <c r="F69" s="64">
        <f>'Monthly Data (14-23) Used'!AJ69</f>
        <v>309.96447700859011</v>
      </c>
      <c r="G69" s="7">
        <f t="shared" ca="1" si="20"/>
        <v>0.49999999999999983</v>
      </c>
      <c r="H69" s="7">
        <f t="shared" ca="1" si="20"/>
        <v>307.37605861546228</v>
      </c>
      <c r="I69" s="6">
        <f>'Monthly Data (14-23) Used'!BC69</f>
        <v>810347</v>
      </c>
      <c r="J69">
        <f>'Monthly Data (14-23) Used'!CC69</f>
        <v>20</v>
      </c>
      <c r="K69">
        <f>'Monthly Data (14-23) Used'!BU69</f>
        <v>0</v>
      </c>
      <c r="L69">
        <f>'Monthly Data (14-23) Used'!BZ69</f>
        <v>0</v>
      </c>
      <c r="N69" s="6"/>
      <c r="O69" s="6">
        <f t="shared" ca="1" si="17"/>
        <v>1973.6445346679043</v>
      </c>
      <c r="P69" s="6">
        <f t="shared" ca="1" si="18"/>
        <v>-39497.216188849947</v>
      </c>
      <c r="Q69" s="6"/>
      <c r="R69" s="6"/>
      <c r="S69" s="6"/>
      <c r="T69" s="6"/>
      <c r="U69" s="6">
        <f t="shared" ca="1" si="19"/>
        <v>18634061.802818447</v>
      </c>
    </row>
    <row r="70" spans="1:21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Used'!M70</f>
        <v>18603631.374472633</v>
      </c>
      <c r="E70" s="64">
        <f>'Monthly Data (14-23) Used'!AE70</f>
        <v>2.0999999999999996</v>
      </c>
      <c r="F70" s="64">
        <f>'Monthly Data (14-23) Used'!AJ70</f>
        <v>216.19999999999996</v>
      </c>
      <c r="G70" s="7">
        <f t="shared" ca="1" si="20"/>
        <v>17.56355229914098</v>
      </c>
      <c r="H70" s="7">
        <f t="shared" ca="1" si="20"/>
        <v>194.39579080343606</v>
      </c>
      <c r="I70" s="6">
        <f>'Monthly Data (14-23) Used'!BC70</f>
        <v>810347</v>
      </c>
      <c r="J70">
        <f>'Monthly Data (14-23) Used'!CC70</f>
        <v>21</v>
      </c>
      <c r="K70">
        <f>'Monthly Data (14-23) Used'!BU70</f>
        <v>1</v>
      </c>
      <c r="L70">
        <f>'Monthly Data (14-23) Used'!BZ70</f>
        <v>0</v>
      </c>
      <c r="N70" s="6"/>
      <c r="O70" s="6">
        <f t="shared" ca="1" si="17"/>
        <v>61039.110963501822</v>
      </c>
      <c r="P70" s="6">
        <f t="shared" ca="1" si="18"/>
        <v>-332714.97635392734</v>
      </c>
      <c r="Q70" s="6"/>
      <c r="R70" s="6"/>
      <c r="S70" s="6"/>
      <c r="T70" s="6"/>
      <c r="U70" s="6">
        <f t="shared" ca="1" si="19"/>
        <v>18331955.509082206</v>
      </c>
    </row>
    <row r="71" spans="1:21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Used'!M71</f>
        <v>16969281.374472633</v>
      </c>
      <c r="E71" s="64">
        <f>'Monthly Data (14-23) Used'!AE71</f>
        <v>147.70000000000002</v>
      </c>
      <c r="F71" s="64">
        <f>'Monthly Data (14-23) Used'!AJ71</f>
        <v>44.8</v>
      </c>
      <c r="G71" s="7">
        <f t="shared" ca="1" si="20"/>
        <v>143.81420919656392</v>
      </c>
      <c r="H71" s="7">
        <f t="shared" ca="1" si="20"/>
        <v>62.822895401718029</v>
      </c>
      <c r="I71" s="6">
        <f>'Monthly Data (14-23) Used'!BC71</f>
        <v>811397</v>
      </c>
      <c r="J71">
        <f>'Monthly Data (14-23) Used'!CC71</f>
        <v>21</v>
      </c>
      <c r="K71">
        <f>'Monthly Data (14-23) Used'!BU71</f>
        <v>0</v>
      </c>
      <c r="L71">
        <f>'Monthly Data (14-23) Used'!BZ71</f>
        <v>1</v>
      </c>
      <c r="N71" s="6"/>
      <c r="O71" s="6">
        <f t="shared" ca="1" si="17"/>
        <v>-15338.339564128912</v>
      </c>
      <c r="P71" s="6">
        <f t="shared" ca="1" si="18"/>
        <v>275015.12039963825</v>
      </c>
      <c r="Q71" s="6"/>
      <c r="R71" s="6"/>
      <c r="S71" s="6"/>
      <c r="T71" s="6"/>
      <c r="U71" s="6">
        <f t="shared" ca="1" si="19"/>
        <v>17228958.155308142</v>
      </c>
    </row>
    <row r="72" spans="1:21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Used'!M72</f>
        <v>16215950.374472635</v>
      </c>
      <c r="E72" s="64">
        <f>'Monthly Data (14-23) Used'!AE72</f>
        <v>435.2</v>
      </c>
      <c r="F72" s="64">
        <f>'Monthly Data (14-23) Used'!AJ72</f>
        <v>0</v>
      </c>
      <c r="G72" s="7">
        <f t="shared" ca="1" si="20"/>
        <v>344.55065689742298</v>
      </c>
      <c r="H72" s="7">
        <f t="shared" ca="1" si="20"/>
        <v>6.1599999999999984</v>
      </c>
      <c r="I72" s="6">
        <f>'Monthly Data (14-23) Used'!BC72</f>
        <v>811397</v>
      </c>
      <c r="J72">
        <f>'Monthly Data (14-23) Used'!CC72</f>
        <v>21</v>
      </c>
      <c r="K72">
        <f>'Monthly Data (14-23) Used'!BU72</f>
        <v>0</v>
      </c>
      <c r="L72">
        <f>'Monthly Data (14-23) Used'!BZ72</f>
        <v>1</v>
      </c>
      <c r="N72" s="6"/>
      <c r="O72" s="6">
        <f t="shared" ca="1" si="17"/>
        <v>-357819.16117127374</v>
      </c>
      <c r="P72" s="6">
        <f t="shared" ca="1" si="18"/>
        <v>93996.724938007552</v>
      </c>
      <c r="Q72" s="6"/>
      <c r="R72" s="6"/>
      <c r="S72" s="6"/>
      <c r="T72" s="6"/>
      <c r="U72" s="6">
        <f t="shared" ca="1" si="19"/>
        <v>15952127.938239368</v>
      </c>
    </row>
    <row r="73" spans="1:21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Used'!M73</f>
        <v>15098518.374472635</v>
      </c>
      <c r="E73" s="64">
        <f>'Monthly Data (14-23) Used'!AE73</f>
        <v>465.90000000000009</v>
      </c>
      <c r="F73" s="64">
        <f>'Monthly Data (14-23) Used'!AJ73</f>
        <v>0</v>
      </c>
      <c r="G73" s="7">
        <f t="shared" ca="1" si="20"/>
        <v>471.77</v>
      </c>
      <c r="H73" s="7">
        <f t="shared" ca="1" si="20"/>
        <v>8.0000000000000071E-2</v>
      </c>
      <c r="I73" s="6">
        <f>'Monthly Data (14-23) Used'!BC73</f>
        <v>811397</v>
      </c>
      <c r="J73">
        <f>'Monthly Data (14-23) Used'!CC73</f>
        <v>21</v>
      </c>
      <c r="K73">
        <f>'Monthly Data (14-23) Used'!BU73</f>
        <v>0</v>
      </c>
      <c r="L73">
        <f>'Monthly Data (14-23) Used'!BZ73</f>
        <v>0</v>
      </c>
      <c r="N73" s="6"/>
      <c r="O73" s="6">
        <f t="shared" ca="1" si="17"/>
        <v>23170.586837000774</v>
      </c>
      <c r="P73" s="6">
        <f t="shared" ca="1" si="18"/>
        <v>1220.7366875065932</v>
      </c>
      <c r="Q73" s="6"/>
      <c r="R73" s="6"/>
      <c r="S73" s="6"/>
      <c r="T73" s="6"/>
      <c r="U73" s="6">
        <f t="shared" ca="1" si="19"/>
        <v>15122909.697997143</v>
      </c>
    </row>
    <row r="74" spans="1:21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Used'!M74</f>
        <v>15271808.375952736</v>
      </c>
      <c r="E74" s="64">
        <f>'Monthly Data (14-23) Used'!AE74</f>
        <v>499.2000000000001</v>
      </c>
      <c r="F74" s="64">
        <f>'Monthly Data (14-23) Used'!AJ74</f>
        <v>0</v>
      </c>
      <c r="G74" s="7">
        <f t="shared" ca="1" si="20"/>
        <v>608.99999999999989</v>
      </c>
      <c r="H74" s="7">
        <f t="shared" ca="1" si="20"/>
        <v>0</v>
      </c>
      <c r="I74" s="6">
        <f>'Monthly Data (14-23) Used'!BC74</f>
        <v>800126</v>
      </c>
      <c r="J74">
        <f>'Monthly Data (14-23) Used'!CC74</f>
        <v>22</v>
      </c>
      <c r="K74">
        <f>'Monthly Data (14-23) Used'!BU74</f>
        <v>0</v>
      </c>
      <c r="L74">
        <f>'Monthly Data (14-23) Used'!BZ74</f>
        <v>0</v>
      </c>
      <c r="N74" s="6"/>
      <c r="O74" s="6">
        <f t="shared" ca="1" si="17"/>
        <v>433412.33981307107</v>
      </c>
      <c r="P74" s="6">
        <f t="shared" ca="1" si="18"/>
        <v>0</v>
      </c>
      <c r="Q74" s="6"/>
      <c r="R74" s="6"/>
      <c r="S74" s="6"/>
      <c r="T74" s="6"/>
      <c r="U74" s="6">
        <f t="shared" ca="1" si="19"/>
        <v>15705220.715765806</v>
      </c>
    </row>
    <row r="75" spans="1:21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Used'!M75</f>
        <v>14811034.375952736</v>
      </c>
      <c r="E75" s="64">
        <f>'Monthly Data (14-23) Used'!AE75</f>
        <v>511.29999999999995</v>
      </c>
      <c r="F75" s="64">
        <f>'Monthly Data (14-23) Used'!AJ75</f>
        <v>0</v>
      </c>
      <c r="G75" s="7">
        <f t="shared" ca="1" si="20"/>
        <v>539.11355229914102</v>
      </c>
      <c r="H75" s="7">
        <f t="shared" ca="1" si="20"/>
        <v>0.1</v>
      </c>
      <c r="I75" s="6">
        <f>'Monthly Data (14-23) Used'!BC75</f>
        <v>800126</v>
      </c>
      <c r="J75">
        <f>'Monthly Data (14-23) Used'!CC75</f>
        <v>19</v>
      </c>
      <c r="K75">
        <f>'Monthly Data (14-23) Used'!BU75</f>
        <v>0</v>
      </c>
      <c r="L75">
        <f>'Monthly Data (14-23) Used'!BZ75</f>
        <v>0</v>
      </c>
      <c r="N75" s="6"/>
      <c r="O75" s="6">
        <f t="shared" ca="1" si="17"/>
        <v>109788.13096979941</v>
      </c>
      <c r="P75" s="6">
        <f t="shared" ca="1" si="18"/>
        <v>1525.92085938324</v>
      </c>
      <c r="Q75" s="6"/>
      <c r="R75" s="6"/>
      <c r="S75" s="6"/>
      <c r="T75" s="6"/>
      <c r="U75" s="6">
        <f t="shared" ca="1" si="19"/>
        <v>14922348.427781919</v>
      </c>
    </row>
    <row r="76" spans="1:21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Used'!M76</f>
        <v>14069415.375952736</v>
      </c>
      <c r="E76" s="64">
        <f>'Monthly Data (14-23) Used'!AE76</f>
        <v>360.20000000000005</v>
      </c>
      <c r="F76" s="64">
        <f>'Monthly Data (14-23) Used'!AJ76</f>
        <v>0.69999999999999929</v>
      </c>
      <c r="G76" s="7">
        <f t="shared" ca="1" si="20"/>
        <v>434.46355229914104</v>
      </c>
      <c r="H76" s="7">
        <f t="shared" ca="1" si="20"/>
        <v>1.2599999999999998</v>
      </c>
      <c r="I76" s="6">
        <f>'Monthly Data (14-23) Used'!BC76</f>
        <v>800126</v>
      </c>
      <c r="J76">
        <f>'Monthly Data (14-23) Used'!CC76</f>
        <v>22</v>
      </c>
      <c r="K76">
        <f>'Monthly Data (14-23) Used'!BU76</f>
        <v>0</v>
      </c>
      <c r="L76">
        <f>'Monthly Data (14-23) Used'!BZ76</f>
        <v>0</v>
      </c>
      <c r="N76" s="6"/>
      <c r="O76" s="6">
        <f t="shared" ca="1" si="17"/>
        <v>293139.70824044751</v>
      </c>
      <c r="P76" s="6">
        <f t="shared" ca="1" si="18"/>
        <v>8545.1568125461508</v>
      </c>
      <c r="Q76" s="6"/>
      <c r="R76" s="6"/>
      <c r="S76" s="6"/>
      <c r="T76" s="6"/>
      <c r="U76" s="6">
        <f t="shared" ca="1" si="19"/>
        <v>14371100.24100573</v>
      </c>
    </row>
    <row r="77" spans="1:21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Used'!M77</f>
        <v>12021064.375952736</v>
      </c>
      <c r="E77" s="64">
        <f>'Monthly Data (14-23) Used'!AE77</f>
        <v>276.5</v>
      </c>
      <c r="F77" s="64">
        <f>'Monthly Data (14-23) Used'!AJ77</f>
        <v>9.4000000000000021</v>
      </c>
      <c r="G77" s="7">
        <f t="shared" ca="1" si="20"/>
        <v>238.61000000000004</v>
      </c>
      <c r="H77" s="7">
        <f t="shared" ca="1" si="20"/>
        <v>18.349999999999998</v>
      </c>
      <c r="I77" s="6">
        <f>'Monthly Data (14-23) Used'!BC77</f>
        <v>706539</v>
      </c>
      <c r="J77">
        <f>'Monthly Data (14-23) Used'!CC77</f>
        <v>21</v>
      </c>
      <c r="K77">
        <f>'Monthly Data (14-23) Used'!BU77</f>
        <v>0</v>
      </c>
      <c r="L77">
        <f>'Monthly Data (14-23) Used'!BZ77</f>
        <v>0</v>
      </c>
      <c r="N77" s="6"/>
      <c r="O77" s="6">
        <f t="shared" ca="1" si="17"/>
        <v>-149562.78283713368</v>
      </c>
      <c r="P77" s="6">
        <f t="shared" ca="1" si="18"/>
        <v>136569.91691479992</v>
      </c>
      <c r="Q77" s="6"/>
      <c r="R77" s="6"/>
      <c r="S77" s="6"/>
      <c r="T77" s="6"/>
      <c r="U77" s="6">
        <f t="shared" ca="1" si="19"/>
        <v>12008071.510030402</v>
      </c>
    </row>
    <row r="78" spans="1:21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Used'!M78</f>
        <v>12781316.375952736</v>
      </c>
      <c r="E78" s="64">
        <f>'Monthly Data (14-23) Used'!AE78</f>
        <v>115.20000000000002</v>
      </c>
      <c r="F78" s="64">
        <f>'Monthly Data (14-23) Used'!AJ78</f>
        <v>104.19999999999999</v>
      </c>
      <c r="G78" s="7">
        <f t="shared" ca="1" si="20"/>
        <v>77.693552299140975</v>
      </c>
      <c r="H78" s="7">
        <f t="shared" ca="1" si="20"/>
        <v>124.82289540171806</v>
      </c>
      <c r="I78" s="6">
        <f>'Monthly Data (14-23) Used'!BC78</f>
        <v>706539</v>
      </c>
      <c r="J78">
        <f>'Monthly Data (14-23) Used'!CC78</f>
        <v>20</v>
      </c>
      <c r="K78">
        <f>'Monthly Data (14-23) Used'!BU78</f>
        <v>0</v>
      </c>
      <c r="L78">
        <f>'Monthly Data (14-23) Used'!BZ78</f>
        <v>0</v>
      </c>
      <c r="N78" s="6"/>
      <c r="O78" s="6">
        <f t="shared" ca="1" si="17"/>
        <v>-148048.79103921613</v>
      </c>
      <c r="P78" s="6">
        <f t="shared" ca="1" si="18"/>
        <v>314689.06274360302</v>
      </c>
      <c r="Q78" s="6"/>
      <c r="R78" s="6"/>
      <c r="S78" s="6"/>
      <c r="T78" s="6"/>
      <c r="U78" s="6">
        <f t="shared" ca="1" si="19"/>
        <v>12947956.647657122</v>
      </c>
    </row>
    <row r="79" spans="1:21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Used'!M79</f>
        <v>15526321.375952736</v>
      </c>
      <c r="E79" s="64">
        <f>'Monthly Data (14-23) Used'!AE79</f>
        <v>4.4000000000000004</v>
      </c>
      <c r="F79" s="64">
        <f>'Monthly Data (14-23) Used'!AJ79</f>
        <v>280.5</v>
      </c>
      <c r="G79" s="7">
        <f t="shared" ca="1" si="20"/>
        <v>2.8535522991409801</v>
      </c>
      <c r="H79" s="7">
        <f t="shared" ca="1" si="20"/>
        <v>262.25644770085898</v>
      </c>
      <c r="I79" s="6">
        <f>'Monthly Data (14-23) Used'!BC79</f>
        <v>706539</v>
      </c>
      <c r="J79">
        <f>'Monthly Data (14-23) Used'!CC79</f>
        <v>22</v>
      </c>
      <c r="K79">
        <f>'Monthly Data (14-23) Used'!BU79</f>
        <v>0</v>
      </c>
      <c r="L79">
        <f>'Monthly Data (14-23) Used'!BZ79</f>
        <v>0</v>
      </c>
      <c r="N79" s="6"/>
      <c r="O79" s="6">
        <f t="shared" ca="1" si="17"/>
        <v>-6104.2761059003051</v>
      </c>
      <c r="P79" s="6">
        <f t="shared" ca="1" si="18"/>
        <v>-278382.17002508341</v>
      </c>
      <c r="Q79" s="6"/>
      <c r="R79" s="6"/>
      <c r="S79" s="6"/>
      <c r="T79" s="6"/>
      <c r="U79" s="6">
        <f t="shared" ca="1" si="19"/>
        <v>15241834.92982175</v>
      </c>
    </row>
    <row r="80" spans="1:21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Used'!M80</f>
        <v>18470477.375952736</v>
      </c>
      <c r="E80" s="64">
        <f>'Monthly Data (14-23) Used'!AE80</f>
        <v>0</v>
      </c>
      <c r="F80" s="64">
        <f>'Monthly Data (14-23) Used'!AJ80</f>
        <v>391.69999999999993</v>
      </c>
      <c r="G80" s="7">
        <f t="shared" ca="1" si="20"/>
        <v>1.9999999999999928E-2</v>
      </c>
      <c r="H80" s="7">
        <f t="shared" ca="1" si="20"/>
        <v>335.21289540171807</v>
      </c>
      <c r="I80" s="6">
        <f>'Monthly Data (14-23) Used'!BC80</f>
        <v>777225</v>
      </c>
      <c r="J80">
        <f>'Monthly Data (14-23) Used'!CC80</f>
        <v>22</v>
      </c>
      <c r="K80">
        <f>'Monthly Data (14-23) Used'!BU80</f>
        <v>0</v>
      </c>
      <c r="L80">
        <f>'Monthly Data (14-23) Used'!BZ80</f>
        <v>0</v>
      </c>
      <c r="N80" s="6"/>
      <c r="O80" s="6">
        <f t="shared" ca="1" si="17"/>
        <v>78.945781386715908</v>
      </c>
      <c r="P80" s="6">
        <f t="shared" ca="1" si="18"/>
        <v>-861948.51192681224</v>
      </c>
      <c r="Q80" s="6"/>
      <c r="R80" s="6"/>
      <c r="S80" s="6"/>
      <c r="T80" s="6"/>
      <c r="U80" s="6">
        <f t="shared" ca="1" si="19"/>
        <v>17608607.809807312</v>
      </c>
    </row>
    <row r="81" spans="1:21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Used'!M81</f>
        <v>18218385.375952736</v>
      </c>
      <c r="E81" s="64">
        <f>'Monthly Data (14-23) Used'!AE81</f>
        <v>0</v>
      </c>
      <c r="F81" s="64">
        <f>'Monthly Data (14-23) Used'!AJ81</f>
        <v>306.05790803436071</v>
      </c>
      <c r="G81" s="7">
        <f t="shared" ca="1" si="20"/>
        <v>0.49999999999999983</v>
      </c>
      <c r="H81" s="7">
        <f t="shared" ca="1" si="20"/>
        <v>307.37605861546228</v>
      </c>
      <c r="I81" s="6">
        <f>'Monthly Data (14-23) Used'!BC81</f>
        <v>777225</v>
      </c>
      <c r="J81">
        <f>'Monthly Data (14-23) Used'!CC81</f>
        <v>20</v>
      </c>
      <c r="K81">
        <f>'Monthly Data (14-23) Used'!BU81</f>
        <v>0</v>
      </c>
      <c r="L81">
        <f>'Monthly Data (14-23) Used'!BZ81</f>
        <v>0</v>
      </c>
      <c r="N81" s="6"/>
      <c r="O81" s="6">
        <f t="shared" ca="1" si="17"/>
        <v>1973.6445346679043</v>
      </c>
      <c r="P81" s="6">
        <f t="shared" ca="1" si="18"/>
        <v>20113.934675110351</v>
      </c>
      <c r="Q81" s="6"/>
      <c r="R81" s="6"/>
      <c r="S81" s="6"/>
      <c r="T81" s="6"/>
      <c r="U81" s="6">
        <f t="shared" ca="1" si="19"/>
        <v>18240472.95516251</v>
      </c>
    </row>
    <row r="82" spans="1:21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Used'!M82</f>
        <v>17753847.375952736</v>
      </c>
      <c r="E82" s="64">
        <f>'Monthly Data (14-23) Used'!AE82</f>
        <v>31.4</v>
      </c>
      <c r="F82" s="64">
        <f>'Monthly Data (14-23) Used'!AJ82</f>
        <v>147.12895401718038</v>
      </c>
      <c r="G82" s="7">
        <f t="shared" ref="G82:H97" ca="1" si="21">G70</f>
        <v>17.56355229914098</v>
      </c>
      <c r="H82" s="7">
        <f t="shared" ca="1" si="21"/>
        <v>194.39579080343606</v>
      </c>
      <c r="I82" s="6">
        <f>'Monthly Data (14-23) Used'!BC82</f>
        <v>777225</v>
      </c>
      <c r="J82">
        <f>'Monthly Data (14-23) Used'!CC82</f>
        <v>21</v>
      </c>
      <c r="K82">
        <f>'Monthly Data (14-23) Used'!BU82</f>
        <v>1</v>
      </c>
      <c r="L82">
        <f>'Monthly Data (14-23) Used'!BZ82</f>
        <v>0</v>
      </c>
      <c r="N82" s="6"/>
      <c r="O82" s="6">
        <f t="shared" ca="1" si="17"/>
        <v>-54616.458768037402</v>
      </c>
      <c r="P82" s="6">
        <f t="shared" ca="1" si="18"/>
        <v>721254.52209210605</v>
      </c>
      <c r="Q82" s="6"/>
      <c r="R82" s="6"/>
      <c r="S82" s="6"/>
      <c r="T82" s="6"/>
      <c r="U82" s="6">
        <f t="shared" ca="1" si="19"/>
        <v>18420485.439276807</v>
      </c>
    </row>
    <row r="83" spans="1:21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Used'!M83</f>
        <v>16343960.375952736</v>
      </c>
      <c r="E83" s="64">
        <f>'Monthly Data (14-23) Used'!AE83</f>
        <v>181.8</v>
      </c>
      <c r="F83" s="64">
        <f>'Monthly Data (14-23) Used'!AJ83</f>
        <v>31.000000000000004</v>
      </c>
      <c r="G83" s="7">
        <f t="shared" ca="1" si="21"/>
        <v>143.81420919656392</v>
      </c>
      <c r="H83" s="7">
        <f t="shared" ca="1" si="21"/>
        <v>62.822895401718029</v>
      </c>
      <c r="I83" s="6">
        <f>'Monthly Data (14-23) Used'!BC83</f>
        <v>795879</v>
      </c>
      <c r="J83">
        <f>'Monthly Data (14-23) Used'!CC83</f>
        <v>21</v>
      </c>
      <c r="K83">
        <f>'Monthly Data (14-23) Used'!BU83</f>
        <v>0</v>
      </c>
      <c r="L83">
        <f>'Monthly Data (14-23) Used'!BZ83</f>
        <v>1</v>
      </c>
      <c r="N83" s="6"/>
      <c r="O83" s="6">
        <f t="shared" ca="1" si="17"/>
        <v>-149940.89682848001</v>
      </c>
      <c r="P83" s="6">
        <f t="shared" ca="1" si="18"/>
        <v>485592.19899452524</v>
      </c>
      <c r="Q83" s="6"/>
      <c r="R83" s="6"/>
      <c r="S83" s="6"/>
      <c r="T83" s="6"/>
      <c r="U83" s="6">
        <f t="shared" ca="1" si="19"/>
        <v>16679611.67811878</v>
      </c>
    </row>
    <row r="84" spans="1:21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Used'!M84</f>
        <v>15290197.375952736</v>
      </c>
      <c r="E84" s="64">
        <f>'Monthly Data (14-23) Used'!AE84</f>
        <v>272.63552299140974</v>
      </c>
      <c r="F84" s="64">
        <f>'Monthly Data (14-23) Used'!AJ84</f>
        <v>18.199999999999996</v>
      </c>
      <c r="G84" s="7">
        <f t="shared" ca="1" si="21"/>
        <v>344.55065689742298</v>
      </c>
      <c r="H84" s="7">
        <f t="shared" ca="1" si="21"/>
        <v>6.1599999999999984</v>
      </c>
      <c r="I84" s="6">
        <f>'Monthly Data (14-23) Used'!BC84</f>
        <v>795879</v>
      </c>
      <c r="J84">
        <f>'Monthly Data (14-23) Used'!CC84</f>
        <v>21</v>
      </c>
      <c r="K84">
        <f>'Monthly Data (14-23) Used'!BU84</f>
        <v>0</v>
      </c>
      <c r="L84">
        <f>'Monthly Data (14-23) Used'!BZ84</f>
        <v>1</v>
      </c>
      <c r="N84" s="6"/>
      <c r="O84" s="6">
        <f t="shared" ca="1" si="17"/>
        <v>283869.82198702713</v>
      </c>
      <c r="P84" s="6">
        <f t="shared" ca="1" si="18"/>
        <v>-183720.87146974207</v>
      </c>
      <c r="Q84" s="6"/>
      <c r="R84" s="6"/>
      <c r="S84" s="6"/>
      <c r="T84" s="6"/>
      <c r="U84" s="6">
        <f t="shared" ca="1" si="19"/>
        <v>15390346.326470021</v>
      </c>
    </row>
    <row r="85" spans="1:21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Used'!M85</f>
        <v>15350534.375952736</v>
      </c>
      <c r="E85" s="64">
        <f>'Monthly Data (14-23) Used'!AE85</f>
        <v>485.40000000000003</v>
      </c>
      <c r="F85" s="64">
        <f>'Monthly Data (14-23) Used'!AJ85</f>
        <v>0</v>
      </c>
      <c r="G85" s="7">
        <f t="shared" ca="1" si="21"/>
        <v>471.77</v>
      </c>
      <c r="H85" s="7">
        <f t="shared" ca="1" si="21"/>
        <v>8.0000000000000071E-2</v>
      </c>
      <c r="I85" s="6">
        <f>'Monthly Data (14-23) Used'!BC85</f>
        <v>795879</v>
      </c>
      <c r="J85">
        <f>'Monthly Data (14-23) Used'!CC85</f>
        <v>21</v>
      </c>
      <c r="K85">
        <f>'Monthly Data (14-23) Used'!BU85</f>
        <v>0</v>
      </c>
      <c r="L85">
        <f>'Monthly Data (14-23) Used'!BZ85</f>
        <v>0</v>
      </c>
      <c r="N85" s="6"/>
      <c r="O85" s="6">
        <f t="shared" ca="1" si="17"/>
        <v>-53801.550015047294</v>
      </c>
      <c r="P85" s="6">
        <f t="shared" ca="1" si="18"/>
        <v>1220.7366875065932</v>
      </c>
      <c r="Q85" s="6"/>
      <c r="R85" s="6"/>
      <c r="S85" s="6"/>
      <c r="T85" s="6"/>
      <c r="U85" s="6">
        <f t="shared" ca="1" si="19"/>
        <v>15297953.562625196</v>
      </c>
    </row>
    <row r="86" spans="1:21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Used'!M86</f>
        <v>14829539.657323709</v>
      </c>
      <c r="E86" s="64">
        <f>'Monthly Data (14-23) Used'!AE86</f>
        <v>548.79999999999995</v>
      </c>
      <c r="F86" s="64">
        <f>'Monthly Data (14-23) Used'!AJ86</f>
        <v>0</v>
      </c>
      <c r="G86" s="7">
        <f t="shared" ca="1" si="21"/>
        <v>608.99999999999989</v>
      </c>
      <c r="H86" s="7">
        <f t="shared" ca="1" si="21"/>
        <v>0</v>
      </c>
      <c r="I86" s="6">
        <f>'Monthly Data (14-23) Used'!BC86</f>
        <v>805455</v>
      </c>
      <c r="J86">
        <f>'Monthly Data (14-23) Used'!CC86</f>
        <v>20</v>
      </c>
      <c r="K86">
        <f>'Monthly Data (14-23) Used'!BU86</f>
        <v>0</v>
      </c>
      <c r="L86">
        <f>'Monthly Data (14-23) Used'!BZ86</f>
        <v>0</v>
      </c>
      <c r="N86" s="6"/>
      <c r="O86" s="6">
        <f t="shared" ref="O86:O115" ca="1" si="22">(G86-E86)*$X$10</f>
        <v>237626.80197401549</v>
      </c>
      <c r="P86" s="6">
        <f t="shared" ca="1" si="18"/>
        <v>0</v>
      </c>
      <c r="Q86" s="6"/>
      <c r="R86" s="6"/>
      <c r="S86" s="6"/>
      <c r="T86" s="6"/>
      <c r="U86" s="6">
        <f t="shared" ref="U86:U115" ca="1" si="23">SUM(D86,N86:T86)</f>
        <v>15067166.459297724</v>
      </c>
    </row>
    <row r="87" spans="1:21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Used'!M87</f>
        <v>14463352.657323709</v>
      </c>
      <c r="E87" s="64">
        <f>'Monthly Data (14-23) Used'!AE87</f>
        <v>598.80000000000018</v>
      </c>
      <c r="F87" s="64">
        <f>'Monthly Data (14-23) Used'!AJ87</f>
        <v>0</v>
      </c>
      <c r="G87" s="7">
        <f t="shared" ca="1" si="21"/>
        <v>539.11355229914102</v>
      </c>
      <c r="H87" s="7">
        <f t="shared" ca="1" si="21"/>
        <v>0.1</v>
      </c>
      <c r="I87" s="6">
        <f>'Monthly Data (14-23) Used'!BC87</f>
        <v>805455</v>
      </c>
      <c r="J87">
        <f>'Monthly Data (14-23) Used'!CC87</f>
        <v>19</v>
      </c>
      <c r="K87">
        <f>'Monthly Data (14-23) Used'!BU87</f>
        <v>0</v>
      </c>
      <c r="L87">
        <f>'Monthly Data (14-23) Used'!BZ87</f>
        <v>0</v>
      </c>
      <c r="N87" s="6"/>
      <c r="O87" s="6">
        <f t="shared" ca="1" si="22"/>
        <v>-235599.66259708485</v>
      </c>
      <c r="P87" s="6">
        <f t="shared" ca="1" si="18"/>
        <v>1525.92085938324</v>
      </c>
      <c r="Q87" s="6"/>
      <c r="R87" s="6"/>
      <c r="S87" s="6"/>
      <c r="T87" s="6"/>
      <c r="U87" s="6">
        <f t="shared" ca="1" si="23"/>
        <v>14229278.915586008</v>
      </c>
    </row>
    <row r="88" spans="1:21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Used'!M88</f>
        <v>14987614.657323709</v>
      </c>
      <c r="E88" s="64">
        <f>'Monthly Data (14-23) Used'!AE88</f>
        <v>336.49999999999994</v>
      </c>
      <c r="F88" s="64">
        <f>'Monthly Data (14-23) Used'!AJ88</f>
        <v>4.7999999999999989</v>
      </c>
      <c r="G88" s="7">
        <f t="shared" ca="1" si="21"/>
        <v>434.46355229914104</v>
      </c>
      <c r="H88" s="7">
        <f t="shared" ca="1" si="21"/>
        <v>1.2599999999999998</v>
      </c>
      <c r="I88" s="6">
        <f>'Monthly Data (14-23) Used'!BC88</f>
        <v>805455</v>
      </c>
      <c r="J88">
        <f>'Monthly Data (14-23) Used'!CC88</f>
        <v>23</v>
      </c>
      <c r="K88">
        <f>'Monthly Data (14-23) Used'!BU88</f>
        <v>0</v>
      </c>
      <c r="L88">
        <f>'Monthly Data (14-23) Used'!BZ88</f>
        <v>0</v>
      </c>
      <c r="N88" s="6"/>
      <c r="O88" s="6">
        <f t="shared" ca="1" si="22"/>
        <v>386690.45918370661</v>
      </c>
      <c r="P88" s="6">
        <f t="shared" ca="1" si="18"/>
        <v>-54017.59842216668</v>
      </c>
      <c r="Q88" s="6"/>
      <c r="R88" s="6"/>
      <c r="S88" s="6"/>
      <c r="T88" s="6"/>
      <c r="U88" s="6">
        <f t="shared" ca="1" si="23"/>
        <v>15320287.518085249</v>
      </c>
    </row>
    <row r="89" spans="1:21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Used'!M89</f>
        <v>13569451.657323709</v>
      </c>
      <c r="E89" s="64">
        <f>'Monthly Data (14-23) Used'!AE89</f>
        <v>201.20000000000002</v>
      </c>
      <c r="F89" s="64">
        <f>'Monthly Data (14-23) Used'!AJ89</f>
        <v>33.499999999999993</v>
      </c>
      <c r="G89" s="7">
        <f t="shared" ca="1" si="21"/>
        <v>238.61000000000004</v>
      </c>
      <c r="H89" s="7">
        <f t="shared" ca="1" si="21"/>
        <v>18.349999999999998</v>
      </c>
      <c r="I89" s="6">
        <f>'Monthly Data (14-23) Used'!BC89</f>
        <v>795824</v>
      </c>
      <c r="J89">
        <f>'Monthly Data (14-23) Used'!CC89</f>
        <v>21</v>
      </c>
      <c r="K89">
        <f>'Monthly Data (14-23) Used'!BU89</f>
        <v>0</v>
      </c>
      <c r="L89">
        <f>'Monthly Data (14-23) Used'!BZ89</f>
        <v>0</v>
      </c>
      <c r="N89" s="6"/>
      <c r="O89" s="6">
        <f t="shared" ca="1" si="22"/>
        <v>147668.08408385274</v>
      </c>
      <c r="P89" s="6">
        <f t="shared" ca="1" si="18"/>
        <v>-231177.01019656079</v>
      </c>
      <c r="Q89" s="6"/>
      <c r="R89" s="6"/>
      <c r="S89" s="6"/>
      <c r="T89" s="6"/>
      <c r="U89" s="6">
        <f t="shared" ca="1" si="23"/>
        <v>13485942.731211001</v>
      </c>
    </row>
    <row r="90" spans="1:21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Used'!M90</f>
        <v>14542473.657323709</v>
      </c>
      <c r="E90" s="64">
        <f>'Monthly Data (14-23) Used'!AE90</f>
        <v>103.23552299140981</v>
      </c>
      <c r="F90" s="64">
        <f>'Monthly Data (14-23) Used'!AJ90</f>
        <v>119.5289540171804</v>
      </c>
      <c r="G90" s="7">
        <f t="shared" ca="1" si="21"/>
        <v>77.693552299140975</v>
      </c>
      <c r="H90" s="7">
        <f t="shared" ca="1" si="21"/>
        <v>124.82289540171806</v>
      </c>
      <c r="I90" s="6">
        <f>'Monthly Data (14-23) Used'!BC90</f>
        <v>795824</v>
      </c>
      <c r="J90">
        <f>'Monthly Data (14-23) Used'!CC90</f>
        <v>20</v>
      </c>
      <c r="K90">
        <f>'Monthly Data (14-23) Used'!BU90</f>
        <v>0</v>
      </c>
      <c r="L90">
        <f>'Monthly Data (14-23) Used'!BZ90</f>
        <v>0</v>
      </c>
      <c r="N90" s="6"/>
      <c r="O90" s="6">
        <f t="shared" ca="1" si="22"/>
        <v>-100821.54172288837</v>
      </c>
      <c r="P90" s="6">
        <f t="shared" ca="1" si="18"/>
        <v>80781.355870182058</v>
      </c>
      <c r="Q90" s="6"/>
      <c r="R90" s="6"/>
      <c r="S90" s="6"/>
      <c r="T90" s="6"/>
      <c r="U90" s="6">
        <f t="shared" ca="1" si="23"/>
        <v>14522433.471471002</v>
      </c>
    </row>
    <row r="91" spans="1:21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Used'!M91</f>
        <v>16882499.657323711</v>
      </c>
      <c r="E91" s="64">
        <f>'Monthly Data (14-23) Used'!AE91</f>
        <v>1.9000000000000004</v>
      </c>
      <c r="F91" s="64">
        <f>'Monthly Data (14-23) Used'!AJ91</f>
        <v>308.09999999999997</v>
      </c>
      <c r="G91" s="7">
        <f t="shared" ca="1" si="21"/>
        <v>2.8535522991409801</v>
      </c>
      <c r="H91" s="7">
        <f t="shared" ca="1" si="21"/>
        <v>262.25644770085898</v>
      </c>
      <c r="I91" s="6">
        <f>'Monthly Data (14-23) Used'!BC91</f>
        <v>795824</v>
      </c>
      <c r="J91">
        <f>'Monthly Data (14-23) Used'!CC91</f>
        <v>22</v>
      </c>
      <c r="K91">
        <f>'Monthly Data (14-23) Used'!BU91</f>
        <v>0</v>
      </c>
      <c r="L91">
        <f>'Monthly Data (14-23) Used'!BZ91</f>
        <v>0</v>
      </c>
      <c r="N91" s="6"/>
      <c r="O91" s="6">
        <f t="shared" ca="1" si="22"/>
        <v>3763.9465674392195</v>
      </c>
      <c r="P91" s="6">
        <f t="shared" ca="1" si="18"/>
        <v>-699536.3272148571</v>
      </c>
      <c r="Q91" s="6"/>
      <c r="R91" s="6"/>
      <c r="S91" s="6"/>
      <c r="T91" s="6"/>
      <c r="U91" s="6">
        <f t="shared" ca="1" si="23"/>
        <v>16186727.276676292</v>
      </c>
    </row>
    <row r="92" spans="1:21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Used'!M92</f>
        <v>17823956.657323711</v>
      </c>
      <c r="E92" s="64">
        <f>'Monthly Data (14-23) Used'!AE92</f>
        <v>0</v>
      </c>
      <c r="F92" s="64">
        <f>'Monthly Data (14-23) Used'!AJ92</f>
        <v>316.40000000000003</v>
      </c>
      <c r="G92" s="7">
        <f t="shared" ca="1" si="21"/>
        <v>1.9999999999999928E-2</v>
      </c>
      <c r="H92" s="7">
        <f t="shared" ca="1" si="21"/>
        <v>335.21289540171807</v>
      </c>
      <c r="I92" s="6">
        <f>'Monthly Data (14-23) Used'!BC92</f>
        <v>810982</v>
      </c>
      <c r="J92">
        <f>'Monthly Data (14-23) Used'!CC92</f>
        <v>21</v>
      </c>
      <c r="K92">
        <f>'Monthly Data (14-23) Used'!BU92</f>
        <v>0</v>
      </c>
      <c r="L92">
        <f>'Monthly Data (14-23) Used'!BZ92</f>
        <v>0</v>
      </c>
      <c r="N92" s="6"/>
      <c r="O92" s="6">
        <f t="shared" ca="1" si="22"/>
        <v>78.945781386715908</v>
      </c>
      <c r="P92" s="6">
        <f t="shared" ca="1" si="18"/>
        <v>287069.89518876589</v>
      </c>
      <c r="Q92" s="6"/>
      <c r="R92" s="6"/>
      <c r="S92" s="6"/>
      <c r="T92" s="6"/>
      <c r="U92" s="6">
        <f t="shared" ca="1" si="23"/>
        <v>18111105.498293865</v>
      </c>
    </row>
    <row r="93" spans="1:21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Used'!M93</f>
        <v>20016862.657323711</v>
      </c>
      <c r="E93" s="64">
        <f>'Monthly Data (14-23) Used'!AE93</f>
        <v>0</v>
      </c>
      <c r="F93" s="64">
        <f>'Monthly Data (14-23) Used'!AJ93</f>
        <v>348.29343102577053</v>
      </c>
      <c r="G93" s="7">
        <f t="shared" ca="1" si="21"/>
        <v>0.49999999999999983</v>
      </c>
      <c r="H93" s="7">
        <f t="shared" ca="1" si="21"/>
        <v>307.37605861546228</v>
      </c>
      <c r="I93" s="6">
        <f>'Monthly Data (14-23) Used'!BC93</f>
        <v>810982</v>
      </c>
      <c r="J93">
        <f>'Monthly Data (14-23) Used'!CC93</f>
        <v>20</v>
      </c>
      <c r="K93">
        <f>'Monthly Data (14-23) Used'!BU93</f>
        <v>0</v>
      </c>
      <c r="L93">
        <f>'Monthly Data (14-23) Used'!BZ93</f>
        <v>0</v>
      </c>
      <c r="N93" s="6"/>
      <c r="O93" s="6">
        <f t="shared" ca="1" si="22"/>
        <v>1973.6445346679043</v>
      </c>
      <c r="P93" s="6">
        <f t="shared" ca="1" si="18"/>
        <v>-624366.72072041628</v>
      </c>
      <c r="Q93" s="6"/>
      <c r="R93" s="6"/>
      <c r="S93" s="6"/>
      <c r="T93" s="6"/>
      <c r="U93" s="6">
        <f t="shared" ca="1" si="23"/>
        <v>19394469.581137959</v>
      </c>
    </row>
    <row r="94" spans="1:21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Used'!M94</f>
        <v>18514000.657323711</v>
      </c>
      <c r="E94" s="64">
        <f>'Monthly Data (14-23) Used'!AE94</f>
        <v>13.3</v>
      </c>
      <c r="F94" s="64">
        <f>'Monthly Data (14-23) Used'!AJ94</f>
        <v>198.1</v>
      </c>
      <c r="G94" s="7">
        <f t="shared" ca="1" si="21"/>
        <v>17.56355229914098</v>
      </c>
      <c r="H94" s="7">
        <f t="shared" ca="1" si="21"/>
        <v>194.39579080343606</v>
      </c>
      <c r="I94" s="6">
        <f>'Monthly Data (14-23) Used'!BC94</f>
        <v>810982</v>
      </c>
      <c r="J94">
        <f>'Monthly Data (14-23) Used'!CC94</f>
        <v>20</v>
      </c>
      <c r="K94">
        <f>'Monthly Data (14-23) Used'!BU94</f>
        <v>1</v>
      </c>
      <c r="L94">
        <f>'Monthly Data (14-23) Used'!BZ94</f>
        <v>0</v>
      </c>
      <c r="N94" s="6"/>
      <c r="O94" s="6">
        <f t="shared" ca="1" si="22"/>
        <v>16829.47338694075</v>
      </c>
      <c r="P94" s="6">
        <f t="shared" ca="1" si="18"/>
        <v>-56523.300805561441</v>
      </c>
      <c r="Q94" s="6"/>
      <c r="R94" s="6"/>
      <c r="S94" s="6"/>
      <c r="T94" s="6"/>
      <c r="U94" s="6">
        <f t="shared" ca="1" si="23"/>
        <v>18474306.829905089</v>
      </c>
    </row>
    <row r="95" spans="1:21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Used'!M95</f>
        <v>16453533.657323709</v>
      </c>
      <c r="E95" s="64">
        <f>'Monthly Data (14-23) Used'!AE95</f>
        <v>86.1</v>
      </c>
      <c r="F95" s="64">
        <f>'Monthly Data (14-23) Used'!AJ95</f>
        <v>117.19999999999999</v>
      </c>
      <c r="G95" s="7">
        <f t="shared" ca="1" si="21"/>
        <v>143.81420919656392</v>
      </c>
      <c r="H95" s="7">
        <f t="shared" ca="1" si="21"/>
        <v>62.822895401718029</v>
      </c>
      <c r="I95" s="6">
        <f>'Monthly Data (14-23) Used'!BC95</f>
        <v>826374</v>
      </c>
      <c r="J95">
        <f>'Monthly Data (14-23) Used'!CC95</f>
        <v>20</v>
      </c>
      <c r="K95">
        <f>'Monthly Data (14-23) Used'!BU95</f>
        <v>0</v>
      </c>
      <c r="L95">
        <f>'Monthly Data (14-23) Used'!BZ95</f>
        <v>1</v>
      </c>
      <c r="N95" s="6"/>
      <c r="O95" s="6">
        <f t="shared" ca="1" si="22"/>
        <v>227814.66710695706</v>
      </c>
      <c r="P95" s="6">
        <f t="shared" ca="1" si="18"/>
        <v>-829751.58179382735</v>
      </c>
      <c r="Q95" s="6"/>
      <c r="R95" s="6"/>
      <c r="S95" s="6"/>
      <c r="T95" s="6"/>
      <c r="U95" s="6">
        <f t="shared" ca="1" si="23"/>
        <v>15851596.742636837</v>
      </c>
    </row>
    <row r="96" spans="1:21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Used'!M96</f>
        <v>16096655.657323709</v>
      </c>
      <c r="E96" s="64">
        <f>'Monthly Data (14-23) Used'!AE96</f>
        <v>362.90000000000003</v>
      </c>
      <c r="F96" s="64">
        <f>'Monthly Data (14-23) Used'!AJ96</f>
        <v>1.0999999999999996</v>
      </c>
      <c r="G96" s="7">
        <f t="shared" ca="1" si="21"/>
        <v>344.55065689742298</v>
      </c>
      <c r="H96" s="7">
        <f t="shared" ca="1" si="21"/>
        <v>6.1599999999999984</v>
      </c>
      <c r="I96" s="6">
        <f>'Monthly Data (14-23) Used'!BC96</f>
        <v>826374</v>
      </c>
      <c r="J96">
        <f>'Monthly Data (14-23) Used'!CC96</f>
        <v>22</v>
      </c>
      <c r="K96">
        <f>'Monthly Data (14-23) Used'!BU96</f>
        <v>0</v>
      </c>
      <c r="L96">
        <f>'Monthly Data (14-23) Used'!BZ96</f>
        <v>1</v>
      </c>
      <c r="N96" s="6"/>
      <c r="O96" s="6">
        <f t="shared" ca="1" si="22"/>
        <v>-72430.161458294839</v>
      </c>
      <c r="P96" s="6">
        <f t="shared" ca="1" si="18"/>
        <v>77211.59548479192</v>
      </c>
      <c r="Q96" s="6"/>
      <c r="R96" s="6"/>
      <c r="S96" s="6"/>
      <c r="T96" s="6"/>
      <c r="U96" s="6">
        <f t="shared" ca="1" si="23"/>
        <v>16101437.091350205</v>
      </c>
    </row>
    <row r="97" spans="1:21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Used'!M97</f>
        <v>15063042.657323709</v>
      </c>
      <c r="E97" s="64">
        <f>'Monthly Data (14-23) Used'!AE97</f>
        <v>421.4</v>
      </c>
      <c r="F97" s="64">
        <f>'Monthly Data (14-23) Used'!AJ97</f>
        <v>0</v>
      </c>
      <c r="G97" s="7">
        <f t="shared" ca="1" si="21"/>
        <v>471.77</v>
      </c>
      <c r="H97" s="7">
        <f t="shared" ca="1" si="21"/>
        <v>8.0000000000000071E-2</v>
      </c>
      <c r="I97" s="6">
        <f>'Monthly Data (14-23) Used'!BC97</f>
        <v>826374</v>
      </c>
      <c r="J97">
        <f>'Monthly Data (14-23) Used'!CC97</f>
        <v>21</v>
      </c>
      <c r="K97">
        <f>'Monthly Data (14-23) Used'!BU97</f>
        <v>0</v>
      </c>
      <c r="L97">
        <f>'Monthly Data (14-23) Used'!BZ97</f>
        <v>0</v>
      </c>
      <c r="N97" s="6"/>
      <c r="O97" s="6">
        <f t="shared" ca="1" si="22"/>
        <v>198824.95042244476</v>
      </c>
      <c r="P97" s="6">
        <f t="shared" ca="1" si="18"/>
        <v>1220.7366875065932</v>
      </c>
      <c r="Q97" s="6"/>
      <c r="R97" s="6"/>
      <c r="S97" s="6"/>
      <c r="T97" s="6"/>
      <c r="U97" s="6">
        <f t="shared" ca="1" si="23"/>
        <v>15263088.344433662</v>
      </c>
    </row>
    <row r="98" spans="1:21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Used'!M98</f>
        <v>15923178.882654494</v>
      </c>
      <c r="E98" s="64">
        <f>'Monthly Data (14-23) Used'!AE98</f>
        <v>704.2</v>
      </c>
      <c r="F98" s="64">
        <f>'Monthly Data (14-23) Used'!AJ98</f>
        <v>0</v>
      </c>
      <c r="G98" s="7">
        <f t="shared" ref="G98:H113" ca="1" si="24">G86</f>
        <v>608.99999999999989</v>
      </c>
      <c r="H98" s="7">
        <f t="shared" ca="1" si="24"/>
        <v>0</v>
      </c>
      <c r="I98" s="6">
        <f>'Monthly Data (14-23) Used'!BC98</f>
        <v>833713</v>
      </c>
      <c r="J98">
        <f>'Monthly Data (14-23) Used'!CC98</f>
        <v>20</v>
      </c>
      <c r="K98">
        <f>'Monthly Data (14-23) Used'!BU98</f>
        <v>0</v>
      </c>
      <c r="L98">
        <f>'Monthly Data (14-23) Used'!BZ98</f>
        <v>0</v>
      </c>
      <c r="N98" s="6"/>
      <c r="O98" s="6">
        <f t="shared" ca="1" si="22"/>
        <v>-375781.91940076975</v>
      </c>
      <c r="P98" s="6">
        <f t="shared" ca="1" si="18"/>
        <v>0</v>
      </c>
      <c r="Q98" s="6"/>
      <c r="R98" s="6"/>
      <c r="S98" s="6"/>
      <c r="T98" s="6"/>
      <c r="U98" s="6">
        <f t="shared" ca="1" si="23"/>
        <v>15547396.963253723</v>
      </c>
    </row>
    <row r="99" spans="1:21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Used'!M99</f>
        <v>14626504.882654494</v>
      </c>
      <c r="E99" s="64">
        <f>'Monthly Data (14-23) Used'!AE99</f>
        <v>551.30000000000007</v>
      </c>
      <c r="F99" s="64">
        <f>'Monthly Data (14-23) Used'!AJ99</f>
        <v>0</v>
      </c>
      <c r="G99" s="7">
        <f t="shared" ca="1" si="24"/>
        <v>539.11355229914102</v>
      </c>
      <c r="H99" s="7">
        <f t="shared" ca="1" si="24"/>
        <v>0.1</v>
      </c>
      <c r="I99" s="6">
        <f>'Monthly Data (14-23) Used'!BC99</f>
        <v>833713</v>
      </c>
      <c r="J99">
        <f>'Monthly Data (14-23) Used'!CC99</f>
        <v>19</v>
      </c>
      <c r="K99">
        <f>'Monthly Data (14-23) Used'!BU99</f>
        <v>0</v>
      </c>
      <c r="L99">
        <f>'Monthly Data (14-23) Used'!BZ99</f>
        <v>0</v>
      </c>
      <c r="N99" s="6"/>
      <c r="O99" s="6">
        <f t="shared" ca="1" si="22"/>
        <v>-48103.431803633437</v>
      </c>
      <c r="P99" s="6">
        <f t="shared" ca="1" si="18"/>
        <v>1525.92085938324</v>
      </c>
      <c r="Q99" s="6"/>
      <c r="R99" s="6"/>
      <c r="S99" s="6"/>
      <c r="T99" s="6"/>
      <c r="U99" s="6">
        <f t="shared" ca="1" si="23"/>
        <v>14579927.371710245</v>
      </c>
    </row>
    <row r="100" spans="1:21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Used'!M100</f>
        <v>15391912.882654494</v>
      </c>
      <c r="E100" s="64">
        <f>'Monthly Data (14-23) Used'!AE100</f>
        <v>403.93552299140981</v>
      </c>
      <c r="F100" s="64">
        <f>'Monthly Data (14-23) Used'!AJ100</f>
        <v>0</v>
      </c>
      <c r="G100" s="7">
        <f t="shared" ca="1" si="24"/>
        <v>434.46355229914104</v>
      </c>
      <c r="H100" s="7">
        <f t="shared" ca="1" si="24"/>
        <v>1.2599999999999998</v>
      </c>
      <c r="I100" s="6">
        <f>'Monthly Data (14-23) Used'!BC100</f>
        <v>833713</v>
      </c>
      <c r="J100">
        <f>'Monthly Data (14-23) Used'!CC100</f>
        <v>23</v>
      </c>
      <c r="K100">
        <f>'Monthly Data (14-23) Used'!BU100</f>
        <v>0</v>
      </c>
      <c r="L100">
        <f>'Monthly Data (14-23) Used'!BZ100</f>
        <v>0</v>
      </c>
      <c r="N100" s="6"/>
      <c r="O100" s="6">
        <f t="shared" ca="1" si="22"/>
        <v>120502.95639477074</v>
      </c>
      <c r="P100" s="6">
        <f t="shared" ca="1" si="18"/>
        <v>19226.602828228821</v>
      </c>
      <c r="Q100" s="6"/>
      <c r="R100" s="6"/>
      <c r="S100" s="6"/>
      <c r="T100" s="6"/>
      <c r="U100" s="6">
        <f t="shared" ca="1" si="23"/>
        <v>15531642.441877494</v>
      </c>
    </row>
    <row r="101" spans="1:21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Used'!M101</f>
        <v>14498959.882654494</v>
      </c>
      <c r="E101" s="64">
        <f>'Monthly Data (14-23) Used'!AE101</f>
        <v>275.80000000000007</v>
      </c>
      <c r="F101" s="64">
        <f>'Monthly Data (14-23) Used'!AJ101</f>
        <v>16.2</v>
      </c>
      <c r="G101" s="7">
        <f t="shared" ca="1" si="24"/>
        <v>238.61000000000004</v>
      </c>
      <c r="H101" s="7">
        <f t="shared" ca="1" si="24"/>
        <v>18.349999999999998</v>
      </c>
      <c r="I101" s="6">
        <f>'Monthly Data (14-23) Used'!BC101</f>
        <v>840190</v>
      </c>
      <c r="J101">
        <f>'Monthly Data (14-23) Used'!CC101</f>
        <v>20</v>
      </c>
      <c r="K101">
        <f>'Monthly Data (14-23) Used'!BU101</f>
        <v>0</v>
      </c>
      <c r="L101">
        <f>'Monthly Data (14-23) Used'!BZ101</f>
        <v>0</v>
      </c>
      <c r="N101" s="6"/>
      <c r="O101" s="6">
        <f t="shared" ca="1" si="22"/>
        <v>-146799.68048859888</v>
      </c>
      <c r="P101" s="6">
        <f t="shared" ca="1" si="18"/>
        <v>32807.298476739641</v>
      </c>
      <c r="Q101" s="6"/>
      <c r="R101" s="6"/>
      <c r="S101" s="6"/>
      <c r="T101" s="6"/>
      <c r="U101" s="6">
        <f t="shared" ca="1" si="23"/>
        <v>14384967.500642633</v>
      </c>
    </row>
    <row r="102" spans="1:21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Used'!M102</f>
        <v>15865841.882654494</v>
      </c>
      <c r="E102" s="64">
        <f>'Monthly Data (14-23) Used'!AE102</f>
        <v>60.899999999999991</v>
      </c>
      <c r="F102" s="64">
        <f>'Monthly Data (14-23) Used'!AJ102</f>
        <v>148.6</v>
      </c>
      <c r="G102" s="7">
        <f t="shared" ca="1" si="24"/>
        <v>77.693552299140975</v>
      </c>
      <c r="H102" s="7">
        <f t="shared" ca="1" si="24"/>
        <v>124.82289540171806</v>
      </c>
      <c r="I102" s="6">
        <f>'Monthly Data (14-23) Used'!BC102</f>
        <v>840190</v>
      </c>
      <c r="J102">
        <f>'Monthly Data (14-23) Used'!CC102</f>
        <v>21</v>
      </c>
      <c r="K102">
        <f>'Monthly Data (14-23) Used'!BU102</f>
        <v>0</v>
      </c>
      <c r="L102">
        <f>'Monthly Data (14-23) Used'!BZ102</f>
        <v>0</v>
      </c>
      <c r="N102" s="6"/>
      <c r="O102" s="6">
        <f t="shared" ca="1" si="22"/>
        <v>66289.005425718467</v>
      </c>
      <c r="P102" s="6">
        <f t="shared" ca="1" si="18"/>
        <v>-362819.79882255563</v>
      </c>
      <c r="Q102" s="6"/>
      <c r="R102" s="6"/>
      <c r="S102" s="6"/>
      <c r="T102" s="6"/>
      <c r="U102" s="6">
        <f t="shared" ca="1" si="23"/>
        <v>15569311.089257656</v>
      </c>
    </row>
    <row r="103" spans="1:21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Used'!M103</f>
        <v>17673474.882654496</v>
      </c>
      <c r="E103" s="64">
        <f>'Monthly Data (14-23) Used'!AE103</f>
        <v>0.33552299140980679</v>
      </c>
      <c r="F103" s="64">
        <f>'Monthly Data (14-23) Used'!AJ103</f>
        <v>267.3644770085902</v>
      </c>
      <c r="G103" s="7">
        <f t="shared" ca="1" si="24"/>
        <v>2.8535522991409801</v>
      </c>
      <c r="H103" s="7">
        <f t="shared" ca="1" si="24"/>
        <v>262.25644770085898</v>
      </c>
      <c r="I103" s="6">
        <f>'Monthly Data (14-23) Used'!BC103</f>
        <v>840190</v>
      </c>
      <c r="J103">
        <f>'Monthly Data (14-23) Used'!CC103</f>
        <v>22</v>
      </c>
      <c r="K103">
        <f>'Monthly Data (14-23) Used'!BU103</f>
        <v>0</v>
      </c>
      <c r="L103">
        <f>'Monthly Data (14-23) Used'!BZ103</f>
        <v>0</v>
      </c>
      <c r="N103" s="6"/>
      <c r="O103" s="6">
        <f t="shared" ca="1" si="22"/>
        <v>9939.3895626744761</v>
      </c>
      <c r="P103" s="6">
        <f t="shared" ca="1" si="18"/>
        <v>-77944.484710079923</v>
      </c>
      <c r="Q103" s="6"/>
      <c r="R103" s="6"/>
      <c r="S103" s="6"/>
      <c r="T103" s="6"/>
      <c r="U103" s="6">
        <f t="shared" ca="1" si="23"/>
        <v>17605469.787507091</v>
      </c>
    </row>
    <row r="104" spans="1:21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Used'!M104</f>
        <v>18461407.882654496</v>
      </c>
      <c r="E104" s="64">
        <f>'Monthly Data (14-23) Used'!AE104</f>
        <v>0</v>
      </c>
      <c r="F104" s="64">
        <f>'Monthly Data (14-23) Used'!AJ104</f>
        <v>342.59999999999997</v>
      </c>
      <c r="G104" s="7">
        <f t="shared" ca="1" si="24"/>
        <v>1.9999999999999928E-2</v>
      </c>
      <c r="H104" s="7">
        <f t="shared" ca="1" si="24"/>
        <v>335.21289540171807</v>
      </c>
      <c r="I104" s="6">
        <f>'Monthly Data (14-23) Used'!BC104</f>
        <v>842100</v>
      </c>
      <c r="J104">
        <f>'Monthly Data (14-23) Used'!CC104</f>
        <v>20</v>
      </c>
      <c r="K104">
        <f>'Monthly Data (14-23) Used'!BU104</f>
        <v>0</v>
      </c>
      <c r="L104">
        <f>'Monthly Data (14-23) Used'!BZ104</f>
        <v>0</v>
      </c>
      <c r="N104" s="6"/>
      <c r="O104" s="6">
        <f t="shared" ca="1" si="22"/>
        <v>78.945781386715908</v>
      </c>
      <c r="P104" s="6">
        <f t="shared" ca="1" si="18"/>
        <v>-112721.36996964192</v>
      </c>
      <c r="Q104" s="6"/>
      <c r="R104" s="6"/>
      <c r="S104" s="6"/>
      <c r="T104" s="6"/>
      <c r="U104" s="6">
        <f t="shared" ca="1" si="23"/>
        <v>18348765.458466239</v>
      </c>
    </row>
    <row r="105" spans="1:21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Used'!M105</f>
        <v>19870185.882654496</v>
      </c>
      <c r="E105" s="64">
        <f>'Monthly Data (14-23) Used'!AE105</f>
        <v>0</v>
      </c>
      <c r="F105" s="64">
        <f>'Monthly Data (14-23) Used'!AJ105</f>
        <v>322.92895401718039</v>
      </c>
      <c r="G105" s="7">
        <f t="shared" ca="1" si="24"/>
        <v>0.49999999999999983</v>
      </c>
      <c r="H105" s="7">
        <f t="shared" ca="1" si="24"/>
        <v>307.37605861546228</v>
      </c>
      <c r="I105" s="6">
        <f>'Monthly Data (14-23) Used'!BC105</f>
        <v>842100</v>
      </c>
      <c r="J105">
        <f>'Monthly Data (14-23) Used'!CC105</f>
        <v>22</v>
      </c>
      <c r="K105">
        <f>'Monthly Data (14-23) Used'!BU105</f>
        <v>0</v>
      </c>
      <c r="L105">
        <f>'Monthly Data (14-23) Used'!BZ105</f>
        <v>0</v>
      </c>
      <c r="N105" s="6"/>
      <c r="O105" s="6">
        <f t="shared" ca="1" si="22"/>
        <v>1973.6445346679043</v>
      </c>
      <c r="P105" s="6">
        <f t="shared" ca="1" si="18"/>
        <v>-237324.87517287329</v>
      </c>
      <c r="Q105" s="6"/>
      <c r="R105" s="6"/>
      <c r="S105" s="6"/>
      <c r="T105" s="6"/>
      <c r="U105" s="6">
        <f t="shared" ca="1" si="23"/>
        <v>19634834.65201629</v>
      </c>
    </row>
    <row r="106" spans="1:21">
      <c r="A106" s="197">
        <v>44805</v>
      </c>
      <c r="B106">
        <f t="shared" si="15"/>
        <v>9</v>
      </c>
      <c r="C106">
        <f t="shared" si="16"/>
        <v>2022</v>
      </c>
      <c r="D106" s="6">
        <f>'Monthly Data (14-23) Used'!M106</f>
        <v>18388065.882654496</v>
      </c>
      <c r="E106" s="64">
        <f>'Monthly Data (14-23) Used'!AE106</f>
        <v>27.5</v>
      </c>
      <c r="F106" s="64">
        <f>'Monthly Data (14-23) Used'!AJ106</f>
        <v>193.00000000000003</v>
      </c>
      <c r="G106" s="7">
        <f t="shared" ca="1" si="24"/>
        <v>17.56355229914098</v>
      </c>
      <c r="H106" s="7">
        <f t="shared" ca="1" si="24"/>
        <v>194.39579080343606</v>
      </c>
      <c r="I106" s="6">
        <f>'Monthly Data (14-23) Used'!BC106</f>
        <v>842100</v>
      </c>
      <c r="J106">
        <f>'Monthly Data (14-23) Used'!CC106</f>
        <v>20</v>
      </c>
      <c r="K106">
        <f>'Monthly Data (14-23) Used'!BU106</f>
        <v>1</v>
      </c>
      <c r="L106">
        <f>'Monthly Data (14-23) Used'!BZ106</f>
        <v>0</v>
      </c>
      <c r="N106" s="6"/>
      <c r="O106" s="6">
        <f t="shared" ca="1" si="22"/>
        <v>-39222.031397627747</v>
      </c>
      <c r="P106" s="6">
        <f t="shared" ca="1" si="18"/>
        <v>21298.663022983277</v>
      </c>
      <c r="Q106" s="6"/>
      <c r="R106" s="6"/>
      <c r="S106" s="6"/>
      <c r="T106" s="6"/>
      <c r="U106" s="6">
        <f t="shared" ca="1" si="23"/>
        <v>18370142.51427985</v>
      </c>
    </row>
    <row r="107" spans="1:21">
      <c r="A107" s="197">
        <v>44835</v>
      </c>
      <c r="B107">
        <f t="shared" si="15"/>
        <v>10</v>
      </c>
      <c r="C107">
        <f t="shared" si="16"/>
        <v>2022</v>
      </c>
      <c r="D107" s="6">
        <f>'Monthly Data (14-23) Used'!M107</f>
        <v>16579131.882654494</v>
      </c>
      <c r="E107" s="64">
        <f>'Monthly Data (14-23) Used'!AE107</f>
        <v>155.24209196563922</v>
      </c>
      <c r="F107" s="64">
        <f>'Monthly Data (14-23) Used'!AJ107</f>
        <v>47.328954017180394</v>
      </c>
      <c r="G107" s="7">
        <f t="shared" ca="1" si="24"/>
        <v>143.81420919656392</v>
      </c>
      <c r="H107" s="7">
        <f t="shared" ca="1" si="24"/>
        <v>62.822895401718029</v>
      </c>
      <c r="I107" s="6">
        <f>'Monthly Data (14-23) Used'!BC107</f>
        <v>841987</v>
      </c>
      <c r="J107">
        <f>'Monthly Data (14-23) Used'!CC107</f>
        <v>20</v>
      </c>
      <c r="K107">
        <f>'Monthly Data (14-23) Used'!BU107</f>
        <v>0</v>
      </c>
      <c r="L107">
        <f>'Monthly Data (14-23) Used'!BZ107</f>
        <v>1</v>
      </c>
      <c r="N107" s="6"/>
      <c r="O107" s="6">
        <f t="shared" ca="1" si="22"/>
        <v>-45109.156740021965</v>
      </c>
      <c r="P107" s="6">
        <f t="shared" ca="1" si="18"/>
        <v>236425.28352727214</v>
      </c>
      <c r="Q107" s="6"/>
      <c r="R107" s="6"/>
      <c r="S107" s="6"/>
      <c r="T107" s="6"/>
      <c r="U107" s="6">
        <f t="shared" ca="1" si="23"/>
        <v>16770448.009441743</v>
      </c>
    </row>
    <row r="108" spans="1:21">
      <c r="A108" s="197">
        <v>44866</v>
      </c>
      <c r="B108">
        <f t="shared" si="15"/>
        <v>11</v>
      </c>
      <c r="C108">
        <f t="shared" si="16"/>
        <v>2022</v>
      </c>
      <c r="D108" s="6">
        <f>'Monthly Data (14-23) Used'!M108</f>
        <v>16193570.882654494</v>
      </c>
      <c r="E108" s="64">
        <f>'Monthly Data (14-23) Used'!AE108</f>
        <v>310.89999999999998</v>
      </c>
      <c r="F108" s="64">
        <f>'Monthly Data (14-23) Used'!AJ108</f>
        <v>15.099999999999996</v>
      </c>
      <c r="G108" s="7">
        <f t="shared" ca="1" si="24"/>
        <v>344.55065689742298</v>
      </c>
      <c r="H108" s="7">
        <f t="shared" ca="1" si="24"/>
        <v>6.1599999999999984</v>
      </c>
      <c r="I108" s="6">
        <f>'Monthly Data (14-23) Used'!BC108</f>
        <v>841987</v>
      </c>
      <c r="J108">
        <f>'Monthly Data (14-23) Used'!CC108</f>
        <v>22</v>
      </c>
      <c r="K108">
        <f>'Monthly Data (14-23) Used'!BU108</f>
        <v>0</v>
      </c>
      <c r="L108">
        <f>'Monthly Data (14-23) Used'!BZ108</f>
        <v>1</v>
      </c>
      <c r="N108" s="6"/>
      <c r="O108" s="6">
        <f t="shared" ca="1" si="22"/>
        <v>132828.8701471675</v>
      </c>
      <c r="P108" s="6">
        <f t="shared" ca="1" si="18"/>
        <v>-136417.32482886163</v>
      </c>
      <c r="Q108" s="6"/>
      <c r="R108" s="6"/>
      <c r="S108" s="6"/>
      <c r="T108" s="6"/>
      <c r="U108" s="6">
        <f t="shared" ca="1" si="23"/>
        <v>16189982.427972799</v>
      </c>
    </row>
    <row r="109" spans="1:21">
      <c r="A109" s="197">
        <v>44896</v>
      </c>
      <c r="B109">
        <f t="shared" si="15"/>
        <v>12</v>
      </c>
      <c r="C109">
        <f t="shared" si="16"/>
        <v>2022</v>
      </c>
      <c r="D109" s="6">
        <f>'Monthly Data (14-23) Used'!M109</f>
        <v>15808158.882654494</v>
      </c>
      <c r="E109" s="64">
        <f>'Monthly Data (14-23) Used'!AE109</f>
        <v>494.09999999999997</v>
      </c>
      <c r="F109" s="64">
        <f>'Monthly Data (14-23) Used'!AJ109</f>
        <v>0</v>
      </c>
      <c r="G109" s="7">
        <f t="shared" ca="1" si="24"/>
        <v>471.77</v>
      </c>
      <c r="H109" s="7">
        <f t="shared" ca="1" si="24"/>
        <v>8.0000000000000071E-2</v>
      </c>
      <c r="I109" s="6">
        <f>'Monthly Data (14-23) Used'!BC109</f>
        <v>841987</v>
      </c>
      <c r="J109">
        <f>'Monthly Data (14-23) Used'!CC109</f>
        <v>20</v>
      </c>
      <c r="K109">
        <f>'Monthly Data (14-23) Used'!BU109</f>
        <v>0</v>
      </c>
      <c r="L109">
        <f>'Monthly Data (14-23) Used'!BZ109</f>
        <v>0</v>
      </c>
      <c r="N109" s="6"/>
      <c r="O109" s="6">
        <f t="shared" ca="1" si="22"/>
        <v>-88142.964918268568</v>
      </c>
      <c r="P109" s="6">
        <f t="shared" ca="1" si="18"/>
        <v>1220.7366875065932</v>
      </c>
      <c r="Q109" s="6"/>
      <c r="R109" s="6"/>
      <c r="S109" s="6"/>
      <c r="T109" s="6"/>
      <c r="U109" s="6">
        <f t="shared" ca="1" si="23"/>
        <v>15721236.654423732</v>
      </c>
    </row>
    <row r="110" spans="1:21">
      <c r="A110" s="197">
        <v>44927</v>
      </c>
      <c r="B110">
        <f t="shared" si="15"/>
        <v>1</v>
      </c>
      <c r="C110">
        <f t="shared" si="16"/>
        <v>2023</v>
      </c>
      <c r="D110" s="6">
        <f>'Monthly Data (14-23) Used'!M110</f>
        <v>15830251.327624639</v>
      </c>
      <c r="E110" s="64">
        <f>'Monthly Data (14-23) Used'!AE110</f>
        <v>486.7000000000001</v>
      </c>
      <c r="F110" s="64">
        <f>'Monthly Data (14-23) Used'!AJ110</f>
        <v>0</v>
      </c>
      <c r="G110" s="7">
        <f t="shared" ca="1" si="24"/>
        <v>608.99999999999989</v>
      </c>
      <c r="H110" s="7">
        <f t="shared" ca="1" si="24"/>
        <v>0</v>
      </c>
      <c r="I110" s="6">
        <f>'Monthly Data (14-23) Used'!BC110</f>
        <v>848873</v>
      </c>
      <c r="J110">
        <f>'Monthly Data (14-23) Used'!CC110</f>
        <v>21</v>
      </c>
      <c r="K110">
        <f>'Monthly Data (14-23) Used'!BU110</f>
        <v>0</v>
      </c>
      <c r="L110">
        <f>'Monthly Data (14-23) Used'!BZ110</f>
        <v>0</v>
      </c>
      <c r="N110" s="6"/>
      <c r="O110" s="6">
        <f t="shared" ca="1" si="22"/>
        <v>482753.45317976869</v>
      </c>
      <c r="P110" s="6">
        <f t="shared" ca="1" si="18"/>
        <v>0</v>
      </c>
      <c r="Q110" s="6"/>
      <c r="R110" s="6"/>
      <c r="S110" s="6"/>
      <c r="T110" s="6"/>
      <c r="U110" s="6">
        <f t="shared" ca="1" si="23"/>
        <v>16313004.780804409</v>
      </c>
    </row>
    <row r="111" spans="1:21">
      <c r="A111" s="197">
        <v>44958</v>
      </c>
      <c r="B111">
        <f t="shared" si="15"/>
        <v>2</v>
      </c>
      <c r="C111">
        <f t="shared" si="16"/>
        <v>2023</v>
      </c>
      <c r="D111" s="6">
        <f>'Monthly Data (14-23) Used'!M111</f>
        <v>14554219.660621656</v>
      </c>
      <c r="E111" s="64">
        <f>'Monthly Data (14-23) Used'!AE111</f>
        <v>435.23552299140994</v>
      </c>
      <c r="F111" s="64">
        <f>'Monthly Data (14-23) Used'!AJ111</f>
        <v>0</v>
      </c>
      <c r="G111" s="7">
        <f t="shared" ca="1" si="24"/>
        <v>539.11355229914102</v>
      </c>
      <c r="H111" s="7">
        <f t="shared" ca="1" si="24"/>
        <v>0.1</v>
      </c>
      <c r="I111" s="6">
        <f>'Monthly Data (14-23) Used'!BC111</f>
        <v>848873</v>
      </c>
      <c r="J111">
        <f>'Monthly Data (14-23) Used'!CC111</f>
        <v>19</v>
      </c>
      <c r="K111">
        <f>'Monthly Data (14-23) Used'!BU111</f>
        <v>0</v>
      </c>
      <c r="L111">
        <f>'Monthly Data (14-23) Used'!BZ111</f>
        <v>0</v>
      </c>
      <c r="N111" s="6"/>
      <c r="O111" s="6">
        <f t="shared" ca="1" si="22"/>
        <v>410036.60963055183</v>
      </c>
      <c r="P111" s="6">
        <f t="shared" ca="1" si="18"/>
        <v>1525.92085938324</v>
      </c>
      <c r="Q111" s="6"/>
      <c r="R111" s="6"/>
      <c r="S111" s="6"/>
      <c r="T111" s="6"/>
      <c r="U111" s="6">
        <f t="shared" ca="1" si="23"/>
        <v>14965782.191111591</v>
      </c>
    </row>
    <row r="112" spans="1:21">
      <c r="A112" s="197">
        <v>44986</v>
      </c>
      <c r="B112">
        <f t="shared" si="15"/>
        <v>3</v>
      </c>
      <c r="C112">
        <f t="shared" si="16"/>
        <v>2023</v>
      </c>
      <c r="D112" s="6">
        <f>'Monthly Data (14-23) Used'!M112</f>
        <v>15953101.46062164</v>
      </c>
      <c r="E112" s="64">
        <f>'Monthly Data (14-23) Used'!AE112</f>
        <v>418.09999999999997</v>
      </c>
      <c r="F112" s="64">
        <f>'Monthly Data (14-23) Used'!AJ112</f>
        <v>0</v>
      </c>
      <c r="G112" s="7">
        <f t="shared" ca="1" si="24"/>
        <v>434.46355229914104</v>
      </c>
      <c r="H112" s="7">
        <f t="shared" ca="1" si="24"/>
        <v>1.2599999999999998</v>
      </c>
      <c r="I112" s="6">
        <f>'Monthly Data (14-23) Used'!BC112</f>
        <v>848873</v>
      </c>
      <c r="J112">
        <f>'Monthly Data (14-23) Used'!CC112</f>
        <v>23</v>
      </c>
      <c r="K112">
        <f>'Monthly Data (14-23) Used'!BU112</f>
        <v>0</v>
      </c>
      <c r="L112">
        <f>'Monthly Data (14-23) Used'!BZ112</f>
        <v>0</v>
      </c>
      <c r="N112" s="6"/>
      <c r="O112" s="6">
        <f t="shared" ca="1" si="22"/>
        <v>64591.671125904431</v>
      </c>
      <c r="P112" s="6">
        <f t="shared" ca="1" si="18"/>
        <v>19226.602828228821</v>
      </c>
      <c r="Q112" s="6"/>
      <c r="R112" s="6"/>
      <c r="S112" s="6"/>
      <c r="T112" s="6"/>
      <c r="U112" s="6">
        <f t="shared" ca="1" si="23"/>
        <v>16036919.734575773</v>
      </c>
    </row>
    <row r="113" spans="1:21">
      <c r="A113" s="197">
        <v>45017</v>
      </c>
      <c r="B113">
        <f t="shared" si="15"/>
        <v>4</v>
      </c>
      <c r="C113">
        <f t="shared" si="16"/>
        <v>2023</v>
      </c>
      <c r="D113" s="6">
        <f>'Monthly Data (14-23) Used'!M113</f>
        <v>14624468.130621644</v>
      </c>
      <c r="E113" s="64">
        <f>'Monthly Data (14-23) Used'!AE113</f>
        <v>211.8</v>
      </c>
      <c r="F113" s="64">
        <f>'Monthly Data (14-23) Used'!AJ113</f>
        <v>39.199999999999996</v>
      </c>
      <c r="G113" s="7">
        <f t="shared" ca="1" si="24"/>
        <v>238.61000000000004</v>
      </c>
      <c r="H113" s="7">
        <f t="shared" ca="1" si="24"/>
        <v>18.349999999999998</v>
      </c>
      <c r="I113" s="6">
        <f>'Monthly Data (14-23) Used'!BC113</f>
        <v>852586</v>
      </c>
      <c r="J113">
        <f>'Monthly Data (14-23) Used'!CC113</f>
        <v>19</v>
      </c>
      <c r="K113">
        <f>'Monthly Data (14-23) Used'!BU113</f>
        <v>0</v>
      </c>
      <c r="L113">
        <f>'Monthly Data (14-23) Used'!BZ113</f>
        <v>0</v>
      </c>
      <c r="N113" s="6"/>
      <c r="O113" s="6">
        <f t="shared" ca="1" si="22"/>
        <v>105826.81994889319</v>
      </c>
      <c r="P113" s="6">
        <f t="shared" ca="1" si="18"/>
        <v>-318154.49918140552</v>
      </c>
      <c r="Q113" s="6"/>
      <c r="R113" s="6"/>
      <c r="S113" s="6"/>
      <c r="T113" s="6"/>
      <c r="U113" s="6">
        <f t="shared" ca="1" si="23"/>
        <v>14412140.451389132</v>
      </c>
    </row>
    <row r="114" spans="1:21">
      <c r="A114" s="197">
        <v>45047</v>
      </c>
      <c r="B114">
        <f t="shared" si="15"/>
        <v>5</v>
      </c>
      <c r="C114">
        <f t="shared" si="16"/>
        <v>2023</v>
      </c>
      <c r="D114" s="6">
        <f>'Monthly Data (14-23) Used'!M114</f>
        <v>15802234.27025165</v>
      </c>
      <c r="E114" s="64">
        <f>'Monthly Data (14-23) Used'!AE114</f>
        <v>80.299999999999983</v>
      </c>
      <c r="F114" s="64">
        <f>'Monthly Data (14-23) Used'!AJ114</f>
        <v>104.60000000000002</v>
      </c>
      <c r="G114" s="7">
        <f t="shared" ref="G114:H129" ca="1" si="25">G102</f>
        <v>77.693552299140975</v>
      </c>
      <c r="H114" s="7">
        <f t="shared" ca="1" si="25"/>
        <v>124.82289540171806</v>
      </c>
      <c r="I114" s="6">
        <f>'Monthly Data (14-23) Used'!BC114</f>
        <v>852586</v>
      </c>
      <c r="J114">
        <f>'Monthly Data (14-23) Used'!CC114</f>
        <v>22</v>
      </c>
      <c r="K114">
        <f>'Monthly Data (14-23) Used'!BU114</f>
        <v>0</v>
      </c>
      <c r="L114">
        <f>'Monthly Data (14-23) Used'!BZ114</f>
        <v>0</v>
      </c>
      <c r="N114" s="6"/>
      <c r="O114" s="6">
        <f t="shared" ca="1" si="22"/>
        <v>-10288.402519396213</v>
      </c>
      <c r="P114" s="6">
        <f t="shared" ca="1" si="18"/>
        <v>308585.37930606958</v>
      </c>
      <c r="Q114" s="6"/>
      <c r="R114" s="6"/>
      <c r="S114" s="6"/>
      <c r="T114" s="6"/>
      <c r="U114" s="6">
        <f t="shared" ca="1" si="23"/>
        <v>16100531.247038323</v>
      </c>
    </row>
    <row r="115" spans="1:21">
      <c r="A115" s="197">
        <v>45078</v>
      </c>
      <c r="B115">
        <f t="shared" si="15"/>
        <v>6</v>
      </c>
      <c r="C115">
        <f t="shared" si="16"/>
        <v>2023</v>
      </c>
      <c r="D115" s="6">
        <f>'Monthly Data (14-23) Used'!M115</f>
        <v>17314216.540621646</v>
      </c>
      <c r="E115" s="64">
        <f>'Monthly Data (14-23) Used'!AE115</f>
        <v>3.5</v>
      </c>
      <c r="F115" s="64">
        <f>'Monthly Data (14-23) Used'!AJ115</f>
        <v>230.59999999999994</v>
      </c>
      <c r="G115" s="7">
        <f t="shared" ca="1" si="25"/>
        <v>2.8535522991409801</v>
      </c>
      <c r="H115" s="7">
        <f t="shared" ca="1" si="25"/>
        <v>262.25644770085898</v>
      </c>
      <c r="I115" s="6">
        <f>'Monthly Data (14-23) Used'!BC115</f>
        <v>852586</v>
      </c>
      <c r="J115">
        <f>'Monthly Data (14-23) Used'!CC115</f>
        <v>22</v>
      </c>
      <c r="K115">
        <f>'Monthly Data (14-23) Used'!BU115</f>
        <v>0</v>
      </c>
      <c r="L115">
        <f>'Monthly Data (14-23) Used'!BZ115</f>
        <v>0</v>
      </c>
      <c r="N115" s="6"/>
      <c r="O115" s="6">
        <f t="shared" ca="1" si="22"/>
        <v>-2551.7159434980749</v>
      </c>
      <c r="P115" s="6">
        <f ca="1">(H115-F115)*$X$11</f>
        <v>483052.33880715427</v>
      </c>
      <c r="Q115" s="6"/>
      <c r="R115" s="6"/>
      <c r="S115" s="6"/>
      <c r="T115" s="6"/>
      <c r="U115" s="6">
        <f t="shared" ca="1" si="23"/>
        <v>17794717.163485304</v>
      </c>
    </row>
    <row r="116" spans="1:21">
      <c r="A116" s="197">
        <v>45108</v>
      </c>
      <c r="B116">
        <f t="shared" ref="B116:B121" si="26">MONTH(A116)</f>
        <v>7</v>
      </c>
      <c r="C116">
        <f t="shared" ref="C116:C121" si="27">YEAR(A116)</f>
        <v>2023</v>
      </c>
      <c r="D116" s="6">
        <f>'Monthly Data (14-23) Used'!M116</f>
        <v>20499379.560621645</v>
      </c>
      <c r="E116" s="64">
        <f>'Monthly Data (14-23) Used'!AE116</f>
        <v>0</v>
      </c>
      <c r="F116" s="64">
        <f>'Monthly Data (14-23) Used'!AJ116</f>
        <v>318.86447700859026</v>
      </c>
      <c r="G116" s="7">
        <f t="shared" ref="G116:H121" ca="1" si="28">G104</f>
        <v>1.9999999999999928E-2</v>
      </c>
      <c r="H116" s="7">
        <f t="shared" ca="1" si="28"/>
        <v>335.21289540171807</v>
      </c>
      <c r="I116" s="6">
        <f>'Monthly Data (14-23) Used'!BC116</f>
        <v>852629</v>
      </c>
      <c r="J116">
        <f>'Monthly Data (14-23) Used'!CC116</f>
        <v>20</v>
      </c>
      <c r="K116">
        <f>'Monthly Data (14-23) Used'!BU116</f>
        <v>0</v>
      </c>
      <c r="L116">
        <f>'Monthly Data (14-23) Used'!BZ116</f>
        <v>0</v>
      </c>
      <c r="N116" s="6"/>
      <c r="O116" s="6">
        <f t="shared" ref="O116:O121" ca="1" si="29">(G116-E116)*$X$10</f>
        <v>78.945781386715908</v>
      </c>
      <c r="P116" s="6">
        <f t="shared" ref="P116:P121" ca="1" si="30">(H116-F116)*$X$11</f>
        <v>249463.92643998362</v>
      </c>
      <c r="Q116" s="6"/>
      <c r="R116" s="6"/>
      <c r="S116" s="6"/>
      <c r="T116" s="6"/>
      <c r="U116" s="6">
        <f t="shared" ref="U116:U121" ca="1" si="31">SUM(D116,N116:T116)</f>
        <v>20748922.432843015</v>
      </c>
    </row>
    <row r="117" spans="1:21">
      <c r="A117" s="197">
        <v>45139</v>
      </c>
      <c r="B117">
        <f t="shared" si="26"/>
        <v>8</v>
      </c>
      <c r="C117">
        <f t="shared" si="27"/>
        <v>2023</v>
      </c>
      <c r="D117" s="6">
        <f>'Monthly Data (14-23) Used'!M117</f>
        <v>19294498.600621633</v>
      </c>
      <c r="E117" s="64">
        <f>'Monthly Data (14-23) Used'!AE117</f>
        <v>2.3999999999999986</v>
      </c>
      <c r="F117" s="64">
        <f>'Monthly Data (14-23) Used'!AJ117</f>
        <v>261.61581606872153</v>
      </c>
      <c r="G117" s="7">
        <f t="shared" ca="1" si="28"/>
        <v>0.49999999999999983</v>
      </c>
      <c r="H117" s="7">
        <f t="shared" ca="1" si="28"/>
        <v>307.37605861546228</v>
      </c>
      <c r="I117" s="6">
        <f>'Monthly Data (14-23) Used'!BC117</f>
        <v>852629</v>
      </c>
      <c r="J117">
        <f>'Monthly Data (14-23) Used'!CC117</f>
        <v>22</v>
      </c>
      <c r="K117">
        <f>'Monthly Data (14-23) Used'!BU117</f>
        <v>0</v>
      </c>
      <c r="L117">
        <f>'Monthly Data (14-23) Used'!BZ117</f>
        <v>0</v>
      </c>
      <c r="N117" s="6"/>
      <c r="O117" s="6">
        <f t="shared" ca="1" si="29"/>
        <v>-7499.8492317380342</v>
      </c>
      <c r="P117" s="6">
        <f t="shared" ca="1" si="30"/>
        <v>698265.08632508153</v>
      </c>
      <c r="Q117" s="6"/>
      <c r="R117" s="6"/>
      <c r="S117" s="6"/>
      <c r="T117" s="6"/>
      <c r="U117" s="6">
        <f t="shared" ca="1" si="31"/>
        <v>19985263.837714978</v>
      </c>
    </row>
    <row r="118" spans="1:21">
      <c r="A118" s="197">
        <v>45170</v>
      </c>
      <c r="B118">
        <f t="shared" si="26"/>
        <v>9</v>
      </c>
      <c r="C118">
        <f t="shared" si="27"/>
        <v>2023</v>
      </c>
      <c r="D118" s="6">
        <f>'Monthly Data (14-23) Used'!M118</f>
        <v>18423022.120621648</v>
      </c>
      <c r="E118" s="64">
        <f>'Monthly Data (14-23) Used'!AE118</f>
        <v>5.4355229914098082</v>
      </c>
      <c r="F118" s="64">
        <f>'Monthly Data (14-23) Used'!AJ118</f>
        <v>188.62895401718038</v>
      </c>
      <c r="G118" s="7">
        <f t="shared" ca="1" si="28"/>
        <v>17.56355229914098</v>
      </c>
      <c r="H118" s="7">
        <f t="shared" ca="1" si="28"/>
        <v>194.39579080343606</v>
      </c>
      <c r="I118" s="6">
        <f>'Monthly Data (14-23) Used'!BC118</f>
        <v>852629</v>
      </c>
      <c r="J118">
        <f>'Monthly Data (14-23) Used'!CC118</f>
        <v>20</v>
      </c>
      <c r="K118">
        <f>'Monthly Data (14-23) Used'!BU118</f>
        <v>1</v>
      </c>
      <c r="L118">
        <f>'Monthly Data (14-23) Used'!BZ118</f>
        <v>0</v>
      </c>
      <c r="N118" s="6"/>
      <c r="O118" s="6">
        <f t="shared" ca="1" si="29"/>
        <v>47872.837518991604</v>
      </c>
      <c r="P118" s="6">
        <f t="shared" ca="1" si="30"/>
        <v>87997.365448061493</v>
      </c>
      <c r="Q118" s="6"/>
      <c r="R118" s="6"/>
      <c r="S118" s="6"/>
      <c r="T118" s="6"/>
      <c r="U118" s="6">
        <f t="shared" ca="1" si="31"/>
        <v>18558892.323588699</v>
      </c>
    </row>
    <row r="119" spans="1:21">
      <c r="A119" s="197">
        <v>45200</v>
      </c>
      <c r="B119">
        <f t="shared" si="26"/>
        <v>10</v>
      </c>
      <c r="C119">
        <f t="shared" si="27"/>
        <v>2023</v>
      </c>
      <c r="D119" s="6">
        <f>'Monthly Data (14-23) Used'!M119</f>
        <v>17248949.170621652</v>
      </c>
      <c r="E119" s="64">
        <f>'Monthly Data (14-23) Used'!AE119</f>
        <v>144.19999999999999</v>
      </c>
      <c r="F119" s="64">
        <f>'Monthly Data (14-23) Used'!AJ119</f>
        <v>68.799999999999983</v>
      </c>
      <c r="G119" s="7">
        <f t="shared" ca="1" si="28"/>
        <v>143.81420919656392</v>
      </c>
      <c r="H119" s="7">
        <f t="shared" ca="1" si="28"/>
        <v>62.822895401718029</v>
      </c>
      <c r="I119" s="6">
        <f>'Monthly Data (14-23) Used'!BC119</f>
        <v>852090.84400000004</v>
      </c>
      <c r="J119">
        <f>'Monthly Data (14-23) Used'!CC119</f>
        <v>21</v>
      </c>
      <c r="K119">
        <f>'Monthly Data (14-23) Used'!BU119</f>
        <v>0</v>
      </c>
      <c r="L119">
        <f>'Monthly Data (14-23) Used'!BZ119</f>
        <v>1</v>
      </c>
      <c r="N119" s="6"/>
      <c r="O119" s="6">
        <f t="shared" ca="1" si="29"/>
        <v>-1522.8278214534641</v>
      </c>
      <c r="P119" s="6">
        <f t="shared" ca="1" si="30"/>
        <v>-91205.885852339154</v>
      </c>
      <c r="Q119" s="6"/>
      <c r="R119" s="6"/>
      <c r="S119" s="6"/>
      <c r="T119" s="6"/>
      <c r="U119" s="6">
        <f t="shared" ca="1" si="31"/>
        <v>17156220.456947859</v>
      </c>
    </row>
    <row r="120" spans="1:21">
      <c r="A120" s="197">
        <v>45231</v>
      </c>
      <c r="B120">
        <f t="shared" si="26"/>
        <v>11</v>
      </c>
      <c r="C120">
        <f t="shared" si="27"/>
        <v>2023</v>
      </c>
      <c r="D120" s="6">
        <f>'Monthly Data (14-23) Used'!M120</f>
        <v>16474136.860621652</v>
      </c>
      <c r="E120" s="64">
        <f>'Monthly Data (14-23) Used'!AE120</f>
        <v>342.39999999999992</v>
      </c>
      <c r="F120" s="64">
        <f>'Monthly Data (14-23) Used'!AJ120</f>
        <v>0</v>
      </c>
      <c r="G120" s="7">
        <f t="shared" ca="1" si="28"/>
        <v>344.55065689742298</v>
      </c>
      <c r="H120" s="7">
        <f t="shared" ca="1" si="28"/>
        <v>6.1599999999999984</v>
      </c>
      <c r="I120" s="6">
        <f>'Monthly Data (14-23) Used'!BC120</f>
        <v>852090.84400000004</v>
      </c>
      <c r="J120">
        <f>'Monthly Data (14-23) Used'!CC120</f>
        <v>22</v>
      </c>
      <c r="K120">
        <f>'Monthly Data (14-23) Used'!BU120</f>
        <v>0</v>
      </c>
      <c r="L120">
        <f>'Monthly Data (14-23) Used'!BZ120</f>
        <v>1</v>
      </c>
      <c r="N120" s="6"/>
      <c r="O120" s="6">
        <f t="shared" ca="1" si="29"/>
        <v>8489.2644630897175</v>
      </c>
      <c r="P120" s="6">
        <f t="shared" ca="1" si="30"/>
        <v>93996.724938007552</v>
      </c>
      <c r="Q120" s="6"/>
      <c r="R120" s="6"/>
      <c r="S120" s="6"/>
      <c r="T120" s="6"/>
      <c r="U120" s="6">
        <f t="shared" ca="1" si="31"/>
        <v>16576622.850022748</v>
      </c>
    </row>
    <row r="121" spans="1:21">
      <c r="A121" s="197">
        <v>45261</v>
      </c>
      <c r="B121">
        <f t="shared" si="26"/>
        <v>12</v>
      </c>
      <c r="C121">
        <f t="shared" si="27"/>
        <v>2023</v>
      </c>
      <c r="D121" s="6">
        <f>'Monthly Data (14-23) Used'!M121</f>
        <v>15393750.390621644</v>
      </c>
      <c r="E121" s="64">
        <f>'Monthly Data (14-23) Used'!AE121</f>
        <v>369.40000000000003</v>
      </c>
      <c r="F121" s="64">
        <f>'Monthly Data (14-23) Used'!AJ121</f>
        <v>0</v>
      </c>
      <c r="G121" s="7">
        <f t="shared" ca="1" si="28"/>
        <v>471.77</v>
      </c>
      <c r="H121" s="7">
        <f t="shared" ca="1" si="28"/>
        <v>8.0000000000000071E-2</v>
      </c>
      <c r="I121" s="6">
        <f>'Monthly Data (14-23) Used'!BC121</f>
        <v>852090.84400000004</v>
      </c>
      <c r="J121">
        <f>'Monthly Data (14-23) Used'!CC121</f>
        <v>19</v>
      </c>
      <c r="K121">
        <f>'Monthly Data (14-23) Used'!BU121</f>
        <v>0</v>
      </c>
      <c r="L121">
        <f>'Monthly Data (14-23) Used'!BZ121</f>
        <v>0</v>
      </c>
      <c r="N121" s="6"/>
      <c r="O121" s="6">
        <f t="shared" ca="1" si="29"/>
        <v>404083.98202790663</v>
      </c>
      <c r="P121" s="6">
        <f t="shared" ca="1" si="30"/>
        <v>1220.7366875065932</v>
      </c>
      <c r="Q121" s="6"/>
      <c r="R121" s="6"/>
      <c r="S121" s="6"/>
      <c r="T121" s="6"/>
      <c r="U121" s="6">
        <f t="shared" ca="1" si="31"/>
        <v>15799055.109337058</v>
      </c>
    </row>
    <row r="122" spans="1:21">
      <c r="A122" s="197">
        <v>45292</v>
      </c>
      <c r="B122">
        <f t="shared" ref="B122:B133" si="32">MONTH(A122)</f>
        <v>1</v>
      </c>
      <c r="C122">
        <f t="shared" ref="C122:C133" si="33">YEAR(A122)</f>
        <v>2024</v>
      </c>
      <c r="D122" s="6"/>
      <c r="G122" s="7">
        <f t="shared" ca="1" si="25"/>
        <v>608.99999999999989</v>
      </c>
      <c r="H122" s="7">
        <f t="shared" ca="1" si="25"/>
        <v>0</v>
      </c>
      <c r="I122" s="6">
        <f>'Economic Data'!Q148</f>
        <v>853966.23800000001</v>
      </c>
      <c r="J122">
        <v>21</v>
      </c>
      <c r="K122">
        <f t="shared" ref="K122:L145" si="34">K110</f>
        <v>0</v>
      </c>
      <c r="L122">
        <f t="shared" si="34"/>
        <v>0</v>
      </c>
      <c r="N122" s="6">
        <f t="shared" ref="N122:N145" si="35">$X$9</f>
        <v>-4689965.23186938</v>
      </c>
      <c r="O122" s="6">
        <f ca="1">G122*$X$10</f>
        <v>2403899.0432255077</v>
      </c>
      <c r="P122" s="6">
        <f t="shared" ref="P122:P145" ca="1" si="36">H122*$X$11</f>
        <v>0</v>
      </c>
      <c r="Q122" s="6">
        <f t="shared" ref="Q122:Q133" si="37">I122*$X$12</f>
        <v>13898266.799918566</v>
      </c>
      <c r="R122" s="6">
        <f>J122*$X$13</f>
        <v>4805277.092758527</v>
      </c>
      <c r="S122" s="6">
        <f>K122*$X$14</f>
        <v>0</v>
      </c>
      <c r="T122" s="6">
        <f>L122*$X$15</f>
        <v>0</v>
      </c>
      <c r="U122" s="6">
        <f t="shared" ref="U122:U145" ca="1" si="38">SUM(D122,N122:T122)</f>
        <v>16417477.70403322</v>
      </c>
    </row>
    <row r="123" spans="1:21">
      <c r="A123" s="197">
        <v>45323</v>
      </c>
      <c r="B123">
        <f t="shared" si="32"/>
        <v>2</v>
      </c>
      <c r="C123">
        <f t="shared" si="33"/>
        <v>2024</v>
      </c>
      <c r="D123" s="6"/>
      <c r="G123" s="7">
        <f t="shared" ca="1" si="25"/>
        <v>539.11355229914102</v>
      </c>
      <c r="H123" s="7">
        <f t="shared" ca="1" si="25"/>
        <v>0.1</v>
      </c>
      <c r="I123" s="6">
        <f>'Economic Data'!Q149</f>
        <v>853966.23800000001</v>
      </c>
      <c r="J123">
        <v>20</v>
      </c>
      <c r="K123">
        <f t="shared" si="34"/>
        <v>0</v>
      </c>
      <c r="L123">
        <f t="shared" si="34"/>
        <v>0</v>
      </c>
      <c r="N123" s="6">
        <f t="shared" si="35"/>
        <v>-4689965.23186938</v>
      </c>
      <c r="O123" s="6">
        <f t="shared" ref="O123:O145" ca="1" si="39">G123*$X$10</f>
        <v>2128037.0321211987</v>
      </c>
      <c r="P123" s="6">
        <f t="shared" ca="1" si="36"/>
        <v>1525.92085938324</v>
      </c>
      <c r="Q123" s="6">
        <f t="shared" si="37"/>
        <v>13898266.799918566</v>
      </c>
      <c r="R123" s="6">
        <f t="shared" ref="R123:R145" si="40">J123*$X$13</f>
        <v>4576454.3740557404</v>
      </c>
      <c r="S123" s="6">
        <f t="shared" ref="S123:S145" si="41">K123*$X$14</f>
        <v>0</v>
      </c>
      <c r="T123" s="6">
        <f t="shared" ref="T123:T145" si="42">L123*$X$15</f>
        <v>0</v>
      </c>
      <c r="U123" s="6">
        <f t="shared" ca="1" si="38"/>
        <v>15914318.89508551</v>
      </c>
    </row>
    <row r="124" spans="1:21">
      <c r="A124" s="197">
        <v>45352</v>
      </c>
      <c r="B124">
        <f t="shared" si="32"/>
        <v>3</v>
      </c>
      <c r="C124">
        <f t="shared" si="33"/>
        <v>2024</v>
      </c>
      <c r="D124" s="6"/>
      <c r="G124" s="7">
        <f t="shared" ca="1" si="25"/>
        <v>434.46355229914104</v>
      </c>
      <c r="H124" s="7">
        <f t="shared" ca="1" si="25"/>
        <v>1.2599999999999998</v>
      </c>
      <c r="I124" s="6">
        <f>'Economic Data'!Q150</f>
        <v>853966.23800000001</v>
      </c>
      <c r="J124">
        <v>20</v>
      </c>
      <c r="K124">
        <f t="shared" si="34"/>
        <v>0</v>
      </c>
      <c r="L124">
        <f t="shared" si="34"/>
        <v>0</v>
      </c>
      <c r="N124" s="6">
        <f t="shared" si="35"/>
        <v>-4689965.23186938</v>
      </c>
      <c r="O124" s="6">
        <f t="shared" ca="1" si="39"/>
        <v>1714953.2310152063</v>
      </c>
      <c r="P124" s="6">
        <f t="shared" ca="1" si="36"/>
        <v>19226.602828228821</v>
      </c>
      <c r="Q124" s="6">
        <f t="shared" si="37"/>
        <v>13898266.799918566</v>
      </c>
      <c r="R124" s="6">
        <f t="shared" si="40"/>
        <v>4576454.3740557404</v>
      </c>
      <c r="S124" s="6">
        <f t="shared" si="41"/>
        <v>0</v>
      </c>
      <c r="T124" s="6">
        <f t="shared" si="42"/>
        <v>0</v>
      </c>
      <c r="U124" s="6">
        <f t="shared" ca="1" si="38"/>
        <v>15518935.775948361</v>
      </c>
    </row>
    <row r="125" spans="1:21">
      <c r="A125" s="197">
        <v>45383</v>
      </c>
      <c r="B125">
        <f t="shared" si="32"/>
        <v>4</v>
      </c>
      <c r="C125">
        <f t="shared" si="33"/>
        <v>2024</v>
      </c>
      <c r="D125" s="6"/>
      <c r="G125" s="7">
        <f t="shared" ca="1" si="25"/>
        <v>238.61000000000004</v>
      </c>
      <c r="H125" s="7">
        <f t="shared" ca="1" si="25"/>
        <v>18.349999999999998</v>
      </c>
      <c r="I125" s="6">
        <f>'Economic Data'!Q151</f>
        <v>857701.51600000006</v>
      </c>
      <c r="J125">
        <v>22</v>
      </c>
      <c r="K125">
        <f t="shared" si="34"/>
        <v>0</v>
      </c>
      <c r="L125">
        <f t="shared" si="34"/>
        <v>0</v>
      </c>
      <c r="N125" s="6">
        <f t="shared" si="35"/>
        <v>-4689965.23186938</v>
      </c>
      <c r="O125" s="6">
        <f t="shared" ca="1" si="39"/>
        <v>941862.64483421773</v>
      </c>
      <c r="P125" s="6">
        <f t="shared" ca="1" si="36"/>
        <v>280006.47769682453</v>
      </c>
      <c r="Q125" s="6">
        <f t="shared" si="37"/>
        <v>13959058.30186067</v>
      </c>
      <c r="R125" s="6">
        <f t="shared" si="40"/>
        <v>5034099.8114613146</v>
      </c>
      <c r="S125" s="6">
        <f t="shared" si="41"/>
        <v>0</v>
      </c>
      <c r="T125" s="6">
        <f t="shared" si="42"/>
        <v>0</v>
      </c>
      <c r="U125" s="6">
        <f t="shared" ca="1" si="38"/>
        <v>15525062.003983647</v>
      </c>
    </row>
    <row r="126" spans="1:21">
      <c r="A126" s="197">
        <v>45413</v>
      </c>
      <c r="B126">
        <f t="shared" si="32"/>
        <v>5</v>
      </c>
      <c r="C126">
        <f t="shared" si="33"/>
        <v>2024</v>
      </c>
      <c r="D126" s="6"/>
      <c r="G126" s="7">
        <f t="shared" ca="1" si="25"/>
        <v>77.693552299140975</v>
      </c>
      <c r="H126" s="7">
        <f t="shared" ca="1" si="25"/>
        <v>124.82289540171806</v>
      </c>
      <c r="I126" s="6">
        <f>'Economic Data'!Q152</f>
        <v>857701.51600000006</v>
      </c>
      <c r="J126">
        <v>22</v>
      </c>
      <c r="K126">
        <f t="shared" si="34"/>
        <v>0</v>
      </c>
      <c r="L126">
        <f t="shared" si="34"/>
        <v>0</v>
      </c>
      <c r="N126" s="6">
        <f t="shared" si="35"/>
        <v>-4689965.23186938</v>
      </c>
      <c r="O126" s="6">
        <f t="shared" ca="1" si="39"/>
        <v>306678.90974826925</v>
      </c>
      <c r="P126" s="6">
        <f t="shared" ca="1" si="36"/>
        <v>1904698.5982209388</v>
      </c>
      <c r="Q126" s="6">
        <f t="shared" si="37"/>
        <v>13959058.30186067</v>
      </c>
      <c r="R126" s="6">
        <f t="shared" si="40"/>
        <v>5034099.8114613146</v>
      </c>
      <c r="S126" s="6">
        <f t="shared" si="41"/>
        <v>0</v>
      </c>
      <c r="T126" s="6">
        <f t="shared" si="42"/>
        <v>0</v>
      </c>
      <c r="U126" s="6">
        <f t="shared" ca="1" si="38"/>
        <v>16514570.389421813</v>
      </c>
    </row>
    <row r="127" spans="1:21">
      <c r="A127" s="197">
        <v>45444</v>
      </c>
      <c r="B127">
        <f t="shared" si="32"/>
        <v>6</v>
      </c>
      <c r="C127">
        <f t="shared" si="33"/>
        <v>2024</v>
      </c>
      <c r="D127" s="6"/>
      <c r="G127" s="7">
        <f t="shared" ca="1" si="25"/>
        <v>2.8535522991409801</v>
      </c>
      <c r="H127" s="7">
        <f t="shared" ca="1" si="25"/>
        <v>262.25644770085898</v>
      </c>
      <c r="I127" s="6">
        <f>'Economic Data'!Q153</f>
        <v>857701.51600000006</v>
      </c>
      <c r="J127">
        <v>20</v>
      </c>
      <c r="K127">
        <f t="shared" si="34"/>
        <v>0</v>
      </c>
      <c r="L127">
        <f t="shared" si="34"/>
        <v>0</v>
      </c>
      <c r="N127" s="6">
        <f t="shared" si="35"/>
        <v>-4689965.23186938</v>
      </c>
      <c r="O127" s="6">
        <f t="shared" ca="1" si="39"/>
        <v>11263.79579917726</v>
      </c>
      <c r="P127" s="6">
        <f t="shared" ca="1" si="36"/>
        <v>4001825.8405449046</v>
      </c>
      <c r="Q127" s="6">
        <f t="shared" si="37"/>
        <v>13959058.30186067</v>
      </c>
      <c r="R127" s="6">
        <f t="shared" si="40"/>
        <v>4576454.3740557404</v>
      </c>
      <c r="S127" s="6">
        <f t="shared" si="41"/>
        <v>0</v>
      </c>
      <c r="T127" s="6">
        <f t="shared" si="42"/>
        <v>0</v>
      </c>
      <c r="U127" s="6">
        <f t="shared" ca="1" si="38"/>
        <v>17858637.080391113</v>
      </c>
    </row>
    <row r="128" spans="1:21">
      <c r="A128" s="197">
        <v>45474</v>
      </c>
      <c r="B128">
        <f t="shared" si="32"/>
        <v>7</v>
      </c>
      <c r="C128">
        <f t="shared" si="33"/>
        <v>2024</v>
      </c>
      <c r="D128" s="6"/>
      <c r="G128" s="7">
        <f t="shared" ca="1" si="25"/>
        <v>1.9999999999999928E-2</v>
      </c>
      <c r="H128" s="7">
        <f t="shared" ca="1" si="25"/>
        <v>335.21289540171807</v>
      </c>
      <c r="I128" s="6">
        <f>'Economic Data'!Q154</f>
        <v>857744.77399999998</v>
      </c>
      <c r="J128">
        <v>22</v>
      </c>
      <c r="K128">
        <f t="shared" si="34"/>
        <v>0</v>
      </c>
      <c r="L128">
        <f t="shared" si="34"/>
        <v>0</v>
      </c>
      <c r="N128" s="6">
        <f t="shared" si="35"/>
        <v>-4689965.23186938</v>
      </c>
      <c r="O128" s="6">
        <f t="shared" ca="1" si="39"/>
        <v>78.945781386715908</v>
      </c>
      <c r="P128" s="6">
        <f t="shared" ca="1" si="36"/>
        <v>5115083.4942773376</v>
      </c>
      <c r="Q128" s="6">
        <f t="shared" si="37"/>
        <v>13959762.324102389</v>
      </c>
      <c r="R128" s="6">
        <f t="shared" si="40"/>
        <v>5034099.8114613146</v>
      </c>
      <c r="S128" s="6">
        <f t="shared" si="41"/>
        <v>0</v>
      </c>
      <c r="T128" s="6">
        <f t="shared" si="42"/>
        <v>0</v>
      </c>
      <c r="U128" s="6">
        <f t="shared" ca="1" si="38"/>
        <v>19419059.343753047</v>
      </c>
    </row>
    <row r="129" spans="1:21">
      <c r="A129" s="197">
        <v>45505</v>
      </c>
      <c r="B129">
        <f t="shared" si="32"/>
        <v>8</v>
      </c>
      <c r="C129">
        <f t="shared" si="33"/>
        <v>2024</v>
      </c>
      <c r="D129" s="6"/>
      <c r="G129" s="7">
        <f t="shared" ca="1" si="25"/>
        <v>0.49999999999999983</v>
      </c>
      <c r="H129" s="7">
        <f t="shared" ca="1" si="25"/>
        <v>307.37605861546228</v>
      </c>
      <c r="I129" s="6">
        <f>'Economic Data'!Q155</f>
        <v>857744.77399999998</v>
      </c>
      <c r="J129">
        <v>21</v>
      </c>
      <c r="K129">
        <f t="shared" si="34"/>
        <v>0</v>
      </c>
      <c r="L129">
        <f t="shared" si="34"/>
        <v>0</v>
      </c>
      <c r="N129" s="6">
        <f t="shared" si="35"/>
        <v>-4689965.23186938</v>
      </c>
      <c r="O129" s="6">
        <f t="shared" ca="1" si="39"/>
        <v>1973.6445346679043</v>
      </c>
      <c r="P129" s="6">
        <f t="shared" ca="1" si="36"/>
        <v>4690315.3951633936</v>
      </c>
      <c r="Q129" s="6">
        <f t="shared" si="37"/>
        <v>13959762.324102389</v>
      </c>
      <c r="R129" s="6">
        <f t="shared" si="40"/>
        <v>4805277.092758527</v>
      </c>
      <c r="S129" s="6">
        <f t="shared" si="41"/>
        <v>0</v>
      </c>
      <c r="T129" s="6">
        <f t="shared" si="42"/>
        <v>0</v>
      </c>
      <c r="U129" s="6">
        <f t="shared" ca="1" si="38"/>
        <v>18767363.224689595</v>
      </c>
    </row>
    <row r="130" spans="1:21">
      <c r="A130" s="197">
        <v>45536</v>
      </c>
      <c r="B130">
        <f t="shared" si="32"/>
        <v>9</v>
      </c>
      <c r="C130">
        <f t="shared" si="33"/>
        <v>2024</v>
      </c>
      <c r="D130" s="6"/>
      <c r="G130" s="7">
        <f t="shared" ref="G130:H145" ca="1" si="43">G118</f>
        <v>17.56355229914098</v>
      </c>
      <c r="H130" s="7">
        <f t="shared" ca="1" si="43"/>
        <v>194.39579080343606</v>
      </c>
      <c r="I130" s="6">
        <f>'Economic Data'!Q156</f>
        <v>857744.77399999998</v>
      </c>
      <c r="J130">
        <v>20</v>
      </c>
      <c r="K130">
        <f t="shared" si="34"/>
        <v>1</v>
      </c>
      <c r="L130">
        <f t="shared" si="34"/>
        <v>0</v>
      </c>
      <c r="N130" s="6">
        <f t="shared" si="35"/>
        <v>-4689965.23186938</v>
      </c>
      <c r="O130" s="6">
        <f t="shared" ca="1" si="39"/>
        <v>69328.41800910703</v>
      </c>
      <c r="P130" s="6">
        <f t="shared" ca="1" si="36"/>
        <v>2966325.9216326368</v>
      </c>
      <c r="Q130" s="6">
        <f t="shared" si="37"/>
        <v>13959762.324102389</v>
      </c>
      <c r="R130" s="6">
        <f t="shared" si="40"/>
        <v>4576454.3740557404</v>
      </c>
      <c r="S130" s="6">
        <f t="shared" si="41"/>
        <v>1564224.56108409</v>
      </c>
      <c r="T130" s="6">
        <f t="shared" si="42"/>
        <v>0</v>
      </c>
      <c r="U130" s="6">
        <f t="shared" ca="1" si="38"/>
        <v>18446130.367014583</v>
      </c>
    </row>
    <row r="131" spans="1:21">
      <c r="A131" s="197">
        <v>45566</v>
      </c>
      <c r="B131">
        <f t="shared" si="32"/>
        <v>10</v>
      </c>
      <c r="C131">
        <f t="shared" si="33"/>
        <v>2024</v>
      </c>
      <c r="D131" s="6"/>
      <c r="G131" s="7">
        <f t="shared" ca="1" si="43"/>
        <v>143.81420919656392</v>
      </c>
      <c r="H131" s="7">
        <f t="shared" ca="1" si="43"/>
        <v>62.822895401718029</v>
      </c>
      <c r="I131" s="6">
        <f>'Economic Data'!Q157</f>
        <v>857203.38906399999</v>
      </c>
      <c r="J131">
        <v>22</v>
      </c>
      <c r="K131">
        <f t="shared" si="34"/>
        <v>0</v>
      </c>
      <c r="L131">
        <f t="shared" si="34"/>
        <v>1</v>
      </c>
      <c r="N131" s="6">
        <f t="shared" si="35"/>
        <v>-4689965.23186938</v>
      </c>
      <c r="O131" s="6">
        <f t="shared" ca="1" si="39"/>
        <v>567676.25597677031</v>
      </c>
      <c r="P131" s="6">
        <f t="shared" ca="1" si="36"/>
        <v>958627.66540332965</v>
      </c>
      <c r="Q131" s="6">
        <f t="shared" si="37"/>
        <v>13950951.305648537</v>
      </c>
      <c r="R131" s="6">
        <f t="shared" si="40"/>
        <v>5034099.8114613146</v>
      </c>
      <c r="S131" s="6">
        <f t="shared" si="41"/>
        <v>0</v>
      </c>
      <c r="T131" s="6">
        <f t="shared" si="42"/>
        <v>1139330.72171186</v>
      </c>
      <c r="U131" s="6">
        <f t="shared" ca="1" si="38"/>
        <v>16960720.528332431</v>
      </c>
    </row>
    <row r="132" spans="1:21">
      <c r="A132" s="197">
        <v>45597</v>
      </c>
      <c r="B132">
        <f t="shared" si="32"/>
        <v>11</v>
      </c>
      <c r="C132">
        <f t="shared" si="33"/>
        <v>2024</v>
      </c>
      <c r="D132" s="6"/>
      <c r="G132" s="7">
        <f t="shared" ca="1" si="43"/>
        <v>344.55065689742298</v>
      </c>
      <c r="H132" s="7">
        <f t="shared" ca="1" si="43"/>
        <v>6.1599999999999984</v>
      </c>
      <c r="I132" s="6">
        <f>'Economic Data'!Q158</f>
        <v>857203.38906399999</v>
      </c>
      <c r="J132">
        <v>21</v>
      </c>
      <c r="K132">
        <f t="shared" si="34"/>
        <v>0</v>
      </c>
      <c r="L132">
        <f t="shared" si="34"/>
        <v>1</v>
      </c>
      <c r="N132" s="6">
        <f t="shared" si="35"/>
        <v>-4689965.23186938</v>
      </c>
      <c r="O132" s="6">
        <f t="shared" ca="1" si="39"/>
        <v>1360041.0418036708</v>
      </c>
      <c r="P132" s="6">
        <f t="shared" ca="1" si="36"/>
        <v>93996.724938007552</v>
      </c>
      <c r="Q132" s="6">
        <f t="shared" si="37"/>
        <v>13950951.305648537</v>
      </c>
      <c r="R132" s="6">
        <f t="shared" si="40"/>
        <v>4805277.092758527</v>
      </c>
      <c r="S132" s="6">
        <f t="shared" si="41"/>
        <v>0</v>
      </c>
      <c r="T132" s="6">
        <f t="shared" si="42"/>
        <v>1139330.72171186</v>
      </c>
      <c r="U132" s="6">
        <f t="shared" ca="1" si="38"/>
        <v>16659631.654991224</v>
      </c>
    </row>
    <row r="133" spans="1:21">
      <c r="A133" s="197">
        <v>45627</v>
      </c>
      <c r="B133">
        <f t="shared" si="32"/>
        <v>12</v>
      </c>
      <c r="C133">
        <f t="shared" si="33"/>
        <v>2024</v>
      </c>
      <c r="D133" s="6"/>
      <c r="G133" s="7">
        <f t="shared" ca="1" si="43"/>
        <v>471.77</v>
      </c>
      <c r="H133" s="7">
        <f t="shared" ca="1" si="43"/>
        <v>8.0000000000000071E-2</v>
      </c>
      <c r="I133" s="6">
        <f>'Economic Data'!Q159</f>
        <v>857203.38906399999</v>
      </c>
      <c r="J133">
        <v>20</v>
      </c>
      <c r="K133">
        <f t="shared" si="34"/>
        <v>0</v>
      </c>
      <c r="L133">
        <f t="shared" si="34"/>
        <v>0</v>
      </c>
      <c r="N133" s="6">
        <f t="shared" si="35"/>
        <v>-4689965.23186938</v>
      </c>
      <c r="O133" s="6">
        <f t="shared" ca="1" si="39"/>
        <v>1862212.564240555</v>
      </c>
      <c r="P133" s="6">
        <f t="shared" ca="1" si="36"/>
        <v>1220.7366875065932</v>
      </c>
      <c r="Q133" s="6">
        <f t="shared" si="37"/>
        <v>13950951.305648537</v>
      </c>
      <c r="R133" s="6">
        <f t="shared" si="40"/>
        <v>4576454.3740557404</v>
      </c>
      <c r="S133" s="6">
        <f t="shared" si="41"/>
        <v>0</v>
      </c>
      <c r="T133" s="6">
        <f t="shared" si="42"/>
        <v>0</v>
      </c>
      <c r="U133" s="6">
        <f t="shared" ca="1" si="38"/>
        <v>15700873.748762958</v>
      </c>
    </row>
    <row r="134" spans="1:21">
      <c r="A134" s="197">
        <v>45658</v>
      </c>
      <c r="B134">
        <f t="shared" ref="B134:B145" si="44">MONTH(A134)</f>
        <v>1</v>
      </c>
      <c r="C134">
        <f t="shared" ref="C134:C145" si="45">YEAR(A134)</f>
        <v>2025</v>
      </c>
      <c r="D134" s="6"/>
      <c r="G134" s="7">
        <f t="shared" ca="1" si="43"/>
        <v>608.99999999999989</v>
      </c>
      <c r="H134" s="7">
        <f t="shared" ca="1" si="43"/>
        <v>0</v>
      </c>
      <c r="I134" s="6">
        <f>'Economic Data'!Q160</f>
        <v>871472.54587899998</v>
      </c>
      <c r="J134">
        <v>22</v>
      </c>
      <c r="K134">
        <f t="shared" si="34"/>
        <v>0</v>
      </c>
      <c r="L134">
        <f t="shared" si="34"/>
        <v>0</v>
      </c>
      <c r="N134" s="6">
        <f t="shared" si="35"/>
        <v>-4689965.23186938</v>
      </c>
      <c r="O134" s="6">
        <f t="shared" ca="1" si="39"/>
        <v>2403899.0432255077</v>
      </c>
      <c r="P134" s="6">
        <f t="shared" ca="1" si="36"/>
        <v>0</v>
      </c>
      <c r="Q134" s="6">
        <f t="shared" ref="Q134:Q145" si="46">I134*$X$12</f>
        <v>14183181.269316897</v>
      </c>
      <c r="R134" s="6">
        <f t="shared" si="40"/>
        <v>5034099.8114613146</v>
      </c>
      <c r="S134" s="6">
        <f t="shared" si="41"/>
        <v>0</v>
      </c>
      <c r="T134" s="6">
        <f t="shared" si="42"/>
        <v>0</v>
      </c>
      <c r="U134" s="6">
        <f t="shared" ca="1" si="38"/>
        <v>16931214.892134339</v>
      </c>
    </row>
    <row r="135" spans="1:21">
      <c r="A135" s="197">
        <v>45689</v>
      </c>
      <c r="B135">
        <f t="shared" si="44"/>
        <v>2</v>
      </c>
      <c r="C135">
        <f t="shared" si="45"/>
        <v>2025</v>
      </c>
      <c r="D135" s="6"/>
      <c r="G135" s="7">
        <f t="shared" ca="1" si="43"/>
        <v>539.11355229914102</v>
      </c>
      <c r="H135" s="7">
        <f t="shared" ca="1" si="43"/>
        <v>0.1</v>
      </c>
      <c r="I135" s="6">
        <f>'Economic Data'!Q161</f>
        <v>871472.54587899998</v>
      </c>
      <c r="J135">
        <v>19</v>
      </c>
      <c r="K135">
        <f t="shared" si="34"/>
        <v>0</v>
      </c>
      <c r="L135">
        <f t="shared" si="34"/>
        <v>0</v>
      </c>
      <c r="N135" s="6">
        <f t="shared" si="35"/>
        <v>-4689965.23186938</v>
      </c>
      <c r="O135" s="6">
        <f t="shared" ca="1" si="39"/>
        <v>2128037.0321211987</v>
      </c>
      <c r="P135" s="6">
        <f t="shared" ca="1" si="36"/>
        <v>1525.92085938324</v>
      </c>
      <c r="Q135" s="6">
        <f t="shared" si="46"/>
        <v>14183181.269316897</v>
      </c>
      <c r="R135" s="6">
        <f t="shared" si="40"/>
        <v>4347631.6553529529</v>
      </c>
      <c r="S135" s="6">
        <f t="shared" si="41"/>
        <v>0</v>
      </c>
      <c r="T135" s="6">
        <f t="shared" si="42"/>
        <v>0</v>
      </c>
      <c r="U135" s="6">
        <f t="shared" ca="1" si="38"/>
        <v>15970410.645781051</v>
      </c>
    </row>
    <row r="136" spans="1:21">
      <c r="A136" s="197">
        <v>45717</v>
      </c>
      <c r="B136">
        <f t="shared" si="44"/>
        <v>3</v>
      </c>
      <c r="C136">
        <f t="shared" si="45"/>
        <v>2025</v>
      </c>
      <c r="D136" s="6"/>
      <c r="G136" s="7">
        <f t="shared" ca="1" si="43"/>
        <v>434.46355229914104</v>
      </c>
      <c r="H136" s="7">
        <f t="shared" ca="1" si="43"/>
        <v>1.2599999999999998</v>
      </c>
      <c r="I136" s="6">
        <f>'Economic Data'!Q162</f>
        <v>871472.54587899998</v>
      </c>
      <c r="J136">
        <v>21</v>
      </c>
      <c r="K136">
        <f t="shared" si="34"/>
        <v>0</v>
      </c>
      <c r="L136">
        <f t="shared" si="34"/>
        <v>0</v>
      </c>
      <c r="N136" s="6">
        <f t="shared" si="35"/>
        <v>-4689965.23186938</v>
      </c>
      <c r="O136" s="6">
        <f t="shared" ca="1" si="39"/>
        <v>1714953.2310152063</v>
      </c>
      <c r="P136" s="6">
        <f t="shared" ca="1" si="36"/>
        <v>19226.602828228821</v>
      </c>
      <c r="Q136" s="6">
        <f t="shared" si="46"/>
        <v>14183181.269316897</v>
      </c>
      <c r="R136" s="6">
        <f t="shared" si="40"/>
        <v>4805277.092758527</v>
      </c>
      <c r="S136" s="6">
        <f t="shared" si="41"/>
        <v>0</v>
      </c>
      <c r="T136" s="6">
        <f t="shared" si="42"/>
        <v>0</v>
      </c>
      <c r="U136" s="6">
        <f t="shared" ca="1" si="38"/>
        <v>16032672.964049479</v>
      </c>
    </row>
    <row r="137" spans="1:21">
      <c r="A137" s="197">
        <v>45748</v>
      </c>
      <c r="B137">
        <f t="shared" si="44"/>
        <v>4</v>
      </c>
      <c r="C137">
        <f t="shared" si="45"/>
        <v>2025</v>
      </c>
      <c r="D137" s="6"/>
      <c r="G137" s="7">
        <f t="shared" ca="1" si="43"/>
        <v>238.61000000000004</v>
      </c>
      <c r="H137" s="7">
        <f t="shared" ca="1" si="43"/>
        <v>18.349999999999998</v>
      </c>
      <c r="I137" s="6">
        <f>'Economic Data'!Q163</f>
        <v>875284.39707800001</v>
      </c>
      <c r="J137">
        <v>21</v>
      </c>
      <c r="K137">
        <f t="shared" si="34"/>
        <v>0</v>
      </c>
      <c r="L137">
        <f t="shared" si="34"/>
        <v>0</v>
      </c>
      <c r="N137" s="6">
        <f t="shared" si="35"/>
        <v>-4689965.23186938</v>
      </c>
      <c r="O137" s="6">
        <f t="shared" ca="1" si="39"/>
        <v>941862.64483421773</v>
      </c>
      <c r="P137" s="6">
        <f t="shared" ca="1" si="36"/>
        <v>280006.47769682453</v>
      </c>
      <c r="Q137" s="6">
        <f t="shared" si="46"/>
        <v>14245218.997048812</v>
      </c>
      <c r="R137" s="6">
        <f t="shared" si="40"/>
        <v>4805277.092758527</v>
      </c>
      <c r="S137" s="6">
        <f t="shared" si="41"/>
        <v>0</v>
      </c>
      <c r="T137" s="6">
        <f t="shared" si="42"/>
        <v>0</v>
      </c>
      <c r="U137" s="6">
        <f t="shared" ca="1" si="38"/>
        <v>15582399.980469001</v>
      </c>
    </row>
    <row r="138" spans="1:21">
      <c r="A138" s="197">
        <v>45778</v>
      </c>
      <c r="B138">
        <f t="shared" si="44"/>
        <v>5</v>
      </c>
      <c r="C138">
        <f t="shared" si="45"/>
        <v>2025</v>
      </c>
      <c r="D138" s="6"/>
      <c r="G138" s="7">
        <f t="shared" ca="1" si="43"/>
        <v>77.693552299140975</v>
      </c>
      <c r="H138" s="7">
        <f t="shared" ca="1" si="43"/>
        <v>124.82289540171806</v>
      </c>
      <c r="I138" s="6">
        <f>'Economic Data'!Q164</f>
        <v>875284.39707800001</v>
      </c>
      <c r="J138">
        <v>21</v>
      </c>
      <c r="K138">
        <f t="shared" si="34"/>
        <v>0</v>
      </c>
      <c r="L138">
        <f t="shared" si="34"/>
        <v>0</v>
      </c>
      <c r="N138" s="6">
        <f t="shared" si="35"/>
        <v>-4689965.23186938</v>
      </c>
      <c r="O138" s="6">
        <f t="shared" ca="1" si="39"/>
        <v>306678.90974826925</v>
      </c>
      <c r="P138" s="6">
        <f t="shared" ca="1" si="36"/>
        <v>1904698.5982209388</v>
      </c>
      <c r="Q138" s="6">
        <f t="shared" si="46"/>
        <v>14245218.997048812</v>
      </c>
      <c r="R138" s="6">
        <f t="shared" si="40"/>
        <v>4805277.092758527</v>
      </c>
      <c r="S138" s="6">
        <f t="shared" si="41"/>
        <v>0</v>
      </c>
      <c r="T138" s="6">
        <f t="shared" si="42"/>
        <v>0</v>
      </c>
      <c r="U138" s="6">
        <f t="shared" ca="1" si="38"/>
        <v>16571908.365907168</v>
      </c>
    </row>
    <row r="139" spans="1:21">
      <c r="A139" s="197">
        <v>45809</v>
      </c>
      <c r="B139">
        <f t="shared" si="44"/>
        <v>6</v>
      </c>
      <c r="C139">
        <f t="shared" si="45"/>
        <v>2025</v>
      </c>
      <c r="D139" s="6"/>
      <c r="G139" s="7">
        <f t="shared" ca="1" si="43"/>
        <v>2.8535522991409801</v>
      </c>
      <c r="H139" s="7">
        <f t="shared" ca="1" si="43"/>
        <v>262.25644770085898</v>
      </c>
      <c r="I139" s="6">
        <f>'Economic Data'!Q165</f>
        <v>875284.39707800001</v>
      </c>
      <c r="J139">
        <v>21</v>
      </c>
      <c r="K139">
        <f t="shared" si="34"/>
        <v>0</v>
      </c>
      <c r="L139">
        <f t="shared" si="34"/>
        <v>0</v>
      </c>
      <c r="N139" s="6">
        <f t="shared" si="35"/>
        <v>-4689965.23186938</v>
      </c>
      <c r="O139" s="6">
        <f t="shared" ca="1" si="39"/>
        <v>11263.79579917726</v>
      </c>
      <c r="P139" s="6">
        <f t="shared" ca="1" si="36"/>
        <v>4001825.8405449046</v>
      </c>
      <c r="Q139" s="6">
        <f t="shared" si="46"/>
        <v>14245218.997048812</v>
      </c>
      <c r="R139" s="6">
        <f t="shared" si="40"/>
        <v>4805277.092758527</v>
      </c>
      <c r="S139" s="6">
        <f t="shared" si="41"/>
        <v>0</v>
      </c>
      <c r="T139" s="6">
        <f t="shared" si="42"/>
        <v>0</v>
      </c>
      <c r="U139" s="6">
        <f t="shared" ca="1" si="38"/>
        <v>18373620.494282041</v>
      </c>
    </row>
    <row r="140" spans="1:21">
      <c r="A140" s="197">
        <v>45839</v>
      </c>
      <c r="B140">
        <f t="shared" si="44"/>
        <v>7</v>
      </c>
      <c r="C140">
        <f t="shared" si="45"/>
        <v>2025</v>
      </c>
      <c r="D140" s="6"/>
      <c r="G140" s="7">
        <f t="shared" ca="1" si="43"/>
        <v>1.9999999999999928E-2</v>
      </c>
      <c r="H140" s="7">
        <f t="shared" ca="1" si="43"/>
        <v>335.21289540171807</v>
      </c>
      <c r="I140" s="6">
        <f>'Economic Data'!Q166</f>
        <v>875328.54186699993</v>
      </c>
      <c r="J140">
        <v>22</v>
      </c>
      <c r="K140">
        <f t="shared" si="34"/>
        <v>0</v>
      </c>
      <c r="L140">
        <f t="shared" si="34"/>
        <v>0</v>
      </c>
      <c r="N140" s="6">
        <f t="shared" si="35"/>
        <v>-4689965.23186938</v>
      </c>
      <c r="O140" s="6">
        <f t="shared" ca="1" si="39"/>
        <v>78.945781386715908</v>
      </c>
      <c r="P140" s="6">
        <f t="shared" ca="1" si="36"/>
        <v>5115083.4942773376</v>
      </c>
      <c r="Q140" s="6">
        <f t="shared" si="46"/>
        <v>14245937.451746488</v>
      </c>
      <c r="R140" s="6">
        <f t="shared" si="40"/>
        <v>5034099.8114613146</v>
      </c>
      <c r="S140" s="6">
        <f t="shared" si="41"/>
        <v>0</v>
      </c>
      <c r="T140" s="6">
        <f t="shared" si="42"/>
        <v>0</v>
      </c>
      <c r="U140" s="6">
        <f t="shared" ca="1" si="38"/>
        <v>19705234.471397147</v>
      </c>
    </row>
    <row r="141" spans="1:21">
      <c r="A141" s="197">
        <v>45870</v>
      </c>
      <c r="B141">
        <f t="shared" si="44"/>
        <v>8</v>
      </c>
      <c r="C141">
        <f t="shared" si="45"/>
        <v>2025</v>
      </c>
      <c r="D141" s="6"/>
      <c r="G141" s="7">
        <f t="shared" ca="1" si="43"/>
        <v>0.49999999999999983</v>
      </c>
      <c r="H141" s="7">
        <f t="shared" ca="1" si="43"/>
        <v>307.37605861546228</v>
      </c>
      <c r="I141" s="6">
        <f>'Economic Data'!Q167</f>
        <v>875328.54186699993</v>
      </c>
      <c r="J141">
        <v>20</v>
      </c>
      <c r="K141">
        <f t="shared" si="34"/>
        <v>0</v>
      </c>
      <c r="L141">
        <f t="shared" si="34"/>
        <v>0</v>
      </c>
      <c r="N141" s="6">
        <f t="shared" si="35"/>
        <v>-4689965.23186938</v>
      </c>
      <c r="O141" s="6">
        <f t="shared" ca="1" si="39"/>
        <v>1973.6445346679043</v>
      </c>
      <c r="P141" s="6">
        <f t="shared" ca="1" si="36"/>
        <v>4690315.3951633936</v>
      </c>
      <c r="Q141" s="6">
        <f t="shared" si="46"/>
        <v>14245937.451746488</v>
      </c>
      <c r="R141" s="6">
        <f t="shared" si="40"/>
        <v>4576454.3740557404</v>
      </c>
      <c r="S141" s="6">
        <f t="shared" si="41"/>
        <v>0</v>
      </c>
      <c r="T141" s="6">
        <f t="shared" si="42"/>
        <v>0</v>
      </c>
      <c r="U141" s="6">
        <f t="shared" ca="1" si="38"/>
        <v>18824715.633630909</v>
      </c>
    </row>
    <row r="142" spans="1:21">
      <c r="A142" s="197">
        <v>45901</v>
      </c>
      <c r="B142">
        <f t="shared" si="44"/>
        <v>9</v>
      </c>
      <c r="C142">
        <f t="shared" si="45"/>
        <v>2025</v>
      </c>
      <c r="D142" s="6"/>
      <c r="G142" s="7">
        <f t="shared" ca="1" si="43"/>
        <v>17.56355229914098</v>
      </c>
      <c r="H142" s="7">
        <f t="shared" ca="1" si="43"/>
        <v>194.39579080343606</v>
      </c>
      <c r="I142" s="6">
        <f>'Economic Data'!Q168</f>
        <v>875328.54186699993</v>
      </c>
      <c r="J142">
        <v>21</v>
      </c>
      <c r="K142">
        <f t="shared" si="34"/>
        <v>1</v>
      </c>
      <c r="L142">
        <f t="shared" si="34"/>
        <v>0</v>
      </c>
      <c r="N142" s="6">
        <f t="shared" si="35"/>
        <v>-4689965.23186938</v>
      </c>
      <c r="O142" s="6">
        <f t="shared" ca="1" si="39"/>
        <v>69328.41800910703</v>
      </c>
      <c r="P142" s="6">
        <f t="shared" ca="1" si="36"/>
        <v>2966325.9216326368</v>
      </c>
      <c r="Q142" s="6">
        <f t="shared" si="46"/>
        <v>14245937.451746488</v>
      </c>
      <c r="R142" s="6">
        <f t="shared" si="40"/>
        <v>4805277.092758527</v>
      </c>
      <c r="S142" s="6">
        <f t="shared" si="41"/>
        <v>1564224.56108409</v>
      </c>
      <c r="T142" s="6">
        <f t="shared" si="42"/>
        <v>0</v>
      </c>
      <c r="U142" s="6">
        <f t="shared" ca="1" si="38"/>
        <v>18961128.213361472</v>
      </c>
    </row>
    <row r="143" spans="1:21">
      <c r="A143" s="197">
        <v>45931</v>
      </c>
      <c r="B143">
        <f t="shared" si="44"/>
        <v>10</v>
      </c>
      <c r="C143">
        <f t="shared" si="45"/>
        <v>2025</v>
      </c>
      <c r="D143" s="6"/>
      <c r="G143" s="7">
        <f t="shared" ca="1" si="43"/>
        <v>143.81420919656392</v>
      </c>
      <c r="H143" s="7">
        <f t="shared" ca="1" si="43"/>
        <v>62.822895401718029</v>
      </c>
      <c r="I143" s="6">
        <f>'Economic Data'!Q169</f>
        <v>874776.05853981199</v>
      </c>
      <c r="J143">
        <v>22</v>
      </c>
      <c r="K143">
        <f t="shared" si="34"/>
        <v>0</v>
      </c>
      <c r="L143">
        <f t="shared" si="34"/>
        <v>1</v>
      </c>
      <c r="N143" s="6">
        <f t="shared" si="35"/>
        <v>-4689965.23186938</v>
      </c>
      <c r="O143" s="6">
        <f t="shared" ca="1" si="39"/>
        <v>567676.25597677031</v>
      </c>
      <c r="P143" s="6">
        <f t="shared" ca="1" si="36"/>
        <v>958627.66540332965</v>
      </c>
      <c r="Q143" s="6">
        <f t="shared" si="46"/>
        <v>14236945.807414332</v>
      </c>
      <c r="R143" s="6">
        <f t="shared" si="40"/>
        <v>5034099.8114613146</v>
      </c>
      <c r="S143" s="6">
        <f t="shared" si="41"/>
        <v>0</v>
      </c>
      <c r="T143" s="6">
        <f t="shared" si="42"/>
        <v>1139330.72171186</v>
      </c>
      <c r="U143" s="6">
        <f t="shared" ca="1" si="38"/>
        <v>17246715.030098226</v>
      </c>
    </row>
    <row r="144" spans="1:21">
      <c r="A144" s="197">
        <v>45962</v>
      </c>
      <c r="B144">
        <f t="shared" si="44"/>
        <v>11</v>
      </c>
      <c r="C144">
        <f t="shared" si="45"/>
        <v>2025</v>
      </c>
      <c r="D144" s="6"/>
      <c r="G144" s="7">
        <f t="shared" ca="1" si="43"/>
        <v>344.55065689742298</v>
      </c>
      <c r="H144" s="7">
        <f t="shared" ca="1" si="43"/>
        <v>6.1599999999999984</v>
      </c>
      <c r="I144" s="6">
        <f>'Economic Data'!Q170</f>
        <v>874776.05853981199</v>
      </c>
      <c r="J144">
        <v>20</v>
      </c>
      <c r="K144">
        <f t="shared" si="34"/>
        <v>0</v>
      </c>
      <c r="L144">
        <f t="shared" si="34"/>
        <v>1</v>
      </c>
      <c r="N144" s="6">
        <f t="shared" si="35"/>
        <v>-4689965.23186938</v>
      </c>
      <c r="O144" s="6">
        <f t="shared" ca="1" si="39"/>
        <v>1360041.0418036708</v>
      </c>
      <c r="P144" s="6">
        <f t="shared" ca="1" si="36"/>
        <v>93996.724938007552</v>
      </c>
      <c r="Q144" s="6">
        <f t="shared" si="46"/>
        <v>14236945.807414332</v>
      </c>
      <c r="R144" s="6">
        <f t="shared" si="40"/>
        <v>4576454.3740557404</v>
      </c>
      <c r="S144" s="6">
        <f t="shared" si="41"/>
        <v>0</v>
      </c>
      <c r="T144" s="6">
        <f t="shared" si="42"/>
        <v>1139330.72171186</v>
      </c>
      <c r="U144" s="6">
        <f t="shared" ca="1" si="38"/>
        <v>16716803.43805423</v>
      </c>
    </row>
    <row r="145" spans="1:21">
      <c r="A145" s="197">
        <v>45992</v>
      </c>
      <c r="B145">
        <f t="shared" si="44"/>
        <v>12</v>
      </c>
      <c r="C145">
        <f t="shared" si="45"/>
        <v>2025</v>
      </c>
      <c r="D145" s="6"/>
      <c r="G145" s="7">
        <f t="shared" ca="1" si="43"/>
        <v>471.77</v>
      </c>
      <c r="H145" s="7">
        <f t="shared" ca="1" si="43"/>
        <v>8.0000000000000071E-2</v>
      </c>
      <c r="I145" s="6">
        <f>'Economic Data'!Q171</f>
        <v>874776.05853981199</v>
      </c>
      <c r="J145">
        <v>21</v>
      </c>
      <c r="K145">
        <f t="shared" si="34"/>
        <v>0</v>
      </c>
      <c r="L145">
        <f t="shared" si="34"/>
        <v>0</v>
      </c>
      <c r="N145" s="6">
        <f t="shared" si="35"/>
        <v>-4689965.23186938</v>
      </c>
      <c r="O145" s="6">
        <f t="shared" ca="1" si="39"/>
        <v>1862212.564240555</v>
      </c>
      <c r="P145" s="6">
        <f t="shared" ca="1" si="36"/>
        <v>1220.7366875065932</v>
      </c>
      <c r="Q145" s="6">
        <f t="shared" si="46"/>
        <v>14236945.807414332</v>
      </c>
      <c r="R145" s="6">
        <f t="shared" si="40"/>
        <v>4805277.092758527</v>
      </c>
      <c r="S145" s="6">
        <f t="shared" si="41"/>
        <v>0</v>
      </c>
      <c r="T145" s="6">
        <f t="shared" si="42"/>
        <v>0</v>
      </c>
      <c r="U145" s="6">
        <f t="shared" ca="1" si="38"/>
        <v>16215690.96923154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5D7C4-8753-43FE-980B-FC3C79185D19}">
  <sheetPr codeName="Sheet29">
    <tabColor theme="9" tint="0.79998168889431442"/>
  </sheetPr>
  <dimension ref="A1:AC145"/>
  <sheetViews>
    <sheetView topLeftCell="J1" zoomScaleNormal="100" workbookViewId="0">
      <selection activeCell="T4" sqref="T4:X23"/>
    </sheetView>
  </sheetViews>
  <sheetFormatPr defaultRowHeight="14.45"/>
  <cols>
    <col min="1" max="1" width="12.28515625" customWidth="1"/>
    <col min="4" max="4" width="16.85546875" customWidth="1"/>
    <col min="10" max="10" width="11.85546875" customWidth="1"/>
    <col min="11" max="11" width="10.140625" bestFit="1" customWidth="1"/>
    <col min="12" max="12" width="11.28515625" bestFit="1" customWidth="1"/>
    <col min="13" max="13" width="11.5703125" bestFit="1" customWidth="1"/>
    <col min="14" max="15" width="11.5703125" customWidth="1"/>
    <col min="16" max="16" width="10.5703125" bestFit="1" customWidth="1"/>
    <col min="17" max="17" width="11.5703125" bestFit="1" customWidth="1"/>
    <col min="18" max="18" width="12.28515625" bestFit="1" customWidth="1"/>
    <col min="19" max="19" width="13.42578125" bestFit="1" customWidth="1"/>
    <col min="20" max="20" width="13.28515625" customWidth="1"/>
    <col min="21" max="21" width="14.28515625" bestFit="1" customWidth="1"/>
    <col min="23" max="23" width="11.28515625" bestFit="1" customWidth="1"/>
    <col min="25" max="25" width="12.42578125" customWidth="1"/>
    <col min="26" max="26" width="10.710937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(14-23) Used'!X1</f>
        <v>EDkWh</v>
      </c>
      <c r="E1" t="str">
        <f>'Monthly Data (14-23) Used'!AG1</f>
        <v>HDD14</v>
      </c>
      <c r="F1" t="str">
        <f>'Monthly Data (14-23) Used'!AF1</f>
        <v>CDD16</v>
      </c>
      <c r="G1" t="str">
        <f>'ED Normalized Monthly'!E1</f>
        <v>HDD14</v>
      </c>
      <c r="H1" t="str">
        <f>'ED Normalized Monthly'!F1</f>
        <v>CDD16</v>
      </c>
      <c r="I1" t="str">
        <f>'Monthly Data (14-23) Used'!BZ1</f>
        <v>Fall</v>
      </c>
      <c r="J1" t="str">
        <f>'Monthly Data (14-23) Used'!AR1</f>
        <v>Adj.Windsor_FTE</v>
      </c>
      <c r="L1" t="s">
        <v>221</v>
      </c>
      <c r="M1" t="str">
        <f>G1</f>
        <v>HDD14</v>
      </c>
      <c r="N1" t="str">
        <f>H1</f>
        <v>CDD16</v>
      </c>
      <c r="O1" t="str">
        <f>I1</f>
        <v>Fall</v>
      </c>
      <c r="P1" t="str">
        <f>J1</f>
        <v>Adj.Windsor_FTE</v>
      </c>
      <c r="Q1" t="s">
        <v>242</v>
      </c>
    </row>
    <row r="2" spans="1:29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Used'!X2</f>
        <v>3490024</v>
      </c>
      <c r="E2">
        <f>'Monthly Data (14-23) Used'!AG2</f>
        <v>685.69999999999982</v>
      </c>
      <c r="F2">
        <f>'Monthly Data (14-23) Used'!AF2</f>
        <v>0</v>
      </c>
      <c r="G2" s="289">
        <f ca="1">'Weather Data'!BP38</f>
        <v>546.99999999999989</v>
      </c>
      <c r="H2" s="289">
        <f ca="1">'Weather Data'!BC38</f>
        <v>0</v>
      </c>
      <c r="I2">
        <f>'Monthly Data (14-23) Used'!BZ2</f>
        <v>0</v>
      </c>
      <c r="J2">
        <f>'Monthly Data (14-23) Used'!AR2</f>
        <v>158.80000000000001</v>
      </c>
      <c r="L2" s="6"/>
      <c r="M2" s="6">
        <f t="shared" ref="M2:M33" ca="1" si="2">(G2-E2)*$U$10</f>
        <v>-124649.20396935499</v>
      </c>
      <c r="N2" s="6">
        <f t="shared" ref="N2:N33" ca="1" si="3">(H2-F2)*$U$11</f>
        <v>0</v>
      </c>
      <c r="O2" s="6"/>
      <c r="P2" s="6"/>
      <c r="Q2" s="6">
        <f t="shared" ref="Q2:Q33" ca="1" si="4">SUM(D2,L2:P2)</f>
        <v>3365374.7960306448</v>
      </c>
    </row>
    <row r="3" spans="1:29">
      <c r="A3" s="197">
        <v>41671</v>
      </c>
      <c r="B3">
        <f t="shared" si="0"/>
        <v>2</v>
      </c>
      <c r="C3">
        <f t="shared" si="1"/>
        <v>2014</v>
      </c>
      <c r="D3" s="6">
        <f>'Monthly Data (14-23) Used'!X3</f>
        <v>3101238</v>
      </c>
      <c r="E3">
        <f>'Monthly Data (14-23) Used'!AG3</f>
        <v>593.1</v>
      </c>
      <c r="F3">
        <f>'Monthly Data (14-23) Used'!AF3</f>
        <v>0</v>
      </c>
      <c r="G3" s="289">
        <f ca="1">'Weather Data'!BP39</f>
        <v>482.71355229914104</v>
      </c>
      <c r="H3" s="289">
        <f ca="1">'Weather Data'!BC39</f>
        <v>0</v>
      </c>
      <c r="I3">
        <f>'Monthly Data (14-23) Used'!BZ3</f>
        <v>0</v>
      </c>
      <c r="J3">
        <f>'Monthly Data (14-23) Used'!AR3</f>
        <v>156.6</v>
      </c>
      <c r="L3" s="6"/>
      <c r="M3" s="6">
        <f t="shared" ca="1" si="2"/>
        <v>-99203.913734080139</v>
      </c>
      <c r="N3" s="6">
        <f t="shared" ca="1" si="3"/>
        <v>0</v>
      </c>
      <c r="O3" s="6"/>
      <c r="P3" s="6"/>
      <c r="Q3" s="6">
        <f t="shared" ca="1" si="4"/>
        <v>3002034.0862659197</v>
      </c>
    </row>
    <row r="4" spans="1:29">
      <c r="A4" s="197">
        <v>41699</v>
      </c>
      <c r="B4">
        <f t="shared" si="0"/>
        <v>3</v>
      </c>
      <c r="C4">
        <f t="shared" si="1"/>
        <v>2014</v>
      </c>
      <c r="D4" s="6">
        <f>'Monthly Data (14-23) Used'!X4</f>
        <v>3182338</v>
      </c>
      <c r="E4">
        <f>'Monthly Data (14-23) Used'!AG4</f>
        <v>513.10000000000014</v>
      </c>
      <c r="F4">
        <f>'Monthly Data (14-23) Used'!AF4</f>
        <v>0</v>
      </c>
      <c r="G4" s="289">
        <f ca="1">'Weather Data'!BP40</f>
        <v>372.63355229914106</v>
      </c>
      <c r="H4" s="289">
        <f ca="1">'Weather Data'!BC40</f>
        <v>0</v>
      </c>
      <c r="I4">
        <f>'Monthly Data (14-23) Used'!BZ4</f>
        <v>0</v>
      </c>
      <c r="J4">
        <f>'Monthly Data (14-23) Used'!AR4</f>
        <v>154.80000000000001</v>
      </c>
      <c r="L4" s="6"/>
      <c r="M4" s="6">
        <f t="shared" ca="1" si="2"/>
        <v>-126236.7043281552</v>
      </c>
      <c r="N4" s="6">
        <f t="shared" ca="1" si="3"/>
        <v>0</v>
      </c>
      <c r="O4" s="6"/>
      <c r="P4" s="6"/>
      <c r="Q4" s="6">
        <f t="shared" ca="1" si="4"/>
        <v>3056101.2956718449</v>
      </c>
      <c r="T4" t="s">
        <v>258</v>
      </c>
    </row>
    <row r="5" spans="1:29">
      <c r="A5" s="197">
        <v>41730</v>
      </c>
      <c r="B5">
        <f t="shared" si="0"/>
        <v>4</v>
      </c>
      <c r="C5">
        <f t="shared" si="1"/>
        <v>2014</v>
      </c>
      <c r="D5" s="6">
        <f>'Monthly Data (14-23) Used'!X5</f>
        <v>2976481</v>
      </c>
      <c r="E5">
        <f>'Monthly Data (14-23) Used'!AG5</f>
        <v>167.99999999999997</v>
      </c>
      <c r="F5">
        <f>'Monthly Data (14-23) Used'!AF5</f>
        <v>0.30000000000000071</v>
      </c>
      <c r="G5" s="289">
        <f ca="1">'Weather Data'!BP41</f>
        <v>184.31</v>
      </c>
      <c r="H5" s="289">
        <f ca="1">'Weather Data'!BC41</f>
        <v>3.0799999999999996</v>
      </c>
      <c r="I5">
        <f>'Monthly Data (14-23) Used'!BZ5</f>
        <v>0</v>
      </c>
      <c r="J5">
        <f>'Monthly Data (14-23) Used'!AR5</f>
        <v>152.80000000000001</v>
      </c>
      <c r="L5" s="6"/>
      <c r="M5" s="6">
        <f t="shared" ca="1" si="2"/>
        <v>14657.739846720871</v>
      </c>
      <c r="N5" s="6">
        <f t="shared" ca="1" si="3"/>
        <v>10329.179475019015</v>
      </c>
      <c r="O5" s="6"/>
      <c r="P5" s="6"/>
      <c r="Q5" s="6">
        <f t="shared" ca="1" si="4"/>
        <v>3001467.91932174</v>
      </c>
      <c r="T5" t="s">
        <v>259</v>
      </c>
    </row>
    <row r="6" spans="1:29">
      <c r="A6" s="197">
        <v>41760</v>
      </c>
      <c r="B6">
        <f t="shared" si="0"/>
        <v>5</v>
      </c>
      <c r="C6">
        <f t="shared" si="1"/>
        <v>2014</v>
      </c>
      <c r="D6" s="6">
        <f>'Monthly Data (14-23) Used'!X6</f>
        <v>3042348</v>
      </c>
      <c r="E6">
        <f>'Monthly Data (14-23) Used'!AG6</f>
        <v>41.5</v>
      </c>
      <c r="F6">
        <f>'Monthly Data (14-23) Used'!AF6</f>
        <v>53.099999999999994</v>
      </c>
      <c r="G6" s="289">
        <f ca="1">'Weather Data'!BP42</f>
        <v>47.083552299140976</v>
      </c>
      <c r="H6" s="289">
        <f ca="1">'Weather Data'!BC42</f>
        <v>53.286447700859014</v>
      </c>
      <c r="I6">
        <f>'Monthly Data (14-23) Used'!BZ6</f>
        <v>0</v>
      </c>
      <c r="J6">
        <f>'Monthly Data (14-23) Used'!AR6</f>
        <v>152.30000000000001</v>
      </c>
      <c r="L6" s="6"/>
      <c r="M6" s="6">
        <f t="shared" ca="1" si="2"/>
        <v>5017.9188854303165</v>
      </c>
      <c r="N6" s="6">
        <f t="shared" ca="1" si="3"/>
        <v>692.75243340916359</v>
      </c>
      <c r="O6" s="6"/>
      <c r="P6" s="6"/>
      <c r="Q6" s="6">
        <f t="shared" ca="1" si="4"/>
        <v>3048058.6713188393</v>
      </c>
      <c r="T6" t="s">
        <v>260</v>
      </c>
    </row>
    <row r="7" spans="1:29">
      <c r="A7" s="197">
        <v>41791</v>
      </c>
      <c r="B7">
        <f t="shared" si="0"/>
        <v>6</v>
      </c>
      <c r="C7">
        <f t="shared" si="1"/>
        <v>2014</v>
      </c>
      <c r="D7" s="6">
        <f>'Monthly Data (14-23) Used'!X7</f>
        <v>3409531</v>
      </c>
      <c r="E7">
        <f>'Monthly Data (14-23) Used'!AG7</f>
        <v>0</v>
      </c>
      <c r="F7">
        <f>'Monthly Data (14-23) Used'!AF7</f>
        <v>160.5</v>
      </c>
      <c r="G7" s="289">
        <f ca="1">'Weather Data'!BP43</f>
        <v>0.4200000000000001</v>
      </c>
      <c r="H7" s="289">
        <f ca="1">'Weather Data'!BC43</f>
        <v>145.07</v>
      </c>
      <c r="I7">
        <f>'Monthly Data (14-23) Used'!BZ7</f>
        <v>0</v>
      </c>
      <c r="J7">
        <f>'Monthly Data (14-23) Used'!AR7</f>
        <v>150.9</v>
      </c>
      <c r="L7" s="6"/>
      <c r="M7" s="6">
        <f t="shared" ca="1" si="2"/>
        <v>377.45252824173855</v>
      </c>
      <c r="N7" s="6">
        <f t="shared" ca="1" si="3"/>
        <v>-57330.661618540835</v>
      </c>
      <c r="O7" s="6"/>
      <c r="P7" s="6"/>
      <c r="Q7" s="6">
        <f t="shared" ca="1" si="4"/>
        <v>3352577.7909097006</v>
      </c>
    </row>
    <row r="8" spans="1:29">
      <c r="A8" s="197">
        <v>41821</v>
      </c>
      <c r="B8">
        <f t="shared" si="0"/>
        <v>7</v>
      </c>
      <c r="C8">
        <f t="shared" si="1"/>
        <v>2014</v>
      </c>
      <c r="D8" s="6">
        <f>'Monthly Data (14-23) Used'!X8</f>
        <v>3573547</v>
      </c>
      <c r="E8">
        <f>'Monthly Data (14-23) Used'!AG8</f>
        <v>0</v>
      </c>
      <c r="F8">
        <f>'Monthly Data (14-23) Used'!AF8</f>
        <v>142.1</v>
      </c>
      <c r="G8" s="289">
        <f ca="1">'Weather Data'!BP44</f>
        <v>0</v>
      </c>
      <c r="H8" s="289">
        <f ca="1">'Weather Data'!BC44</f>
        <v>211.23289540171805</v>
      </c>
      <c r="I8">
        <f>'Monthly Data (14-23) Used'!BZ8</f>
        <v>0</v>
      </c>
      <c r="J8">
        <f>'Monthly Data (14-23) Used'!AR8</f>
        <v>152.4</v>
      </c>
      <c r="L8" s="6"/>
      <c r="M8" s="6">
        <f t="shared" ca="1" si="2"/>
        <v>0</v>
      </c>
      <c r="N8" s="6">
        <f t="shared" ca="1" si="3"/>
        <v>256865.49792520248</v>
      </c>
      <c r="O8" s="6"/>
      <c r="P8" s="6"/>
      <c r="Q8" s="6">
        <f t="shared" ca="1" si="4"/>
        <v>3830412.4979252024</v>
      </c>
      <c r="U8" t="s">
        <v>217</v>
      </c>
      <c r="V8" t="s">
        <v>218</v>
      </c>
      <c r="W8" t="s">
        <v>219</v>
      </c>
      <c r="X8" t="s">
        <v>220</v>
      </c>
    </row>
    <row r="9" spans="1:29">
      <c r="A9" s="197">
        <v>41852</v>
      </c>
      <c r="B9">
        <f t="shared" si="0"/>
        <v>8</v>
      </c>
      <c r="C9">
        <f t="shared" si="1"/>
        <v>2014</v>
      </c>
      <c r="D9" s="6">
        <f>'Monthly Data (14-23) Used'!X9</f>
        <v>2693259</v>
      </c>
      <c r="E9">
        <f>'Monthly Data (14-23) Used'!AG9</f>
        <v>0</v>
      </c>
      <c r="F9">
        <f>'Monthly Data (14-23) Used'!AF9</f>
        <v>154</v>
      </c>
      <c r="G9" s="289">
        <f ca="1">'Weather Data'!BP45</f>
        <v>0</v>
      </c>
      <c r="H9" s="289">
        <f ca="1">'Weather Data'!BC45</f>
        <v>183.87605861546231</v>
      </c>
      <c r="I9">
        <f>'Monthly Data (14-23) Used'!BZ9</f>
        <v>0</v>
      </c>
      <c r="J9">
        <f>'Monthly Data (14-23) Used'!AR9</f>
        <v>153.9</v>
      </c>
      <c r="L9" s="6"/>
      <c r="M9" s="6">
        <f t="shared" ca="1" si="2"/>
        <v>0</v>
      </c>
      <c r="N9" s="6">
        <f t="shared" ca="1" si="3"/>
        <v>111005.4573544239</v>
      </c>
      <c r="O9" s="6"/>
      <c r="P9" s="6"/>
      <c r="Q9" s="6">
        <f t="shared" ca="1" si="4"/>
        <v>2804264.4573544241</v>
      </c>
      <c r="T9" t="s">
        <v>221</v>
      </c>
      <c r="U9" s="6">
        <v>788660.63968622696</v>
      </c>
      <c r="V9" s="64">
        <v>686069.17124835495</v>
      </c>
      <c r="W9" s="75">
        <v>1.1495351674980501</v>
      </c>
      <c r="X9" s="192">
        <v>0.25328303444139499</v>
      </c>
      <c r="Z9" s="6"/>
      <c r="AA9" s="64"/>
      <c r="AB9" s="75"/>
      <c r="AC9" s="192"/>
    </row>
    <row r="10" spans="1:29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Used'!X10</f>
        <v>3111799</v>
      </c>
      <c r="E10">
        <f>'Monthly Data (14-23) Used'!AG10</f>
        <v>19.5</v>
      </c>
      <c r="F10">
        <f>'Monthly Data (14-23) Used'!AF10</f>
        <v>54.7</v>
      </c>
      <c r="G10" s="289">
        <f ca="1">'Weather Data'!BP46</f>
        <v>5.87</v>
      </c>
      <c r="H10" s="289">
        <f ca="1">'Weather Data'!BC46</f>
        <v>90.709343102577066</v>
      </c>
      <c r="I10">
        <f>'Monthly Data (14-23) Used'!BZ10</f>
        <v>0</v>
      </c>
      <c r="J10">
        <f>'Monthly Data (14-23) Used'!AR10</f>
        <v>157</v>
      </c>
      <c r="L10" s="6"/>
      <c r="M10" s="6">
        <f t="shared" ca="1" si="2"/>
        <v>-12249.233237940225</v>
      </c>
      <c r="N10" s="6">
        <f t="shared" ca="1" si="3"/>
        <v>133793.8732676463</v>
      </c>
      <c r="O10" s="6"/>
      <c r="P10" s="6"/>
      <c r="Q10" s="6">
        <f t="shared" ca="1" si="4"/>
        <v>3233343.6400297061</v>
      </c>
      <c r="T10" t="s">
        <v>32</v>
      </c>
      <c r="U10" s="6">
        <v>898.69649581366298</v>
      </c>
      <c r="V10" s="64">
        <v>169.291252540172</v>
      </c>
      <c r="W10" s="75">
        <v>5.3085819989453302</v>
      </c>
      <c r="X10" s="192">
        <v>7.4822858322693899E-7</v>
      </c>
      <c r="Z10" s="6"/>
      <c r="AA10" s="64"/>
      <c r="AB10" s="75"/>
      <c r="AC10" s="192"/>
    </row>
    <row r="11" spans="1:29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Used'!X11</f>
        <v>2963385</v>
      </c>
      <c r="E11">
        <f>'Monthly Data (14-23) Used'!AG11</f>
        <v>107.70000000000003</v>
      </c>
      <c r="F11">
        <f>'Monthly Data (14-23) Used'!AF11</f>
        <v>2.6999999999999993</v>
      </c>
      <c r="G11" s="289">
        <f ca="1">'Weather Data'!BP47</f>
        <v>99.500656897422942</v>
      </c>
      <c r="H11" s="289">
        <f ca="1">'Weather Data'!BC47</f>
        <v>20.479999999999997</v>
      </c>
      <c r="I11">
        <f>'Monthly Data (14-23) Used'!BZ11</f>
        <v>1</v>
      </c>
      <c r="J11">
        <f>'Monthly Data (14-23) Used'!AR11</f>
        <v>158.5</v>
      </c>
      <c r="L11" s="6"/>
      <c r="M11" s="6">
        <f t="shared" ca="1" si="2"/>
        <v>-7368.7209142599568</v>
      </c>
      <c r="N11" s="6">
        <f t="shared" ca="1" si="3"/>
        <v>66062.162253898612</v>
      </c>
      <c r="O11" s="6"/>
      <c r="P11" s="6"/>
      <c r="Q11" s="6">
        <f t="shared" ca="1" si="4"/>
        <v>3022078.4413396385</v>
      </c>
      <c r="T11" t="s">
        <v>31</v>
      </c>
      <c r="U11" s="6">
        <v>3715.5321852586399</v>
      </c>
      <c r="V11" s="64">
        <v>385.626829116284</v>
      </c>
      <c r="W11" s="75">
        <v>9.6350458648670401</v>
      </c>
      <c r="X11" s="192">
        <v>1.21031191444027E-15</v>
      </c>
      <c r="Z11" s="6"/>
      <c r="AA11" s="64"/>
      <c r="AB11" s="75"/>
      <c r="AC11" s="192"/>
    </row>
    <row r="12" spans="1:29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Used'!X12</f>
        <v>3181573</v>
      </c>
      <c r="E12">
        <f>'Monthly Data (14-23) Used'!AG12</f>
        <v>359.30000000000007</v>
      </c>
      <c r="F12">
        <f>'Monthly Data (14-23) Used'!AF12</f>
        <v>0</v>
      </c>
      <c r="G12" s="289">
        <f ca="1">'Weather Data'!BP48</f>
        <v>286.30065689742298</v>
      </c>
      <c r="H12" s="289">
        <f ca="1">'Weather Data'!BC48</f>
        <v>0.6699999999999996</v>
      </c>
      <c r="I12">
        <f>'Monthly Data (14-23) Used'!BZ12</f>
        <v>1</v>
      </c>
      <c r="J12">
        <f>'Monthly Data (14-23) Used'!AR12</f>
        <v>159.69999999999999</v>
      </c>
      <c r="L12" s="6"/>
      <c r="M12" s="6">
        <f t="shared" ca="1" si="2"/>
        <v>-65604.253842985316</v>
      </c>
      <c r="N12" s="6">
        <f t="shared" ca="1" si="3"/>
        <v>2489.4065641232874</v>
      </c>
      <c r="O12" s="6"/>
      <c r="P12" s="6"/>
      <c r="Q12" s="6">
        <f t="shared" ca="1" si="4"/>
        <v>3118458.1527211382</v>
      </c>
      <c r="T12" t="s">
        <v>77</v>
      </c>
      <c r="U12" s="6">
        <v>135311.078711176</v>
      </c>
      <c r="V12" s="64">
        <v>50967.033692320998</v>
      </c>
      <c r="W12" s="75">
        <v>2.6548745121802702</v>
      </c>
      <c r="X12" s="192">
        <v>9.3337138866790206E-3</v>
      </c>
      <c r="Z12" s="6"/>
      <c r="AA12" s="64"/>
      <c r="AB12" s="75"/>
      <c r="AC12" s="192"/>
    </row>
    <row r="13" spans="1:29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Used'!X13</f>
        <v>3333306</v>
      </c>
      <c r="E13">
        <f>'Monthly Data (14-23) Used'!AG13</f>
        <v>421.2</v>
      </c>
      <c r="F13">
        <f>'Monthly Data (14-23) Used'!AF13</f>
        <v>0</v>
      </c>
      <c r="G13" s="289">
        <f ca="1">'Weather Data'!BP49</f>
        <v>409.7700000000001</v>
      </c>
      <c r="H13" s="289">
        <f ca="1">'Weather Data'!BC49</f>
        <v>0</v>
      </c>
      <c r="I13">
        <f>'Monthly Data (14-23) Used'!BZ13</f>
        <v>0</v>
      </c>
      <c r="J13">
        <f>'Monthly Data (14-23) Used'!AR13</f>
        <v>161.4</v>
      </c>
      <c r="L13" s="6"/>
      <c r="M13" s="6">
        <f t="shared" ca="1" si="2"/>
        <v>-10272.100947150071</v>
      </c>
      <c r="N13" s="6">
        <f t="shared" ca="1" si="3"/>
        <v>0</v>
      </c>
      <c r="O13" s="6"/>
      <c r="P13" s="6"/>
      <c r="Q13" s="6">
        <f t="shared" ca="1" si="4"/>
        <v>3323033.89905285</v>
      </c>
      <c r="T13" t="s">
        <v>222</v>
      </c>
      <c r="U13" s="6">
        <v>8460.5654149567908</v>
      </c>
      <c r="V13" s="64">
        <v>4069.53676136374</v>
      </c>
      <c r="W13" s="75">
        <v>2.0789996284789898</v>
      </c>
      <c r="X13" s="192">
        <v>4.03706035778938E-2</v>
      </c>
      <c r="Z13" s="6"/>
      <c r="AA13" s="64"/>
      <c r="AB13" s="75"/>
      <c r="AC13" s="192"/>
    </row>
    <row r="14" spans="1:29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Used'!X14</f>
        <v>3747992</v>
      </c>
      <c r="E14">
        <f>'Monthly Data (14-23) Used'!AG14</f>
        <v>642.9</v>
      </c>
      <c r="F14">
        <f>'Monthly Data (14-23) Used'!AF14</f>
        <v>0</v>
      </c>
      <c r="G14" s="64">
        <f t="shared" ref="G14:H33" ca="1" si="5">G2</f>
        <v>546.99999999999989</v>
      </c>
      <c r="H14" s="64">
        <f t="shared" ca="1" si="5"/>
        <v>0</v>
      </c>
      <c r="I14">
        <f>'Monthly Data (14-23) Used'!BZ14</f>
        <v>0</v>
      </c>
      <c r="J14">
        <f>'Monthly Data (14-23) Used'!AR14</f>
        <v>162.19999999999999</v>
      </c>
      <c r="L14" s="6"/>
      <c r="M14" s="6">
        <f t="shared" ca="1" si="2"/>
        <v>-86184.993948530362</v>
      </c>
      <c r="N14" s="6">
        <f t="shared" ca="1" si="3"/>
        <v>0</v>
      </c>
      <c r="O14" s="6"/>
      <c r="P14" s="6"/>
      <c r="Q14" s="6">
        <f t="shared" ca="1" si="4"/>
        <v>3661807.0060514696</v>
      </c>
      <c r="U14" s="6"/>
      <c r="V14" s="64"/>
      <c r="W14" s="75"/>
      <c r="X14" s="192"/>
      <c r="Z14" s="6"/>
      <c r="AA14" s="64"/>
      <c r="AB14" s="75"/>
      <c r="AC14" s="192"/>
    </row>
    <row r="15" spans="1:29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Used'!X15</f>
        <v>3564671</v>
      </c>
      <c r="E15">
        <f>'Monthly Data (14-23) Used'!AG15</f>
        <v>699.10000000000014</v>
      </c>
      <c r="F15">
        <f>'Monthly Data (14-23) Used'!AF15</f>
        <v>0</v>
      </c>
      <c r="G15" s="64">
        <f t="shared" ca="1" si="5"/>
        <v>482.71355229914104</v>
      </c>
      <c r="H15" s="64">
        <f t="shared" ca="1" si="5"/>
        <v>0</v>
      </c>
      <c r="I15">
        <f>'Monthly Data (14-23) Used'!BZ15</f>
        <v>0</v>
      </c>
      <c r="J15">
        <f>'Monthly Data (14-23) Used'!AR15</f>
        <v>162.80000000000001</v>
      </c>
      <c r="L15" s="6"/>
      <c r="M15" s="6">
        <f t="shared" ca="1" si="2"/>
        <v>-194465.74229032852</v>
      </c>
      <c r="N15" s="6">
        <f t="shared" ca="1" si="3"/>
        <v>0</v>
      </c>
      <c r="O15" s="6"/>
      <c r="P15" s="6"/>
      <c r="Q15" s="6">
        <f t="shared" ca="1" si="4"/>
        <v>3370205.2577096713</v>
      </c>
      <c r="T15" t="s">
        <v>223</v>
      </c>
      <c r="U15" s="6"/>
      <c r="W15" s="193"/>
      <c r="X15" s="192"/>
      <c r="Z15" s="6"/>
      <c r="AA15" s="64"/>
      <c r="AB15" s="75"/>
      <c r="AC15" s="192"/>
    </row>
    <row r="16" spans="1:29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Used'!X16</f>
        <v>3449912</v>
      </c>
      <c r="E16">
        <f>'Monthly Data (14-23) Used'!AG16</f>
        <v>441.3</v>
      </c>
      <c r="F16">
        <f>'Monthly Data (14-23) Used'!AF16</f>
        <v>0</v>
      </c>
      <c r="G16" s="64">
        <f t="shared" ca="1" si="5"/>
        <v>372.63355229914106</v>
      </c>
      <c r="H16" s="64">
        <f t="shared" ca="1" si="5"/>
        <v>0</v>
      </c>
      <c r="I16">
        <f>'Monthly Data (14-23) Used'!BZ16</f>
        <v>0</v>
      </c>
      <c r="J16">
        <f>'Monthly Data (14-23) Used'!AR16</f>
        <v>161.30000000000001</v>
      </c>
      <c r="L16" s="6"/>
      <c r="M16" s="6">
        <f t="shared" ca="1" si="2"/>
        <v>-61710.295928734093</v>
      </c>
      <c r="N16" s="6">
        <f t="shared" ca="1" si="3"/>
        <v>0</v>
      </c>
      <c r="O16" s="6"/>
      <c r="P16" s="6"/>
      <c r="Q16" s="6">
        <f t="shared" ca="1" si="4"/>
        <v>3388201.7040712661</v>
      </c>
      <c r="T16" t="s">
        <v>226</v>
      </c>
      <c r="U16" s="193">
        <v>2954331005515.73</v>
      </c>
      <c r="V16" t="s">
        <v>227</v>
      </c>
      <c r="W16" s="193">
        <v>178232.99374501</v>
      </c>
    </row>
    <row r="17" spans="1:28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Used'!X17</f>
        <v>3013821</v>
      </c>
      <c r="E17">
        <f>'Monthly Data (14-23) Used'!AG17</f>
        <v>164.10000000000002</v>
      </c>
      <c r="F17">
        <f>'Monthly Data (14-23) Used'!AF17</f>
        <v>0</v>
      </c>
      <c r="G17" s="64">
        <f t="shared" ca="1" si="5"/>
        <v>184.31</v>
      </c>
      <c r="H17" s="64">
        <f t="shared" ca="1" si="5"/>
        <v>3.0799999999999996</v>
      </c>
      <c r="I17">
        <f>'Monthly Data (14-23) Used'!BZ17</f>
        <v>0</v>
      </c>
      <c r="J17">
        <f>'Monthly Data (14-23) Used'!AR17</f>
        <v>160.69999999999999</v>
      </c>
      <c r="L17" s="6"/>
      <c r="M17" s="6">
        <f t="shared" ca="1" si="2"/>
        <v>18162.656180394111</v>
      </c>
      <c r="N17" s="6">
        <f t="shared" ca="1" si="3"/>
        <v>11443.839130596609</v>
      </c>
      <c r="O17" s="6"/>
      <c r="P17" s="6"/>
      <c r="Q17" s="6">
        <f t="shared" ca="1" si="4"/>
        <v>3043427.4953109906</v>
      </c>
      <c r="T17" t="s">
        <v>228</v>
      </c>
      <c r="U17" s="193">
        <v>0.71005468765533997</v>
      </c>
      <c r="V17" t="s">
        <v>229</v>
      </c>
      <c r="W17" s="193">
        <v>0.69758392153298998</v>
      </c>
    </row>
    <row r="18" spans="1:28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Used'!X18</f>
        <v>2960403</v>
      </c>
      <c r="E18">
        <f>'Monthly Data (14-23) Used'!AG18</f>
        <v>27.5</v>
      </c>
      <c r="F18">
        <f>'Monthly Data (14-23) Used'!AF18</f>
        <v>74.399999999999991</v>
      </c>
      <c r="G18" s="64">
        <f t="shared" ca="1" si="5"/>
        <v>47.083552299140976</v>
      </c>
      <c r="H18" s="64">
        <f t="shared" ca="1" si="5"/>
        <v>53.286447700859014</v>
      </c>
      <c r="I18">
        <f>'Monthly Data (14-23) Used'!BZ18</f>
        <v>0</v>
      </c>
      <c r="J18">
        <f>'Monthly Data (14-23) Used'!AR18</f>
        <v>161.19999999999999</v>
      </c>
      <c r="L18" s="6"/>
      <c r="M18" s="6">
        <f t="shared" ca="1" si="2"/>
        <v>17599.669826821599</v>
      </c>
      <c r="N18" s="6">
        <f t="shared" ca="1" si="3"/>
        <v>-78448.083112599852</v>
      </c>
      <c r="O18" s="6"/>
      <c r="P18" s="6"/>
      <c r="Q18" s="6">
        <f t="shared" ca="1" si="4"/>
        <v>2899554.5867142216</v>
      </c>
      <c r="T18" t="s">
        <v>261</v>
      </c>
      <c r="U18" s="75">
        <v>33.8751322886624</v>
      </c>
      <c r="V18" t="s">
        <v>231</v>
      </c>
      <c r="W18" s="105">
        <v>2.0053011183048799E-17</v>
      </c>
      <c r="Z18" s="6"/>
      <c r="AB18" s="6"/>
    </row>
    <row r="19" spans="1:28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Used'!X19</f>
        <v>3221522</v>
      </c>
      <c r="E19">
        <f>'Monthly Data (14-23) Used'!AG19</f>
        <v>2.7000000000000011</v>
      </c>
      <c r="F19">
        <f>'Monthly Data (14-23) Used'!AF19</f>
        <v>112.89999999999998</v>
      </c>
      <c r="G19" s="64">
        <f t="shared" ca="1" si="5"/>
        <v>0.4200000000000001</v>
      </c>
      <c r="H19" s="64">
        <f t="shared" ca="1" si="5"/>
        <v>145.07</v>
      </c>
      <c r="I19">
        <f>'Monthly Data (14-23) Used'!BZ19</f>
        <v>0</v>
      </c>
      <c r="J19">
        <f>'Monthly Data (14-23) Used'!AR19</f>
        <v>162.5</v>
      </c>
      <c r="L19" s="6"/>
      <c r="M19" s="6">
        <f t="shared" ca="1" si="2"/>
        <v>-2049.0280104551525</v>
      </c>
      <c r="N19" s="6">
        <f t="shared" ca="1" si="3"/>
        <v>119528.6703997705</v>
      </c>
      <c r="O19" s="6"/>
      <c r="P19" s="6"/>
      <c r="Q19" s="6">
        <f t="shared" ca="1" si="4"/>
        <v>3339001.6423893156</v>
      </c>
      <c r="T19" t="s">
        <v>232</v>
      </c>
      <c r="U19" s="75">
        <v>-0.16792790457037601</v>
      </c>
      <c r="V19" t="s">
        <v>233</v>
      </c>
      <c r="W19" s="105">
        <v>2.3279667385312899</v>
      </c>
      <c r="Z19" s="193"/>
      <c r="AB19" s="6"/>
    </row>
    <row r="20" spans="1:28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Used'!X20</f>
        <v>4072605</v>
      </c>
      <c r="E20">
        <f>'Monthly Data (14-23) Used'!AG20</f>
        <v>0</v>
      </c>
      <c r="F20">
        <f>'Monthly Data (14-23) Used'!AF20</f>
        <v>179.79999999999998</v>
      </c>
      <c r="G20" s="64">
        <f t="shared" ca="1" si="5"/>
        <v>0</v>
      </c>
      <c r="H20" s="64">
        <f t="shared" ca="1" si="5"/>
        <v>211.23289540171805</v>
      </c>
      <c r="I20">
        <f>'Monthly Data (14-23) Used'!BZ20</f>
        <v>0</v>
      </c>
      <c r="J20">
        <f>'Monthly Data (14-23) Used'!AR20</f>
        <v>161.6</v>
      </c>
      <c r="L20" s="6"/>
      <c r="M20" s="6">
        <f t="shared" ca="1" si="2"/>
        <v>0</v>
      </c>
      <c r="N20" s="6">
        <f t="shared" ca="1" si="3"/>
        <v>116789.9345409518</v>
      </c>
      <c r="O20" s="6"/>
      <c r="P20" s="6"/>
      <c r="Q20" s="6">
        <f t="shared" ca="1" si="4"/>
        <v>4189394.9345409516</v>
      </c>
      <c r="U20" s="195"/>
      <c r="W20" s="105"/>
      <c r="Z20" s="194"/>
      <c r="AB20" s="105"/>
    </row>
    <row r="21" spans="1:28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Used'!X21</f>
        <v>3555685</v>
      </c>
      <c r="E21">
        <f>'Monthly Data (14-23) Used'!AG21</f>
        <v>0</v>
      </c>
      <c r="F21">
        <f>'Monthly Data (14-23) Used'!AF21</f>
        <v>158.4</v>
      </c>
      <c r="G21" s="64">
        <f t="shared" ca="1" si="5"/>
        <v>0</v>
      </c>
      <c r="H21" s="64">
        <f t="shared" ca="1" si="5"/>
        <v>183.87605861546231</v>
      </c>
      <c r="I21">
        <f>'Monthly Data (14-23) Used'!BZ21</f>
        <v>0</v>
      </c>
      <c r="J21">
        <f>'Monthly Data (14-23) Used'!AR21</f>
        <v>158.4</v>
      </c>
      <c r="L21" s="6"/>
      <c r="M21" s="6">
        <f t="shared" ca="1" si="2"/>
        <v>0</v>
      </c>
      <c r="N21" s="6">
        <f t="shared" ca="1" si="3"/>
        <v>94657.115739285859</v>
      </c>
      <c r="O21" s="6"/>
      <c r="P21" s="6"/>
      <c r="Q21" s="6">
        <f t="shared" ca="1" si="4"/>
        <v>3650342.1157392859</v>
      </c>
      <c r="T21" t="s">
        <v>247</v>
      </c>
      <c r="U21" s="196"/>
      <c r="W21" s="105"/>
      <c r="Z21" s="196"/>
      <c r="AB21" s="105"/>
    </row>
    <row r="22" spans="1:28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Used'!X22</f>
        <v>3226818</v>
      </c>
      <c r="E22">
        <f>'Monthly Data (14-23) Used'!AG22</f>
        <v>0.19999999999999929</v>
      </c>
      <c r="F22">
        <f>'Monthly Data (14-23) Used'!AF22</f>
        <v>114.6</v>
      </c>
      <c r="G22" s="64">
        <f t="shared" ca="1" si="5"/>
        <v>5.87</v>
      </c>
      <c r="H22" s="64">
        <f t="shared" ca="1" si="5"/>
        <v>90.709343102577066</v>
      </c>
      <c r="I22">
        <f>'Monthly Data (14-23) Used'!BZ22</f>
        <v>0</v>
      </c>
      <c r="J22">
        <f>'Monthly Data (14-23) Used'!AR22</f>
        <v>154.69999999999999</v>
      </c>
      <c r="L22" s="6"/>
      <c r="M22" s="6">
        <f t="shared" ca="1" si="2"/>
        <v>5095.6091312634699</v>
      </c>
      <c r="N22" s="6">
        <f t="shared" ca="1" si="3"/>
        <v>-88766.504629346207</v>
      </c>
      <c r="O22" s="6"/>
      <c r="P22" s="6"/>
      <c r="Q22" s="6">
        <f t="shared" ca="1" si="4"/>
        <v>3143147.1045019175</v>
      </c>
      <c r="T22" t="s">
        <v>224</v>
      </c>
      <c r="U22" s="195">
        <v>2630297.8673469401</v>
      </c>
      <c r="V22" t="s">
        <v>225</v>
      </c>
      <c r="W22" s="105">
        <v>323420.23204287002</v>
      </c>
      <c r="Z22" s="195"/>
      <c r="AB22" s="105"/>
    </row>
    <row r="23" spans="1:28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Used'!X23</f>
        <v>2870641</v>
      </c>
      <c r="E23">
        <f>'Monthly Data (14-23) Used'!AG23</f>
        <v>92.5</v>
      </c>
      <c r="F23">
        <f>'Monthly Data (14-23) Used'!AF23</f>
        <v>7.0999999999999979</v>
      </c>
      <c r="G23" s="64">
        <f t="shared" ca="1" si="5"/>
        <v>99.500656897422942</v>
      </c>
      <c r="H23" s="64">
        <f t="shared" ca="1" si="5"/>
        <v>20.479999999999997</v>
      </c>
      <c r="I23">
        <f>'Monthly Data (14-23) Used'!BZ23</f>
        <v>1</v>
      </c>
      <c r="J23">
        <f>'Monthly Data (14-23) Used'!AR23</f>
        <v>153.1</v>
      </c>
      <c r="L23" s="6"/>
      <c r="M23" s="6">
        <f t="shared" ca="1" si="2"/>
        <v>6291.465822107748</v>
      </c>
      <c r="N23" s="6">
        <f t="shared" ca="1" si="3"/>
        <v>49713.820638760597</v>
      </c>
      <c r="O23" s="6"/>
      <c r="P23" s="6"/>
      <c r="Q23" s="6">
        <f t="shared" ca="1" si="4"/>
        <v>2926646.2864608681</v>
      </c>
    </row>
    <row r="24" spans="1:28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Used'!X24</f>
        <v>2607047</v>
      </c>
      <c r="E24">
        <f>'Monthly Data (14-23) Used'!AG24</f>
        <v>210.49999999999997</v>
      </c>
      <c r="F24">
        <f>'Monthly Data (14-23) Used'!AF24</f>
        <v>0.89999999999999858</v>
      </c>
      <c r="G24" s="64">
        <f t="shared" ca="1" si="5"/>
        <v>286.30065689742298</v>
      </c>
      <c r="H24" s="64">
        <f t="shared" ca="1" si="5"/>
        <v>0.6699999999999996</v>
      </c>
      <c r="I24">
        <f>'Monthly Data (14-23) Used'!BZ24</f>
        <v>1</v>
      </c>
      <c r="J24">
        <f>'Monthly Data (14-23) Used'!AR24</f>
        <v>153.4</v>
      </c>
      <c r="L24" s="6"/>
      <c r="M24" s="6">
        <f t="shared" ca="1" si="2"/>
        <v>68121.784734087822</v>
      </c>
      <c r="N24" s="6">
        <f t="shared" ca="1" si="3"/>
        <v>-854.57240260948333</v>
      </c>
      <c r="O24" s="6"/>
      <c r="P24" s="6"/>
      <c r="Q24" s="6">
        <f t="shared" ca="1" si="4"/>
        <v>2674314.2123314785</v>
      </c>
    </row>
    <row r="25" spans="1:28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Used'!X25</f>
        <v>2364501</v>
      </c>
      <c r="E25">
        <f>'Monthly Data (14-23) Used'!AG25</f>
        <v>293.29999999999995</v>
      </c>
      <c r="F25">
        <f>'Monthly Data (14-23) Used'!AF25</f>
        <v>0</v>
      </c>
      <c r="G25" s="64">
        <f t="shared" ca="1" si="5"/>
        <v>409.7700000000001</v>
      </c>
      <c r="H25" s="64">
        <f t="shared" ca="1" si="5"/>
        <v>0</v>
      </c>
      <c r="I25">
        <f>'Monthly Data (14-23) Used'!BZ25</f>
        <v>0</v>
      </c>
      <c r="J25">
        <f>'Monthly Data (14-23) Used'!AR25</f>
        <v>153.9</v>
      </c>
      <c r="L25" s="6"/>
      <c r="M25" s="6">
        <f t="shared" ca="1" si="2"/>
        <v>104671.18086741745</v>
      </c>
      <c r="N25" s="6">
        <f t="shared" ca="1" si="3"/>
        <v>0</v>
      </c>
      <c r="O25" s="6"/>
      <c r="P25" s="6"/>
      <c r="Q25" s="6">
        <f t="shared" ca="1" si="4"/>
        <v>2469172.1808674172</v>
      </c>
    </row>
    <row r="26" spans="1:28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Used'!X26</f>
        <v>2580598</v>
      </c>
      <c r="E26">
        <f>'Monthly Data (14-23) Used'!AG26</f>
        <v>520.9</v>
      </c>
      <c r="F26">
        <f>'Monthly Data (14-23) Used'!AF26</f>
        <v>0</v>
      </c>
      <c r="G26" s="64">
        <f t="shared" ca="1" si="5"/>
        <v>546.99999999999989</v>
      </c>
      <c r="H26" s="64">
        <f t="shared" ca="1" si="5"/>
        <v>0</v>
      </c>
      <c r="I26">
        <f>'Monthly Data (14-23) Used'!BZ26</f>
        <v>0</v>
      </c>
      <c r="J26">
        <f>'Monthly Data (14-23) Used'!AR26</f>
        <v>156</v>
      </c>
      <c r="L26" s="6"/>
      <c r="M26" s="6">
        <f t="shared" ca="1" si="2"/>
        <v>23455.978540736523</v>
      </c>
      <c r="N26" s="6">
        <f t="shared" ca="1" si="3"/>
        <v>0</v>
      </c>
      <c r="O26" s="6"/>
      <c r="P26" s="6"/>
      <c r="Q26" s="6">
        <f t="shared" ca="1" si="4"/>
        <v>2604053.9785407367</v>
      </c>
    </row>
    <row r="27" spans="1:28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Used'!X27</f>
        <v>2518509</v>
      </c>
      <c r="E27">
        <f>'Monthly Data (14-23) Used'!AG27</f>
        <v>434.20000000000005</v>
      </c>
      <c r="F27">
        <f>'Monthly Data (14-23) Used'!AF27</f>
        <v>0</v>
      </c>
      <c r="G27" s="64">
        <f t="shared" ca="1" si="5"/>
        <v>482.71355229914104</v>
      </c>
      <c r="H27" s="64">
        <f t="shared" ca="1" si="5"/>
        <v>0</v>
      </c>
      <c r="I27">
        <f>'Monthly Data (14-23) Used'!BZ27</f>
        <v>0</v>
      </c>
      <c r="J27">
        <f>'Monthly Data (14-23) Used'!AR27</f>
        <v>158.4</v>
      </c>
      <c r="L27" s="6"/>
      <c r="M27" s="6">
        <f t="shared" ca="1" si="2"/>
        <v>43598.959450710885</v>
      </c>
      <c r="N27" s="6">
        <f t="shared" ca="1" si="3"/>
        <v>0</v>
      </c>
      <c r="O27" s="6"/>
      <c r="P27" s="6"/>
      <c r="Q27" s="6">
        <f t="shared" ca="1" si="4"/>
        <v>2562107.959450711</v>
      </c>
    </row>
    <row r="28" spans="1:28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Used'!X28</f>
        <v>2565586</v>
      </c>
      <c r="E28">
        <f>'Monthly Data (14-23) Used'!AG28</f>
        <v>281</v>
      </c>
      <c r="F28">
        <f>'Monthly Data (14-23) Used'!AF28</f>
        <v>0</v>
      </c>
      <c r="G28" s="64">
        <f t="shared" ca="1" si="5"/>
        <v>372.63355229914106</v>
      </c>
      <c r="H28" s="64">
        <f t="shared" ca="1" si="5"/>
        <v>0</v>
      </c>
      <c r="I28">
        <f>'Monthly Data (14-23) Used'!BZ28</f>
        <v>0</v>
      </c>
      <c r="J28">
        <f>'Monthly Data (14-23) Used'!AR28</f>
        <v>160.69999999999999</v>
      </c>
      <c r="L28" s="6"/>
      <c r="M28" s="6">
        <f t="shared" ca="1" si="2"/>
        <v>82350.752350196097</v>
      </c>
      <c r="N28" s="6">
        <f t="shared" ca="1" si="3"/>
        <v>0</v>
      </c>
      <c r="O28" s="6"/>
      <c r="P28" s="6"/>
      <c r="Q28" s="6">
        <f t="shared" ca="1" si="4"/>
        <v>2647936.7523501962</v>
      </c>
    </row>
    <row r="29" spans="1:28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Used'!X29</f>
        <v>2289773</v>
      </c>
      <c r="E29">
        <f>'Monthly Data (14-23) Used'!AG29</f>
        <v>214.6</v>
      </c>
      <c r="F29">
        <f>'Monthly Data (14-23) Used'!AF29</f>
        <v>0</v>
      </c>
      <c r="G29" s="64">
        <f t="shared" ca="1" si="5"/>
        <v>184.31</v>
      </c>
      <c r="H29" s="64">
        <f t="shared" ca="1" si="5"/>
        <v>3.0799999999999996</v>
      </c>
      <c r="I29">
        <f>'Monthly Data (14-23) Used'!BZ29</f>
        <v>0</v>
      </c>
      <c r="J29">
        <f>'Monthly Data (14-23) Used'!AR29</f>
        <v>162.6</v>
      </c>
      <c r="L29" s="6"/>
      <c r="M29" s="6">
        <f t="shared" ca="1" si="2"/>
        <v>-27221.516858195846</v>
      </c>
      <c r="N29" s="6">
        <f t="shared" ca="1" si="3"/>
        <v>11443.839130596609</v>
      </c>
      <c r="O29" s="6"/>
      <c r="P29" s="6"/>
      <c r="Q29" s="6">
        <f t="shared" ca="1" si="4"/>
        <v>2273995.3222724008</v>
      </c>
    </row>
    <row r="30" spans="1:28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Used'!X30</f>
        <v>2326556</v>
      </c>
      <c r="E30">
        <f>'Monthly Data (14-23) Used'!AG30</f>
        <v>46.099999999999994</v>
      </c>
      <c r="F30">
        <f>'Monthly Data (14-23) Used'!AF30</f>
        <v>55.2</v>
      </c>
      <c r="G30" s="64">
        <f t="shared" ca="1" si="5"/>
        <v>47.083552299140976</v>
      </c>
      <c r="H30" s="64">
        <f t="shared" ca="1" si="5"/>
        <v>53.286447700859014</v>
      </c>
      <c r="I30">
        <f>'Monthly Data (14-23) Used'!BZ30</f>
        <v>0</v>
      </c>
      <c r="J30">
        <f>'Monthly Data (14-23) Used'!AR30</f>
        <v>164.5</v>
      </c>
      <c r="L30" s="6"/>
      <c r="M30" s="6">
        <f t="shared" ca="1" si="2"/>
        <v>883.91500468747188</v>
      </c>
      <c r="N30" s="6">
        <f t="shared" ca="1" si="3"/>
        <v>-7109.8651556340119</v>
      </c>
      <c r="O30" s="6"/>
      <c r="P30" s="6"/>
      <c r="Q30" s="6">
        <f t="shared" ca="1" si="4"/>
        <v>2320330.0498490534</v>
      </c>
    </row>
    <row r="31" spans="1:28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Used'!X31</f>
        <v>2706683</v>
      </c>
      <c r="E31">
        <f>'Monthly Data (14-23) Used'!AG31</f>
        <v>0</v>
      </c>
      <c r="F31">
        <f>'Monthly Data (14-23) Used'!AF31</f>
        <v>155.4</v>
      </c>
      <c r="G31" s="64">
        <f t="shared" ca="1" si="5"/>
        <v>0.4200000000000001</v>
      </c>
      <c r="H31" s="64">
        <f t="shared" ca="1" si="5"/>
        <v>145.07</v>
      </c>
      <c r="I31">
        <f>'Monthly Data (14-23) Used'!BZ31</f>
        <v>0</v>
      </c>
      <c r="J31">
        <f>'Monthly Data (14-23) Used'!AR31</f>
        <v>166.4</v>
      </c>
      <c r="L31" s="6"/>
      <c r="M31" s="6">
        <f t="shared" ca="1" si="2"/>
        <v>377.45252824173855</v>
      </c>
      <c r="N31" s="6">
        <f t="shared" ca="1" si="3"/>
        <v>-38381.447473721797</v>
      </c>
      <c r="O31" s="6"/>
      <c r="P31" s="6"/>
      <c r="Q31" s="6">
        <f t="shared" ca="1" si="4"/>
        <v>2668679.00505452</v>
      </c>
    </row>
    <row r="32" spans="1:28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Used'!X32</f>
        <v>3094570</v>
      </c>
      <c r="E32">
        <f>'Monthly Data (14-23) Used'!AG32</f>
        <v>0</v>
      </c>
      <c r="F32">
        <f>'Monthly Data (14-23) Used'!AF32</f>
        <v>240.29999999999998</v>
      </c>
      <c r="G32" s="64">
        <f t="shared" ca="1" si="5"/>
        <v>0</v>
      </c>
      <c r="H32" s="64">
        <f t="shared" ca="1" si="5"/>
        <v>211.23289540171805</v>
      </c>
      <c r="I32">
        <f>'Monthly Data (14-23) Used'!BZ32</f>
        <v>0</v>
      </c>
      <c r="J32">
        <f>'Monthly Data (14-23) Used'!AR32</f>
        <v>167.9</v>
      </c>
      <c r="L32" s="6"/>
      <c r="M32" s="6">
        <f t="shared" ca="1" si="2"/>
        <v>0</v>
      </c>
      <c r="N32" s="6">
        <f t="shared" ca="1" si="3"/>
        <v>-107999.76266719592</v>
      </c>
      <c r="O32" s="6"/>
      <c r="P32" s="6"/>
      <c r="Q32" s="6">
        <f t="shared" ca="1" si="4"/>
        <v>2986570.2373328041</v>
      </c>
    </row>
    <row r="33" spans="1:17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Used'!X33</f>
        <v>3564597</v>
      </c>
      <c r="E33">
        <f>'Monthly Data (14-23) Used'!AG33</f>
        <v>0</v>
      </c>
      <c r="F33">
        <f>'Monthly Data (14-23) Used'!AF33</f>
        <v>236.90000000000003</v>
      </c>
      <c r="G33" s="64">
        <f t="shared" ca="1" si="5"/>
        <v>0</v>
      </c>
      <c r="H33" s="64">
        <f t="shared" ca="1" si="5"/>
        <v>183.87605861546231</v>
      </c>
      <c r="I33">
        <f>'Monthly Data (14-23) Used'!BZ33</f>
        <v>0</v>
      </c>
      <c r="J33">
        <f>'Monthly Data (14-23) Used'!AR33</f>
        <v>167.8</v>
      </c>
      <c r="L33" s="6"/>
      <c r="M33" s="6">
        <f t="shared" ca="1" si="2"/>
        <v>0</v>
      </c>
      <c r="N33" s="6">
        <f t="shared" ca="1" si="3"/>
        <v>-197012.16080351747</v>
      </c>
      <c r="O33" s="6"/>
      <c r="P33" s="6"/>
      <c r="Q33" s="6">
        <f t="shared" ca="1" si="4"/>
        <v>3367584.8391964827</v>
      </c>
    </row>
    <row r="34" spans="1:17">
      <c r="A34" s="197">
        <v>42614</v>
      </c>
      <c r="B34">
        <f t="shared" ref="B34:B53" si="6">MONTH(A34)</f>
        <v>9</v>
      </c>
      <c r="C34">
        <f t="shared" ref="C34:C53" si="7">YEAR(A34)</f>
        <v>2016</v>
      </c>
      <c r="D34" s="6">
        <f>'Monthly Data (14-23) Used'!X34</f>
        <v>2934361</v>
      </c>
      <c r="E34">
        <f>'Monthly Data (14-23) Used'!AG34</f>
        <v>0.19999999999999929</v>
      </c>
      <c r="F34">
        <f>'Monthly Data (14-23) Used'!AF34</f>
        <v>104.9</v>
      </c>
      <c r="G34" s="64">
        <f t="shared" ref="G34:H53" ca="1" si="8">G22</f>
        <v>5.87</v>
      </c>
      <c r="H34" s="64">
        <f t="shared" ca="1" si="8"/>
        <v>90.709343102577066</v>
      </c>
      <c r="I34">
        <f>'Monthly Data (14-23) Used'!BZ34</f>
        <v>0</v>
      </c>
      <c r="J34">
        <f>'Monthly Data (14-23) Used'!AR34</f>
        <v>167.6</v>
      </c>
      <c r="L34" s="6"/>
      <c r="M34" s="6">
        <f t="shared" ref="M34:M54" ca="1" si="9">(G34-E34)*$U$10</f>
        <v>5095.6091312634699</v>
      </c>
      <c r="N34" s="6">
        <f t="shared" ref="N34:N54" ca="1" si="10">(H34-F34)*$U$11</f>
        <v>-52725.842432337449</v>
      </c>
      <c r="O34" s="6"/>
      <c r="P34" s="6"/>
      <c r="Q34" s="6">
        <f t="shared" ref="Q34:Q54" ca="1" si="11">SUM(D34,L34:P34)</f>
        <v>2886730.7666989262</v>
      </c>
    </row>
    <row r="35" spans="1:17">
      <c r="A35" s="197">
        <v>42644</v>
      </c>
      <c r="B35">
        <f t="shared" si="6"/>
        <v>10</v>
      </c>
      <c r="C35">
        <f t="shared" si="7"/>
        <v>2016</v>
      </c>
      <c r="D35" s="6">
        <f>'Monthly Data (14-23) Used'!X35</f>
        <v>2701535</v>
      </c>
      <c r="E35">
        <f>'Monthly Data (14-23) Used'!AG35</f>
        <v>88.9</v>
      </c>
      <c r="F35">
        <f>'Monthly Data (14-23) Used'!AF35</f>
        <v>29.9</v>
      </c>
      <c r="G35" s="64">
        <f t="shared" ca="1" si="8"/>
        <v>99.500656897422942</v>
      </c>
      <c r="H35" s="64">
        <f t="shared" ca="1" si="8"/>
        <v>20.479999999999997</v>
      </c>
      <c r="I35">
        <f>'Monthly Data (14-23) Used'!BZ35</f>
        <v>1</v>
      </c>
      <c r="J35">
        <f>'Monthly Data (14-23) Used'!AR35</f>
        <v>166.9</v>
      </c>
      <c r="L35" s="6"/>
      <c r="M35" s="6">
        <f t="shared" ca="1" si="9"/>
        <v>9526.7732070369293</v>
      </c>
      <c r="N35" s="6">
        <f t="shared" ca="1" si="10"/>
        <v>-35000.313185136394</v>
      </c>
      <c r="O35" s="6"/>
      <c r="P35" s="6"/>
      <c r="Q35" s="6">
        <f t="shared" ca="1" si="11"/>
        <v>2676061.4600219005</v>
      </c>
    </row>
    <row r="36" spans="1:17">
      <c r="A36" s="197">
        <v>42675</v>
      </c>
      <c r="B36">
        <f t="shared" si="6"/>
        <v>11</v>
      </c>
      <c r="C36">
        <f t="shared" si="7"/>
        <v>2016</v>
      </c>
      <c r="D36" s="6">
        <f>'Monthly Data (14-23) Used'!X36</f>
        <v>2668913</v>
      </c>
      <c r="E36">
        <f>'Monthly Data (14-23) Used'!AG36</f>
        <v>200.29999999999998</v>
      </c>
      <c r="F36">
        <f>'Monthly Data (14-23) Used'!AF36</f>
        <v>0.10000000000000142</v>
      </c>
      <c r="G36" s="64">
        <f t="shared" ca="1" si="8"/>
        <v>286.30065689742298</v>
      </c>
      <c r="H36" s="64">
        <f t="shared" ca="1" si="8"/>
        <v>0.6699999999999996</v>
      </c>
      <c r="I36">
        <f>'Monthly Data (14-23) Used'!BZ36</f>
        <v>1</v>
      </c>
      <c r="J36">
        <f>'Monthly Data (14-23) Used'!AR36</f>
        <v>163.80000000000001</v>
      </c>
      <c r="L36" s="6"/>
      <c r="M36" s="6">
        <f t="shared" ca="1" si="9"/>
        <v>77288.488991387174</v>
      </c>
      <c r="N36" s="6">
        <f t="shared" ca="1" si="10"/>
        <v>2117.853345597418</v>
      </c>
      <c r="O36" s="6"/>
      <c r="P36" s="6"/>
      <c r="Q36" s="6">
        <f t="shared" ca="1" si="11"/>
        <v>2748319.3423369848</v>
      </c>
    </row>
    <row r="37" spans="1:17">
      <c r="A37" s="197">
        <v>42705</v>
      </c>
      <c r="B37">
        <f t="shared" si="6"/>
        <v>12</v>
      </c>
      <c r="C37">
        <f t="shared" si="7"/>
        <v>2016</v>
      </c>
      <c r="D37" s="6">
        <f>'Monthly Data (14-23) Used'!X37</f>
        <v>2635161</v>
      </c>
      <c r="E37">
        <f>'Monthly Data (14-23) Used'!AG37</f>
        <v>499.20000000000005</v>
      </c>
      <c r="F37">
        <f>'Monthly Data (14-23) Used'!AF37</f>
        <v>0</v>
      </c>
      <c r="G37" s="64">
        <f t="shared" ca="1" si="8"/>
        <v>409.7700000000001</v>
      </c>
      <c r="H37" s="64">
        <f t="shared" ca="1" si="8"/>
        <v>0</v>
      </c>
      <c r="I37">
        <f>'Monthly Data (14-23) Used'!BZ37</f>
        <v>0</v>
      </c>
      <c r="J37">
        <f>'Monthly Data (14-23) Used'!AR37</f>
        <v>161.19999999999999</v>
      </c>
      <c r="L37" s="6"/>
      <c r="M37" s="6">
        <f t="shared" ca="1" si="9"/>
        <v>-80370.427620615839</v>
      </c>
      <c r="N37" s="6">
        <f t="shared" ca="1" si="10"/>
        <v>0</v>
      </c>
      <c r="O37" s="6"/>
      <c r="P37" s="6"/>
      <c r="Q37" s="6">
        <f t="shared" ca="1" si="11"/>
        <v>2554790.5723793842</v>
      </c>
    </row>
    <row r="38" spans="1:17">
      <c r="A38" s="197">
        <v>42736</v>
      </c>
      <c r="B38">
        <f t="shared" si="6"/>
        <v>1</v>
      </c>
      <c r="C38">
        <f t="shared" si="7"/>
        <v>2017</v>
      </c>
      <c r="D38" s="6">
        <f>'Monthly Data (14-23) Used'!X38</f>
        <v>3109978</v>
      </c>
      <c r="E38">
        <f>'Monthly Data (14-23) Used'!AG38</f>
        <v>460.19999999999993</v>
      </c>
      <c r="F38">
        <f>'Monthly Data (14-23) Used'!AF38</f>
        <v>0</v>
      </c>
      <c r="G38" s="64">
        <f t="shared" ca="1" si="8"/>
        <v>546.99999999999989</v>
      </c>
      <c r="H38" s="64">
        <f t="shared" ca="1" si="8"/>
        <v>0</v>
      </c>
      <c r="I38">
        <f>'Monthly Data (14-23) Used'!BZ38</f>
        <v>0</v>
      </c>
      <c r="J38">
        <f>'Monthly Data (14-23) Used'!AR38</f>
        <v>160.5</v>
      </c>
      <c r="L38" s="6"/>
      <c r="M38" s="6">
        <f t="shared" ca="1" si="9"/>
        <v>78006.855836625909</v>
      </c>
      <c r="N38" s="6">
        <f t="shared" ca="1" si="10"/>
        <v>0</v>
      </c>
      <c r="O38" s="6"/>
      <c r="P38" s="6"/>
      <c r="Q38" s="6">
        <f t="shared" ca="1" si="11"/>
        <v>3187984.8558366261</v>
      </c>
    </row>
    <row r="39" spans="1:17">
      <c r="A39" s="197">
        <v>42767</v>
      </c>
      <c r="B39">
        <f t="shared" si="6"/>
        <v>2</v>
      </c>
      <c r="C39">
        <f t="shared" si="7"/>
        <v>2017</v>
      </c>
      <c r="D39" s="6">
        <f>'Monthly Data (14-23) Used'!X39</f>
        <v>2736036</v>
      </c>
      <c r="E39">
        <f>'Monthly Data (14-23) Used'!AG39</f>
        <v>328.69999999999993</v>
      </c>
      <c r="F39">
        <f>'Monthly Data (14-23) Used'!AF39</f>
        <v>0</v>
      </c>
      <c r="G39" s="64">
        <f t="shared" ca="1" si="8"/>
        <v>482.71355229914104</v>
      </c>
      <c r="H39" s="64">
        <f t="shared" ca="1" si="8"/>
        <v>0</v>
      </c>
      <c r="I39">
        <f>'Monthly Data (14-23) Used'!BZ39</f>
        <v>0</v>
      </c>
      <c r="J39">
        <f>'Monthly Data (14-23) Used'!AR39</f>
        <v>160.6</v>
      </c>
      <c r="L39" s="6"/>
      <c r="M39" s="6">
        <f t="shared" ca="1" si="9"/>
        <v>138411.43975905245</v>
      </c>
      <c r="N39" s="6">
        <f t="shared" ca="1" si="10"/>
        <v>0</v>
      </c>
      <c r="O39" s="6"/>
      <c r="P39" s="6"/>
      <c r="Q39" s="6">
        <f t="shared" ca="1" si="11"/>
        <v>2874447.4397590524</v>
      </c>
    </row>
    <row r="40" spans="1:17">
      <c r="A40" s="197">
        <v>42795</v>
      </c>
      <c r="B40">
        <f t="shared" si="6"/>
        <v>3</v>
      </c>
      <c r="C40">
        <f t="shared" si="7"/>
        <v>2017</v>
      </c>
      <c r="D40" s="6">
        <f>'Monthly Data (14-23) Used'!X40</f>
        <v>2956591</v>
      </c>
      <c r="E40">
        <f>'Monthly Data (14-23) Used'!AG40</f>
        <v>383.30000000000007</v>
      </c>
      <c r="F40">
        <f>'Monthly Data (14-23) Used'!AF40</f>
        <v>0</v>
      </c>
      <c r="G40" s="64">
        <f t="shared" ca="1" si="8"/>
        <v>372.63355229914106</v>
      </c>
      <c r="H40" s="64">
        <f t="shared" ca="1" si="8"/>
        <v>0</v>
      </c>
      <c r="I40">
        <f>'Monthly Data (14-23) Used'!BZ40</f>
        <v>0</v>
      </c>
      <c r="J40">
        <f>'Monthly Data (14-23) Used'!AR40</f>
        <v>160.69999999999999</v>
      </c>
      <c r="L40" s="6"/>
      <c r="M40" s="6">
        <f t="shared" ca="1" si="9"/>
        <v>-9585.8991715416942</v>
      </c>
      <c r="N40" s="6">
        <f t="shared" ca="1" si="10"/>
        <v>0</v>
      </c>
      <c r="O40" s="6"/>
      <c r="P40" s="6"/>
      <c r="Q40" s="6">
        <f t="shared" ca="1" si="11"/>
        <v>2947005.1008284581</v>
      </c>
    </row>
    <row r="41" spans="1:17">
      <c r="A41" s="197">
        <v>42826</v>
      </c>
      <c r="B41">
        <f t="shared" si="6"/>
        <v>4</v>
      </c>
      <c r="C41">
        <f t="shared" si="7"/>
        <v>2017</v>
      </c>
      <c r="D41" s="6">
        <f>'Monthly Data (14-23) Used'!X41</f>
        <v>2405329</v>
      </c>
      <c r="E41">
        <f>'Monthly Data (14-23) Used'!AG41</f>
        <v>100.79999999999997</v>
      </c>
      <c r="F41">
        <f>'Monthly Data (14-23) Used'!AF41</f>
        <v>7.9000000000000021</v>
      </c>
      <c r="G41" s="64">
        <f t="shared" ca="1" si="8"/>
        <v>184.31</v>
      </c>
      <c r="H41" s="64">
        <f t="shared" ca="1" si="8"/>
        <v>3.0799999999999996</v>
      </c>
      <c r="I41">
        <f>'Monthly Data (14-23) Used'!BZ41</f>
        <v>0</v>
      </c>
      <c r="J41">
        <f>'Monthly Data (14-23) Used'!AR41</f>
        <v>159.30000000000001</v>
      </c>
      <c r="L41" s="6"/>
      <c r="M41" s="6">
        <f t="shared" ca="1" si="9"/>
        <v>75050.144365399028</v>
      </c>
      <c r="N41" s="6">
        <f t="shared" ca="1" si="10"/>
        <v>-17908.865132946652</v>
      </c>
      <c r="O41" s="6"/>
      <c r="P41" s="6"/>
      <c r="Q41" s="6">
        <f t="shared" ca="1" si="11"/>
        <v>2462470.2792324526</v>
      </c>
    </row>
    <row r="42" spans="1:17">
      <c r="A42" s="197">
        <v>42856</v>
      </c>
      <c r="B42">
        <f t="shared" si="6"/>
        <v>5</v>
      </c>
      <c r="C42">
        <f t="shared" si="7"/>
        <v>2017</v>
      </c>
      <c r="D42" s="6">
        <f>'Monthly Data (14-23) Used'!X42</f>
        <v>2604156</v>
      </c>
      <c r="E42">
        <f>'Monthly Data (14-23) Used'!AG42</f>
        <v>58.300000000000004</v>
      </c>
      <c r="F42">
        <f>'Monthly Data (14-23) Used'!AF42</f>
        <v>38.100000000000009</v>
      </c>
      <c r="G42" s="64">
        <f t="shared" ca="1" si="8"/>
        <v>47.083552299140976</v>
      </c>
      <c r="H42" s="64">
        <f t="shared" ca="1" si="8"/>
        <v>53.286447700859014</v>
      </c>
      <c r="I42">
        <f>'Monthly Data (14-23) Used'!BZ42</f>
        <v>0</v>
      </c>
      <c r="J42">
        <f>'Monthly Data (14-23) Used'!AR42</f>
        <v>158.5</v>
      </c>
      <c r="L42" s="6"/>
      <c r="M42" s="6">
        <f t="shared" ca="1" si="9"/>
        <v>-10080.182244239226</v>
      </c>
      <c r="N42" s="6">
        <f t="shared" ca="1" si="10"/>
        <v>56425.73521228871</v>
      </c>
      <c r="O42" s="6"/>
      <c r="P42" s="6"/>
      <c r="Q42" s="6">
        <f t="shared" ca="1" si="11"/>
        <v>2650501.5529680494</v>
      </c>
    </row>
    <row r="43" spans="1:17">
      <c r="A43" s="197">
        <v>42887</v>
      </c>
      <c r="B43">
        <f t="shared" si="6"/>
        <v>6</v>
      </c>
      <c r="C43">
        <f t="shared" si="7"/>
        <v>2017</v>
      </c>
      <c r="D43" s="6">
        <f>'Monthly Data (14-23) Used'!X43</f>
        <v>2874524</v>
      </c>
      <c r="E43">
        <f>'Monthly Data (14-23) Used'!AG43</f>
        <v>0</v>
      </c>
      <c r="F43">
        <f>'Monthly Data (14-23) Used'!AF43</f>
        <v>153.29999999999998</v>
      </c>
      <c r="G43" s="64">
        <f t="shared" ca="1" si="8"/>
        <v>0.4200000000000001</v>
      </c>
      <c r="H43" s="64">
        <f t="shared" ca="1" si="8"/>
        <v>145.07</v>
      </c>
      <c r="I43">
        <f>'Monthly Data (14-23) Used'!BZ43</f>
        <v>0</v>
      </c>
      <c r="J43">
        <f>'Monthly Data (14-23) Used'!AR43</f>
        <v>160</v>
      </c>
      <c r="L43" s="6"/>
      <c r="M43" s="6">
        <f t="shared" ca="1" si="9"/>
        <v>377.45252824173855</v>
      </c>
      <c r="N43" s="6">
        <f t="shared" ca="1" si="10"/>
        <v>-30578.829884678569</v>
      </c>
      <c r="O43" s="6"/>
      <c r="P43" s="6"/>
      <c r="Q43" s="6">
        <f t="shared" ca="1" si="11"/>
        <v>2844322.622643563</v>
      </c>
    </row>
    <row r="44" spans="1:17">
      <c r="A44" s="197">
        <v>42917</v>
      </c>
      <c r="B44">
        <f t="shared" si="6"/>
        <v>7</v>
      </c>
      <c r="C44">
        <f t="shared" si="7"/>
        <v>2017</v>
      </c>
      <c r="D44" s="6">
        <f>'Monthly Data (14-23) Used'!X44</f>
        <v>2922427</v>
      </c>
      <c r="E44">
        <f>'Monthly Data (14-23) Used'!AG44</f>
        <v>0</v>
      </c>
      <c r="F44">
        <f>'Monthly Data (14-23) Used'!AF44</f>
        <v>198.99999999999997</v>
      </c>
      <c r="G44" s="64">
        <f t="shared" ca="1" si="8"/>
        <v>0</v>
      </c>
      <c r="H44" s="64">
        <f t="shared" ca="1" si="8"/>
        <v>211.23289540171805</v>
      </c>
      <c r="I44">
        <f>'Monthly Data (14-23) Used'!BZ44</f>
        <v>0</v>
      </c>
      <c r="J44">
        <f>'Monthly Data (14-23) Used'!AR44</f>
        <v>161.1</v>
      </c>
      <c r="L44" s="6"/>
      <c r="M44" s="6">
        <f t="shared" ca="1" si="9"/>
        <v>0</v>
      </c>
      <c r="N44" s="6">
        <f t="shared" ca="1" si="10"/>
        <v>45451.716583985952</v>
      </c>
      <c r="O44" s="6"/>
      <c r="P44" s="6"/>
      <c r="Q44" s="6">
        <f t="shared" ca="1" si="11"/>
        <v>2967878.7165839858</v>
      </c>
    </row>
    <row r="45" spans="1:17">
      <c r="A45" s="197">
        <v>42948</v>
      </c>
      <c r="B45">
        <f t="shared" si="6"/>
        <v>8</v>
      </c>
      <c r="C45">
        <f t="shared" si="7"/>
        <v>2017</v>
      </c>
      <c r="D45" s="6">
        <f>'Monthly Data (14-23) Used'!X45</f>
        <v>3048623</v>
      </c>
      <c r="E45">
        <f>'Monthly Data (14-23) Used'!AG45</f>
        <v>0</v>
      </c>
      <c r="F45">
        <f>'Monthly Data (14-23) Used'!AF45</f>
        <v>136.4</v>
      </c>
      <c r="G45" s="64">
        <f t="shared" ca="1" si="8"/>
        <v>0</v>
      </c>
      <c r="H45" s="64">
        <f t="shared" ca="1" si="8"/>
        <v>183.87605861546231</v>
      </c>
      <c r="I45">
        <f>'Monthly Data (14-23) Used'!BZ45</f>
        <v>0</v>
      </c>
      <c r="J45">
        <f>'Monthly Data (14-23) Used'!AR45</f>
        <v>165</v>
      </c>
      <c r="L45" s="6"/>
      <c r="M45" s="6">
        <f t="shared" ca="1" si="9"/>
        <v>0</v>
      </c>
      <c r="N45" s="6">
        <f t="shared" ca="1" si="10"/>
        <v>176398.82381497594</v>
      </c>
      <c r="O45" s="6"/>
      <c r="P45" s="6"/>
      <c r="Q45" s="6">
        <f t="shared" ca="1" si="11"/>
        <v>3225021.823814976</v>
      </c>
    </row>
    <row r="46" spans="1:17">
      <c r="A46" s="197">
        <v>42979</v>
      </c>
      <c r="B46">
        <f t="shared" si="6"/>
        <v>9</v>
      </c>
      <c r="C46">
        <f t="shared" si="7"/>
        <v>2017</v>
      </c>
      <c r="D46" s="6">
        <f>'Monthly Data (14-23) Used'!X46</f>
        <v>2734668</v>
      </c>
      <c r="E46">
        <f>'Monthly Data (14-23) Used'!AG46</f>
        <v>4.8000000000000007</v>
      </c>
      <c r="F46">
        <f>'Monthly Data (14-23) Used'!AF46</f>
        <v>90.999999999999986</v>
      </c>
      <c r="G46" s="64">
        <f t="shared" ca="1" si="8"/>
        <v>5.87</v>
      </c>
      <c r="H46" s="64">
        <f t="shared" ca="1" si="8"/>
        <v>90.709343102577066</v>
      </c>
      <c r="I46">
        <f>'Monthly Data (14-23) Used'!BZ46</f>
        <v>0</v>
      </c>
      <c r="J46">
        <f>'Monthly Data (14-23) Used'!AR46</f>
        <v>166</v>
      </c>
      <c r="L46" s="6"/>
      <c r="M46" s="6">
        <f t="shared" ca="1" si="9"/>
        <v>961.60525052061882</v>
      </c>
      <c r="N46" s="6">
        <f t="shared" ca="1" si="10"/>
        <v>-1079.9450572422791</v>
      </c>
      <c r="O46" s="6"/>
      <c r="P46" s="6"/>
      <c r="Q46" s="6">
        <f t="shared" ca="1" si="11"/>
        <v>2734549.6601932785</v>
      </c>
    </row>
    <row r="47" spans="1:17">
      <c r="A47" s="197">
        <v>43009</v>
      </c>
      <c r="B47">
        <f t="shared" si="6"/>
        <v>10</v>
      </c>
      <c r="C47">
        <f t="shared" si="7"/>
        <v>2017</v>
      </c>
      <c r="D47" s="6">
        <f>'Monthly Data (14-23) Used'!X47</f>
        <v>2665747</v>
      </c>
      <c r="E47">
        <f>'Monthly Data (14-23) Used'!AG47</f>
        <v>71</v>
      </c>
      <c r="F47">
        <f>'Monthly Data (14-23) Used'!AF47</f>
        <v>27.5</v>
      </c>
      <c r="G47" s="64">
        <f t="shared" ca="1" si="8"/>
        <v>99.500656897422942</v>
      </c>
      <c r="H47" s="64">
        <f t="shared" ca="1" si="8"/>
        <v>20.479999999999997</v>
      </c>
      <c r="I47">
        <f>'Monthly Data (14-23) Used'!BZ47</f>
        <v>1</v>
      </c>
      <c r="J47">
        <f>'Monthly Data (14-23) Used'!AR47</f>
        <v>164</v>
      </c>
      <c r="L47" s="6"/>
      <c r="M47" s="6">
        <f t="shared" ca="1" si="9"/>
        <v>25613.440482101501</v>
      </c>
      <c r="N47" s="6">
        <f t="shared" ca="1" si="10"/>
        <v>-26083.035940515663</v>
      </c>
      <c r="O47" s="6"/>
      <c r="P47" s="6"/>
      <c r="Q47" s="6">
        <f t="shared" ca="1" si="11"/>
        <v>2665277.4045415856</v>
      </c>
    </row>
    <row r="48" spans="1:17">
      <c r="A48" s="197">
        <v>43040</v>
      </c>
      <c r="B48">
        <f t="shared" si="6"/>
        <v>11</v>
      </c>
      <c r="C48">
        <f t="shared" si="7"/>
        <v>2017</v>
      </c>
      <c r="D48" s="6">
        <f>'Monthly Data (14-23) Used'!X48</f>
        <v>2738878</v>
      </c>
      <c r="E48">
        <f>'Monthly Data (14-23) Used'!AG48</f>
        <v>294.93552299140987</v>
      </c>
      <c r="F48">
        <f>'Monthly Data (14-23) Used'!AF48</f>
        <v>0</v>
      </c>
      <c r="G48" s="64">
        <f t="shared" ca="1" si="8"/>
        <v>286.30065689742298</v>
      </c>
      <c r="H48" s="64">
        <f t="shared" ca="1" si="8"/>
        <v>0.6699999999999996</v>
      </c>
      <c r="I48">
        <f>'Monthly Data (14-23) Used'!BZ48</f>
        <v>1</v>
      </c>
      <c r="J48">
        <f>'Monthly Data (14-23) Used'!AR48</f>
        <v>165.3</v>
      </c>
      <c r="L48" s="6"/>
      <c r="M48" s="6">
        <f t="shared" ca="1" si="9"/>
        <v>-7760.1239004862264</v>
      </c>
      <c r="N48" s="6">
        <f t="shared" ca="1" si="10"/>
        <v>2489.4065641232874</v>
      </c>
      <c r="O48" s="6"/>
      <c r="P48" s="6"/>
      <c r="Q48" s="6">
        <f t="shared" ca="1" si="11"/>
        <v>2733607.2826636373</v>
      </c>
    </row>
    <row r="49" spans="1:17">
      <c r="A49" s="197">
        <v>43070</v>
      </c>
      <c r="B49">
        <f t="shared" si="6"/>
        <v>12</v>
      </c>
      <c r="C49">
        <f t="shared" si="7"/>
        <v>2017</v>
      </c>
      <c r="D49" s="6">
        <f>'Monthly Data (14-23) Used'!X49</f>
        <v>2623050</v>
      </c>
      <c r="E49">
        <f>'Monthly Data (14-23) Used'!AG49</f>
        <v>548.00000000000011</v>
      </c>
      <c r="F49">
        <f>'Monthly Data (14-23) Used'!AF49</f>
        <v>0</v>
      </c>
      <c r="G49" s="64">
        <f t="shared" ca="1" si="8"/>
        <v>409.7700000000001</v>
      </c>
      <c r="H49" s="64">
        <f t="shared" ca="1" si="8"/>
        <v>0</v>
      </c>
      <c r="I49">
        <f>'Monthly Data (14-23) Used'!BZ49</f>
        <v>0</v>
      </c>
      <c r="J49">
        <f>'Monthly Data (14-23) Used'!AR49</f>
        <v>165.8</v>
      </c>
      <c r="L49" s="6"/>
      <c r="M49" s="6">
        <f t="shared" ca="1" si="9"/>
        <v>-124226.81661632266</v>
      </c>
      <c r="N49" s="6">
        <f t="shared" ca="1" si="10"/>
        <v>0</v>
      </c>
      <c r="O49" s="6"/>
      <c r="P49" s="6"/>
      <c r="Q49" s="6">
        <f t="shared" ca="1" si="11"/>
        <v>2498823.1833836772</v>
      </c>
    </row>
    <row r="50" spans="1:17">
      <c r="A50" s="197">
        <v>43101</v>
      </c>
      <c r="B50">
        <f t="shared" si="6"/>
        <v>1</v>
      </c>
      <c r="C50">
        <f t="shared" si="7"/>
        <v>2018</v>
      </c>
      <c r="D50" s="6">
        <f>'Monthly Data (14-23) Used'!X50</f>
        <v>2945901</v>
      </c>
      <c r="E50">
        <f>'Monthly Data (14-23) Used'!AG50</f>
        <v>581.6</v>
      </c>
      <c r="F50">
        <f>'Monthly Data (14-23) Used'!AF50</f>
        <v>0</v>
      </c>
      <c r="G50" s="64">
        <f t="shared" ca="1" si="8"/>
        <v>546.99999999999989</v>
      </c>
      <c r="H50" s="64">
        <f t="shared" ca="1" si="8"/>
        <v>0</v>
      </c>
      <c r="I50">
        <f>'Monthly Data (14-23) Used'!BZ50</f>
        <v>0</v>
      </c>
      <c r="J50">
        <f>'Monthly Data (14-23) Used'!AR50</f>
        <v>168.3</v>
      </c>
      <c r="L50" s="6"/>
      <c r="M50" s="6">
        <f t="shared" ca="1" si="9"/>
        <v>-31094.898755152863</v>
      </c>
      <c r="N50" s="6">
        <f t="shared" ca="1" si="10"/>
        <v>0</v>
      </c>
      <c r="O50" s="6"/>
      <c r="P50" s="6"/>
      <c r="Q50" s="6">
        <f t="shared" ca="1" si="11"/>
        <v>2914806.1012448473</v>
      </c>
    </row>
    <row r="51" spans="1:17">
      <c r="A51" s="197">
        <v>43132</v>
      </c>
      <c r="B51">
        <f t="shared" si="6"/>
        <v>2</v>
      </c>
      <c r="C51">
        <f t="shared" si="7"/>
        <v>2018</v>
      </c>
      <c r="D51" s="6">
        <f>'Monthly Data (14-23) Used'!X51</f>
        <v>2641888</v>
      </c>
      <c r="E51">
        <f>'Monthly Data (14-23) Used'!AG51</f>
        <v>432.49999999999994</v>
      </c>
      <c r="F51">
        <f>'Monthly Data (14-23) Used'!AF51</f>
        <v>0</v>
      </c>
      <c r="G51" s="64">
        <f t="shared" ca="1" si="8"/>
        <v>482.71355229914104</v>
      </c>
      <c r="H51" s="64">
        <f t="shared" ca="1" si="8"/>
        <v>0</v>
      </c>
      <c r="I51">
        <f>'Monthly Data (14-23) Used'!BZ51</f>
        <v>0</v>
      </c>
      <c r="J51">
        <f>'Monthly Data (14-23) Used'!AR51</f>
        <v>165.4</v>
      </c>
      <c r="L51" s="6"/>
      <c r="M51" s="6">
        <f t="shared" ca="1" si="9"/>
        <v>45126.743493594207</v>
      </c>
      <c r="N51" s="6">
        <f t="shared" ca="1" si="10"/>
        <v>0</v>
      </c>
      <c r="O51" s="6"/>
      <c r="P51" s="6"/>
      <c r="Q51" s="6">
        <f t="shared" ca="1" si="11"/>
        <v>2687014.7434935942</v>
      </c>
    </row>
    <row r="52" spans="1:17">
      <c r="A52" s="197">
        <v>43160</v>
      </c>
      <c r="B52">
        <f t="shared" si="6"/>
        <v>3</v>
      </c>
      <c r="C52">
        <f t="shared" si="7"/>
        <v>2018</v>
      </c>
      <c r="D52" s="6">
        <f>'Monthly Data (14-23) Used'!X52</f>
        <v>2707092</v>
      </c>
      <c r="E52">
        <f>'Monthly Data (14-23) Used'!AG52</f>
        <v>410.40000000000009</v>
      </c>
      <c r="F52">
        <f>'Monthly Data (14-23) Used'!AF52</f>
        <v>0</v>
      </c>
      <c r="G52" s="64">
        <f t="shared" ca="1" si="8"/>
        <v>372.63355229914106</v>
      </c>
      <c r="H52" s="64">
        <f t="shared" ca="1" si="8"/>
        <v>0</v>
      </c>
      <c r="I52">
        <f>'Monthly Data (14-23) Used'!BZ52</f>
        <v>0</v>
      </c>
      <c r="J52">
        <f>'Monthly Data (14-23) Used'!AR52</f>
        <v>165.6</v>
      </c>
      <c r="L52" s="6"/>
      <c r="M52" s="6">
        <f t="shared" ca="1" si="9"/>
        <v>-33940.574208091981</v>
      </c>
      <c r="N52" s="6">
        <f t="shared" ca="1" si="10"/>
        <v>0</v>
      </c>
      <c r="O52" s="6"/>
      <c r="P52" s="6"/>
      <c r="Q52" s="6">
        <f t="shared" ca="1" si="11"/>
        <v>2673151.4257919081</v>
      </c>
    </row>
    <row r="53" spans="1:17">
      <c r="A53" s="197">
        <v>43191</v>
      </c>
      <c r="B53">
        <f t="shared" si="6"/>
        <v>4</v>
      </c>
      <c r="C53">
        <f t="shared" si="7"/>
        <v>2018</v>
      </c>
      <c r="D53" s="6">
        <f>'Monthly Data (14-23) Used'!X53</f>
        <v>2546244</v>
      </c>
      <c r="E53">
        <f>'Monthly Data (14-23) Used'!AG53</f>
        <v>275.70000000000005</v>
      </c>
      <c r="F53">
        <f>'Monthly Data (14-23) Used'!AF53</f>
        <v>0</v>
      </c>
      <c r="G53" s="64">
        <f t="shared" ca="1" si="8"/>
        <v>184.31</v>
      </c>
      <c r="H53" s="64">
        <f t="shared" ca="1" si="8"/>
        <v>3.0799999999999996</v>
      </c>
      <c r="I53">
        <f>'Monthly Data (14-23) Used'!BZ53</f>
        <v>0</v>
      </c>
      <c r="J53">
        <f>'Monthly Data (14-23) Used'!AR53</f>
        <v>166</v>
      </c>
      <c r="L53" s="6"/>
      <c r="M53" s="6">
        <f t="shared" ca="1" si="9"/>
        <v>-82131.872752410694</v>
      </c>
      <c r="N53" s="6">
        <f t="shared" ca="1" si="10"/>
        <v>11443.839130596609</v>
      </c>
      <c r="O53" s="6"/>
      <c r="P53" s="6"/>
      <c r="Q53" s="6">
        <f t="shared" ca="1" si="11"/>
        <v>2475555.9663781859</v>
      </c>
    </row>
    <row r="54" spans="1:17">
      <c r="A54" s="197">
        <v>43221</v>
      </c>
      <c r="B54">
        <f t="shared" ref="B54:B113" si="12">MONTH(A54)</f>
        <v>5</v>
      </c>
      <c r="C54">
        <f t="shared" ref="C54:C113" si="13">YEAR(A54)</f>
        <v>2018</v>
      </c>
      <c r="D54" s="6">
        <f>'Monthly Data (14-23) Used'!X54</f>
        <v>2646635</v>
      </c>
      <c r="E54">
        <f>'Monthly Data (14-23) Used'!AG54</f>
        <v>16.699999999999996</v>
      </c>
      <c r="F54">
        <f>'Monthly Data (14-23) Used'!AF54</f>
        <v>82.1</v>
      </c>
      <c r="G54" s="64">
        <f t="shared" ref="G54:H73" ca="1" si="14">G42</f>
        <v>47.083552299140976</v>
      </c>
      <c r="H54" s="64">
        <f t="shared" ca="1" si="14"/>
        <v>53.286447700859014</v>
      </c>
      <c r="I54">
        <f>'Monthly Data (14-23) Used'!BZ54</f>
        <v>0</v>
      </c>
      <c r="J54">
        <f>'Monthly Data (14-23) Used'!AR54</f>
        <v>166.1</v>
      </c>
      <c r="L54" s="6"/>
      <c r="M54" s="6">
        <f t="shared" ca="1" si="9"/>
        <v>27305.591981609163</v>
      </c>
      <c r="N54" s="6">
        <f t="shared" ca="1" si="10"/>
        <v>-107057.6809390914</v>
      </c>
      <c r="O54" s="6"/>
      <c r="P54" s="6"/>
      <c r="Q54" s="6">
        <f t="shared" ca="1" si="11"/>
        <v>2566882.911042518</v>
      </c>
    </row>
    <row r="55" spans="1:17">
      <c r="A55" s="197">
        <v>43252</v>
      </c>
      <c r="B55">
        <f t="shared" si="12"/>
        <v>6</v>
      </c>
      <c r="C55">
        <f t="shared" si="13"/>
        <v>2018</v>
      </c>
      <c r="D55" s="6">
        <f>'Monthly Data (14-23) Used'!X55</f>
        <v>2755014</v>
      </c>
      <c r="E55">
        <f>'Monthly Data (14-23) Used'!AG55</f>
        <v>0</v>
      </c>
      <c r="F55">
        <f>'Monthly Data (14-23) Used'!AF55</f>
        <v>148.80000000000001</v>
      </c>
      <c r="G55" s="64">
        <f t="shared" ca="1" si="14"/>
        <v>0.4200000000000001</v>
      </c>
      <c r="H55" s="64">
        <f t="shared" ca="1" si="14"/>
        <v>145.07</v>
      </c>
      <c r="I55">
        <f>'Monthly Data (14-23) Used'!BZ55</f>
        <v>0</v>
      </c>
      <c r="J55">
        <f>'Monthly Data (14-23) Used'!AR55</f>
        <v>164.3</v>
      </c>
      <c r="L55" s="6"/>
      <c r="M55" s="6">
        <f t="shared" ref="M55:M113" ca="1" si="15">(G55-E55)*$U$10</f>
        <v>377.45252824173855</v>
      </c>
      <c r="N55" s="6">
        <f t="shared" ref="N55:N113" ca="1" si="16">(H55-F55)*$U$11</f>
        <v>-13858.935051014794</v>
      </c>
      <c r="O55" s="6"/>
      <c r="P55" s="6"/>
      <c r="Q55" s="6">
        <f t="shared" ref="Q55:Q113" ca="1" si="17">SUM(D55,L55:P55)</f>
        <v>2741532.5174772269</v>
      </c>
    </row>
    <row r="56" spans="1:17">
      <c r="A56" s="197">
        <v>43282</v>
      </c>
      <c r="B56">
        <f t="shared" si="12"/>
        <v>7</v>
      </c>
      <c r="C56">
        <f t="shared" si="13"/>
        <v>2018</v>
      </c>
      <c r="D56" s="6">
        <f>'Monthly Data (14-23) Used'!X56</f>
        <v>2895706</v>
      </c>
      <c r="E56">
        <f>'Monthly Data (14-23) Used'!AG56</f>
        <v>0</v>
      </c>
      <c r="F56">
        <f>'Monthly Data (14-23) Used'!AF56</f>
        <v>225.1</v>
      </c>
      <c r="G56" s="64">
        <f t="shared" ca="1" si="14"/>
        <v>0</v>
      </c>
      <c r="H56" s="64">
        <f t="shared" ca="1" si="14"/>
        <v>211.23289540171805</v>
      </c>
      <c r="I56">
        <f>'Monthly Data (14-23) Used'!BZ56</f>
        <v>0</v>
      </c>
      <c r="J56">
        <f>'Monthly Data (14-23) Used'!AR56</f>
        <v>164.1</v>
      </c>
      <c r="L56" s="6"/>
      <c r="M56" s="6">
        <f t="shared" ca="1" si="15"/>
        <v>0</v>
      </c>
      <c r="N56" s="6">
        <f t="shared" ca="1" si="16"/>
        <v>-51523.673451264629</v>
      </c>
      <c r="O56" s="6"/>
      <c r="P56" s="6"/>
      <c r="Q56" s="6">
        <f t="shared" ca="1" si="17"/>
        <v>2844182.3265487351</v>
      </c>
    </row>
    <row r="57" spans="1:17">
      <c r="A57" s="197">
        <v>43313</v>
      </c>
      <c r="B57">
        <f t="shared" si="12"/>
        <v>8</v>
      </c>
      <c r="C57">
        <f t="shared" si="13"/>
        <v>2018</v>
      </c>
      <c r="D57" s="6">
        <f>'Monthly Data (14-23) Used'!X57</f>
        <v>2972667</v>
      </c>
      <c r="E57">
        <f>'Monthly Data (14-23) Used'!AG57</f>
        <v>0</v>
      </c>
      <c r="F57">
        <f>'Monthly Data (14-23) Used'!AF57</f>
        <v>221.79999999999995</v>
      </c>
      <c r="G57" s="64">
        <f t="shared" ca="1" si="14"/>
        <v>0</v>
      </c>
      <c r="H57" s="64">
        <f t="shared" ca="1" si="14"/>
        <v>183.87605861546231</v>
      </c>
      <c r="I57">
        <f>'Monthly Data (14-23) Used'!BZ57</f>
        <v>0</v>
      </c>
      <c r="J57">
        <f>'Monthly Data (14-23) Used'!AR57</f>
        <v>163.9</v>
      </c>
      <c r="L57" s="6"/>
      <c r="M57" s="6">
        <f t="shared" ca="1" si="15"/>
        <v>0</v>
      </c>
      <c r="N57" s="6">
        <f t="shared" ca="1" si="16"/>
        <v>-140907.62480611171</v>
      </c>
      <c r="O57" s="6"/>
      <c r="P57" s="6"/>
      <c r="Q57" s="6">
        <f t="shared" ca="1" si="17"/>
        <v>2831759.3751938883</v>
      </c>
    </row>
    <row r="58" spans="1:17">
      <c r="A58" s="197">
        <v>43344</v>
      </c>
      <c r="B58">
        <f t="shared" si="12"/>
        <v>9</v>
      </c>
      <c r="C58">
        <f t="shared" si="13"/>
        <v>2018</v>
      </c>
      <c r="D58" s="6">
        <f>'Monthly Data (14-23) Used'!X58</f>
        <v>2476319</v>
      </c>
      <c r="E58">
        <f>'Monthly Data (14-23) Used'!AG58</f>
        <v>7.4000000000000021</v>
      </c>
      <c r="F58">
        <f>'Monthly Data (14-23) Used'!AF58</f>
        <v>125.1</v>
      </c>
      <c r="G58" s="64">
        <f t="shared" ca="1" si="14"/>
        <v>5.87</v>
      </c>
      <c r="H58" s="64">
        <f t="shared" ca="1" si="14"/>
        <v>90.709343102577066</v>
      </c>
      <c r="I58">
        <f>'Monthly Data (14-23) Used'!BZ58</f>
        <v>0</v>
      </c>
      <c r="J58">
        <f>'Monthly Data (14-23) Used'!AR58</f>
        <v>164.4</v>
      </c>
      <c r="L58" s="6"/>
      <c r="M58" s="6">
        <f t="shared" ca="1" si="15"/>
        <v>-1375.0056385949063</v>
      </c>
      <c r="N58" s="6">
        <f t="shared" ca="1" si="16"/>
        <v>-127779.59257456193</v>
      </c>
      <c r="O58" s="6"/>
      <c r="P58" s="6"/>
      <c r="Q58" s="6">
        <f t="shared" ca="1" si="17"/>
        <v>2347164.4017868433</v>
      </c>
    </row>
    <row r="59" spans="1:17">
      <c r="A59" s="197">
        <v>43374</v>
      </c>
      <c r="B59">
        <f t="shared" si="12"/>
        <v>10</v>
      </c>
      <c r="C59">
        <f t="shared" si="13"/>
        <v>2018</v>
      </c>
      <c r="D59" s="6">
        <f>'Monthly Data (14-23) Used'!X59</f>
        <v>2237779</v>
      </c>
      <c r="E59">
        <f>'Monthly Data (14-23) Used'!AG59</f>
        <v>145.99999999999997</v>
      </c>
      <c r="F59">
        <f>'Monthly Data (14-23) Used'!AF59</f>
        <v>31.8</v>
      </c>
      <c r="G59" s="64">
        <f t="shared" ca="1" si="14"/>
        <v>99.500656897422942</v>
      </c>
      <c r="H59" s="64">
        <f t="shared" ca="1" si="14"/>
        <v>20.479999999999997</v>
      </c>
      <c r="I59">
        <f>'Monthly Data (14-23) Used'!BZ59</f>
        <v>1</v>
      </c>
      <c r="J59">
        <f>'Monthly Data (14-23) Used'!AR59</f>
        <v>164.9</v>
      </c>
      <c r="L59" s="6"/>
      <c r="M59" s="6">
        <f t="shared" ca="1" si="15"/>
        <v>-41788.796703923195</v>
      </c>
      <c r="N59" s="6">
        <f t="shared" ca="1" si="16"/>
        <v>-42059.824337127815</v>
      </c>
      <c r="O59" s="6"/>
      <c r="P59" s="6"/>
      <c r="Q59" s="6">
        <f t="shared" ca="1" si="17"/>
        <v>2153930.3789589494</v>
      </c>
    </row>
    <row r="60" spans="1:17">
      <c r="A60" s="197">
        <v>43405</v>
      </c>
      <c r="B60">
        <f t="shared" si="12"/>
        <v>11</v>
      </c>
      <c r="C60">
        <f t="shared" si="13"/>
        <v>2018</v>
      </c>
      <c r="D60" s="6">
        <f>'Monthly Data (14-23) Used'!X60</f>
        <v>2748670</v>
      </c>
      <c r="E60">
        <f>'Monthly Data (14-23) Used'!AG60</f>
        <v>365.73552299140988</v>
      </c>
      <c r="F60">
        <f>'Monthly Data (14-23) Used'!AF60</f>
        <v>0</v>
      </c>
      <c r="G60" s="64">
        <f t="shared" ca="1" si="14"/>
        <v>286.30065689742298</v>
      </c>
      <c r="H60" s="64">
        <f t="shared" ca="1" si="14"/>
        <v>0.6699999999999996</v>
      </c>
      <c r="I60">
        <f>'Monthly Data (14-23) Used'!BZ60</f>
        <v>1</v>
      </c>
      <c r="J60">
        <f>'Monthly Data (14-23) Used'!AR60</f>
        <v>168.2</v>
      </c>
      <c r="L60" s="6"/>
      <c r="M60" s="6">
        <f t="shared" ca="1" si="15"/>
        <v>-71387.835804093571</v>
      </c>
      <c r="N60" s="6">
        <f t="shared" ca="1" si="16"/>
        <v>2489.4065641232874</v>
      </c>
      <c r="O60" s="6"/>
      <c r="P60" s="6"/>
      <c r="Q60" s="6">
        <f t="shared" ca="1" si="17"/>
        <v>2679771.5707600298</v>
      </c>
    </row>
    <row r="61" spans="1:17">
      <c r="A61" s="197">
        <v>43435</v>
      </c>
      <c r="B61">
        <f t="shared" si="12"/>
        <v>12</v>
      </c>
      <c r="C61">
        <f t="shared" si="13"/>
        <v>2018</v>
      </c>
      <c r="D61" s="6">
        <f>'Monthly Data (14-23) Used'!X61</f>
        <v>2349326</v>
      </c>
      <c r="E61">
        <f>'Monthly Data (14-23) Used'!AG61</f>
        <v>409.79999999999995</v>
      </c>
      <c r="F61">
        <f>'Monthly Data (14-23) Used'!AF61</f>
        <v>0</v>
      </c>
      <c r="G61" s="64">
        <f t="shared" ca="1" si="14"/>
        <v>409.7700000000001</v>
      </c>
      <c r="H61" s="64">
        <f t="shared" ca="1" si="14"/>
        <v>0</v>
      </c>
      <c r="I61">
        <f>'Monthly Data (14-23) Used'!BZ61</f>
        <v>0</v>
      </c>
      <c r="J61">
        <f>'Monthly Data (14-23) Used'!AR61</f>
        <v>170.2</v>
      </c>
      <c r="L61" s="6"/>
      <c r="M61" s="6">
        <f t="shared" ca="1" si="15"/>
        <v>-26.960894874283198</v>
      </c>
      <c r="N61" s="6">
        <f t="shared" ca="1" si="16"/>
        <v>0</v>
      </c>
      <c r="O61" s="6"/>
      <c r="P61" s="6"/>
      <c r="Q61" s="6">
        <f t="shared" ca="1" si="17"/>
        <v>2349299.0391051257</v>
      </c>
    </row>
    <row r="62" spans="1:17">
      <c r="A62" s="197">
        <v>43466</v>
      </c>
      <c r="B62">
        <f t="shared" si="12"/>
        <v>1</v>
      </c>
      <c r="C62">
        <f t="shared" si="13"/>
        <v>2019</v>
      </c>
      <c r="D62" s="6">
        <f>'Monthly Data (14-23) Used'!X62</f>
        <v>2994820</v>
      </c>
      <c r="E62">
        <f>'Monthly Data (14-23) Used'!AG62</f>
        <v>587.79999999999995</v>
      </c>
      <c r="F62">
        <f>'Monthly Data (14-23) Used'!AF62</f>
        <v>0</v>
      </c>
      <c r="G62" s="64">
        <f t="shared" ca="1" si="14"/>
        <v>546.99999999999989</v>
      </c>
      <c r="H62" s="64">
        <f t="shared" ca="1" si="14"/>
        <v>0</v>
      </c>
      <c r="I62">
        <f>'Monthly Data (14-23) Used'!BZ62</f>
        <v>0</v>
      </c>
      <c r="J62">
        <f>'Monthly Data (14-23) Used'!AR62</f>
        <v>172.7</v>
      </c>
      <c r="L62" s="6"/>
      <c r="M62" s="6">
        <f t="shared" ca="1" si="15"/>
        <v>-36666.817029197511</v>
      </c>
      <c r="N62" s="6">
        <f t="shared" ca="1" si="16"/>
        <v>0</v>
      </c>
      <c r="O62" s="6"/>
      <c r="P62" s="6"/>
      <c r="Q62" s="6">
        <f t="shared" ca="1" si="17"/>
        <v>2958153.1829708023</v>
      </c>
    </row>
    <row r="63" spans="1:17">
      <c r="A63" s="197">
        <v>43497</v>
      </c>
      <c r="B63">
        <f t="shared" si="12"/>
        <v>2</v>
      </c>
      <c r="C63">
        <f t="shared" si="13"/>
        <v>2019</v>
      </c>
      <c r="D63" s="6">
        <f>'Monthly Data (14-23) Used'!X63</f>
        <v>2804290</v>
      </c>
      <c r="E63">
        <f>'Monthly Data (14-23) Used'!AG63</f>
        <v>468.9</v>
      </c>
      <c r="F63">
        <f>'Monthly Data (14-23) Used'!AF63</f>
        <v>0</v>
      </c>
      <c r="G63" s="64">
        <f t="shared" ca="1" si="14"/>
        <v>482.71355229914104</v>
      </c>
      <c r="H63" s="64">
        <f t="shared" ca="1" si="14"/>
        <v>0</v>
      </c>
      <c r="I63">
        <f>'Monthly Data (14-23) Used'!BZ63</f>
        <v>0</v>
      </c>
      <c r="J63">
        <f>'Monthly Data (14-23) Used'!AR63</f>
        <v>173.5</v>
      </c>
      <c r="L63" s="6"/>
      <c r="M63" s="6">
        <f t="shared" ca="1" si="15"/>
        <v>12414.191045976842</v>
      </c>
      <c r="N63" s="6">
        <f t="shared" ca="1" si="16"/>
        <v>0</v>
      </c>
      <c r="O63" s="6"/>
      <c r="P63" s="6"/>
      <c r="Q63" s="6">
        <f t="shared" ca="1" si="17"/>
        <v>2816704.1910459767</v>
      </c>
    </row>
    <row r="64" spans="1:17">
      <c r="A64" s="197">
        <v>43525</v>
      </c>
      <c r="B64">
        <f t="shared" si="12"/>
        <v>3</v>
      </c>
      <c r="C64">
        <f t="shared" si="13"/>
        <v>2019</v>
      </c>
      <c r="D64" s="6">
        <f>'Monthly Data (14-23) Used'!X64</f>
        <v>2876384</v>
      </c>
      <c r="E64">
        <f>'Monthly Data (14-23) Used'!AG64</f>
        <v>425.39999999999992</v>
      </c>
      <c r="F64">
        <f>'Monthly Data (14-23) Used'!AF64</f>
        <v>0</v>
      </c>
      <c r="G64" s="64">
        <f t="shared" ca="1" si="14"/>
        <v>372.63355229914106</v>
      </c>
      <c r="H64" s="64">
        <f t="shared" ca="1" si="14"/>
        <v>0</v>
      </c>
      <c r="I64">
        <f>'Monthly Data (14-23) Used'!BZ64</f>
        <v>0</v>
      </c>
      <c r="J64">
        <f>'Monthly Data (14-23) Used'!AR64</f>
        <v>175.2</v>
      </c>
      <c r="L64" s="6"/>
      <c r="M64" s="6">
        <f t="shared" ca="1" si="15"/>
        <v>-47421.021645296772</v>
      </c>
      <c r="N64" s="6">
        <f t="shared" ca="1" si="16"/>
        <v>0</v>
      </c>
      <c r="O64" s="6"/>
      <c r="P64" s="6"/>
      <c r="Q64" s="6">
        <f t="shared" ca="1" si="17"/>
        <v>2828962.9783547032</v>
      </c>
    </row>
    <row r="65" spans="1:17">
      <c r="A65" s="197">
        <v>43556</v>
      </c>
      <c r="B65">
        <f t="shared" si="12"/>
        <v>4</v>
      </c>
      <c r="C65">
        <f t="shared" si="13"/>
        <v>2019</v>
      </c>
      <c r="D65" s="6">
        <f>'Monthly Data (14-23) Used'!X65</f>
        <v>2696906</v>
      </c>
      <c r="E65">
        <f>'Monthly Data (14-23) Used'!AG65</f>
        <v>162.30000000000001</v>
      </c>
      <c r="F65">
        <f>'Monthly Data (14-23) Used'!AF65</f>
        <v>0.39999999999999858</v>
      </c>
      <c r="G65" s="64">
        <f t="shared" ca="1" si="14"/>
        <v>184.31</v>
      </c>
      <c r="H65" s="64">
        <f t="shared" ca="1" si="14"/>
        <v>3.0799999999999996</v>
      </c>
      <c r="I65">
        <f>'Monthly Data (14-23) Used'!BZ65</f>
        <v>0</v>
      </c>
      <c r="J65">
        <f>'Monthly Data (14-23) Used'!AR65</f>
        <v>175.5</v>
      </c>
      <c r="L65" s="6"/>
      <c r="M65" s="6">
        <f t="shared" ca="1" si="15"/>
        <v>19780.309872858714</v>
      </c>
      <c r="N65" s="6">
        <f t="shared" ca="1" si="16"/>
        <v>9957.6262564931585</v>
      </c>
      <c r="O65" s="6"/>
      <c r="P65" s="6"/>
      <c r="Q65" s="6">
        <f t="shared" ca="1" si="17"/>
        <v>2726643.9361293521</v>
      </c>
    </row>
    <row r="66" spans="1:17">
      <c r="A66" s="197">
        <v>43586</v>
      </c>
      <c r="B66">
        <f t="shared" si="12"/>
        <v>5</v>
      </c>
      <c r="C66">
        <f t="shared" si="13"/>
        <v>2019</v>
      </c>
      <c r="D66" s="6">
        <f>'Monthly Data (14-23) Used'!X66</f>
        <v>2767778</v>
      </c>
      <c r="E66">
        <f>'Monthly Data (14-23) Used'!AG66</f>
        <v>52.599999999999994</v>
      </c>
      <c r="F66">
        <f>'Monthly Data (14-23) Used'!AF66</f>
        <v>22.3</v>
      </c>
      <c r="G66" s="64">
        <f t="shared" ca="1" si="14"/>
        <v>47.083552299140976</v>
      </c>
      <c r="H66" s="64">
        <f t="shared" ca="1" si="14"/>
        <v>53.286447700859014</v>
      </c>
      <c r="I66">
        <f>'Monthly Data (14-23) Used'!BZ66</f>
        <v>0</v>
      </c>
      <c r="J66">
        <f>'Monthly Data (14-23) Used'!AR66</f>
        <v>176.6</v>
      </c>
      <c r="L66" s="6"/>
      <c r="M66" s="6">
        <f t="shared" ca="1" si="15"/>
        <v>-4957.612218101337</v>
      </c>
      <c r="N66" s="6">
        <f t="shared" ca="1" si="16"/>
        <v>115131.14373937524</v>
      </c>
      <c r="O66" s="6"/>
      <c r="P66" s="6"/>
      <c r="Q66" s="6">
        <f t="shared" ca="1" si="17"/>
        <v>2877951.5315212738</v>
      </c>
    </row>
    <row r="67" spans="1:17">
      <c r="A67" s="197">
        <v>43617</v>
      </c>
      <c r="B67">
        <f t="shared" si="12"/>
        <v>6</v>
      </c>
      <c r="C67">
        <f t="shared" si="13"/>
        <v>2019</v>
      </c>
      <c r="D67" s="6">
        <f>'Monthly Data (14-23) Used'!X67</f>
        <v>2804829</v>
      </c>
      <c r="E67">
        <f>'Monthly Data (14-23) Used'!AG67</f>
        <v>1.4000000000000004</v>
      </c>
      <c r="F67">
        <f>'Monthly Data (14-23) Used'!AF67</f>
        <v>103.1</v>
      </c>
      <c r="G67" s="64">
        <f t="shared" ca="1" si="14"/>
        <v>0.4200000000000001</v>
      </c>
      <c r="H67" s="64">
        <f t="shared" ca="1" si="14"/>
        <v>145.07</v>
      </c>
      <c r="I67">
        <f>'Monthly Data (14-23) Used'!BZ67</f>
        <v>0</v>
      </c>
      <c r="J67">
        <f>'Monthly Data (14-23) Used'!AR67</f>
        <v>174.6</v>
      </c>
      <c r="L67" s="6"/>
      <c r="M67" s="6">
        <f t="shared" ca="1" si="15"/>
        <v>-880.72256589738993</v>
      </c>
      <c r="N67" s="6">
        <f t="shared" ca="1" si="16"/>
        <v>155940.88581530511</v>
      </c>
      <c r="O67" s="6"/>
      <c r="P67" s="6"/>
      <c r="Q67" s="6">
        <f t="shared" ca="1" si="17"/>
        <v>2959889.1632494079</v>
      </c>
    </row>
    <row r="68" spans="1:17">
      <c r="A68" s="197">
        <v>43647</v>
      </c>
      <c r="B68">
        <f t="shared" si="12"/>
        <v>7</v>
      </c>
      <c r="C68">
        <f t="shared" si="13"/>
        <v>2019</v>
      </c>
      <c r="D68" s="6">
        <f>'Monthly Data (14-23) Used'!X68</f>
        <v>3303632</v>
      </c>
      <c r="E68">
        <f>'Monthly Data (14-23) Used'!AG68</f>
        <v>0</v>
      </c>
      <c r="F68">
        <f>'Monthly Data (14-23) Used'!AF68</f>
        <v>252.46447700859022</v>
      </c>
      <c r="G68" s="64">
        <f t="shared" ca="1" si="14"/>
        <v>0</v>
      </c>
      <c r="H68" s="64">
        <f t="shared" ca="1" si="14"/>
        <v>211.23289540171805</v>
      </c>
      <c r="I68">
        <f>'Monthly Data (14-23) Used'!BZ68</f>
        <v>0</v>
      </c>
      <c r="J68">
        <f>'Monthly Data (14-23) Used'!AR68</f>
        <v>171.5</v>
      </c>
      <c r="L68" s="6"/>
      <c r="M68" s="6">
        <f t="shared" ca="1" si="15"/>
        <v>0</v>
      </c>
      <c r="N68" s="6">
        <f t="shared" ca="1" si="16"/>
        <v>-153197.26850945168</v>
      </c>
      <c r="O68" s="6"/>
      <c r="P68" s="6"/>
      <c r="Q68" s="6">
        <f t="shared" ca="1" si="17"/>
        <v>3150434.7314905482</v>
      </c>
    </row>
    <row r="69" spans="1:17">
      <c r="A69" s="197">
        <v>43678</v>
      </c>
      <c r="B69">
        <f t="shared" si="12"/>
        <v>8</v>
      </c>
      <c r="C69">
        <f t="shared" si="13"/>
        <v>2019</v>
      </c>
      <c r="D69" s="6">
        <f>'Monthly Data (14-23) Used'!X69</f>
        <v>3098231</v>
      </c>
      <c r="E69">
        <f>'Monthly Data (14-23) Used'!AG69</f>
        <v>0</v>
      </c>
      <c r="F69">
        <f>'Monthly Data (14-23) Used'!AF69</f>
        <v>185.96447700859014</v>
      </c>
      <c r="G69" s="64">
        <f t="shared" ca="1" si="14"/>
        <v>0</v>
      </c>
      <c r="H69" s="64">
        <f t="shared" ca="1" si="14"/>
        <v>183.87605861546231</v>
      </c>
      <c r="I69">
        <f>'Monthly Data (14-23) Used'!BZ69</f>
        <v>0</v>
      </c>
      <c r="J69">
        <f>'Monthly Data (14-23) Used'!AR69</f>
        <v>169.3</v>
      </c>
      <c r="L69" s="6"/>
      <c r="M69" s="6">
        <f t="shared" ca="1" si="15"/>
        <v>0</v>
      </c>
      <c r="N69" s="6">
        <f t="shared" ca="1" si="16"/>
        <v>-7759.585755952563</v>
      </c>
      <c r="O69" s="6"/>
      <c r="P69" s="6"/>
      <c r="Q69" s="6">
        <f t="shared" ca="1" si="17"/>
        <v>3090471.4142440474</v>
      </c>
    </row>
    <row r="70" spans="1:17">
      <c r="A70" s="197">
        <v>43709</v>
      </c>
      <c r="B70">
        <f t="shared" si="12"/>
        <v>9</v>
      </c>
      <c r="C70">
        <f t="shared" si="13"/>
        <v>2019</v>
      </c>
      <c r="D70" s="6">
        <f>'Monthly Data (14-23) Used'!X70</f>
        <v>2896036</v>
      </c>
      <c r="E70">
        <f>'Monthly Data (14-23) Used'!AG70</f>
        <v>0</v>
      </c>
      <c r="F70">
        <f>'Monthly Data (14-23) Used'!AF70</f>
        <v>98.300000000000011</v>
      </c>
      <c r="G70" s="64">
        <f t="shared" ca="1" si="14"/>
        <v>5.87</v>
      </c>
      <c r="H70" s="64">
        <f t="shared" ca="1" si="14"/>
        <v>90.709343102577066</v>
      </c>
      <c r="I70">
        <f>'Monthly Data (14-23) Used'!BZ70</f>
        <v>0</v>
      </c>
      <c r="J70">
        <f>'Monthly Data (14-23) Used'!AR70</f>
        <v>169.1</v>
      </c>
      <c r="L70" s="6"/>
      <c r="M70" s="6">
        <f t="shared" ca="1" si="15"/>
        <v>5275.348430426202</v>
      </c>
      <c r="N70" s="6">
        <f t="shared" ca="1" si="16"/>
        <v>-28203.330009630445</v>
      </c>
      <c r="O70" s="6"/>
      <c r="P70" s="6"/>
      <c r="Q70" s="6">
        <f t="shared" ca="1" si="17"/>
        <v>2873108.0184207959</v>
      </c>
    </row>
    <row r="71" spans="1:17">
      <c r="A71" s="197">
        <v>43739</v>
      </c>
      <c r="B71">
        <f t="shared" si="12"/>
        <v>10</v>
      </c>
      <c r="C71">
        <f t="shared" si="13"/>
        <v>2019</v>
      </c>
      <c r="D71" s="6">
        <f>'Monthly Data (14-23) Used'!X71</f>
        <v>2797177</v>
      </c>
      <c r="E71">
        <f>'Monthly Data (14-23) Used'!AG71</f>
        <v>96.199999999999989</v>
      </c>
      <c r="F71">
        <f>'Monthly Data (14-23) Used'!AF71</f>
        <v>13.3</v>
      </c>
      <c r="G71" s="64">
        <f t="shared" ca="1" si="14"/>
        <v>99.500656897422942</v>
      </c>
      <c r="H71" s="64">
        <f t="shared" ca="1" si="14"/>
        <v>20.479999999999997</v>
      </c>
      <c r="I71">
        <f>'Monthly Data (14-23) Used'!BZ71</f>
        <v>1</v>
      </c>
      <c r="J71">
        <f>'Monthly Data (14-23) Used'!AR71</f>
        <v>170.3</v>
      </c>
      <c r="L71" s="6"/>
      <c r="M71" s="6">
        <f t="shared" ca="1" si="15"/>
        <v>2966.2887875972056</v>
      </c>
      <c r="N71" s="6">
        <f t="shared" ca="1" si="16"/>
        <v>26677.521090157021</v>
      </c>
      <c r="O71" s="6"/>
      <c r="P71" s="6"/>
      <c r="Q71" s="6">
        <f t="shared" ca="1" si="17"/>
        <v>2826820.8098777542</v>
      </c>
    </row>
    <row r="72" spans="1:17">
      <c r="A72" s="197">
        <v>43770</v>
      </c>
      <c r="B72">
        <f t="shared" si="12"/>
        <v>11</v>
      </c>
      <c r="C72">
        <f t="shared" si="13"/>
        <v>2019</v>
      </c>
      <c r="D72" s="6">
        <f>'Monthly Data (14-23) Used'!X72</f>
        <v>2901691</v>
      </c>
      <c r="E72">
        <f>'Monthly Data (14-23) Used'!AG72</f>
        <v>375.2</v>
      </c>
      <c r="F72">
        <f>'Monthly Data (14-23) Used'!AF72</f>
        <v>0</v>
      </c>
      <c r="G72" s="64">
        <f t="shared" ca="1" si="14"/>
        <v>286.30065689742298</v>
      </c>
      <c r="H72" s="64">
        <f t="shared" ca="1" si="14"/>
        <v>0.6699999999999996</v>
      </c>
      <c r="I72">
        <f>'Monthly Data (14-23) Used'!BZ72</f>
        <v>1</v>
      </c>
      <c r="J72">
        <f>'Monthly Data (14-23) Used'!AR72</f>
        <v>168.5</v>
      </c>
      <c r="L72" s="6"/>
      <c r="M72" s="6">
        <f t="shared" ca="1" si="15"/>
        <v>-79893.52812642249</v>
      </c>
      <c r="N72" s="6">
        <f t="shared" ca="1" si="16"/>
        <v>2489.4065641232874</v>
      </c>
      <c r="O72" s="6"/>
      <c r="P72" s="6"/>
      <c r="Q72" s="6">
        <f t="shared" ca="1" si="17"/>
        <v>2824286.8784377011</v>
      </c>
    </row>
    <row r="73" spans="1:17">
      <c r="A73" s="197">
        <v>43800</v>
      </c>
      <c r="B73">
        <f t="shared" si="12"/>
        <v>12</v>
      </c>
      <c r="C73">
        <f t="shared" si="13"/>
        <v>2019</v>
      </c>
      <c r="D73" s="6">
        <f>'Monthly Data (14-23) Used'!X73</f>
        <v>2584611</v>
      </c>
      <c r="E73">
        <f>'Monthly Data (14-23) Used'!AG73</f>
        <v>403.90000000000009</v>
      </c>
      <c r="F73">
        <f>'Monthly Data (14-23) Used'!AF73</f>
        <v>0</v>
      </c>
      <c r="G73" s="64">
        <f t="shared" ca="1" si="14"/>
        <v>409.7700000000001</v>
      </c>
      <c r="H73" s="64">
        <f t="shared" ca="1" si="14"/>
        <v>0</v>
      </c>
      <c r="I73">
        <f>'Monthly Data (14-23) Used'!BZ73</f>
        <v>0</v>
      </c>
      <c r="J73">
        <f>'Monthly Data (14-23) Used'!AR73</f>
        <v>167.7</v>
      </c>
      <c r="L73" s="6"/>
      <c r="M73" s="6">
        <f t="shared" ca="1" si="15"/>
        <v>5275.3484304262056</v>
      </c>
      <c r="N73" s="6">
        <f t="shared" ca="1" si="16"/>
        <v>0</v>
      </c>
      <c r="O73" s="6"/>
      <c r="P73" s="6"/>
      <c r="Q73" s="6">
        <f t="shared" ca="1" si="17"/>
        <v>2589886.3484304263</v>
      </c>
    </row>
    <row r="74" spans="1:17">
      <c r="A74" s="197">
        <v>43831</v>
      </c>
      <c r="B74">
        <f t="shared" si="12"/>
        <v>1</v>
      </c>
      <c r="C74">
        <f t="shared" si="13"/>
        <v>2020</v>
      </c>
      <c r="D74" s="6">
        <f>'Monthly Data (14-23) Used'!X74</f>
        <v>2683483</v>
      </c>
      <c r="E74">
        <f>'Monthly Data (14-23) Used'!AG74</f>
        <v>437.2000000000001</v>
      </c>
      <c r="F74">
        <f>'Monthly Data (14-23) Used'!AF74</f>
        <v>0</v>
      </c>
      <c r="G74" s="64">
        <f t="shared" ref="G74:H93" ca="1" si="18">G62</f>
        <v>546.99999999999989</v>
      </c>
      <c r="H74" s="64">
        <f t="shared" ca="1" si="18"/>
        <v>0</v>
      </c>
      <c r="I74">
        <f>'Monthly Data (14-23) Used'!BZ74</f>
        <v>0</v>
      </c>
      <c r="J74">
        <f>'Monthly Data (14-23) Used'!AR74</f>
        <v>166.2</v>
      </c>
      <c r="L74" s="6"/>
      <c r="M74" s="6">
        <f t="shared" ca="1" si="15"/>
        <v>98676.875240339999</v>
      </c>
      <c r="N74" s="6">
        <f t="shared" ca="1" si="16"/>
        <v>0</v>
      </c>
      <c r="O74" s="6"/>
      <c r="P74" s="6"/>
      <c r="Q74" s="6">
        <f t="shared" ca="1" si="17"/>
        <v>2782159.8752403399</v>
      </c>
    </row>
    <row r="75" spans="1:17">
      <c r="A75" s="197">
        <v>43862</v>
      </c>
      <c r="B75">
        <f t="shared" si="12"/>
        <v>2</v>
      </c>
      <c r="C75">
        <f t="shared" si="13"/>
        <v>2020</v>
      </c>
      <c r="D75" s="6">
        <f>'Monthly Data (14-23) Used'!X75</f>
        <v>2439682</v>
      </c>
      <c r="E75">
        <f>'Monthly Data (14-23) Used'!AG75</f>
        <v>453.29999999999995</v>
      </c>
      <c r="F75">
        <f>'Monthly Data (14-23) Used'!AF75</f>
        <v>0</v>
      </c>
      <c r="G75" s="64">
        <f t="shared" ca="1" si="18"/>
        <v>482.71355229914104</v>
      </c>
      <c r="H75" s="64">
        <f t="shared" ca="1" si="18"/>
        <v>0</v>
      </c>
      <c r="I75">
        <f>'Monthly Data (14-23) Used'!BZ75</f>
        <v>0</v>
      </c>
      <c r="J75">
        <f>'Monthly Data (14-23) Used'!AR75</f>
        <v>167.8</v>
      </c>
      <c r="L75" s="6"/>
      <c r="M75" s="6">
        <f t="shared" ca="1" si="15"/>
        <v>26433.856380670008</v>
      </c>
      <c r="N75" s="6">
        <f t="shared" ca="1" si="16"/>
        <v>0</v>
      </c>
      <c r="O75" s="6"/>
      <c r="P75" s="6"/>
      <c r="Q75" s="6">
        <f t="shared" ca="1" si="17"/>
        <v>2466115.8563806699</v>
      </c>
    </row>
    <row r="76" spans="1:17">
      <c r="A76" s="197">
        <v>43891</v>
      </c>
      <c r="B76">
        <f t="shared" si="12"/>
        <v>3</v>
      </c>
      <c r="C76">
        <f t="shared" si="13"/>
        <v>2020</v>
      </c>
      <c r="D76" s="6">
        <f>'Monthly Data (14-23) Used'!X76</f>
        <v>2394362</v>
      </c>
      <c r="E76">
        <f>'Monthly Data (14-23) Used'!AG76</f>
        <v>298.20000000000005</v>
      </c>
      <c r="F76">
        <f>'Monthly Data (14-23) Used'!AF76</f>
        <v>0</v>
      </c>
      <c r="G76" s="64">
        <f t="shared" ca="1" si="18"/>
        <v>372.63355229914106</v>
      </c>
      <c r="H76" s="64">
        <f t="shared" ca="1" si="18"/>
        <v>0</v>
      </c>
      <c r="I76">
        <f>'Monthly Data (14-23) Used'!BZ76</f>
        <v>0</v>
      </c>
      <c r="J76">
        <f>'Monthly Data (14-23) Used'!AR76</f>
        <v>162</v>
      </c>
      <c r="L76" s="6"/>
      <c r="M76" s="6">
        <f t="shared" ca="1" si="15"/>
        <v>66893.172622201047</v>
      </c>
      <c r="N76" s="6">
        <f t="shared" ca="1" si="16"/>
        <v>0</v>
      </c>
      <c r="O76" s="6"/>
      <c r="P76" s="6"/>
      <c r="Q76" s="6">
        <f t="shared" ca="1" si="17"/>
        <v>2461255.172622201</v>
      </c>
    </row>
    <row r="77" spans="1:17">
      <c r="A77" s="197">
        <v>43922</v>
      </c>
      <c r="B77">
        <f t="shared" si="12"/>
        <v>4</v>
      </c>
      <c r="C77">
        <f t="shared" si="13"/>
        <v>2020</v>
      </c>
      <c r="D77" s="6">
        <f>'Monthly Data (14-23) Used'!X77</f>
        <v>1877577</v>
      </c>
      <c r="E77">
        <f>'Monthly Data (14-23) Used'!AG77</f>
        <v>219.2</v>
      </c>
      <c r="F77">
        <f>'Monthly Data (14-23) Used'!AF77</f>
        <v>0</v>
      </c>
      <c r="G77" s="64">
        <f t="shared" ca="1" si="18"/>
        <v>184.31</v>
      </c>
      <c r="H77" s="64">
        <f t="shared" ca="1" si="18"/>
        <v>3.0799999999999996</v>
      </c>
      <c r="I77">
        <f>'Monthly Data (14-23) Used'!BZ77</f>
        <v>0</v>
      </c>
      <c r="J77">
        <f>'Monthly Data (14-23) Used'!AR77</f>
        <v>149.1</v>
      </c>
      <c r="L77" s="6"/>
      <c r="M77" s="6">
        <f t="shared" ca="1" si="15"/>
        <v>-31355.520738938689</v>
      </c>
      <c r="N77" s="6">
        <f t="shared" ca="1" si="16"/>
        <v>11443.839130596609</v>
      </c>
      <c r="O77" s="6"/>
      <c r="P77" s="6"/>
      <c r="Q77" s="6">
        <f t="shared" ca="1" si="17"/>
        <v>1857665.3183916581</v>
      </c>
    </row>
    <row r="78" spans="1:17">
      <c r="A78" s="197">
        <v>43952</v>
      </c>
      <c r="B78">
        <f t="shared" si="12"/>
        <v>5</v>
      </c>
      <c r="C78">
        <f t="shared" si="13"/>
        <v>2020</v>
      </c>
      <c r="D78" s="6">
        <f>'Monthly Data (14-23) Used'!X78</f>
        <v>2179756</v>
      </c>
      <c r="E78">
        <f>'Monthly Data (14-23) Used'!AG78</f>
        <v>79.800000000000011</v>
      </c>
      <c r="F78">
        <f>'Monthly Data (14-23) Used'!AF78</f>
        <v>43.2</v>
      </c>
      <c r="G78" s="64">
        <f t="shared" ca="1" si="18"/>
        <v>47.083552299140976</v>
      </c>
      <c r="H78" s="64">
        <f t="shared" ca="1" si="18"/>
        <v>53.286447700859014</v>
      </c>
      <c r="I78">
        <f>'Monthly Data (14-23) Used'!BZ78</f>
        <v>0</v>
      </c>
      <c r="J78">
        <f>'Monthly Data (14-23) Used'!AR78</f>
        <v>137.69999999999999</v>
      </c>
      <c r="L78" s="6"/>
      <c r="M78" s="6">
        <f t="shared" ca="1" si="15"/>
        <v>-29402.156904232987</v>
      </c>
      <c r="N78" s="6">
        <f t="shared" ca="1" si="16"/>
        <v>37476.521067469665</v>
      </c>
      <c r="O78" s="6"/>
      <c r="P78" s="6"/>
      <c r="Q78" s="6">
        <f t="shared" ca="1" si="17"/>
        <v>2187830.3641632367</v>
      </c>
    </row>
    <row r="79" spans="1:17">
      <c r="A79" s="197">
        <v>43983</v>
      </c>
      <c r="B79">
        <f t="shared" si="12"/>
        <v>6</v>
      </c>
      <c r="C79">
        <f t="shared" si="13"/>
        <v>2020</v>
      </c>
      <c r="D79" s="6">
        <f>'Monthly Data (14-23) Used'!X79</f>
        <v>2539378</v>
      </c>
      <c r="E79">
        <f>'Monthly Data (14-23) Used'!AG79</f>
        <v>0</v>
      </c>
      <c r="F79">
        <f>'Monthly Data (14-23) Used'!AF79</f>
        <v>164.9</v>
      </c>
      <c r="G79" s="64">
        <f t="shared" ca="1" si="18"/>
        <v>0.4200000000000001</v>
      </c>
      <c r="H79" s="64">
        <f t="shared" ca="1" si="18"/>
        <v>145.07</v>
      </c>
      <c r="I79">
        <f>'Monthly Data (14-23) Used'!BZ79</f>
        <v>0</v>
      </c>
      <c r="J79">
        <f>'Monthly Data (14-23) Used'!AR79</f>
        <v>140</v>
      </c>
      <c r="L79" s="6"/>
      <c r="M79" s="6">
        <f t="shared" ca="1" si="15"/>
        <v>377.45252824173855</v>
      </c>
      <c r="N79" s="6">
        <f t="shared" ca="1" si="16"/>
        <v>-73679.003233678872</v>
      </c>
      <c r="O79" s="6"/>
      <c r="P79" s="6"/>
      <c r="Q79" s="6">
        <f t="shared" ca="1" si="17"/>
        <v>2466076.4492945625</v>
      </c>
    </row>
    <row r="80" spans="1:17">
      <c r="A80" s="197">
        <v>44013</v>
      </c>
      <c r="B80">
        <f t="shared" si="12"/>
        <v>7</v>
      </c>
      <c r="C80">
        <f t="shared" si="13"/>
        <v>2020</v>
      </c>
      <c r="D80" s="6">
        <f>'Monthly Data (14-23) Used'!X80</f>
        <v>2920232</v>
      </c>
      <c r="E80">
        <f>'Monthly Data (14-23) Used'!AG80</f>
        <v>0</v>
      </c>
      <c r="F80">
        <f>'Monthly Data (14-23) Used'!AF80</f>
        <v>267.70000000000005</v>
      </c>
      <c r="G80" s="64">
        <f t="shared" ca="1" si="18"/>
        <v>0</v>
      </c>
      <c r="H80" s="64">
        <f t="shared" ca="1" si="18"/>
        <v>211.23289540171805</v>
      </c>
      <c r="I80">
        <f>'Monthly Data (14-23) Used'!BZ80</f>
        <v>0</v>
      </c>
      <c r="J80">
        <f>'Monthly Data (14-23) Used'!AR80</f>
        <v>150.6</v>
      </c>
      <c r="L80" s="6"/>
      <c r="M80" s="6">
        <f t="shared" ca="1" si="15"/>
        <v>0</v>
      </c>
      <c r="N80" s="6">
        <f t="shared" ca="1" si="16"/>
        <v>-209805.34454328287</v>
      </c>
      <c r="O80" s="6"/>
      <c r="P80" s="6"/>
      <c r="Q80" s="6">
        <f t="shared" ca="1" si="17"/>
        <v>2710426.6554567171</v>
      </c>
    </row>
    <row r="81" spans="1:17">
      <c r="A81" s="197">
        <v>44044</v>
      </c>
      <c r="B81">
        <f t="shared" si="12"/>
        <v>8</v>
      </c>
      <c r="C81">
        <f t="shared" si="13"/>
        <v>2020</v>
      </c>
      <c r="D81" s="6">
        <f>'Monthly Data (14-23) Used'!X81</f>
        <v>2655205</v>
      </c>
      <c r="E81">
        <f>'Monthly Data (14-23) Used'!AG81</f>
        <v>0</v>
      </c>
      <c r="F81">
        <f>'Monthly Data (14-23) Used'!AF81</f>
        <v>182.05790803436074</v>
      </c>
      <c r="G81" s="64">
        <f t="shared" ca="1" si="18"/>
        <v>0</v>
      </c>
      <c r="H81" s="64">
        <f t="shared" ca="1" si="18"/>
        <v>183.87605861546231</v>
      </c>
      <c r="I81">
        <f>'Monthly Data (14-23) Used'!BZ81</f>
        <v>0</v>
      </c>
      <c r="J81">
        <f>'Monthly Data (14-23) Used'!AR81</f>
        <v>156.80000000000001</v>
      </c>
      <c r="L81" s="6"/>
      <c r="M81" s="6">
        <f t="shared" ca="1" si="15"/>
        <v>0</v>
      </c>
      <c r="N81" s="6">
        <f t="shared" ca="1" si="16"/>
        <v>6755.3970017296078</v>
      </c>
      <c r="O81" s="6"/>
      <c r="P81" s="6"/>
      <c r="Q81" s="6">
        <f t="shared" ca="1" si="17"/>
        <v>2661960.3970017298</v>
      </c>
    </row>
    <row r="82" spans="1:17">
      <c r="A82" s="197">
        <v>44075</v>
      </c>
      <c r="B82">
        <f t="shared" si="12"/>
        <v>9</v>
      </c>
      <c r="C82">
        <f t="shared" si="13"/>
        <v>2020</v>
      </c>
      <c r="D82" s="6">
        <f>'Monthly Data (14-23) Used'!X82</f>
        <v>2348776</v>
      </c>
      <c r="E82">
        <f>'Monthly Data (14-23) Used'!AG82</f>
        <v>12.100000000000001</v>
      </c>
      <c r="F82">
        <f>'Monthly Data (14-23) Used'!AF82</f>
        <v>55.628954017180384</v>
      </c>
      <c r="G82" s="64">
        <f t="shared" ca="1" si="18"/>
        <v>5.87</v>
      </c>
      <c r="H82" s="64">
        <f t="shared" ca="1" si="18"/>
        <v>90.709343102577066</v>
      </c>
      <c r="I82">
        <f>'Monthly Data (14-23) Used'!BZ82</f>
        <v>0</v>
      </c>
      <c r="J82">
        <f>'Monthly Data (14-23) Used'!AR82</f>
        <v>157.4</v>
      </c>
      <c r="L82" s="6"/>
      <c r="M82" s="6">
        <f t="shared" ca="1" si="15"/>
        <v>-5598.8791689191212</v>
      </c>
      <c r="N82" s="6">
        <f t="shared" ca="1" si="16"/>
        <v>130342.31471818728</v>
      </c>
      <c r="O82" s="6"/>
      <c r="P82" s="6"/>
      <c r="Q82" s="6">
        <f t="shared" ca="1" si="17"/>
        <v>2473519.435549268</v>
      </c>
    </row>
    <row r="83" spans="1:17">
      <c r="A83" s="197">
        <v>44105</v>
      </c>
      <c r="B83">
        <f t="shared" si="12"/>
        <v>10</v>
      </c>
      <c r="C83">
        <f t="shared" si="13"/>
        <v>2020</v>
      </c>
      <c r="D83" s="6">
        <f>'Monthly Data (14-23) Used'!X83</f>
        <v>2222132</v>
      </c>
      <c r="E83">
        <f>'Monthly Data (14-23) Used'!AG83</f>
        <v>129.4</v>
      </c>
      <c r="F83">
        <f>'Monthly Data (14-23) Used'!AF83</f>
        <v>4.9000000000000021</v>
      </c>
      <c r="G83" s="64">
        <f t="shared" ca="1" si="18"/>
        <v>99.500656897422942</v>
      </c>
      <c r="H83" s="64">
        <f t="shared" ca="1" si="18"/>
        <v>20.479999999999997</v>
      </c>
      <c r="I83">
        <f>'Monthly Data (14-23) Used'!BZ83</f>
        <v>1</v>
      </c>
      <c r="J83">
        <f>'Monthly Data (14-23) Used'!AR83</f>
        <v>154.69999999999999</v>
      </c>
      <c r="L83" s="6"/>
      <c r="M83" s="6">
        <f t="shared" ca="1" si="15"/>
        <v>-26870.43487341642</v>
      </c>
      <c r="N83" s="6">
        <f t="shared" ca="1" si="16"/>
        <v>57887.991446329586</v>
      </c>
      <c r="O83" s="6"/>
      <c r="P83" s="6"/>
      <c r="Q83" s="6">
        <f t="shared" ca="1" si="17"/>
        <v>2253149.5565729132</v>
      </c>
    </row>
    <row r="84" spans="1:17">
      <c r="A84" s="197">
        <v>44136</v>
      </c>
      <c r="B84">
        <f t="shared" si="12"/>
        <v>11</v>
      </c>
      <c r="C84">
        <f t="shared" si="13"/>
        <v>2020</v>
      </c>
      <c r="D84" s="6">
        <f>'Monthly Data (14-23) Used'!X84</f>
        <v>2529849</v>
      </c>
      <c r="E84">
        <f>'Monthly Data (14-23) Used'!AG84</f>
        <v>215.63552299140977</v>
      </c>
      <c r="F84">
        <f>'Monthly Data (14-23) Used'!AF84</f>
        <v>3.3999999999999986</v>
      </c>
      <c r="G84" s="64">
        <f t="shared" ca="1" si="18"/>
        <v>286.30065689742298</v>
      </c>
      <c r="H84" s="64">
        <f t="shared" ca="1" si="18"/>
        <v>0.6699999999999996</v>
      </c>
      <c r="I84">
        <f>'Monthly Data (14-23) Used'!BZ84</f>
        <v>1</v>
      </c>
      <c r="J84">
        <f>'Monthly Data (14-23) Used'!AR84</f>
        <v>154.19999999999999</v>
      </c>
      <c r="L84" s="6"/>
      <c r="M84" s="6">
        <f t="shared" ca="1" si="15"/>
        <v>63506.508217537332</v>
      </c>
      <c r="N84" s="6">
        <f t="shared" ca="1" si="16"/>
        <v>-10143.402865756083</v>
      </c>
      <c r="O84" s="6"/>
      <c r="P84" s="6"/>
      <c r="Q84" s="6">
        <f t="shared" ca="1" si="17"/>
        <v>2583212.105351781</v>
      </c>
    </row>
    <row r="85" spans="1:17">
      <c r="A85" s="197">
        <v>44166</v>
      </c>
      <c r="B85">
        <f t="shared" si="12"/>
        <v>12</v>
      </c>
      <c r="C85">
        <f t="shared" si="13"/>
        <v>2020</v>
      </c>
      <c r="D85" s="6">
        <f>'Monthly Data (14-23) Used'!X85</f>
        <v>2398255</v>
      </c>
      <c r="E85">
        <f>'Monthly Data (14-23) Used'!AG85</f>
        <v>423.40000000000003</v>
      </c>
      <c r="F85">
        <f>'Monthly Data (14-23) Used'!AF85</f>
        <v>0</v>
      </c>
      <c r="G85" s="64">
        <f t="shared" ca="1" si="18"/>
        <v>409.7700000000001</v>
      </c>
      <c r="H85" s="64">
        <f t="shared" ca="1" si="18"/>
        <v>0</v>
      </c>
      <c r="I85">
        <f>'Monthly Data (14-23) Used'!BZ85</f>
        <v>0</v>
      </c>
      <c r="J85">
        <f>'Monthly Data (14-23) Used'!AR85</f>
        <v>149.69999999999999</v>
      </c>
      <c r="L85" s="6"/>
      <c r="M85" s="6">
        <f t="shared" ca="1" si="15"/>
        <v>-12249.233237940171</v>
      </c>
      <c r="N85" s="6">
        <f t="shared" ca="1" si="16"/>
        <v>0</v>
      </c>
      <c r="O85" s="6"/>
      <c r="P85" s="6"/>
      <c r="Q85" s="6">
        <f t="shared" ca="1" si="17"/>
        <v>2386005.7667620596</v>
      </c>
    </row>
    <row r="86" spans="1:17">
      <c r="A86" s="197">
        <v>44197</v>
      </c>
      <c r="B86">
        <f t="shared" si="12"/>
        <v>1</v>
      </c>
      <c r="C86">
        <f t="shared" si="13"/>
        <v>2021</v>
      </c>
      <c r="D86" s="6">
        <f>'Monthly Data (14-23) Used'!X86</f>
        <v>2476889</v>
      </c>
      <c r="E86">
        <f>'Monthly Data (14-23) Used'!AG86</f>
        <v>486.8</v>
      </c>
      <c r="F86">
        <f>'Monthly Data (14-23) Used'!AF86</f>
        <v>0</v>
      </c>
      <c r="G86" s="64">
        <f t="shared" ca="1" si="18"/>
        <v>546.99999999999989</v>
      </c>
      <c r="H86" s="64">
        <f t="shared" ca="1" si="18"/>
        <v>0</v>
      </c>
      <c r="I86">
        <f>'Monthly Data (14-23) Used'!BZ86</f>
        <v>0</v>
      </c>
      <c r="J86">
        <f>'Monthly Data (14-23) Used'!AR86</f>
        <v>150.80000000000001</v>
      </c>
      <c r="L86" s="6"/>
      <c r="M86" s="6">
        <f t="shared" ca="1" si="15"/>
        <v>54101.529047982396</v>
      </c>
      <c r="N86" s="6">
        <f t="shared" ca="1" si="16"/>
        <v>0</v>
      </c>
      <c r="O86" s="6"/>
      <c r="P86" s="6"/>
      <c r="Q86" s="6">
        <f t="shared" ca="1" si="17"/>
        <v>2530990.5290479823</v>
      </c>
    </row>
    <row r="87" spans="1:17">
      <c r="A87" s="197">
        <v>44228</v>
      </c>
      <c r="B87">
        <f t="shared" si="12"/>
        <v>2</v>
      </c>
      <c r="C87">
        <f t="shared" si="13"/>
        <v>2021</v>
      </c>
      <c r="D87" s="6">
        <f>'Monthly Data (14-23) Used'!X87</f>
        <v>2421447</v>
      </c>
      <c r="E87">
        <f>'Monthly Data (14-23) Used'!AG87</f>
        <v>542.80000000000018</v>
      </c>
      <c r="F87">
        <f>'Monthly Data (14-23) Used'!AF87</f>
        <v>0</v>
      </c>
      <c r="G87" s="64">
        <f t="shared" ca="1" si="18"/>
        <v>482.71355229914104</v>
      </c>
      <c r="H87" s="64">
        <f t="shared" ca="1" si="18"/>
        <v>0</v>
      </c>
      <c r="I87">
        <f>'Monthly Data (14-23) Used'!BZ87</f>
        <v>0</v>
      </c>
      <c r="J87">
        <f>'Monthly Data (14-23) Used'!AR87</f>
        <v>151.6</v>
      </c>
      <c r="L87" s="6"/>
      <c r="M87" s="6">
        <f t="shared" ca="1" si="15"/>
        <v>-53999.479994653033</v>
      </c>
      <c r="N87" s="6">
        <f t="shared" ca="1" si="16"/>
        <v>0</v>
      </c>
      <c r="O87" s="6"/>
      <c r="P87" s="6"/>
      <c r="Q87" s="6">
        <f t="shared" ca="1" si="17"/>
        <v>2367447.5200053467</v>
      </c>
    </row>
    <row r="88" spans="1:17">
      <c r="A88" s="197">
        <v>44256</v>
      </c>
      <c r="B88">
        <f t="shared" si="12"/>
        <v>3</v>
      </c>
      <c r="C88">
        <f t="shared" si="13"/>
        <v>2021</v>
      </c>
      <c r="D88" s="6">
        <f>'Monthly Data (14-23) Used'!X88</f>
        <v>1798087</v>
      </c>
      <c r="E88">
        <f>'Monthly Data (14-23) Used'!AG88</f>
        <v>275.60000000000008</v>
      </c>
      <c r="F88">
        <f>'Monthly Data (14-23) Used'!AF88</f>
        <v>0</v>
      </c>
      <c r="G88" s="64">
        <f t="shared" ca="1" si="18"/>
        <v>372.63355229914106</v>
      </c>
      <c r="H88" s="64">
        <f t="shared" ca="1" si="18"/>
        <v>0</v>
      </c>
      <c r="I88">
        <f>'Monthly Data (14-23) Used'!BZ88</f>
        <v>0</v>
      </c>
      <c r="J88">
        <f>'Monthly Data (14-23) Used'!AR88</f>
        <v>159.5</v>
      </c>
      <c r="L88" s="6"/>
      <c r="M88" s="6">
        <f t="shared" ca="1" si="15"/>
        <v>87203.713427589799</v>
      </c>
      <c r="N88" s="6">
        <f t="shared" ca="1" si="16"/>
        <v>0</v>
      </c>
      <c r="O88" s="6"/>
      <c r="P88" s="6"/>
      <c r="Q88" s="6">
        <f t="shared" ca="1" si="17"/>
        <v>1885290.7134275897</v>
      </c>
    </row>
    <row r="89" spans="1:17">
      <c r="A89" s="197">
        <v>44287</v>
      </c>
      <c r="B89">
        <f t="shared" si="12"/>
        <v>4</v>
      </c>
      <c r="C89">
        <f t="shared" si="13"/>
        <v>2021</v>
      </c>
      <c r="D89" s="6">
        <f>'Monthly Data (14-23) Used'!X89</f>
        <v>1779970</v>
      </c>
      <c r="E89">
        <f>'Monthly Data (14-23) Used'!AG89</f>
        <v>153.5</v>
      </c>
      <c r="F89">
        <f>'Monthly Data (14-23) Used'!AF89</f>
        <v>6.6999999999999957</v>
      </c>
      <c r="G89" s="64">
        <f t="shared" ca="1" si="18"/>
        <v>184.31</v>
      </c>
      <c r="H89" s="64">
        <f t="shared" ca="1" si="18"/>
        <v>3.0799999999999996</v>
      </c>
      <c r="I89">
        <f>'Monthly Data (14-23) Used'!BZ89</f>
        <v>0</v>
      </c>
      <c r="J89">
        <f>'Monthly Data (14-23) Used'!AR89</f>
        <v>162.30000000000001</v>
      </c>
      <c r="L89" s="6"/>
      <c r="M89" s="6">
        <f t="shared" ca="1" si="15"/>
        <v>27688.839036018959</v>
      </c>
      <c r="N89" s="6">
        <f t="shared" ca="1" si="16"/>
        <v>-13450.226510636261</v>
      </c>
      <c r="O89" s="6"/>
      <c r="P89" s="6"/>
      <c r="Q89" s="6">
        <f t="shared" ca="1" si="17"/>
        <v>1794208.6125253828</v>
      </c>
    </row>
    <row r="90" spans="1:17">
      <c r="A90" s="197">
        <v>44317</v>
      </c>
      <c r="B90">
        <f t="shared" si="12"/>
        <v>5</v>
      </c>
      <c r="C90">
        <f t="shared" si="13"/>
        <v>2021</v>
      </c>
      <c r="D90" s="6">
        <f>'Monthly Data (14-23) Used'!X90</f>
        <v>2156240</v>
      </c>
      <c r="E90">
        <f>'Monthly Data (14-23) Used'!AG90</f>
        <v>68.935522991409798</v>
      </c>
      <c r="F90">
        <f>'Monthly Data (14-23) Used'!AF90</f>
        <v>58.064477008590188</v>
      </c>
      <c r="G90" s="64">
        <f t="shared" ca="1" si="18"/>
        <v>47.083552299140976</v>
      </c>
      <c r="H90" s="64">
        <f t="shared" ca="1" si="18"/>
        <v>53.286447700859014</v>
      </c>
      <c r="I90">
        <f>'Monthly Data (14-23) Used'!BZ90</f>
        <v>0</v>
      </c>
      <c r="J90">
        <f>'Monthly Data (14-23) Used'!AR90</f>
        <v>162.9</v>
      </c>
      <c r="L90" s="6"/>
      <c r="M90" s="6">
        <f t="shared" ca="1" si="15"/>
        <v>-19638.289487764854</v>
      </c>
      <c r="N90" s="6">
        <f t="shared" ca="1" si="16"/>
        <v>-17752.921674984234</v>
      </c>
      <c r="O90" s="6"/>
      <c r="P90" s="6"/>
      <c r="Q90" s="6">
        <f t="shared" ca="1" si="17"/>
        <v>2118848.7888372513</v>
      </c>
    </row>
    <row r="91" spans="1:17">
      <c r="A91" s="197">
        <v>44348</v>
      </c>
      <c r="B91">
        <f t="shared" si="12"/>
        <v>6</v>
      </c>
      <c r="C91">
        <f t="shared" si="13"/>
        <v>2021</v>
      </c>
      <c r="D91" s="6">
        <f>'Monthly Data (14-23) Used'!X91</f>
        <v>2661577</v>
      </c>
      <c r="E91">
        <f>'Monthly Data (14-23) Used'!AG91</f>
        <v>0</v>
      </c>
      <c r="F91">
        <f>'Monthly Data (14-23) Used'!AF91</f>
        <v>190</v>
      </c>
      <c r="G91" s="64">
        <f t="shared" ca="1" si="18"/>
        <v>0.4200000000000001</v>
      </c>
      <c r="H91" s="64">
        <f t="shared" ca="1" si="18"/>
        <v>145.07</v>
      </c>
      <c r="I91">
        <f>'Monthly Data (14-23) Used'!BZ91</f>
        <v>0</v>
      </c>
      <c r="J91">
        <f>'Monthly Data (14-23) Used'!AR91</f>
        <v>163.80000000000001</v>
      </c>
      <c r="L91" s="6"/>
      <c r="M91" s="6">
        <f t="shared" ca="1" si="15"/>
        <v>377.45252824173855</v>
      </c>
      <c r="N91" s="6">
        <f t="shared" ca="1" si="16"/>
        <v>-166938.86108367072</v>
      </c>
      <c r="O91" s="6"/>
      <c r="P91" s="6"/>
      <c r="Q91" s="6">
        <f t="shared" ca="1" si="17"/>
        <v>2495015.591444571</v>
      </c>
    </row>
    <row r="92" spans="1:17">
      <c r="A92" s="197">
        <v>44378</v>
      </c>
      <c r="B92">
        <f t="shared" si="12"/>
        <v>7</v>
      </c>
      <c r="C92">
        <f t="shared" si="13"/>
        <v>2021</v>
      </c>
      <c r="D92" s="6">
        <f>'Monthly Data (14-23) Used'!X92</f>
        <v>2641727</v>
      </c>
      <c r="E92">
        <f>'Monthly Data (14-23) Used'!AG92</f>
        <v>0</v>
      </c>
      <c r="F92">
        <f>'Monthly Data (14-23) Used'!AF92</f>
        <v>192.39999999999998</v>
      </c>
      <c r="G92" s="64">
        <f t="shared" ca="1" si="18"/>
        <v>0</v>
      </c>
      <c r="H92" s="64">
        <f t="shared" ca="1" si="18"/>
        <v>211.23289540171805</v>
      </c>
      <c r="I92">
        <f>'Monthly Data (14-23) Used'!BZ92</f>
        <v>0</v>
      </c>
      <c r="J92">
        <f>'Monthly Data (14-23) Used'!AR92</f>
        <v>164.8</v>
      </c>
      <c r="L92" s="6"/>
      <c r="M92" s="6">
        <f t="shared" ca="1" si="15"/>
        <v>0</v>
      </c>
      <c r="N92" s="6">
        <f t="shared" ca="1" si="16"/>
        <v>69974.229006692956</v>
      </c>
      <c r="O92" s="6"/>
      <c r="P92" s="6"/>
      <c r="Q92" s="6">
        <f t="shared" ca="1" si="17"/>
        <v>2711701.2290066928</v>
      </c>
    </row>
    <row r="93" spans="1:17">
      <c r="A93" s="197">
        <v>44409</v>
      </c>
      <c r="B93">
        <f t="shared" si="12"/>
        <v>8</v>
      </c>
      <c r="C93">
        <f t="shared" si="13"/>
        <v>2021</v>
      </c>
      <c r="D93" s="6">
        <f>'Monthly Data (14-23) Used'!X93</f>
        <v>2810916</v>
      </c>
      <c r="E93">
        <f>'Monthly Data (14-23) Used'!AG93</f>
        <v>0</v>
      </c>
      <c r="F93">
        <f>'Monthly Data (14-23) Used'!AF93</f>
        <v>224.29343102577059</v>
      </c>
      <c r="G93" s="64">
        <f t="shared" ca="1" si="18"/>
        <v>0</v>
      </c>
      <c r="H93" s="64">
        <f t="shared" ca="1" si="18"/>
        <v>183.87605861546231</v>
      </c>
      <c r="I93">
        <f>'Monthly Data (14-23) Used'!BZ93</f>
        <v>0</v>
      </c>
      <c r="J93">
        <f>'Monthly Data (14-23) Used'!AR93</f>
        <v>167.7</v>
      </c>
      <c r="L93" s="6"/>
      <c r="M93" s="6">
        <f t="shared" ca="1" si="15"/>
        <v>0</v>
      </c>
      <c r="N93" s="6">
        <f t="shared" ca="1" si="16"/>
        <v>-150172.04803408496</v>
      </c>
      <c r="O93" s="6"/>
      <c r="P93" s="6"/>
      <c r="Q93" s="6">
        <f t="shared" ca="1" si="17"/>
        <v>2660743.951965915</v>
      </c>
    </row>
    <row r="94" spans="1:17">
      <c r="A94" s="197">
        <v>44440</v>
      </c>
      <c r="B94">
        <f t="shared" si="12"/>
        <v>9</v>
      </c>
      <c r="C94">
        <f t="shared" si="13"/>
        <v>2021</v>
      </c>
      <c r="D94" s="6">
        <f>'Monthly Data (14-23) Used'!X94</f>
        <v>2370134</v>
      </c>
      <c r="E94">
        <f>'Monthly Data (14-23) Used'!AG94</f>
        <v>3.9000000000000004</v>
      </c>
      <c r="F94">
        <f>'Monthly Data (14-23) Used'!AF94</f>
        <v>90.800000000000011</v>
      </c>
      <c r="G94" s="64">
        <f t="shared" ref="G94:H113" ca="1" si="19">G82</f>
        <v>5.87</v>
      </c>
      <c r="H94" s="64">
        <f t="shared" ca="1" si="19"/>
        <v>90.709343102577066</v>
      </c>
      <c r="I94">
        <f>'Monthly Data (14-23) Used'!BZ94</f>
        <v>0</v>
      </c>
      <c r="J94">
        <f>'Monthly Data (14-23) Used'!AR94</f>
        <v>165.8</v>
      </c>
      <c r="L94" s="6"/>
      <c r="M94" s="6">
        <f t="shared" ca="1" si="15"/>
        <v>1770.4320967529159</v>
      </c>
      <c r="N94" s="6">
        <f t="shared" ca="1" si="16"/>
        <v>-336.83862019064617</v>
      </c>
      <c r="O94" s="6"/>
      <c r="P94" s="6"/>
      <c r="Q94" s="6">
        <f t="shared" ca="1" si="17"/>
        <v>2371567.5934765623</v>
      </c>
    </row>
    <row r="95" spans="1:17">
      <c r="A95" s="197">
        <v>44470</v>
      </c>
      <c r="B95">
        <f t="shared" si="12"/>
        <v>10</v>
      </c>
      <c r="C95">
        <f t="shared" si="13"/>
        <v>2021</v>
      </c>
      <c r="D95" s="6">
        <f>'Monthly Data (14-23) Used'!X95</f>
        <v>2288392</v>
      </c>
      <c r="E95">
        <f>'Monthly Data (14-23) Used'!AG95</f>
        <v>53.599999999999994</v>
      </c>
      <c r="F95">
        <f>'Monthly Data (14-23) Used'!AF95</f>
        <v>51.300000000000011</v>
      </c>
      <c r="G95" s="64">
        <f t="shared" ca="1" si="19"/>
        <v>99.500656897422942</v>
      </c>
      <c r="H95" s="64">
        <f t="shared" ca="1" si="19"/>
        <v>20.479999999999997</v>
      </c>
      <c r="I95">
        <f>'Monthly Data (14-23) Used'!BZ95</f>
        <v>1</v>
      </c>
      <c r="J95">
        <f>'Monthly Data (14-23) Used'!AR95</f>
        <v>169.4</v>
      </c>
      <c r="L95" s="6"/>
      <c r="M95" s="6">
        <f t="shared" ca="1" si="15"/>
        <v>41250.759509259246</v>
      </c>
      <c r="N95" s="6">
        <f t="shared" ca="1" si="16"/>
        <v>-114512.70194967133</v>
      </c>
      <c r="O95" s="6"/>
      <c r="P95" s="6"/>
      <c r="Q95" s="6">
        <f t="shared" ca="1" si="17"/>
        <v>2215130.057559588</v>
      </c>
    </row>
    <row r="96" spans="1:17">
      <c r="A96" s="197">
        <v>44501</v>
      </c>
      <c r="B96">
        <f t="shared" si="12"/>
        <v>11</v>
      </c>
      <c r="C96">
        <f t="shared" si="13"/>
        <v>2021</v>
      </c>
      <c r="D96" s="6">
        <f>'Monthly Data (14-23) Used'!X96</f>
        <v>2388052</v>
      </c>
      <c r="E96">
        <f>'Monthly Data (14-23) Used'!AG96</f>
        <v>302.90000000000003</v>
      </c>
      <c r="F96">
        <f>'Monthly Data (14-23) Used'!AF96</f>
        <v>0</v>
      </c>
      <c r="G96" s="64">
        <f t="shared" ca="1" si="19"/>
        <v>286.30065689742298</v>
      </c>
      <c r="H96" s="64">
        <f t="shared" ca="1" si="19"/>
        <v>0.6699999999999996</v>
      </c>
      <c r="I96">
        <f>'Monthly Data (14-23) Used'!BZ96</f>
        <v>1</v>
      </c>
      <c r="J96">
        <f>'Monthly Data (14-23) Used'!AR96</f>
        <v>176.5</v>
      </c>
      <c r="L96" s="6"/>
      <c r="M96" s="6">
        <f t="shared" ca="1" si="15"/>
        <v>-14917.771479094694</v>
      </c>
      <c r="N96" s="6">
        <f t="shared" ca="1" si="16"/>
        <v>2489.4065641232874</v>
      </c>
      <c r="O96" s="6"/>
      <c r="P96" s="6"/>
      <c r="Q96" s="6">
        <f t="shared" ca="1" si="17"/>
        <v>2375623.6350850286</v>
      </c>
    </row>
    <row r="97" spans="1:17">
      <c r="A97" s="197">
        <v>44531</v>
      </c>
      <c r="B97">
        <f t="shared" si="12"/>
        <v>12</v>
      </c>
      <c r="C97">
        <f t="shared" si="13"/>
        <v>2021</v>
      </c>
      <c r="D97" s="6">
        <f>'Monthly Data (14-23) Used'!X97</f>
        <v>2282252</v>
      </c>
      <c r="E97">
        <f>'Monthly Data (14-23) Used'!AG97</f>
        <v>359.4</v>
      </c>
      <c r="F97">
        <f>'Monthly Data (14-23) Used'!AF97</f>
        <v>0</v>
      </c>
      <c r="G97" s="64">
        <f t="shared" ca="1" si="19"/>
        <v>409.7700000000001</v>
      </c>
      <c r="H97" s="64">
        <f t="shared" ca="1" si="19"/>
        <v>0</v>
      </c>
      <c r="I97">
        <f>'Monthly Data (14-23) Used'!BZ97</f>
        <v>0</v>
      </c>
      <c r="J97">
        <f>'Monthly Data (14-23) Used'!AR97</f>
        <v>183.6</v>
      </c>
      <c r="L97" s="6"/>
      <c r="M97" s="6">
        <f t="shared" ca="1" si="15"/>
        <v>45267.342494134311</v>
      </c>
      <c r="N97" s="6">
        <f t="shared" ca="1" si="16"/>
        <v>0</v>
      </c>
      <c r="O97" s="6"/>
      <c r="P97" s="6"/>
      <c r="Q97" s="6">
        <f t="shared" ca="1" si="17"/>
        <v>2327519.3424941343</v>
      </c>
    </row>
    <row r="98" spans="1:17">
      <c r="A98" s="197">
        <v>44562</v>
      </c>
      <c r="B98">
        <f t="shared" si="12"/>
        <v>1</v>
      </c>
      <c r="C98">
        <f t="shared" si="13"/>
        <v>2022</v>
      </c>
      <c r="D98" s="6">
        <f>'Monthly Data (14-23) Used'!X98</f>
        <v>2458213</v>
      </c>
      <c r="E98">
        <f>'Monthly Data (14-23) Used'!AG98</f>
        <v>642.20000000000005</v>
      </c>
      <c r="F98">
        <f>'Monthly Data (14-23) Used'!AF98</f>
        <v>0</v>
      </c>
      <c r="G98" s="64">
        <f t="shared" ca="1" si="19"/>
        <v>546.99999999999989</v>
      </c>
      <c r="H98" s="64">
        <f t="shared" ca="1" si="19"/>
        <v>0</v>
      </c>
      <c r="I98">
        <f>'Monthly Data (14-23) Used'!BZ98</f>
        <v>0</v>
      </c>
      <c r="J98">
        <f>'Monthly Data (14-23) Used'!AR98</f>
        <v>184.2</v>
      </c>
      <c r="L98" s="6"/>
      <c r="M98" s="6">
        <f t="shared" ca="1" si="15"/>
        <v>-85555.906401460859</v>
      </c>
      <c r="N98" s="6">
        <f t="shared" ca="1" si="16"/>
        <v>0</v>
      </c>
      <c r="O98" s="6"/>
      <c r="P98" s="6"/>
      <c r="Q98" s="6">
        <f t="shared" ca="1" si="17"/>
        <v>2372657.093598539</v>
      </c>
    </row>
    <row r="99" spans="1:17">
      <c r="A99" s="197">
        <v>44593</v>
      </c>
      <c r="B99">
        <f t="shared" si="12"/>
        <v>2</v>
      </c>
      <c r="C99">
        <f t="shared" si="13"/>
        <v>2022</v>
      </c>
      <c r="D99" s="6">
        <f>'Monthly Data (14-23) Used'!X99</f>
        <v>2115178</v>
      </c>
      <c r="E99">
        <f>'Monthly Data (14-23) Used'!AG99</f>
        <v>495.30000000000007</v>
      </c>
      <c r="F99">
        <f>'Monthly Data (14-23) Used'!AF99</f>
        <v>0</v>
      </c>
      <c r="G99" s="64">
        <f t="shared" ca="1" si="19"/>
        <v>482.71355229914104</v>
      </c>
      <c r="H99" s="64">
        <f t="shared" ca="1" si="19"/>
        <v>0</v>
      </c>
      <c r="I99">
        <f>'Monthly Data (14-23) Used'!BZ99</f>
        <v>0</v>
      </c>
      <c r="J99">
        <f>'Monthly Data (14-23) Used'!AR99</f>
        <v>181.8</v>
      </c>
      <c r="L99" s="6"/>
      <c r="M99" s="6">
        <f t="shared" ca="1" si="15"/>
        <v>-11311.396443503942</v>
      </c>
      <c r="N99" s="6">
        <f t="shared" ca="1" si="16"/>
        <v>0</v>
      </c>
      <c r="O99" s="6"/>
      <c r="P99" s="6"/>
      <c r="Q99" s="6">
        <f t="shared" ca="1" si="17"/>
        <v>2103866.6035564961</v>
      </c>
    </row>
    <row r="100" spans="1:17">
      <c r="A100" s="197">
        <v>44621</v>
      </c>
      <c r="B100">
        <f t="shared" si="12"/>
        <v>3</v>
      </c>
      <c r="C100">
        <f t="shared" si="13"/>
        <v>2022</v>
      </c>
      <c r="D100" s="6">
        <f>'Monthly Data (14-23) Used'!X100</f>
        <v>2122133</v>
      </c>
      <c r="E100">
        <f>'Monthly Data (14-23) Used'!AG100</f>
        <v>341.93552299140981</v>
      </c>
      <c r="F100">
        <f>'Monthly Data (14-23) Used'!AF100</f>
        <v>0</v>
      </c>
      <c r="G100" s="64">
        <f t="shared" ca="1" si="19"/>
        <v>372.63355229914106</v>
      </c>
      <c r="H100" s="64">
        <f t="shared" ca="1" si="19"/>
        <v>0</v>
      </c>
      <c r="I100">
        <f>'Monthly Data (14-23) Used'!BZ100</f>
        <v>0</v>
      </c>
      <c r="J100">
        <f>'Monthly Data (14-23) Used'!AR100</f>
        <v>178.4</v>
      </c>
      <c r="L100" s="6"/>
      <c r="M100" s="6">
        <f t="shared" ca="1" si="15"/>
        <v>27588.211367243199</v>
      </c>
      <c r="N100" s="6">
        <f t="shared" ca="1" si="16"/>
        <v>0</v>
      </c>
      <c r="O100" s="6"/>
      <c r="P100" s="6"/>
      <c r="Q100" s="6">
        <f t="shared" ca="1" si="17"/>
        <v>2149721.211367243</v>
      </c>
    </row>
    <row r="101" spans="1:17">
      <c r="A101" s="197">
        <v>44652</v>
      </c>
      <c r="B101">
        <f t="shared" si="12"/>
        <v>4</v>
      </c>
      <c r="C101">
        <f t="shared" si="13"/>
        <v>2022</v>
      </c>
      <c r="D101" s="6">
        <f>'Monthly Data (14-23) Used'!X101</f>
        <v>2129088</v>
      </c>
      <c r="E101">
        <f>'Monthly Data (14-23) Used'!AG101</f>
        <v>220.60000000000005</v>
      </c>
      <c r="F101">
        <f>'Monthly Data (14-23) Used'!AF101</f>
        <v>3.3000000000000007</v>
      </c>
      <c r="G101" s="64">
        <f t="shared" ca="1" si="19"/>
        <v>184.31</v>
      </c>
      <c r="H101" s="64">
        <f t="shared" ca="1" si="19"/>
        <v>3.0799999999999996</v>
      </c>
      <c r="I101">
        <f>'Monthly Data (14-23) Used'!BZ101</f>
        <v>0</v>
      </c>
      <c r="J101">
        <f>'Monthly Data (14-23) Used'!AR101</f>
        <v>177.4</v>
      </c>
      <c r="L101" s="6"/>
      <c r="M101" s="6">
        <f t="shared" ca="1" si="15"/>
        <v>-32613.695833077873</v>
      </c>
      <c r="N101" s="6">
        <f t="shared" ca="1" si="16"/>
        <v>-817.41708075690474</v>
      </c>
      <c r="O101" s="6"/>
      <c r="P101" s="6"/>
      <c r="Q101" s="6">
        <f t="shared" ca="1" si="17"/>
        <v>2095656.8870861651</v>
      </c>
    </row>
    <row r="102" spans="1:17">
      <c r="A102" s="197">
        <v>44682</v>
      </c>
      <c r="B102">
        <f t="shared" si="12"/>
        <v>5</v>
      </c>
      <c r="C102">
        <f t="shared" si="13"/>
        <v>2022</v>
      </c>
      <c r="D102" s="6">
        <f>'Monthly Data (14-23) Used'!X102</f>
        <v>2149513</v>
      </c>
      <c r="E102">
        <f>'Monthly Data (14-23) Used'!AG102</f>
        <v>33</v>
      </c>
      <c r="F102">
        <f>'Monthly Data (14-23) Used'!AF102</f>
        <v>72.5</v>
      </c>
      <c r="G102" s="64">
        <f t="shared" ca="1" si="19"/>
        <v>47.083552299140976</v>
      </c>
      <c r="H102" s="64">
        <f t="shared" ca="1" si="19"/>
        <v>53.286447700859014</v>
      </c>
      <c r="I102">
        <f>'Monthly Data (14-23) Used'!BZ102</f>
        <v>0</v>
      </c>
      <c r="J102">
        <f>'Monthly Data (14-23) Used'!AR102</f>
        <v>176.2</v>
      </c>
      <c r="L102" s="6"/>
      <c r="M102" s="6">
        <f t="shared" ca="1" si="15"/>
        <v>12656.839099846451</v>
      </c>
      <c r="N102" s="6">
        <f t="shared" ca="1" si="16"/>
        <v>-71388.571960608475</v>
      </c>
      <c r="O102" s="6"/>
      <c r="P102" s="6"/>
      <c r="Q102" s="6">
        <f t="shared" ca="1" si="17"/>
        <v>2090781.2671392378</v>
      </c>
    </row>
    <row r="103" spans="1:17">
      <c r="A103" s="197">
        <v>44713</v>
      </c>
      <c r="B103">
        <f t="shared" si="12"/>
        <v>6</v>
      </c>
      <c r="C103">
        <f t="shared" si="13"/>
        <v>2022</v>
      </c>
      <c r="D103" s="6">
        <f>'Monthly Data (14-23) Used'!X103</f>
        <v>2446520</v>
      </c>
      <c r="E103">
        <f>'Monthly Data (14-23) Used'!AG103</f>
        <v>0</v>
      </c>
      <c r="F103">
        <f>'Monthly Data (14-23) Used'!AF103</f>
        <v>147.70000000000002</v>
      </c>
      <c r="G103" s="64">
        <f t="shared" ca="1" si="19"/>
        <v>0.4200000000000001</v>
      </c>
      <c r="H103" s="64">
        <f t="shared" ca="1" si="19"/>
        <v>145.07</v>
      </c>
      <c r="I103">
        <f>'Monthly Data (14-23) Used'!BZ103</f>
        <v>0</v>
      </c>
      <c r="J103">
        <f>'Monthly Data (14-23) Used'!AR103</f>
        <v>175.1</v>
      </c>
      <c r="L103" s="6"/>
      <c r="M103" s="6">
        <f t="shared" ca="1" si="15"/>
        <v>377.45252824173855</v>
      </c>
      <c r="N103" s="6">
        <f t="shared" ca="1" si="16"/>
        <v>-9771.8496472303123</v>
      </c>
      <c r="O103" s="6"/>
      <c r="P103" s="6"/>
      <c r="Q103" s="6">
        <f t="shared" ca="1" si="17"/>
        <v>2437125.6028810111</v>
      </c>
    </row>
    <row r="104" spans="1:17">
      <c r="A104" s="197">
        <v>44743</v>
      </c>
      <c r="B104">
        <f t="shared" si="12"/>
        <v>7</v>
      </c>
      <c r="C104">
        <f t="shared" si="13"/>
        <v>2022</v>
      </c>
      <c r="D104" s="6">
        <f>'Monthly Data (14-23) Used'!X104</f>
        <v>2691240</v>
      </c>
      <c r="E104">
        <f>'Monthly Data (14-23) Used'!AG104</f>
        <v>0</v>
      </c>
      <c r="F104">
        <f>'Monthly Data (14-23) Used'!AF104</f>
        <v>218.60000000000002</v>
      </c>
      <c r="G104" s="64">
        <f t="shared" ca="1" si="19"/>
        <v>0</v>
      </c>
      <c r="H104" s="64">
        <f t="shared" ca="1" si="19"/>
        <v>211.23289540171805</v>
      </c>
      <c r="I104">
        <f>'Monthly Data (14-23) Used'!BZ104</f>
        <v>0</v>
      </c>
      <c r="J104">
        <f>'Monthly Data (14-23) Used'!AR104</f>
        <v>170.6</v>
      </c>
      <c r="L104" s="6"/>
      <c r="M104" s="6">
        <f t="shared" ca="1" si="15"/>
        <v>0</v>
      </c>
      <c r="N104" s="6">
        <f t="shared" ca="1" si="16"/>
        <v>-27372.714247083579</v>
      </c>
      <c r="O104" s="6"/>
      <c r="P104" s="6"/>
      <c r="Q104" s="6">
        <f t="shared" ca="1" si="17"/>
        <v>2663867.2857529162</v>
      </c>
    </row>
    <row r="105" spans="1:17">
      <c r="A105" s="197">
        <v>44774</v>
      </c>
      <c r="B105">
        <f t="shared" si="12"/>
        <v>8</v>
      </c>
      <c r="C105">
        <f t="shared" si="13"/>
        <v>2022</v>
      </c>
      <c r="D105" s="6">
        <f>'Monthly Data (14-23) Used'!X105</f>
        <v>2769504</v>
      </c>
      <c r="E105">
        <f>'Monthly Data (14-23) Used'!AG105</f>
        <v>0</v>
      </c>
      <c r="F105">
        <f>'Monthly Data (14-23) Used'!AF105</f>
        <v>198.92895401718039</v>
      </c>
      <c r="G105" s="64">
        <f t="shared" ca="1" si="19"/>
        <v>0</v>
      </c>
      <c r="H105" s="64">
        <f t="shared" ca="1" si="19"/>
        <v>183.87605861546231</v>
      </c>
      <c r="I105">
        <f>'Monthly Data (14-23) Used'!BZ105</f>
        <v>0</v>
      </c>
      <c r="J105">
        <f>'Monthly Data (14-23) Used'!AR105</f>
        <v>165.3</v>
      </c>
      <c r="L105" s="6"/>
      <c r="M105" s="6">
        <f t="shared" ca="1" si="15"/>
        <v>0</v>
      </c>
      <c r="N105" s="6">
        <f t="shared" ca="1" si="16"/>
        <v>-55929.51734641529</v>
      </c>
      <c r="O105" s="6"/>
      <c r="P105" s="6"/>
      <c r="Q105" s="6">
        <f t="shared" ca="1" si="17"/>
        <v>2713574.4826535848</v>
      </c>
    </row>
    <row r="106" spans="1:17">
      <c r="A106" s="197">
        <v>44805</v>
      </c>
      <c r="B106">
        <f t="shared" si="12"/>
        <v>9</v>
      </c>
      <c r="C106">
        <f t="shared" si="13"/>
        <v>2022</v>
      </c>
      <c r="D106" s="6">
        <f>'Monthly Data (14-23) Used'!X106</f>
        <v>2440616</v>
      </c>
      <c r="E106">
        <f>'Monthly Data (14-23) Used'!AG106</f>
        <v>10.600000000000001</v>
      </c>
      <c r="F106">
        <f>'Monthly Data (14-23) Used'!AF106</f>
        <v>97.999999999999986</v>
      </c>
      <c r="G106" s="64">
        <f t="shared" ca="1" si="19"/>
        <v>5.87</v>
      </c>
      <c r="H106" s="64">
        <f t="shared" ca="1" si="19"/>
        <v>90.709343102577066</v>
      </c>
      <c r="I106">
        <f>'Monthly Data (14-23) Used'!BZ106</f>
        <v>0</v>
      </c>
      <c r="J106">
        <f>'Monthly Data (14-23) Used'!AR106</f>
        <v>162.30000000000001</v>
      </c>
      <c r="L106" s="6"/>
      <c r="M106" s="6">
        <f t="shared" ca="1" si="15"/>
        <v>-4250.8344251986273</v>
      </c>
      <c r="N106" s="6">
        <f t="shared" ca="1" si="16"/>
        <v>-27088.67035405276</v>
      </c>
      <c r="O106" s="6"/>
      <c r="P106" s="6"/>
      <c r="Q106" s="6">
        <f t="shared" ca="1" si="17"/>
        <v>2409276.4952207482</v>
      </c>
    </row>
    <row r="107" spans="1:17">
      <c r="A107" s="197">
        <v>44835</v>
      </c>
      <c r="B107">
        <f t="shared" si="12"/>
        <v>10</v>
      </c>
      <c r="C107">
        <f t="shared" si="13"/>
        <v>2022</v>
      </c>
      <c r="D107" s="6">
        <f>'Monthly Data (14-23) Used'!X107</f>
        <v>2187893</v>
      </c>
      <c r="E107">
        <f>'Monthly Data (14-23) Used'!AG107</f>
        <v>109.40656897422942</v>
      </c>
      <c r="F107">
        <f>'Monthly Data (14-23) Used'!AF107</f>
        <v>7.7000000000000028</v>
      </c>
      <c r="G107" s="64">
        <f t="shared" ca="1" si="19"/>
        <v>99.500656897422942</v>
      </c>
      <c r="H107" s="64">
        <f t="shared" ca="1" si="19"/>
        <v>20.479999999999997</v>
      </c>
      <c r="I107">
        <f>'Monthly Data (14-23) Used'!BZ107</f>
        <v>1</v>
      </c>
      <c r="J107">
        <f>'Monthly Data (14-23) Used'!AR107</f>
        <v>168.4</v>
      </c>
      <c r="L107" s="6"/>
      <c r="M107" s="6">
        <f t="shared" ca="1" si="15"/>
        <v>-8902.4084712642216</v>
      </c>
      <c r="N107" s="6">
        <f t="shared" ca="1" si="16"/>
        <v>47484.501327605394</v>
      </c>
      <c r="O107" s="6"/>
      <c r="P107" s="6"/>
      <c r="Q107" s="6">
        <f t="shared" ca="1" si="17"/>
        <v>2226475.092856341</v>
      </c>
    </row>
    <row r="108" spans="1:17">
      <c r="A108" s="197">
        <v>44866</v>
      </c>
      <c r="B108">
        <f t="shared" si="12"/>
        <v>11</v>
      </c>
      <c r="C108">
        <f t="shared" si="13"/>
        <v>2022</v>
      </c>
      <c r="D108" s="6">
        <f>'Monthly Data (14-23) Used'!X108</f>
        <v>2451162</v>
      </c>
      <c r="E108">
        <f>'Monthly Data (14-23) Used'!AG108</f>
        <v>256.09999999999997</v>
      </c>
      <c r="F108">
        <f>'Monthly Data (14-23) Used'!AF108</f>
        <v>2.2999999999999972</v>
      </c>
      <c r="G108" s="64">
        <f t="shared" ca="1" si="19"/>
        <v>286.30065689742298</v>
      </c>
      <c r="H108" s="64">
        <f t="shared" ca="1" si="19"/>
        <v>0.6699999999999996</v>
      </c>
      <c r="I108">
        <f>'Monthly Data (14-23) Used'!BZ108</f>
        <v>1</v>
      </c>
      <c r="J108">
        <f>'Monthly Data (14-23) Used'!AR108</f>
        <v>176.3</v>
      </c>
      <c r="L108" s="6"/>
      <c r="M108" s="6">
        <f t="shared" ca="1" si="15"/>
        <v>27141.224524984795</v>
      </c>
      <c r="N108" s="6">
        <f t="shared" ca="1" si="16"/>
        <v>-6056.3174619715746</v>
      </c>
      <c r="O108" s="6"/>
      <c r="P108" s="6"/>
      <c r="Q108" s="6">
        <f t="shared" ca="1" si="17"/>
        <v>2472246.9070630129</v>
      </c>
    </row>
    <row r="109" spans="1:17">
      <c r="A109" s="197">
        <v>44896</v>
      </c>
      <c r="B109">
        <f t="shared" si="12"/>
        <v>12</v>
      </c>
      <c r="C109">
        <f t="shared" si="13"/>
        <v>2022</v>
      </c>
      <c r="D109" s="6">
        <f>'Monthly Data (14-23) Used'!X109</f>
        <v>2831510</v>
      </c>
      <c r="E109">
        <f>'Monthly Data (14-23) Used'!AG109</f>
        <v>432.09999999999997</v>
      </c>
      <c r="F109">
        <f>'Monthly Data (14-23) Used'!AF109</f>
        <v>0</v>
      </c>
      <c r="G109" s="64">
        <f t="shared" ca="1" si="19"/>
        <v>409.7700000000001</v>
      </c>
      <c r="H109" s="64">
        <f t="shared" ca="1" si="19"/>
        <v>0</v>
      </c>
      <c r="I109">
        <f>'Monthly Data (14-23) Used'!BZ109</f>
        <v>0</v>
      </c>
      <c r="J109">
        <f>'Monthly Data (14-23) Used'!AR109</f>
        <v>183.1</v>
      </c>
      <c r="L109" s="6"/>
      <c r="M109" s="6">
        <f t="shared" ca="1" si="15"/>
        <v>-20067.892751518979</v>
      </c>
      <c r="N109" s="6">
        <f t="shared" ca="1" si="16"/>
        <v>0</v>
      </c>
      <c r="O109" s="6"/>
      <c r="P109" s="6"/>
      <c r="Q109" s="6">
        <f t="shared" ca="1" si="17"/>
        <v>2811442.1072484809</v>
      </c>
    </row>
    <row r="110" spans="1:17">
      <c r="A110" s="197">
        <v>44927</v>
      </c>
      <c r="B110">
        <f t="shared" si="12"/>
        <v>1</v>
      </c>
      <c r="C110">
        <f t="shared" si="13"/>
        <v>2023</v>
      </c>
      <c r="D110" s="6">
        <f>'Monthly Data (14-23) Used'!X110</f>
        <v>3051532.49</v>
      </c>
      <c r="E110">
        <f>'Monthly Data (14-23) Used'!AG110</f>
        <v>424.7000000000001</v>
      </c>
      <c r="F110">
        <f>'Monthly Data (14-23) Used'!AF110</f>
        <v>0</v>
      </c>
      <c r="G110" s="64">
        <f t="shared" ca="1" si="19"/>
        <v>546.99999999999989</v>
      </c>
      <c r="H110" s="64">
        <f t="shared" ca="1" si="19"/>
        <v>0</v>
      </c>
      <c r="I110">
        <f>'Monthly Data (14-23) Used'!BZ110</f>
        <v>0</v>
      </c>
      <c r="J110">
        <f>'Monthly Data (14-23) Used'!AR110</f>
        <v>189.2</v>
      </c>
      <c r="L110" s="6"/>
      <c r="M110" s="6">
        <f t="shared" ca="1" si="15"/>
        <v>109910.58143801079</v>
      </c>
      <c r="N110" s="6">
        <f t="shared" ca="1" si="16"/>
        <v>0</v>
      </c>
      <c r="O110" s="6"/>
      <c r="P110" s="6"/>
      <c r="Q110" s="6">
        <f t="shared" ca="1" si="17"/>
        <v>3161443.0714380108</v>
      </c>
    </row>
    <row r="111" spans="1:17">
      <c r="A111" s="197">
        <v>44958</v>
      </c>
      <c r="B111">
        <f t="shared" si="12"/>
        <v>2</v>
      </c>
      <c r="C111">
        <f t="shared" si="13"/>
        <v>2023</v>
      </c>
      <c r="D111" s="6">
        <f>'Monthly Data (14-23) Used'!X111</f>
        <v>2758376.97</v>
      </c>
      <c r="E111">
        <f>'Monthly Data (14-23) Used'!AG111</f>
        <v>379.23552299140988</v>
      </c>
      <c r="F111">
        <f>'Monthly Data (14-23) Used'!AF111</f>
        <v>0</v>
      </c>
      <c r="G111" s="64">
        <f t="shared" ca="1" si="19"/>
        <v>482.71355229914104</v>
      </c>
      <c r="H111" s="64">
        <f t="shared" ca="1" si="19"/>
        <v>0</v>
      </c>
      <c r="I111">
        <f>'Monthly Data (14-23) Used'!BZ111</f>
        <v>0</v>
      </c>
      <c r="J111">
        <f>'Monthly Data (14-23) Used'!AR111</f>
        <v>190</v>
      </c>
      <c r="L111" s="6"/>
      <c r="M111" s="6">
        <f t="shared" ca="1" si="15"/>
        <v>92995.342332561515</v>
      </c>
      <c r="N111" s="6">
        <f t="shared" ca="1" si="16"/>
        <v>0</v>
      </c>
      <c r="O111" s="6"/>
      <c r="P111" s="6"/>
      <c r="Q111" s="6">
        <f t="shared" ca="1" si="17"/>
        <v>2851372.3123325617</v>
      </c>
    </row>
    <row r="112" spans="1:17">
      <c r="A112" s="197">
        <v>44986</v>
      </c>
      <c r="B112">
        <f t="shared" si="12"/>
        <v>3</v>
      </c>
      <c r="C112">
        <f t="shared" si="13"/>
        <v>2023</v>
      </c>
      <c r="D112" s="6">
        <f>'Monthly Data (14-23) Used'!X112</f>
        <v>2464136.4899999998</v>
      </c>
      <c r="E112">
        <f>'Monthly Data (14-23) Used'!AG112</f>
        <v>356.09999999999997</v>
      </c>
      <c r="F112">
        <f>'Monthly Data (14-23) Used'!AF112</f>
        <v>0</v>
      </c>
      <c r="G112" s="64">
        <f t="shared" ca="1" si="19"/>
        <v>372.63355229914106</v>
      </c>
      <c r="H112" s="64">
        <f t="shared" ca="1" si="19"/>
        <v>0</v>
      </c>
      <c r="I112">
        <f>'Monthly Data (14-23) Used'!BZ112</f>
        <v>0</v>
      </c>
      <c r="J112">
        <f>'Monthly Data (14-23) Used'!AR112</f>
        <v>192</v>
      </c>
      <c r="L112" s="6"/>
      <c r="M112" s="6">
        <f t="shared" ca="1" si="15"/>
        <v>14858.645514590031</v>
      </c>
      <c r="N112" s="6">
        <f t="shared" ca="1" si="16"/>
        <v>0</v>
      </c>
      <c r="O112" s="6"/>
      <c r="P112" s="6"/>
      <c r="Q112" s="6">
        <f t="shared" ca="1" si="17"/>
        <v>2478995.13551459</v>
      </c>
    </row>
    <row r="113" spans="1:17">
      <c r="A113" s="197">
        <v>45017</v>
      </c>
      <c r="B113">
        <f t="shared" si="12"/>
        <v>4</v>
      </c>
      <c r="C113">
        <f t="shared" si="13"/>
        <v>2023</v>
      </c>
      <c r="D113" s="6">
        <f>'Monthly Data (14-23) Used'!X113</f>
        <v>2549361.0900000003</v>
      </c>
      <c r="E113">
        <f>'Monthly Data (14-23) Used'!AG113</f>
        <v>164.3</v>
      </c>
      <c r="F113">
        <f>'Monthly Data (14-23) Used'!AF113</f>
        <v>12.2</v>
      </c>
      <c r="G113" s="64">
        <f t="shared" ca="1" si="19"/>
        <v>184.31</v>
      </c>
      <c r="H113" s="64">
        <f t="shared" ca="1" si="19"/>
        <v>3.0799999999999996</v>
      </c>
      <c r="I113">
        <f>'Monthly Data (14-23) Used'!BZ113</f>
        <v>0</v>
      </c>
      <c r="J113">
        <f>'Monthly Data (14-23) Used'!AR113</f>
        <v>190.9</v>
      </c>
      <c r="L113" s="6"/>
      <c r="M113" s="6">
        <f t="shared" ca="1" si="15"/>
        <v>17982.916881231387</v>
      </c>
      <c r="N113" s="6">
        <f t="shared" ca="1" si="16"/>
        <v>-33885.653529558789</v>
      </c>
      <c r="O113" s="6"/>
      <c r="P113" s="6"/>
      <c r="Q113" s="6">
        <f t="shared" ca="1" si="17"/>
        <v>2533458.3533516731</v>
      </c>
    </row>
    <row r="114" spans="1:17">
      <c r="A114" s="197">
        <v>45047</v>
      </c>
      <c r="B114">
        <f t="shared" ref="B114:B121" si="20">MONTH(A114)</f>
        <v>5</v>
      </c>
      <c r="C114">
        <f t="shared" ref="C114:C121" si="21">YEAR(A114)</f>
        <v>2023</v>
      </c>
      <c r="D114" s="6">
        <f>'Monthly Data (14-23) Used'!X114</f>
        <v>2835930.8300000005</v>
      </c>
      <c r="E114">
        <f>'Monthly Data (14-23) Used'!AG114</f>
        <v>46.400000000000006</v>
      </c>
      <c r="F114">
        <f>'Monthly Data (14-23) Used'!AF114</f>
        <v>33.9</v>
      </c>
      <c r="G114" s="64">
        <f t="shared" ref="G114:H133" ca="1" si="22">G102</f>
        <v>47.083552299140976</v>
      </c>
      <c r="H114" s="64">
        <f t="shared" ca="1" si="22"/>
        <v>53.286447700859014</v>
      </c>
      <c r="I114">
        <f>'Monthly Data (14-23) Used'!BZ114</f>
        <v>0</v>
      </c>
      <c r="J114">
        <f>'Monthly Data (14-23) Used'!AR114</f>
        <v>191.7</v>
      </c>
      <c r="L114" s="6"/>
      <c r="M114" s="6">
        <f t="shared" ref="M114:M121" ca="1" si="23">(G114-E114)*$U$10</f>
        <v>614.30605594336282</v>
      </c>
      <c r="N114" s="6">
        <f t="shared" ref="N114:N121" ca="1" si="24">(H114-F114)*$U$11</f>
        <v>72030.970390375034</v>
      </c>
      <c r="O114" s="6"/>
      <c r="P114" s="6"/>
      <c r="Q114" s="6">
        <f t="shared" ref="Q114:Q121" ca="1" si="25">SUM(D114,L114:P114)</f>
        <v>2908576.1064463193</v>
      </c>
    </row>
    <row r="115" spans="1:17">
      <c r="A115" s="197">
        <v>45078</v>
      </c>
      <c r="B115">
        <f t="shared" si="20"/>
        <v>6</v>
      </c>
      <c r="C115">
        <f t="shared" si="21"/>
        <v>2023</v>
      </c>
      <c r="D115" s="6">
        <f>'Monthly Data (14-23) Used'!X115</f>
        <v>3027700.49</v>
      </c>
      <c r="E115">
        <f>'Monthly Data (14-23) Used'!AG115</f>
        <v>9.9999999999999645E-2</v>
      </c>
      <c r="F115">
        <f>'Monthly Data (14-23) Used'!AF115</f>
        <v>114.10000000000001</v>
      </c>
      <c r="G115" s="64">
        <f t="shared" ca="1" si="22"/>
        <v>0.4200000000000001</v>
      </c>
      <c r="H115" s="64">
        <f t="shared" ca="1" si="22"/>
        <v>145.07</v>
      </c>
      <c r="I115">
        <f>'Monthly Data (14-23) Used'!BZ115</f>
        <v>0</v>
      </c>
      <c r="J115">
        <f>'Monthly Data (14-23) Used'!AR115</f>
        <v>192</v>
      </c>
      <c r="L115" s="6"/>
      <c r="M115" s="6">
        <f t="shared" ca="1" si="23"/>
        <v>287.58287866037256</v>
      </c>
      <c r="N115" s="6">
        <f t="shared" ca="1" si="24"/>
        <v>115070.03177746003</v>
      </c>
      <c r="O115" s="6"/>
      <c r="P115" s="6"/>
      <c r="Q115" s="6">
        <f t="shared" ca="1" si="25"/>
        <v>3143058.1046561208</v>
      </c>
    </row>
    <row r="116" spans="1:17">
      <c r="A116" s="197">
        <v>45108</v>
      </c>
      <c r="B116">
        <f t="shared" si="20"/>
        <v>7</v>
      </c>
      <c r="C116">
        <f t="shared" si="21"/>
        <v>2023</v>
      </c>
      <c r="D116" s="6">
        <f>'Monthly Data (14-23) Used'!X116</f>
        <v>3284416.84</v>
      </c>
      <c r="E116">
        <f>'Monthly Data (14-23) Used'!AG116</f>
        <v>0</v>
      </c>
      <c r="F116">
        <f>'Monthly Data (14-23) Used'!AF116</f>
        <v>194.8644770085902</v>
      </c>
      <c r="G116" s="64">
        <f t="shared" ca="1" si="22"/>
        <v>0</v>
      </c>
      <c r="H116" s="64">
        <f t="shared" ca="1" si="22"/>
        <v>211.23289540171805</v>
      </c>
      <c r="I116">
        <f>'Monthly Data (14-23) Used'!BZ116</f>
        <v>0</v>
      </c>
      <c r="J116">
        <f>'Monthly Data (14-23) Used'!AR116</f>
        <v>189.7</v>
      </c>
      <c r="L116" s="6"/>
      <c r="M116" s="6">
        <f t="shared" ca="1" si="23"/>
        <v>0</v>
      </c>
      <c r="N116" s="6">
        <f t="shared" ca="1" si="24"/>
        <v>60817.385361446053</v>
      </c>
      <c r="O116" s="6"/>
      <c r="P116" s="6"/>
      <c r="Q116" s="6">
        <f t="shared" ca="1" si="25"/>
        <v>3345234.2253614459</v>
      </c>
    </row>
    <row r="117" spans="1:17">
      <c r="A117" s="197">
        <v>45139</v>
      </c>
      <c r="B117">
        <f t="shared" si="20"/>
        <v>8</v>
      </c>
      <c r="C117">
        <f t="shared" si="21"/>
        <v>2023</v>
      </c>
      <c r="D117" s="6">
        <f>'Monthly Data (14-23) Used'!X117</f>
        <v>3286746.61</v>
      </c>
      <c r="E117">
        <f>'Monthly Data (14-23) Used'!AG117</f>
        <v>0</v>
      </c>
      <c r="F117">
        <f>'Monthly Data (14-23) Used'!AF117</f>
        <v>140.01581606872151</v>
      </c>
      <c r="G117" s="64">
        <f t="shared" ca="1" si="22"/>
        <v>0</v>
      </c>
      <c r="H117" s="64">
        <f t="shared" ca="1" si="22"/>
        <v>183.87605861546231</v>
      </c>
      <c r="I117">
        <f>'Monthly Data (14-23) Used'!BZ117</f>
        <v>0</v>
      </c>
      <c r="J117">
        <f>'Monthly Data (14-23) Used'!AR117</f>
        <v>190.3</v>
      </c>
      <c r="L117" s="6"/>
      <c r="M117" s="6">
        <f t="shared" ca="1" si="23"/>
        <v>0</v>
      </c>
      <c r="N117" s="6">
        <f t="shared" ca="1" si="24"/>
        <v>162964.14283566584</v>
      </c>
      <c r="O117" s="6"/>
      <c r="P117" s="6"/>
      <c r="Q117" s="6">
        <f t="shared" ca="1" si="25"/>
        <v>3449710.7528356658</v>
      </c>
    </row>
    <row r="118" spans="1:17">
      <c r="A118" s="197">
        <v>45170</v>
      </c>
      <c r="B118">
        <f t="shared" si="20"/>
        <v>9</v>
      </c>
      <c r="C118">
        <f t="shared" si="21"/>
        <v>2023</v>
      </c>
      <c r="D118" s="6">
        <f>'Monthly Data (14-23) Used'!X118</f>
        <v>2966546.81</v>
      </c>
      <c r="E118">
        <f>'Monthly Data (14-23) Used'!AG118</f>
        <v>0</v>
      </c>
      <c r="F118">
        <f>'Monthly Data (14-23) Used'!AF118</f>
        <v>74.064477008590188</v>
      </c>
      <c r="G118" s="64">
        <f t="shared" ca="1" si="22"/>
        <v>5.87</v>
      </c>
      <c r="H118" s="64">
        <f t="shared" ca="1" si="22"/>
        <v>90.709343102577066</v>
      </c>
      <c r="I118">
        <f>'Monthly Data (14-23) Used'!BZ118</f>
        <v>0</v>
      </c>
      <c r="J118">
        <f>'Monthly Data (14-23) Used'!AR118</f>
        <v>188.1</v>
      </c>
      <c r="L118" s="6"/>
      <c r="M118" s="6">
        <f t="shared" ca="1" si="23"/>
        <v>5275.348430426202</v>
      </c>
      <c r="N118" s="6">
        <f t="shared" ca="1" si="24"/>
        <v>61844.535691528501</v>
      </c>
      <c r="O118" s="6"/>
      <c r="P118" s="6"/>
      <c r="Q118" s="6">
        <f t="shared" ca="1" si="25"/>
        <v>3033666.694121955</v>
      </c>
    </row>
    <row r="119" spans="1:17">
      <c r="A119" s="197">
        <v>45200</v>
      </c>
      <c r="B119">
        <f t="shared" si="20"/>
        <v>10</v>
      </c>
      <c r="C119">
        <f t="shared" si="21"/>
        <v>2023</v>
      </c>
      <c r="D119" s="6">
        <f>'Monthly Data (14-23) Used'!X119</f>
        <v>2745572.4499999997</v>
      </c>
      <c r="E119">
        <f>'Monthly Data (14-23) Used'!AG119</f>
        <v>100.29999999999998</v>
      </c>
      <c r="F119">
        <f>'Monthly Data (14-23) Used'!AF119</f>
        <v>28.599999999999994</v>
      </c>
      <c r="G119" s="64">
        <f t="shared" ca="1" si="22"/>
        <v>99.500656897422942</v>
      </c>
      <c r="H119" s="64">
        <f t="shared" ca="1" si="22"/>
        <v>20.479999999999997</v>
      </c>
      <c r="I119">
        <f>'Monthly Data (14-23) Used'!BZ119</f>
        <v>1</v>
      </c>
      <c r="J119">
        <f>'Monthly Data (14-23) Used'!AR119</f>
        <v>185.2</v>
      </c>
      <c r="L119" s="6"/>
      <c r="M119" s="6">
        <f t="shared" ca="1" si="23"/>
        <v>-718.36684523880774</v>
      </c>
      <c r="N119" s="6">
        <f t="shared" ca="1" si="24"/>
        <v>-30170.121344300147</v>
      </c>
      <c r="O119" s="6"/>
      <c r="P119" s="6"/>
      <c r="Q119" s="6">
        <f t="shared" ca="1" si="25"/>
        <v>2714683.9618104608</v>
      </c>
    </row>
    <row r="120" spans="1:17">
      <c r="A120" s="197">
        <v>45231</v>
      </c>
      <c r="B120">
        <f t="shared" si="20"/>
        <v>11</v>
      </c>
      <c r="C120">
        <f t="shared" si="21"/>
        <v>2023</v>
      </c>
      <c r="D120" s="6">
        <f>'Monthly Data (14-23) Used'!X120</f>
        <v>2746667.53</v>
      </c>
      <c r="E120">
        <f>'Monthly Data (14-23) Used'!AG120</f>
        <v>282.40000000000003</v>
      </c>
      <c r="F120">
        <f>'Monthly Data (14-23) Used'!AF120</f>
        <v>0</v>
      </c>
      <c r="G120" s="64">
        <f t="shared" ca="1" si="22"/>
        <v>286.30065689742298</v>
      </c>
      <c r="H120" s="64">
        <f t="shared" ca="1" si="22"/>
        <v>0.6699999999999996</v>
      </c>
      <c r="I120">
        <f>'Monthly Data (14-23) Used'!BZ120</f>
        <v>1</v>
      </c>
      <c r="J120">
        <f>'Monthly Data (14-23) Used'!AR120</f>
        <v>184.2</v>
      </c>
      <c r="L120" s="6"/>
      <c r="M120" s="6">
        <f t="shared" ca="1" si="23"/>
        <v>3505.5066850853982</v>
      </c>
      <c r="N120" s="6">
        <f t="shared" ca="1" si="24"/>
        <v>2489.4065641232874</v>
      </c>
      <c r="O120" s="6"/>
      <c r="P120" s="6"/>
      <c r="Q120" s="6">
        <f t="shared" ca="1" si="25"/>
        <v>2752662.4432492089</v>
      </c>
    </row>
    <row r="121" spans="1:17">
      <c r="A121" s="197">
        <v>45261</v>
      </c>
      <c r="B121">
        <f t="shared" si="20"/>
        <v>12</v>
      </c>
      <c r="C121">
        <f t="shared" si="21"/>
        <v>2023</v>
      </c>
      <c r="D121" s="6">
        <f>'Monthly Data (14-23) Used'!X121</f>
        <v>2567239.4</v>
      </c>
      <c r="E121">
        <f>'Monthly Data (14-23) Used'!AG121</f>
        <v>307.40000000000009</v>
      </c>
      <c r="F121">
        <f>'Monthly Data (14-23) Used'!AF121</f>
        <v>0</v>
      </c>
      <c r="G121" s="64">
        <f t="shared" ca="1" si="22"/>
        <v>409.7700000000001</v>
      </c>
      <c r="H121" s="64">
        <f t="shared" ca="1" si="22"/>
        <v>0</v>
      </c>
      <c r="I121">
        <f>'Monthly Data (14-23) Used'!BZ121</f>
        <v>0</v>
      </c>
      <c r="J121">
        <f>'Monthly Data (14-23) Used'!AR121</f>
        <v>184</v>
      </c>
      <c r="L121" s="6"/>
      <c r="M121" s="6">
        <f t="shared" ca="1" si="23"/>
        <v>91999.560276444681</v>
      </c>
      <c r="N121" s="6">
        <f t="shared" ca="1" si="24"/>
        <v>0</v>
      </c>
      <c r="O121" s="6"/>
      <c r="P121" s="6"/>
      <c r="Q121" s="6">
        <f t="shared" ca="1" si="25"/>
        <v>2659238.9602764444</v>
      </c>
    </row>
    <row r="122" spans="1:17">
      <c r="A122" s="197">
        <v>45292</v>
      </c>
      <c r="B122">
        <f t="shared" ref="B122:B133" si="26">MONTH(A122)</f>
        <v>1</v>
      </c>
      <c r="C122">
        <f t="shared" ref="C122:C133" si="27">YEAR(A122)</f>
        <v>2024</v>
      </c>
      <c r="D122" s="6"/>
      <c r="E122">
        <f>'Monthly Data (14-23) Used'!AG122</f>
        <v>0</v>
      </c>
      <c r="F122">
        <f>'Monthly Data (14-23) Used'!AF122</f>
        <v>0</v>
      </c>
      <c r="G122" s="64">
        <f t="shared" ca="1" si="22"/>
        <v>546.99999999999989</v>
      </c>
      <c r="H122" s="64">
        <f t="shared" ca="1" si="22"/>
        <v>0</v>
      </c>
      <c r="I122">
        <f t="shared" ref="I122:I145" si="28">I110</f>
        <v>0</v>
      </c>
      <c r="J122" s="101">
        <f>'Economic Data'!F148</f>
        <v>190.9974</v>
      </c>
      <c r="L122" s="6">
        <f t="shared" ref="L122:L145" si="29">$U$9</f>
        <v>788660.63968622696</v>
      </c>
      <c r="M122" s="6">
        <f t="shared" ref="M122:M145" ca="1" si="30">G122*$U$10</f>
        <v>491586.98321007355</v>
      </c>
      <c r="N122" s="6">
        <f t="shared" ref="N122:N145" ca="1" si="31">H122*$U$11</f>
        <v>0</v>
      </c>
      <c r="O122" s="6">
        <f t="shared" ref="O122:O145" si="32">I122*$U$12</f>
        <v>0</v>
      </c>
      <c r="P122" s="6">
        <f t="shared" ref="P122:P145" si="33">J122*$U$13</f>
        <v>1615945.9967866682</v>
      </c>
      <c r="Q122" s="6">
        <f t="shared" ref="Q122:Q145" ca="1" si="34">SUM(L122:P122)</f>
        <v>2896193.6196829686</v>
      </c>
    </row>
    <row r="123" spans="1:17">
      <c r="A123" s="197">
        <v>45323</v>
      </c>
      <c r="B123">
        <f t="shared" si="26"/>
        <v>2</v>
      </c>
      <c r="C123">
        <f t="shared" si="27"/>
        <v>2024</v>
      </c>
      <c r="D123" s="6"/>
      <c r="E123">
        <f>'Monthly Data (14-23) Used'!AG123</f>
        <v>0</v>
      </c>
      <c r="F123">
        <f>'Monthly Data (14-23) Used'!AF123</f>
        <v>0</v>
      </c>
      <c r="G123" s="64">
        <f t="shared" ca="1" si="22"/>
        <v>482.71355229914104</v>
      </c>
      <c r="H123" s="64">
        <f t="shared" ca="1" si="22"/>
        <v>0</v>
      </c>
      <c r="I123">
        <f t="shared" si="28"/>
        <v>0</v>
      </c>
      <c r="J123" s="101">
        <f>'Economic Data'!F149</f>
        <v>191.80500000000001</v>
      </c>
      <c r="L123" s="6">
        <f t="shared" si="29"/>
        <v>788660.63968622696</v>
      </c>
      <c r="M123" s="6">
        <f t="shared" ca="1" si="30"/>
        <v>433812.97793300339</v>
      </c>
      <c r="N123" s="6">
        <f t="shared" ca="1" si="31"/>
        <v>0</v>
      </c>
      <c r="O123" s="6">
        <f t="shared" si="32"/>
        <v>0</v>
      </c>
      <c r="P123" s="6">
        <f t="shared" si="33"/>
        <v>1622778.7494157874</v>
      </c>
      <c r="Q123" s="6">
        <f t="shared" ca="1" si="34"/>
        <v>2845252.3670350178</v>
      </c>
    </row>
    <row r="124" spans="1:17">
      <c r="A124" s="197">
        <v>45352</v>
      </c>
      <c r="B124">
        <f t="shared" si="26"/>
        <v>3</v>
      </c>
      <c r="C124">
        <f t="shared" si="27"/>
        <v>2024</v>
      </c>
      <c r="D124" s="6"/>
      <c r="E124">
        <f>'Monthly Data (14-23) Used'!AG124</f>
        <v>0</v>
      </c>
      <c r="F124">
        <f>'Monthly Data (14-23) Used'!AF124</f>
        <v>0</v>
      </c>
      <c r="G124" s="64">
        <f t="shared" ca="1" si="22"/>
        <v>372.63355229914106</v>
      </c>
      <c r="H124" s="64">
        <f t="shared" ca="1" si="22"/>
        <v>0</v>
      </c>
      <c r="I124">
        <f t="shared" si="28"/>
        <v>0</v>
      </c>
      <c r="J124" s="101">
        <f>'Economic Data'!F150</f>
        <v>193.82400000000001</v>
      </c>
      <c r="L124" s="6">
        <f t="shared" si="29"/>
        <v>788660.63968622696</v>
      </c>
      <c r="M124" s="6">
        <f t="shared" ca="1" si="30"/>
        <v>334884.4676738354</v>
      </c>
      <c r="N124" s="6">
        <f t="shared" ca="1" si="31"/>
        <v>0</v>
      </c>
      <c r="O124" s="6">
        <f t="shared" si="32"/>
        <v>0</v>
      </c>
      <c r="P124" s="6">
        <f t="shared" si="33"/>
        <v>1639860.6309885851</v>
      </c>
      <c r="Q124" s="6">
        <f t="shared" ca="1" si="34"/>
        <v>2763405.7383486475</v>
      </c>
    </row>
    <row r="125" spans="1:17">
      <c r="A125" s="197">
        <v>45383</v>
      </c>
      <c r="B125">
        <f t="shared" si="26"/>
        <v>4</v>
      </c>
      <c r="C125">
        <f t="shared" si="27"/>
        <v>2024</v>
      </c>
      <c r="D125" s="6"/>
      <c r="E125">
        <f>'Monthly Data (14-23) Used'!AG125</f>
        <v>0</v>
      </c>
      <c r="F125">
        <f>'Monthly Data (14-23) Used'!AF125</f>
        <v>0</v>
      </c>
      <c r="G125" s="64">
        <f t="shared" ca="1" si="22"/>
        <v>184.31</v>
      </c>
      <c r="H125" s="64">
        <f t="shared" ca="1" si="22"/>
        <v>3.0799999999999996</v>
      </c>
      <c r="I125">
        <f t="shared" si="28"/>
        <v>0</v>
      </c>
      <c r="J125" s="101">
        <f>'Economic Data'!F151</f>
        <v>192.71355000000003</v>
      </c>
      <c r="L125" s="6">
        <f t="shared" si="29"/>
        <v>788660.63968622696</v>
      </c>
      <c r="M125" s="6">
        <f t="shared" ca="1" si="30"/>
        <v>165638.75114341622</v>
      </c>
      <c r="N125" s="6">
        <f t="shared" ca="1" si="31"/>
        <v>11443.839130596609</v>
      </c>
      <c r="O125" s="6">
        <f t="shared" si="32"/>
        <v>0</v>
      </c>
      <c r="P125" s="6">
        <f t="shared" si="33"/>
        <v>1630465.5961235466</v>
      </c>
      <c r="Q125" s="6">
        <f t="shared" ca="1" si="34"/>
        <v>2596208.8260837863</v>
      </c>
    </row>
    <row r="126" spans="1:17">
      <c r="A126" s="197">
        <v>45413</v>
      </c>
      <c r="B126">
        <f t="shared" si="26"/>
        <v>5</v>
      </c>
      <c r="C126">
        <f t="shared" si="27"/>
        <v>2024</v>
      </c>
      <c r="D126" s="6"/>
      <c r="E126">
        <f>'Monthly Data (14-23) Used'!AG126</f>
        <v>0</v>
      </c>
      <c r="F126">
        <f>'Monthly Data (14-23) Used'!AF126</f>
        <v>0</v>
      </c>
      <c r="G126" s="64">
        <f t="shared" ca="1" si="22"/>
        <v>47.083552299140976</v>
      </c>
      <c r="H126" s="64">
        <f t="shared" ca="1" si="22"/>
        <v>53.286447700859014</v>
      </c>
      <c r="I126">
        <f t="shared" si="28"/>
        <v>0</v>
      </c>
      <c r="J126" s="101">
        <f>'Economic Data'!F152</f>
        <v>193.52115000000001</v>
      </c>
      <c r="L126" s="6">
        <f t="shared" si="29"/>
        <v>788660.63968622696</v>
      </c>
      <c r="M126" s="6">
        <f t="shared" ca="1" si="30"/>
        <v>42313.823461697328</v>
      </c>
      <c r="N126" s="6">
        <f t="shared" ca="1" si="31"/>
        <v>197987.51147064293</v>
      </c>
      <c r="O126" s="6">
        <f t="shared" si="32"/>
        <v>0</v>
      </c>
      <c r="P126" s="6">
        <f t="shared" si="33"/>
        <v>1637298.3487526653</v>
      </c>
      <c r="Q126" s="6">
        <f t="shared" ca="1" si="34"/>
        <v>2666260.3233712325</v>
      </c>
    </row>
    <row r="127" spans="1:17">
      <c r="A127" s="197">
        <v>45444</v>
      </c>
      <c r="B127">
        <f t="shared" si="26"/>
        <v>6</v>
      </c>
      <c r="C127">
        <f t="shared" si="27"/>
        <v>2024</v>
      </c>
      <c r="D127" s="6"/>
      <c r="E127">
        <f>'Monthly Data (14-23) Used'!AG127</f>
        <v>0</v>
      </c>
      <c r="F127">
        <f>'Monthly Data (14-23) Used'!AF127</f>
        <v>0</v>
      </c>
      <c r="G127" s="64">
        <f t="shared" ca="1" si="22"/>
        <v>0.4200000000000001</v>
      </c>
      <c r="H127" s="64">
        <f t="shared" ca="1" si="22"/>
        <v>145.07</v>
      </c>
      <c r="I127">
        <f t="shared" si="28"/>
        <v>0</v>
      </c>
      <c r="J127" s="101">
        <f>'Economic Data'!F153</f>
        <v>193.82400000000001</v>
      </c>
      <c r="L127" s="6">
        <f t="shared" si="29"/>
        <v>788660.63968622696</v>
      </c>
      <c r="M127" s="6">
        <f t="shared" ca="1" si="30"/>
        <v>377.45252824173855</v>
      </c>
      <c r="N127" s="6">
        <f t="shared" ca="1" si="31"/>
        <v>539012.2541154708</v>
      </c>
      <c r="O127" s="6">
        <f t="shared" si="32"/>
        <v>0</v>
      </c>
      <c r="P127" s="6">
        <f t="shared" si="33"/>
        <v>1639860.6309885851</v>
      </c>
      <c r="Q127" s="6">
        <f t="shared" ca="1" si="34"/>
        <v>2967910.9773185244</v>
      </c>
    </row>
    <row r="128" spans="1:17">
      <c r="A128" s="197">
        <v>45474</v>
      </c>
      <c r="B128">
        <f t="shared" si="26"/>
        <v>7</v>
      </c>
      <c r="C128">
        <f t="shared" si="27"/>
        <v>2024</v>
      </c>
      <c r="D128" s="6"/>
      <c r="E128">
        <f>'Monthly Data (14-23) Used'!AG128</f>
        <v>0</v>
      </c>
      <c r="F128">
        <f>'Monthly Data (14-23) Used'!AF128</f>
        <v>0</v>
      </c>
      <c r="G128" s="64">
        <f t="shared" ca="1" si="22"/>
        <v>0</v>
      </c>
      <c r="H128" s="64">
        <f t="shared" ca="1" si="22"/>
        <v>211.23289540171805</v>
      </c>
      <c r="I128">
        <f t="shared" si="28"/>
        <v>0</v>
      </c>
      <c r="J128" s="101">
        <f>'Economic Data'!F154</f>
        <v>191.50215</v>
      </c>
      <c r="L128" s="6">
        <f t="shared" si="29"/>
        <v>788660.63968622696</v>
      </c>
      <c r="M128" s="6">
        <f t="shared" ca="1" si="30"/>
        <v>0</v>
      </c>
      <c r="N128" s="6">
        <f t="shared" ca="1" si="31"/>
        <v>784842.62145045516</v>
      </c>
      <c r="O128" s="6">
        <f t="shared" si="32"/>
        <v>0</v>
      </c>
      <c r="P128" s="6">
        <f t="shared" si="33"/>
        <v>1620216.4671798677</v>
      </c>
      <c r="Q128" s="6">
        <f t="shared" ca="1" si="34"/>
        <v>3193719.7283165501</v>
      </c>
    </row>
    <row r="129" spans="1:17">
      <c r="A129" s="197">
        <v>45505</v>
      </c>
      <c r="B129">
        <f t="shared" si="26"/>
        <v>8</v>
      </c>
      <c r="C129">
        <f t="shared" si="27"/>
        <v>2024</v>
      </c>
      <c r="D129" s="6"/>
      <c r="E129">
        <f>'Monthly Data (14-23) Used'!AG129</f>
        <v>0</v>
      </c>
      <c r="F129">
        <f>'Monthly Data (14-23) Used'!AF129</f>
        <v>0</v>
      </c>
      <c r="G129" s="64">
        <f t="shared" ca="1" si="22"/>
        <v>0</v>
      </c>
      <c r="H129" s="64">
        <f t="shared" ca="1" si="22"/>
        <v>183.87605861546231</v>
      </c>
      <c r="I129">
        <f t="shared" si="28"/>
        <v>0</v>
      </c>
      <c r="J129" s="101">
        <f>'Economic Data'!F155</f>
        <v>192.10785000000001</v>
      </c>
      <c r="L129" s="6">
        <f t="shared" si="29"/>
        <v>788660.63968622696</v>
      </c>
      <c r="M129" s="6">
        <f t="shared" ca="1" si="30"/>
        <v>0</v>
      </c>
      <c r="N129" s="6">
        <f t="shared" ca="1" si="31"/>
        <v>683197.41388425441</v>
      </c>
      <c r="O129" s="6">
        <f t="shared" si="32"/>
        <v>0</v>
      </c>
      <c r="P129" s="6">
        <f t="shared" si="33"/>
        <v>1625341.0316517071</v>
      </c>
      <c r="Q129" s="6">
        <f t="shared" ca="1" si="34"/>
        <v>3097199.0852221884</v>
      </c>
    </row>
    <row r="130" spans="1:17">
      <c r="A130" s="197">
        <v>45536</v>
      </c>
      <c r="B130">
        <f t="shared" si="26"/>
        <v>9</v>
      </c>
      <c r="C130">
        <f t="shared" si="27"/>
        <v>2024</v>
      </c>
      <c r="D130" s="6"/>
      <c r="E130">
        <f>'Monthly Data (14-23) Used'!AG130</f>
        <v>0</v>
      </c>
      <c r="F130">
        <f>'Monthly Data (14-23) Used'!AF130</f>
        <v>0</v>
      </c>
      <c r="G130" s="64">
        <f t="shared" ca="1" si="22"/>
        <v>5.87</v>
      </c>
      <c r="H130" s="64">
        <f t="shared" ca="1" si="22"/>
        <v>90.709343102577066</v>
      </c>
      <c r="I130">
        <f t="shared" si="28"/>
        <v>0</v>
      </c>
      <c r="J130" s="101">
        <f>'Economic Data'!F156</f>
        <v>189.88695000000001</v>
      </c>
      <c r="L130" s="6">
        <f t="shared" si="29"/>
        <v>788660.63968622696</v>
      </c>
      <c r="M130" s="6">
        <f t="shared" ca="1" si="30"/>
        <v>5275.348430426202</v>
      </c>
      <c r="N130" s="6">
        <f t="shared" ca="1" si="31"/>
        <v>337033.48380129389</v>
      </c>
      <c r="O130" s="6">
        <f t="shared" si="32"/>
        <v>0</v>
      </c>
      <c r="P130" s="6">
        <f t="shared" si="33"/>
        <v>1606550.9619216295</v>
      </c>
      <c r="Q130" s="6">
        <f t="shared" ca="1" si="34"/>
        <v>2737520.4338395763</v>
      </c>
    </row>
    <row r="131" spans="1:17">
      <c r="A131" s="197">
        <v>45566</v>
      </c>
      <c r="B131">
        <f t="shared" si="26"/>
        <v>10</v>
      </c>
      <c r="C131">
        <f t="shared" si="27"/>
        <v>2024</v>
      </c>
      <c r="D131" s="6"/>
      <c r="E131">
        <f>'Monthly Data (14-23) Used'!AG131</f>
        <v>0</v>
      </c>
      <c r="F131">
        <f>'Monthly Data (14-23) Used'!AF131</f>
        <v>0</v>
      </c>
      <c r="G131" s="64">
        <f t="shared" ca="1" si="22"/>
        <v>99.500656897422942</v>
      </c>
      <c r="H131" s="64">
        <f t="shared" ca="1" si="22"/>
        <v>20.479999999999997</v>
      </c>
      <c r="I131">
        <f t="shared" si="28"/>
        <v>1</v>
      </c>
      <c r="J131" s="101">
        <f>'Economic Data'!F157</f>
        <v>186.95939999999999</v>
      </c>
      <c r="L131" s="6">
        <f t="shared" si="29"/>
        <v>788660.63968622696</v>
      </c>
      <c r="M131" s="6">
        <f t="shared" ca="1" si="30"/>
        <v>89420.891684871574</v>
      </c>
      <c r="N131" s="6">
        <f t="shared" ca="1" si="31"/>
        <v>76094.099154096926</v>
      </c>
      <c r="O131" s="6">
        <f t="shared" si="32"/>
        <v>135311.078711176</v>
      </c>
      <c r="P131" s="6">
        <f t="shared" si="33"/>
        <v>1581782.2336410726</v>
      </c>
      <c r="Q131" s="6">
        <f t="shared" ca="1" si="34"/>
        <v>2671268.942877444</v>
      </c>
    </row>
    <row r="132" spans="1:17">
      <c r="A132" s="197">
        <v>45597</v>
      </c>
      <c r="B132">
        <f t="shared" si="26"/>
        <v>11</v>
      </c>
      <c r="C132">
        <f t="shared" si="27"/>
        <v>2024</v>
      </c>
      <c r="D132" s="6"/>
      <c r="E132">
        <f>'Monthly Data (14-23) Used'!AG132</f>
        <v>0</v>
      </c>
      <c r="F132">
        <f>'Monthly Data (14-23) Used'!AF132</f>
        <v>0</v>
      </c>
      <c r="G132" s="64">
        <f t="shared" ca="1" si="22"/>
        <v>286.30065689742298</v>
      </c>
      <c r="H132" s="64">
        <f t="shared" ca="1" si="22"/>
        <v>0.6699999999999996</v>
      </c>
      <c r="I132">
        <f t="shared" si="28"/>
        <v>1</v>
      </c>
      <c r="J132" s="101">
        <f>'Economic Data'!F158</f>
        <v>185.94990000000001</v>
      </c>
      <c r="L132" s="6">
        <f t="shared" si="29"/>
        <v>788660.63968622696</v>
      </c>
      <c r="M132" s="6">
        <f t="shared" ca="1" si="30"/>
        <v>257297.39710286385</v>
      </c>
      <c r="N132" s="6">
        <f t="shared" ca="1" si="31"/>
        <v>2489.4065641232874</v>
      </c>
      <c r="O132" s="6">
        <f t="shared" si="32"/>
        <v>135311.078711176</v>
      </c>
      <c r="P132" s="6">
        <f t="shared" si="33"/>
        <v>1573241.2928546739</v>
      </c>
      <c r="Q132" s="6">
        <f t="shared" ca="1" si="34"/>
        <v>2756999.8149190638</v>
      </c>
    </row>
    <row r="133" spans="1:17">
      <c r="A133" s="197">
        <v>45627</v>
      </c>
      <c r="B133">
        <f t="shared" si="26"/>
        <v>12</v>
      </c>
      <c r="C133">
        <f t="shared" si="27"/>
        <v>2024</v>
      </c>
      <c r="D133" s="6"/>
      <c r="E133">
        <f>'Monthly Data (14-23) Used'!AG133</f>
        <v>0</v>
      </c>
      <c r="F133">
        <f>'Monthly Data (14-23) Used'!AF133</f>
        <v>0</v>
      </c>
      <c r="G133" s="64">
        <f t="shared" ca="1" si="22"/>
        <v>409.7700000000001</v>
      </c>
      <c r="H133" s="64">
        <f t="shared" ca="1" si="22"/>
        <v>0</v>
      </c>
      <c r="I133">
        <f t="shared" si="28"/>
        <v>0</v>
      </c>
      <c r="J133" s="101">
        <f>'Economic Data'!F159</f>
        <v>185.74800000000002</v>
      </c>
      <c r="L133" s="6">
        <f t="shared" si="29"/>
        <v>788660.63968622696</v>
      </c>
      <c r="M133" s="6">
        <f t="shared" ca="1" si="30"/>
        <v>368258.86308956478</v>
      </c>
      <c r="N133" s="6">
        <f t="shared" ca="1" si="31"/>
        <v>0</v>
      </c>
      <c r="O133" s="6">
        <f t="shared" si="32"/>
        <v>0</v>
      </c>
      <c r="P133" s="6">
        <f t="shared" si="33"/>
        <v>1571533.1046973942</v>
      </c>
      <c r="Q133" s="6">
        <f t="shared" ca="1" si="34"/>
        <v>2728452.6074731862</v>
      </c>
    </row>
    <row r="134" spans="1:17">
      <c r="A134" s="197">
        <v>45658</v>
      </c>
      <c r="B134">
        <f t="shared" ref="B134:B145" si="35">MONTH(A134)</f>
        <v>1</v>
      </c>
      <c r="C134">
        <f t="shared" ref="C134:C145" si="36">YEAR(A134)</f>
        <v>2025</v>
      </c>
      <c r="D134" s="6"/>
      <c r="E134">
        <f>'Monthly Data (14-23) Used'!AG134</f>
        <v>0</v>
      </c>
      <c r="F134">
        <f>'Monthly Data (14-23) Used'!AF134</f>
        <v>0</v>
      </c>
      <c r="G134" s="64">
        <f t="shared" ref="G134:H145" ca="1" si="37">G122</f>
        <v>546.99999999999989</v>
      </c>
      <c r="H134" s="64">
        <f t="shared" ca="1" si="37"/>
        <v>0</v>
      </c>
      <c r="I134">
        <f t="shared" si="28"/>
        <v>0</v>
      </c>
      <c r="J134" s="101">
        <f>'Economic Data'!F160</f>
        <v>194.19660645000002</v>
      </c>
      <c r="L134" s="6">
        <f t="shared" si="29"/>
        <v>788660.63968622696</v>
      </c>
      <c r="M134" s="6">
        <f t="shared" ca="1" si="30"/>
        <v>491586.98321007355</v>
      </c>
      <c r="N134" s="6">
        <f t="shared" ca="1" si="31"/>
        <v>0</v>
      </c>
      <c r="O134" s="6">
        <f t="shared" si="32"/>
        <v>0</v>
      </c>
      <c r="P134" s="6">
        <f t="shared" si="33"/>
        <v>1643013.092232845</v>
      </c>
      <c r="Q134" s="6">
        <f t="shared" ca="1" si="34"/>
        <v>2923260.7151291454</v>
      </c>
    </row>
    <row r="135" spans="1:17">
      <c r="A135" s="197">
        <v>45689</v>
      </c>
      <c r="B135">
        <f t="shared" si="35"/>
        <v>2</v>
      </c>
      <c r="C135">
        <f t="shared" si="36"/>
        <v>2025</v>
      </c>
      <c r="D135" s="6"/>
      <c r="E135">
        <f>'Monthly Data (14-23) Used'!AG135</f>
        <v>0</v>
      </c>
      <c r="F135">
        <f>'Monthly Data (14-23) Used'!AF135</f>
        <v>0</v>
      </c>
      <c r="G135" s="64">
        <f t="shared" ca="1" si="37"/>
        <v>482.71355229914104</v>
      </c>
      <c r="H135" s="64">
        <f t="shared" ca="1" si="37"/>
        <v>0</v>
      </c>
      <c r="I135">
        <f t="shared" si="28"/>
        <v>0</v>
      </c>
      <c r="J135" s="101">
        <f>'Economic Data'!F161</f>
        <v>195.01773375000002</v>
      </c>
      <c r="L135" s="6">
        <f t="shared" si="29"/>
        <v>788660.63968622696</v>
      </c>
      <c r="M135" s="6">
        <f t="shared" ca="1" si="30"/>
        <v>433812.97793300339</v>
      </c>
      <c r="N135" s="6">
        <f t="shared" ca="1" si="31"/>
        <v>0</v>
      </c>
      <c r="O135" s="6">
        <f t="shared" si="32"/>
        <v>0</v>
      </c>
      <c r="P135" s="6">
        <f t="shared" si="33"/>
        <v>1649960.2934685019</v>
      </c>
      <c r="Q135" s="6">
        <f t="shared" ca="1" si="34"/>
        <v>2872433.9110877323</v>
      </c>
    </row>
    <row r="136" spans="1:17">
      <c r="A136" s="197">
        <v>45717</v>
      </c>
      <c r="B136">
        <f t="shared" si="35"/>
        <v>3</v>
      </c>
      <c r="C136">
        <f t="shared" si="36"/>
        <v>2025</v>
      </c>
      <c r="D136" s="6"/>
      <c r="E136">
        <f>'Monthly Data (14-23) Used'!AG136</f>
        <v>0</v>
      </c>
      <c r="F136">
        <f>'Monthly Data (14-23) Used'!AF136</f>
        <v>0</v>
      </c>
      <c r="G136" s="64">
        <f t="shared" ca="1" si="37"/>
        <v>372.63355229914106</v>
      </c>
      <c r="H136" s="64">
        <f t="shared" ca="1" si="37"/>
        <v>0</v>
      </c>
      <c r="I136">
        <f t="shared" si="28"/>
        <v>0</v>
      </c>
      <c r="J136" s="101">
        <f>'Economic Data'!F162</f>
        <v>197.07055200000002</v>
      </c>
      <c r="L136" s="6">
        <f t="shared" si="29"/>
        <v>788660.63968622696</v>
      </c>
      <c r="M136" s="6">
        <f t="shared" ca="1" si="30"/>
        <v>334884.4676738354</v>
      </c>
      <c r="N136" s="6">
        <f t="shared" ca="1" si="31"/>
        <v>0</v>
      </c>
      <c r="O136" s="6">
        <f t="shared" si="32"/>
        <v>0</v>
      </c>
      <c r="P136" s="6">
        <f t="shared" si="33"/>
        <v>1667328.2965576439</v>
      </c>
      <c r="Q136" s="6">
        <f t="shared" ca="1" si="34"/>
        <v>2790873.4039177066</v>
      </c>
    </row>
    <row r="137" spans="1:17">
      <c r="A137" s="197">
        <v>45748</v>
      </c>
      <c r="B137">
        <f t="shared" si="35"/>
        <v>4</v>
      </c>
      <c r="C137">
        <f t="shared" si="36"/>
        <v>2025</v>
      </c>
      <c r="D137" s="6"/>
      <c r="E137">
        <f>'Monthly Data (14-23) Used'!AG137</f>
        <v>0</v>
      </c>
      <c r="F137">
        <f>'Monthly Data (14-23) Used'!AF137</f>
        <v>0</v>
      </c>
      <c r="G137" s="64">
        <f t="shared" ca="1" si="37"/>
        <v>184.31</v>
      </c>
      <c r="H137" s="64">
        <f t="shared" ca="1" si="37"/>
        <v>3.0799999999999996</v>
      </c>
      <c r="I137">
        <f t="shared" si="28"/>
        <v>0</v>
      </c>
      <c r="J137" s="101">
        <f>'Economic Data'!F163</f>
        <v>195.94150196250004</v>
      </c>
      <c r="L137" s="6">
        <f t="shared" si="29"/>
        <v>788660.63968622696</v>
      </c>
      <c r="M137" s="6">
        <f t="shared" ca="1" si="30"/>
        <v>165638.75114341622</v>
      </c>
      <c r="N137" s="6">
        <f t="shared" ca="1" si="31"/>
        <v>11443.839130596609</v>
      </c>
      <c r="O137" s="6">
        <f t="shared" si="32"/>
        <v>0</v>
      </c>
      <c r="P137" s="6">
        <f t="shared" si="33"/>
        <v>1657775.8948586159</v>
      </c>
      <c r="Q137" s="6">
        <f t="shared" ca="1" si="34"/>
        <v>2623519.1248188559</v>
      </c>
    </row>
    <row r="138" spans="1:17">
      <c r="A138" s="197">
        <v>45778</v>
      </c>
      <c r="B138">
        <f t="shared" si="35"/>
        <v>5</v>
      </c>
      <c r="C138">
        <f t="shared" si="36"/>
        <v>2025</v>
      </c>
      <c r="D138" s="6"/>
      <c r="E138">
        <f>'Monthly Data (14-23) Used'!AG138</f>
        <v>0</v>
      </c>
      <c r="F138">
        <f>'Monthly Data (14-23) Used'!AF138</f>
        <v>0</v>
      </c>
      <c r="G138" s="64">
        <f t="shared" ca="1" si="37"/>
        <v>47.083552299140976</v>
      </c>
      <c r="H138" s="64">
        <f t="shared" ca="1" si="37"/>
        <v>53.286447700859014</v>
      </c>
      <c r="I138">
        <f t="shared" si="28"/>
        <v>0</v>
      </c>
      <c r="J138" s="101">
        <f>'Economic Data'!F164</f>
        <v>196.76262926250001</v>
      </c>
      <c r="L138" s="6">
        <f t="shared" si="29"/>
        <v>788660.63968622696</v>
      </c>
      <c r="M138" s="6">
        <f t="shared" ca="1" si="30"/>
        <v>42313.823461697328</v>
      </c>
      <c r="N138" s="6">
        <f t="shared" ca="1" si="31"/>
        <v>197987.51147064293</v>
      </c>
      <c r="O138" s="6">
        <f t="shared" si="32"/>
        <v>0</v>
      </c>
      <c r="P138" s="6">
        <f t="shared" si="33"/>
        <v>1664723.0960942726</v>
      </c>
      <c r="Q138" s="6">
        <f t="shared" ca="1" si="34"/>
        <v>2693685.0707128397</v>
      </c>
    </row>
    <row r="139" spans="1:17">
      <c r="A139" s="197">
        <v>45809</v>
      </c>
      <c r="B139">
        <f t="shared" si="35"/>
        <v>6</v>
      </c>
      <c r="C139">
        <f t="shared" si="36"/>
        <v>2025</v>
      </c>
      <c r="D139" s="6"/>
      <c r="E139">
        <f>'Monthly Data (14-23) Used'!AG139</f>
        <v>0</v>
      </c>
      <c r="F139">
        <f>'Monthly Data (14-23) Used'!AF139</f>
        <v>0</v>
      </c>
      <c r="G139" s="64">
        <f t="shared" ca="1" si="37"/>
        <v>0.4200000000000001</v>
      </c>
      <c r="H139" s="64">
        <f t="shared" ca="1" si="37"/>
        <v>145.07</v>
      </c>
      <c r="I139">
        <f t="shared" si="28"/>
        <v>0</v>
      </c>
      <c r="J139" s="101">
        <f>'Economic Data'!F165</f>
        <v>197.07055200000002</v>
      </c>
      <c r="L139" s="6">
        <f t="shared" si="29"/>
        <v>788660.63968622696</v>
      </c>
      <c r="M139" s="6">
        <f t="shared" ca="1" si="30"/>
        <v>377.45252824173855</v>
      </c>
      <c r="N139" s="6">
        <f t="shared" ca="1" si="31"/>
        <v>539012.2541154708</v>
      </c>
      <c r="O139" s="6">
        <f t="shared" si="32"/>
        <v>0</v>
      </c>
      <c r="P139" s="6">
        <f t="shared" si="33"/>
        <v>1667328.2965576439</v>
      </c>
      <c r="Q139" s="6">
        <f t="shared" ca="1" si="34"/>
        <v>2995378.6428875835</v>
      </c>
    </row>
    <row r="140" spans="1:17">
      <c r="A140" s="197">
        <v>45839</v>
      </c>
      <c r="B140">
        <f t="shared" si="35"/>
        <v>7</v>
      </c>
      <c r="C140">
        <f t="shared" si="36"/>
        <v>2025</v>
      </c>
      <c r="D140" s="6"/>
      <c r="E140">
        <f>'Monthly Data (14-23) Used'!AG140</f>
        <v>0</v>
      </c>
      <c r="F140">
        <f>'Monthly Data (14-23) Used'!AF140</f>
        <v>0</v>
      </c>
      <c r="G140" s="64">
        <f t="shared" ca="1" si="37"/>
        <v>0</v>
      </c>
      <c r="H140" s="64">
        <f t="shared" ca="1" si="37"/>
        <v>211.23289540171805</v>
      </c>
      <c r="I140">
        <f t="shared" si="28"/>
        <v>0</v>
      </c>
      <c r="J140" s="101">
        <f>'Economic Data'!F166</f>
        <v>194.70981101250001</v>
      </c>
      <c r="L140" s="6">
        <f t="shared" si="29"/>
        <v>788660.63968622696</v>
      </c>
      <c r="M140" s="6">
        <f t="shared" ca="1" si="30"/>
        <v>0</v>
      </c>
      <c r="N140" s="6">
        <f t="shared" ca="1" si="31"/>
        <v>784842.62145045516</v>
      </c>
      <c r="O140" s="6">
        <f t="shared" si="32"/>
        <v>0</v>
      </c>
      <c r="P140" s="6">
        <f t="shared" si="33"/>
        <v>1647355.0930051305</v>
      </c>
      <c r="Q140" s="6">
        <f t="shared" ca="1" si="34"/>
        <v>3220858.3541418128</v>
      </c>
    </row>
    <row r="141" spans="1:17">
      <c r="A141" s="197">
        <v>45870</v>
      </c>
      <c r="B141">
        <f t="shared" si="35"/>
        <v>8</v>
      </c>
      <c r="C141">
        <f t="shared" si="36"/>
        <v>2025</v>
      </c>
      <c r="D141" s="6"/>
      <c r="E141">
        <f>'Monthly Data (14-23) Used'!AG141</f>
        <v>0</v>
      </c>
      <c r="F141">
        <f>'Monthly Data (14-23) Used'!AF141</f>
        <v>0</v>
      </c>
      <c r="G141" s="64">
        <f t="shared" ca="1" si="37"/>
        <v>0</v>
      </c>
      <c r="H141" s="64">
        <f t="shared" ca="1" si="37"/>
        <v>183.87605861546231</v>
      </c>
      <c r="I141">
        <f t="shared" si="28"/>
        <v>0</v>
      </c>
      <c r="J141" s="101">
        <f>'Economic Data'!F167</f>
        <v>195.32565648750003</v>
      </c>
      <c r="L141" s="6">
        <f t="shared" si="29"/>
        <v>788660.63968622696</v>
      </c>
      <c r="M141" s="6">
        <f t="shared" ca="1" si="30"/>
        <v>0</v>
      </c>
      <c r="N141" s="6">
        <f t="shared" ca="1" si="31"/>
        <v>683197.41388425441</v>
      </c>
      <c r="O141" s="6">
        <f t="shared" si="32"/>
        <v>0</v>
      </c>
      <c r="P141" s="6">
        <f t="shared" si="33"/>
        <v>1652565.4939318732</v>
      </c>
      <c r="Q141" s="6">
        <f t="shared" ca="1" si="34"/>
        <v>3124423.5475023547</v>
      </c>
    </row>
    <row r="142" spans="1:17">
      <c r="A142" s="197">
        <v>45901</v>
      </c>
      <c r="B142">
        <f t="shared" si="35"/>
        <v>9</v>
      </c>
      <c r="C142">
        <f t="shared" si="36"/>
        <v>2025</v>
      </c>
      <c r="D142" s="6"/>
      <c r="E142">
        <f>'Monthly Data (14-23) Used'!AG142</f>
        <v>0</v>
      </c>
      <c r="F142">
        <f>'Monthly Data (14-23) Used'!AF142</f>
        <v>0</v>
      </c>
      <c r="G142" s="64">
        <f t="shared" ca="1" si="37"/>
        <v>5.87</v>
      </c>
      <c r="H142" s="64">
        <f t="shared" ca="1" si="37"/>
        <v>90.709343102577066</v>
      </c>
      <c r="I142">
        <f t="shared" si="28"/>
        <v>0</v>
      </c>
      <c r="J142" s="101">
        <f>'Economic Data'!F168</f>
        <v>193.06755641250001</v>
      </c>
      <c r="L142" s="6">
        <f t="shared" si="29"/>
        <v>788660.63968622696</v>
      </c>
      <c r="M142" s="6">
        <f t="shared" ca="1" si="30"/>
        <v>5275.348430426202</v>
      </c>
      <c r="N142" s="6">
        <f t="shared" ca="1" si="31"/>
        <v>337033.48380129389</v>
      </c>
      <c r="O142" s="6">
        <f t="shared" si="32"/>
        <v>0</v>
      </c>
      <c r="P142" s="6">
        <f t="shared" si="33"/>
        <v>1633460.6905338168</v>
      </c>
      <c r="Q142" s="6">
        <f t="shared" ca="1" si="34"/>
        <v>2764430.1624517636</v>
      </c>
    </row>
    <row r="143" spans="1:17">
      <c r="A143" s="197">
        <v>45931</v>
      </c>
      <c r="B143">
        <f t="shared" si="35"/>
        <v>10</v>
      </c>
      <c r="C143">
        <f t="shared" si="36"/>
        <v>2025</v>
      </c>
      <c r="D143" s="6"/>
      <c r="E143">
        <f>'Monthly Data (14-23) Used'!AG143</f>
        <v>0</v>
      </c>
      <c r="F143">
        <f>'Monthly Data (14-23) Used'!AF143</f>
        <v>0</v>
      </c>
      <c r="G143" s="64">
        <f t="shared" ca="1" si="37"/>
        <v>99.500656897422942</v>
      </c>
      <c r="H143" s="64">
        <f t="shared" ca="1" si="37"/>
        <v>20.479999999999997</v>
      </c>
      <c r="I143">
        <f t="shared" si="28"/>
        <v>1</v>
      </c>
      <c r="J143" s="101">
        <f>'Economic Data'!F169</f>
        <v>190.09096994999999</v>
      </c>
      <c r="L143" s="6">
        <f t="shared" si="29"/>
        <v>788660.63968622696</v>
      </c>
      <c r="M143" s="6">
        <f t="shared" ca="1" si="30"/>
        <v>89420.891684871574</v>
      </c>
      <c r="N143" s="6">
        <f t="shared" ca="1" si="31"/>
        <v>76094.099154096926</v>
      </c>
      <c r="O143" s="6">
        <f t="shared" si="32"/>
        <v>135311.078711176</v>
      </c>
      <c r="P143" s="6">
        <f t="shared" si="33"/>
        <v>1608277.0860545605</v>
      </c>
      <c r="Q143" s="6">
        <f t="shared" ca="1" si="34"/>
        <v>2697763.7952909321</v>
      </c>
    </row>
    <row r="144" spans="1:17">
      <c r="A144" s="197">
        <v>45962</v>
      </c>
      <c r="B144">
        <f t="shared" si="35"/>
        <v>11</v>
      </c>
      <c r="C144">
        <f t="shared" si="36"/>
        <v>2025</v>
      </c>
      <c r="D144" s="6"/>
      <c r="E144">
        <f>'Monthly Data (14-23) Used'!AG144</f>
        <v>0</v>
      </c>
      <c r="F144">
        <f>'Monthly Data (14-23) Used'!AF144</f>
        <v>0</v>
      </c>
      <c r="G144" s="64">
        <f t="shared" ca="1" si="37"/>
        <v>286.30065689742298</v>
      </c>
      <c r="H144" s="64">
        <f t="shared" ca="1" si="37"/>
        <v>0.6699999999999996</v>
      </c>
      <c r="I144">
        <f t="shared" si="28"/>
        <v>1</v>
      </c>
      <c r="J144" s="101">
        <f>'Economic Data'!F170</f>
        <v>189.06456082500003</v>
      </c>
      <c r="L144" s="6">
        <f t="shared" si="29"/>
        <v>788660.63968622696</v>
      </c>
      <c r="M144" s="6">
        <f t="shared" ca="1" si="30"/>
        <v>257297.39710286385</v>
      </c>
      <c r="N144" s="6">
        <f t="shared" ca="1" si="31"/>
        <v>2489.4065641232874</v>
      </c>
      <c r="O144" s="6">
        <f t="shared" si="32"/>
        <v>135311.078711176</v>
      </c>
      <c r="P144" s="6">
        <f t="shared" si="33"/>
        <v>1599593.0845099897</v>
      </c>
      <c r="Q144" s="6">
        <f t="shared" ca="1" si="34"/>
        <v>2783351.6065743798</v>
      </c>
    </row>
    <row r="145" spans="1:17">
      <c r="A145" s="197">
        <v>45992</v>
      </c>
      <c r="B145">
        <f t="shared" si="35"/>
        <v>12</v>
      </c>
      <c r="C145">
        <f t="shared" si="36"/>
        <v>2025</v>
      </c>
      <c r="D145" s="6"/>
      <c r="E145">
        <f>'Monthly Data (14-23) Used'!AG145</f>
        <v>0</v>
      </c>
      <c r="F145">
        <f>'Monthly Data (14-23) Used'!AF145</f>
        <v>0</v>
      </c>
      <c r="G145" s="64">
        <f t="shared" ca="1" si="37"/>
        <v>409.7700000000001</v>
      </c>
      <c r="H145" s="64">
        <f t="shared" ca="1" si="37"/>
        <v>0</v>
      </c>
      <c r="I145">
        <f t="shared" si="28"/>
        <v>0</v>
      </c>
      <c r="J145" s="101">
        <f>'Economic Data'!F171</f>
        <v>188.85927900000002</v>
      </c>
      <c r="L145" s="6">
        <f t="shared" si="29"/>
        <v>788660.63968622696</v>
      </c>
      <c r="M145" s="6">
        <f t="shared" ca="1" si="30"/>
        <v>368258.86308956478</v>
      </c>
      <c r="N145" s="6">
        <f t="shared" ca="1" si="31"/>
        <v>0</v>
      </c>
      <c r="O145" s="6">
        <f t="shared" si="32"/>
        <v>0</v>
      </c>
      <c r="P145" s="6">
        <f t="shared" si="33"/>
        <v>1597856.2842010756</v>
      </c>
      <c r="Q145" s="6">
        <f t="shared" ca="1" si="34"/>
        <v>2754775.7869768674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EBD61-EAD6-4103-BBDC-D3A430322518}">
  <sheetPr codeName="Sheet34">
    <tabColor theme="9" tint="0.39997558519241921"/>
  </sheetPr>
  <dimension ref="B2:BC79"/>
  <sheetViews>
    <sheetView topLeftCell="A14" workbookViewId="0">
      <selection activeCell="D10" sqref="D10"/>
    </sheetView>
  </sheetViews>
  <sheetFormatPr defaultRowHeight="14.45"/>
  <cols>
    <col min="2" max="2" width="6.42578125" customWidth="1"/>
    <col min="3" max="3" width="12.7109375" bestFit="1" customWidth="1"/>
    <col min="4" max="4" width="14.5703125" bestFit="1" customWidth="1"/>
    <col min="5" max="5" width="14" bestFit="1" customWidth="1"/>
    <col min="6" max="6" width="1.140625" customWidth="1"/>
    <col min="7" max="7" width="12.5703125" customWidth="1"/>
    <col min="8" max="8" width="14.42578125" customWidth="1"/>
    <col min="9" max="11" width="12.7109375" customWidth="1"/>
    <col min="13" max="13" width="6.42578125" customWidth="1"/>
    <col min="14" max="14" width="12.7109375" bestFit="1" customWidth="1"/>
    <col min="15" max="15" width="14.5703125" bestFit="1" customWidth="1"/>
    <col min="16" max="16" width="14" bestFit="1" customWidth="1"/>
    <col min="17" max="17" width="1.140625" customWidth="1"/>
    <col min="18" max="18" width="12.5703125" customWidth="1"/>
    <col min="19" max="19" width="14.42578125" customWidth="1"/>
    <col min="20" max="22" width="12.7109375" customWidth="1"/>
    <col min="23" max="23" width="3.7109375" customWidth="1"/>
    <col min="24" max="24" width="6.42578125" customWidth="1"/>
    <col min="25" max="25" width="12.7109375" bestFit="1" customWidth="1"/>
    <col min="26" max="26" width="14.5703125" bestFit="1" customWidth="1"/>
    <col min="27" max="27" width="14" bestFit="1" customWidth="1"/>
    <col min="28" max="28" width="1.140625" customWidth="1"/>
    <col min="29" max="29" width="12.5703125" customWidth="1"/>
    <col min="30" max="30" width="14.42578125" customWidth="1"/>
    <col min="31" max="33" width="12.7109375" customWidth="1"/>
    <col min="35" max="35" width="6.42578125" customWidth="1"/>
    <col min="36" max="36" width="12.7109375" bestFit="1" customWidth="1"/>
    <col min="37" max="37" width="12.7109375" customWidth="1"/>
    <col min="39" max="39" width="6.5703125" customWidth="1"/>
    <col min="40" max="40" width="10.85546875" customWidth="1"/>
    <col min="41" max="41" width="9.5703125" customWidth="1"/>
    <col min="42" max="42" width="12.140625" customWidth="1"/>
    <col min="43" max="43" width="10.28515625" customWidth="1"/>
    <col min="45" max="45" width="6.5703125" customWidth="1"/>
    <col min="46" max="46" width="10.85546875" customWidth="1"/>
    <col min="47" max="47" width="9.5703125" customWidth="1"/>
    <col min="48" max="48" width="12.140625" customWidth="1"/>
    <col min="49" max="49" width="10.28515625" customWidth="1"/>
    <col min="51" max="51" width="6.5703125" customWidth="1"/>
    <col min="52" max="52" width="10.85546875" customWidth="1"/>
    <col min="53" max="53" width="9.5703125" customWidth="1"/>
    <col min="54" max="54" width="12.140625" customWidth="1"/>
    <col min="55" max="55" width="10.28515625" customWidth="1"/>
    <col min="56" max="56" width="14.7109375" customWidth="1"/>
  </cols>
  <sheetData>
    <row r="2" spans="2:55">
      <c r="B2" s="586" t="s">
        <v>457</v>
      </c>
      <c r="C2" s="587"/>
      <c r="D2" s="587"/>
      <c r="E2" s="587"/>
      <c r="F2" s="587"/>
      <c r="G2" s="587"/>
      <c r="H2" s="587"/>
      <c r="I2" s="587"/>
      <c r="J2" s="587"/>
      <c r="K2" s="587"/>
      <c r="M2" s="586" t="s">
        <v>481</v>
      </c>
      <c r="N2" s="587"/>
      <c r="O2" s="587"/>
      <c r="P2" s="587"/>
      <c r="Q2" s="587"/>
      <c r="R2" s="587"/>
      <c r="S2" s="587"/>
      <c r="T2" s="587"/>
      <c r="U2" s="587"/>
      <c r="V2" s="587"/>
      <c r="X2" s="586" t="s">
        <v>271</v>
      </c>
      <c r="Y2" s="587"/>
      <c r="Z2" s="587"/>
      <c r="AA2" s="587"/>
      <c r="AB2" s="587"/>
      <c r="AC2" s="587"/>
      <c r="AD2" s="587"/>
      <c r="AE2" s="587"/>
      <c r="AF2" s="587"/>
      <c r="AG2" s="587"/>
      <c r="AI2" s="583" t="s">
        <v>483</v>
      </c>
      <c r="AJ2" s="584"/>
      <c r="AK2" s="585"/>
      <c r="AM2" s="582" t="s">
        <v>138</v>
      </c>
      <c r="AN2" s="582"/>
      <c r="AO2" s="582"/>
      <c r="AP2" s="582"/>
      <c r="AQ2" s="582"/>
      <c r="AS2" s="582" t="s">
        <v>137</v>
      </c>
      <c r="AT2" s="582"/>
      <c r="AU2" s="582"/>
      <c r="AV2" s="582"/>
      <c r="AW2" s="582"/>
      <c r="AY2" s="582" t="s">
        <v>139</v>
      </c>
      <c r="AZ2" s="582"/>
      <c r="BA2" s="582"/>
      <c r="BB2" s="582"/>
      <c r="BC2" s="582"/>
    </row>
    <row r="3" spans="2:55" s="43" customFormat="1" ht="43.5">
      <c r="B3" s="235" t="s">
        <v>1</v>
      </c>
      <c r="C3" s="235" t="s">
        <v>484</v>
      </c>
      <c r="D3" s="235" t="s">
        <v>485</v>
      </c>
      <c r="E3" s="235" t="s">
        <v>486</v>
      </c>
      <c r="F3" s="236"/>
      <c r="G3" s="237" t="s">
        <v>487</v>
      </c>
      <c r="H3" s="235" t="s">
        <v>485</v>
      </c>
      <c r="I3" s="235" t="s">
        <v>488</v>
      </c>
      <c r="J3" s="235" t="s">
        <v>489</v>
      </c>
      <c r="K3" s="235" t="s">
        <v>490</v>
      </c>
      <c r="M3" s="235" t="s">
        <v>1</v>
      </c>
      <c r="N3" s="235" t="s">
        <v>484</v>
      </c>
      <c r="O3" s="235" t="s">
        <v>485</v>
      </c>
      <c r="P3" s="235" t="s">
        <v>486</v>
      </c>
      <c r="Q3" s="236"/>
      <c r="R3" s="237" t="s">
        <v>487</v>
      </c>
      <c r="S3" s="235" t="s">
        <v>485</v>
      </c>
      <c r="T3" s="235" t="s">
        <v>488</v>
      </c>
      <c r="U3" s="235" t="s">
        <v>489</v>
      </c>
      <c r="V3" s="235" t="s">
        <v>490</v>
      </c>
      <c r="X3" s="235" t="s">
        <v>1</v>
      </c>
      <c r="Y3" s="235" t="s">
        <v>484</v>
      </c>
      <c r="Z3" s="235" t="s">
        <v>485</v>
      </c>
      <c r="AA3" s="235" t="s">
        <v>486</v>
      </c>
      <c r="AB3" s="236"/>
      <c r="AC3" s="237" t="s">
        <v>487</v>
      </c>
      <c r="AD3" s="235" t="s">
        <v>485</v>
      </c>
      <c r="AE3" s="235" t="s">
        <v>488</v>
      </c>
      <c r="AF3" s="235" t="s">
        <v>489</v>
      </c>
      <c r="AG3" s="235" t="s">
        <v>490</v>
      </c>
      <c r="AI3" s="235" t="s">
        <v>1</v>
      </c>
      <c r="AJ3" s="235" t="s">
        <v>484</v>
      </c>
      <c r="AK3" s="235" t="s">
        <v>488</v>
      </c>
      <c r="AM3" s="249" t="s">
        <v>1</v>
      </c>
      <c r="AN3" s="249" t="s">
        <v>484</v>
      </c>
      <c r="AO3" s="250" t="s">
        <v>491</v>
      </c>
      <c r="AP3" s="250" t="s">
        <v>492</v>
      </c>
      <c r="AQ3" s="250" t="s">
        <v>493</v>
      </c>
      <c r="AS3" s="249" t="s">
        <v>1</v>
      </c>
      <c r="AT3" s="249" t="s">
        <v>484</v>
      </c>
      <c r="AU3" s="250" t="s">
        <v>491</v>
      </c>
      <c r="AV3" s="250" t="s">
        <v>492</v>
      </c>
      <c r="AW3" s="250" t="s">
        <v>493</v>
      </c>
      <c r="AY3" s="249" t="s">
        <v>1</v>
      </c>
      <c r="AZ3" s="249" t="s">
        <v>484</v>
      </c>
      <c r="BA3" s="250" t="s">
        <v>491</v>
      </c>
      <c r="BB3" s="250" t="s">
        <v>492</v>
      </c>
      <c r="BC3" s="250" t="s">
        <v>493</v>
      </c>
    </row>
    <row r="4" spans="2:55">
      <c r="B4" s="238"/>
      <c r="C4" s="238" t="s">
        <v>370</v>
      </c>
      <c r="D4" s="238" t="s">
        <v>372</v>
      </c>
      <c r="E4" s="238" t="s">
        <v>494</v>
      </c>
      <c r="F4" s="239"/>
      <c r="G4" s="240" t="s">
        <v>375</v>
      </c>
      <c r="H4" s="238" t="s">
        <v>495</v>
      </c>
      <c r="I4" s="238" t="s">
        <v>496</v>
      </c>
      <c r="J4" s="238" t="s">
        <v>497</v>
      </c>
      <c r="K4" s="238" t="s">
        <v>498</v>
      </c>
      <c r="M4" s="238"/>
      <c r="N4" s="238" t="s">
        <v>370</v>
      </c>
      <c r="O4" s="238" t="s">
        <v>372</v>
      </c>
      <c r="P4" s="238" t="s">
        <v>494</v>
      </c>
      <c r="Q4" s="239"/>
      <c r="R4" s="240" t="s">
        <v>375</v>
      </c>
      <c r="S4" s="238" t="s">
        <v>495</v>
      </c>
      <c r="T4" s="238" t="s">
        <v>496</v>
      </c>
      <c r="U4" s="238" t="s">
        <v>497</v>
      </c>
      <c r="V4" s="238" t="s">
        <v>498</v>
      </c>
      <c r="X4" s="238"/>
      <c r="Y4" s="238" t="s">
        <v>370</v>
      </c>
      <c r="Z4" s="238" t="s">
        <v>372</v>
      </c>
      <c r="AA4" s="238" t="s">
        <v>494</v>
      </c>
      <c r="AB4" s="239"/>
      <c r="AC4" s="240" t="s">
        <v>375</v>
      </c>
      <c r="AD4" s="238" t="s">
        <v>495</v>
      </c>
      <c r="AE4" s="238" t="s">
        <v>496</v>
      </c>
      <c r="AF4" s="238" t="s">
        <v>497</v>
      </c>
      <c r="AG4" s="238" t="s">
        <v>498</v>
      </c>
      <c r="AI4" s="238"/>
      <c r="AJ4" s="238" t="s">
        <v>370</v>
      </c>
      <c r="AK4" s="238" t="s">
        <v>372</v>
      </c>
      <c r="AM4" s="251"/>
      <c r="AN4" s="251"/>
      <c r="AO4" s="251"/>
      <c r="AP4" s="251"/>
      <c r="AQ4" s="251"/>
      <c r="AS4" s="251"/>
      <c r="AT4" s="251"/>
      <c r="AU4" s="251"/>
      <c r="AV4" s="251"/>
      <c r="AW4" s="251"/>
      <c r="AY4" s="251"/>
      <c r="AZ4" s="251"/>
      <c r="BA4" s="251"/>
      <c r="BB4" s="251"/>
      <c r="BC4" s="251"/>
    </row>
    <row r="5" spans="2:55">
      <c r="B5" s="241">
        <v>2014</v>
      </c>
      <c r="C5" s="242">
        <f>SUMIF('Monthly Data (longer 09-23)'!$B:$B,B5,'Monthly Data (longer 09-23)'!C:C)</f>
        <v>245551953</v>
      </c>
      <c r="D5" s="242">
        <f>SUMIF('Monthly Data (longer 09-23)'!$B:$B,B5,'Monthly Data (longer 09-23)'!D:D)</f>
        <v>2791930.0401800401</v>
      </c>
      <c r="E5" s="242">
        <f>SUMIF('Monthly Data (longer 09-23)'!$B:$B,B5,'Monthly Data (longer 09-23)'!E:E)</f>
        <v>248343883.04018</v>
      </c>
      <c r="F5" s="243"/>
      <c r="G5" s="244">
        <f ca="1">SUMIF('Res Normalized Monthly WN'!$C:$C,B5,'Res Normalized Monthly WN'!$Y:$Y)</f>
        <v>254117717.22780502</v>
      </c>
      <c r="H5" s="242">
        <f t="shared" ref="H5:H14" si="0">D5</f>
        <v>2791930.0401800401</v>
      </c>
      <c r="I5" s="242">
        <f t="shared" ref="I5:I16" ca="1" si="1">G5-H5</f>
        <v>251325787.18762499</v>
      </c>
      <c r="J5" s="242"/>
      <c r="K5" s="242">
        <f t="shared" ref="K5:K14" ca="1" si="2">I5+J5</f>
        <v>251325787.18762499</v>
      </c>
      <c r="M5" s="241">
        <v>2014</v>
      </c>
      <c r="N5" s="242">
        <f>SUMIF('Monthly Data (longer 09-23)'!$B:$B,M5,'Monthly Data (longer 09-23)'!G:G)</f>
        <v>65242009</v>
      </c>
      <c r="O5" s="242">
        <f>SUMIF('Monthly Data (longer 09-23)'!$B:$B,M5,'Monthly Data (longer 09-23)'!H:H)</f>
        <v>2619588.9542953172</v>
      </c>
      <c r="P5" s="242">
        <f>SUMIF('Monthly Data (longer 09-23)'!$B:$B,M5,'Monthly Data (longer 09-23)'!I:I)</f>
        <v>67861597.954295307</v>
      </c>
      <c r="Q5" s="243"/>
      <c r="R5" s="244">
        <f ca="1">SUMIF('GS&lt;50 Normalized Monthly WN'!$C:$C,M5,'GS&lt;50 Normalized Monthly WN'!$S:$S)</f>
        <v>68141080.485802323</v>
      </c>
      <c r="S5" s="242">
        <f t="shared" ref="S5:S14" si="3">O5</f>
        <v>2619588.9542953172</v>
      </c>
      <c r="T5" s="242">
        <f ca="1">R5-S5</f>
        <v>65521491.531507008</v>
      </c>
      <c r="U5" s="242"/>
      <c r="V5" s="242">
        <f t="shared" ref="V5:V14" ca="1" si="4">T5+U5</f>
        <v>65521491.531507008</v>
      </c>
      <c r="X5" s="241">
        <v>2014</v>
      </c>
      <c r="Y5" s="242">
        <f>SUMIF('Monthly Data (longer 09-23)'!$B:$B,$X5,'Monthly Data (longer 09-23)'!K:K)</f>
        <v>167236927</v>
      </c>
      <c r="Z5" s="242">
        <f>SUMIF('Monthly Data (longer 09-23)'!$B:$B,$X5,'Monthly Data (longer 09-23)'!L:L)</f>
        <v>2877071.9525224143</v>
      </c>
      <c r="AA5" s="242">
        <f>SUMIF('Monthly Data (longer 09-23)'!$B:$B,$X5,'Monthly Data (longer 09-23)'!M:M)</f>
        <v>170113998.95252243</v>
      </c>
      <c r="AB5" s="243"/>
      <c r="AC5" s="244">
        <f ca="1">SUMIF('GS&gt;50 Normalized Monthly WN'!$C:$C,X5,'GS&gt;50 Normalized Monthly WN'!$U:$U)</f>
        <v>170843649.24936056</v>
      </c>
      <c r="AD5" s="242">
        <f t="shared" ref="AD5:AD14" si="5">Z5</f>
        <v>2877071.9525224143</v>
      </c>
      <c r="AE5" s="242">
        <f t="shared" ref="AE5:AE16" ca="1" si="6">AC5-AD5</f>
        <v>167966577.29683813</v>
      </c>
      <c r="AF5" s="242"/>
      <c r="AG5" s="242">
        <f t="shared" ref="AG5:AG14" ca="1" si="7">AE5+AF5</f>
        <v>167966577.29683813</v>
      </c>
      <c r="AI5" s="241">
        <v>2014</v>
      </c>
      <c r="AJ5" s="242">
        <f>SUMIF('Monthly Data (longer 09-23)'!$B:$B,$AI5,'Monthly Data (longer 09-23)'!X:X)</f>
        <v>38058829</v>
      </c>
      <c r="AK5" s="244">
        <f ca="1">SUMIF('ED Normalized Monthly WN'!$C:$C,AI5,'ED Normalized Monthly WN'!$Q:$Q)</f>
        <v>38157205.647941649</v>
      </c>
      <c r="AM5" s="241">
        <v>2014</v>
      </c>
      <c r="AN5" s="242">
        <f>SUMIF('Monthly Data (longer 09-23)'!$B:$B,$AM5,'Monthly Data (longer 09-23)'!P:P)</f>
        <v>6286758</v>
      </c>
      <c r="AO5" s="242">
        <f>'Connection Count'!O4</f>
        <v>2712.8333333333335</v>
      </c>
      <c r="AP5" s="242">
        <f t="shared" ref="AP5:AP14" si="8">AN5/AO5</f>
        <v>2317.414019782515</v>
      </c>
      <c r="AQ5" s="242">
        <f t="shared" ref="AQ5:AQ16" si="9">AP5*AO5</f>
        <v>6286758</v>
      </c>
      <c r="AS5" s="241">
        <v>2014</v>
      </c>
      <c r="AT5" s="242">
        <f>SUMIF('Monthly Data (longer 09-23)'!$B:$B,$AS5,'Monthly Data (longer 09-23)'!S:S)</f>
        <v>350518</v>
      </c>
      <c r="AU5" s="242">
        <f>'Connection Count'!S4</f>
        <v>172.33333333333334</v>
      </c>
      <c r="AV5" s="242">
        <f t="shared" ref="AV5:AV14" si="10">AT5/AU5</f>
        <v>2033.953578336557</v>
      </c>
      <c r="AW5" s="242">
        <f t="shared" ref="AW5:AW16" si="11">AV5*AU5</f>
        <v>350518</v>
      </c>
      <c r="AY5" s="241">
        <v>2014</v>
      </c>
      <c r="AZ5" s="242">
        <f>SUMIF('Monthly Data (longer 09-23)'!$B:$B,$AY5,'Monthly Data (longer 09-23)'!V:V)</f>
        <v>1555546</v>
      </c>
      <c r="BA5" s="242">
        <f>'Connection Count'!W4</f>
        <v>139.83333333333334</v>
      </c>
      <c r="BB5" s="242">
        <f t="shared" ref="BB5:BB14" si="12">AZ5/BA5</f>
        <v>11124.286054827175</v>
      </c>
      <c r="BC5" s="242">
        <f t="shared" ref="BC5:BC16" si="13">BB5*BA5</f>
        <v>1555546</v>
      </c>
    </row>
    <row r="6" spans="2:55">
      <c r="B6" s="241">
        <f t="shared" ref="B6:B16" si="14">B5+1</f>
        <v>2015</v>
      </c>
      <c r="C6" s="242">
        <f>SUMIF('Monthly Data (longer 09-23)'!$B:$B,B6,'Monthly Data (longer 09-23)'!C:C)</f>
        <v>244757238</v>
      </c>
      <c r="D6" s="242">
        <f>SUMIF('Monthly Data (longer 09-23)'!$B:$B,B6,'Monthly Data (longer 09-23)'!D:D)</f>
        <v>4020536.6808440927</v>
      </c>
      <c r="E6" s="242">
        <f>SUMIF('Monthly Data (longer 09-23)'!$B:$B,B6,'Monthly Data (longer 09-23)'!E:E)</f>
        <v>248777774.68084404</v>
      </c>
      <c r="F6" s="243"/>
      <c r="G6" s="244">
        <f ca="1">SUMIF('Res Normalized Monthly WN'!$C:$C,B6,'Res Normalized Monthly WN'!$Y:$Y)</f>
        <v>251844275.17493606</v>
      </c>
      <c r="H6" s="242">
        <f t="shared" si="0"/>
        <v>4020536.6808440927</v>
      </c>
      <c r="I6" s="242">
        <f t="shared" ca="1" si="1"/>
        <v>247823738.49409196</v>
      </c>
      <c r="J6" s="242"/>
      <c r="K6" s="242">
        <f t="shared" ca="1" si="2"/>
        <v>247823738.49409196</v>
      </c>
      <c r="M6" s="241">
        <f t="shared" ref="M6:M14" si="15">M5+1</f>
        <v>2015</v>
      </c>
      <c r="N6" s="242">
        <f>SUMIF('Monthly Data (longer 09-23)'!$B:$B,M6,'Monthly Data (longer 09-23)'!G:G)</f>
        <v>65329578</v>
      </c>
      <c r="O6" s="242">
        <f>SUMIF('Monthly Data (longer 09-23)'!$B:$B,M6,'Monthly Data (longer 09-23)'!H:H)</f>
        <v>6650379.3254646538</v>
      </c>
      <c r="P6" s="242">
        <f>SUMIF('Monthly Data (longer 09-23)'!$B:$B,M6,'Monthly Data (longer 09-23)'!I:I)</f>
        <v>71979957.325464636</v>
      </c>
      <c r="Q6" s="243"/>
      <c r="R6" s="244">
        <f ca="1">SUMIF('GS&lt;50 Normalized Monthly WN'!$C:$C,M6,'GS&lt;50 Normalized Monthly WN'!$S:$S)</f>
        <v>72174254.251468033</v>
      </c>
      <c r="S6" s="242">
        <f t="shared" si="3"/>
        <v>6650379.3254646538</v>
      </c>
      <c r="T6" s="242">
        <f ca="1">R6-S6</f>
        <v>65523874.926003382</v>
      </c>
      <c r="U6" s="242"/>
      <c r="V6" s="242">
        <f t="shared" ca="1" si="4"/>
        <v>65523874.926003382</v>
      </c>
      <c r="X6" s="241">
        <f t="shared" ref="X6:X16" si="16">X5+1</f>
        <v>2015</v>
      </c>
      <c r="Y6" s="242">
        <f>SUMIF('Monthly Data (longer 09-23)'!$B:$B,$X6,'Monthly Data (longer 09-23)'!K:K)</f>
        <v>171977957</v>
      </c>
      <c r="Z6" s="242">
        <f>SUMIF('Monthly Data (longer 09-23)'!$B:$B,$X6,'Monthly Data (longer 09-23)'!L:L)</f>
        <v>7268299.0409629522</v>
      </c>
      <c r="AA6" s="242">
        <f>SUMIF('Monthly Data (longer 09-23)'!$B:$B,$X6,'Monthly Data (longer 09-23)'!M:M)</f>
        <v>179246256.04096293</v>
      </c>
      <c r="AB6" s="243"/>
      <c r="AC6" s="244">
        <f ca="1">SUMIF('GS&gt;50 Normalized Monthly WN'!$C:$C,X6,'GS&gt;50 Normalized Monthly WN'!$U:$U)</f>
        <v>179448112.02254477</v>
      </c>
      <c r="AD6" s="242">
        <f t="shared" si="5"/>
        <v>7268299.0409629522</v>
      </c>
      <c r="AE6" s="242">
        <f t="shared" ca="1" si="6"/>
        <v>172179812.98158181</v>
      </c>
      <c r="AF6" s="242"/>
      <c r="AG6" s="242">
        <f t="shared" ca="1" si="7"/>
        <v>172179812.98158181</v>
      </c>
      <c r="AI6" s="241">
        <f t="shared" ref="AI6:AI16" si="17">AI5+1</f>
        <v>2015</v>
      </c>
      <c r="AJ6" s="242">
        <f>SUMIF('Monthly Data (longer 09-23)'!$B:$B,$AI6,'Monthly Data (longer 09-23)'!X:X)</f>
        <v>38655618</v>
      </c>
      <c r="AK6" s="244">
        <f ca="1">SUMIF('ED Normalized Monthly WN'!$C:$C,AI6,'ED Normalized Monthly WN'!$Q:$Q)</f>
        <v>38755214.526688859</v>
      </c>
      <c r="AM6" s="241">
        <f t="shared" ref="AM6:AM16" si="18">AM5+1</f>
        <v>2015</v>
      </c>
      <c r="AN6" s="242">
        <f>SUMIF('Monthly Data (longer 09-23)'!$B:$B,$AM6,'Monthly Data (longer 09-23)'!P:P)</f>
        <v>6227064</v>
      </c>
      <c r="AO6" s="242">
        <f>'Connection Count'!O5</f>
        <v>2700.5833333333335</v>
      </c>
      <c r="AP6" s="242">
        <f t="shared" si="8"/>
        <v>2305.8218286172737</v>
      </c>
      <c r="AQ6" s="242">
        <f t="shared" si="9"/>
        <v>6227063.9999999991</v>
      </c>
      <c r="AS6" s="241">
        <f t="shared" ref="AS6:AS16" si="19">AS5+1</f>
        <v>2015</v>
      </c>
      <c r="AT6" s="242">
        <f>SUMIF('Monthly Data (longer 09-23)'!$B:$B,$AS6,'Monthly Data (longer 09-23)'!S:S)</f>
        <v>341134</v>
      </c>
      <c r="AU6" s="242">
        <f>'Connection Count'!S5</f>
        <v>174</v>
      </c>
      <c r="AV6" s="242">
        <f t="shared" si="10"/>
        <v>1960.5402298850574</v>
      </c>
      <c r="AW6" s="242">
        <f t="shared" si="11"/>
        <v>341134</v>
      </c>
      <c r="AY6" s="241">
        <f t="shared" ref="AY6:AY14" si="20">AY5+1</f>
        <v>2015</v>
      </c>
      <c r="AZ6" s="242">
        <f>SUMIF('Monthly Data (longer 09-23)'!$B:$B,$AY6,'Monthly Data (longer 09-23)'!V:V)</f>
        <v>1558152</v>
      </c>
      <c r="BA6" s="242">
        <f>'Connection Count'!W5</f>
        <v>141</v>
      </c>
      <c r="BB6" s="242">
        <f t="shared" si="12"/>
        <v>11050.723404255319</v>
      </c>
      <c r="BC6" s="242">
        <f t="shared" si="13"/>
        <v>1558152</v>
      </c>
    </row>
    <row r="7" spans="2:55">
      <c r="B7" s="241">
        <f t="shared" si="14"/>
        <v>2016</v>
      </c>
      <c r="C7" s="242">
        <f>SUMIF('Monthly Data (longer 09-23)'!$B:$B,B7,'Monthly Data (longer 09-23)'!C:C)</f>
        <v>255390423</v>
      </c>
      <c r="D7" s="242">
        <f>SUMIF('Monthly Data (longer 09-23)'!$B:$B,B7,'Monthly Data (longer 09-23)'!D:D)</f>
        <v>6339606.3638785919</v>
      </c>
      <c r="E7" s="242">
        <f>SUMIF('Monthly Data (longer 09-23)'!$B:$B,B7,'Monthly Data (longer 09-23)'!E:E)</f>
        <v>261730029.36387852</v>
      </c>
      <c r="F7" s="243"/>
      <c r="G7" s="244">
        <f ca="1">SUMIF('Res Normalized Monthly WN'!$C:$C,B7,'Res Normalized Monthly WN'!$Y:$Y)</f>
        <v>255298026.76362354</v>
      </c>
      <c r="H7" s="242">
        <f t="shared" si="0"/>
        <v>6339606.3638785919</v>
      </c>
      <c r="I7" s="242">
        <f t="shared" ca="1" si="1"/>
        <v>248958420.39974496</v>
      </c>
      <c r="J7" s="242"/>
      <c r="K7" s="242">
        <f t="shared" ca="1" si="2"/>
        <v>248958420.39974496</v>
      </c>
      <c r="M7" s="241">
        <f t="shared" si="15"/>
        <v>2016</v>
      </c>
      <c r="N7" s="242">
        <f>SUMIF('Monthly Data (longer 09-23)'!$B:$B,M7,'Monthly Data (longer 09-23)'!G:G)</f>
        <v>66808994</v>
      </c>
      <c r="O7" s="242">
        <f>SUMIF('Monthly Data (longer 09-23)'!$B:$B,M7,'Monthly Data (longer 09-23)'!H:H)</f>
        <v>10890075.425516121</v>
      </c>
      <c r="P7" s="242">
        <f>SUMIF('Monthly Data (longer 09-23)'!$B:$B,M7,'Monthly Data (longer 09-23)'!I:I)</f>
        <v>77699069.425516114</v>
      </c>
      <c r="Q7" s="243"/>
      <c r="R7" s="244">
        <f ca="1">SUMIF('GS&lt;50 Normalized Monthly WN'!$C:$C,M7,'GS&lt;50 Normalized Monthly WN'!$S:$S)</f>
        <v>77053838.061467737</v>
      </c>
      <c r="S7" s="242">
        <f t="shared" si="3"/>
        <v>10890075.425516121</v>
      </c>
      <c r="T7" s="242">
        <f ca="1">R7-S7</f>
        <v>66163762.635951616</v>
      </c>
      <c r="U7" s="242"/>
      <c r="V7" s="242">
        <f t="shared" ca="1" si="4"/>
        <v>66163762.635951616</v>
      </c>
      <c r="X7" s="241">
        <f t="shared" si="16"/>
        <v>2016</v>
      </c>
      <c r="Y7" s="242">
        <f>SUMIF('Monthly Data (longer 09-23)'!$B:$B,$X7,'Monthly Data (longer 09-23)'!K:K)</f>
        <v>187031606</v>
      </c>
      <c r="Z7" s="242">
        <f>SUMIF('Monthly Data (longer 09-23)'!$B:$B,$X7,'Monthly Data (longer 09-23)'!L:L)</f>
        <v>11671355.882812349</v>
      </c>
      <c r="AA7" s="242">
        <f>SUMIF('Monthly Data (longer 09-23)'!$B:$B,$X7,'Monthly Data (longer 09-23)'!M:M)</f>
        <v>198702961.88281238</v>
      </c>
      <c r="AB7" s="243"/>
      <c r="AC7" s="244">
        <f ca="1">SUMIF('GS&gt;50 Normalized Monthly WN'!$C:$C,X7,'GS&gt;50 Normalized Monthly WN'!$U:$U)</f>
        <v>197274517.58850366</v>
      </c>
      <c r="AD7" s="242">
        <f t="shared" si="5"/>
        <v>11671355.882812349</v>
      </c>
      <c r="AE7" s="242">
        <f t="shared" ca="1" si="6"/>
        <v>185603161.70569131</v>
      </c>
      <c r="AF7" s="242"/>
      <c r="AG7" s="242">
        <f t="shared" ca="1" si="7"/>
        <v>185603161.70569131</v>
      </c>
      <c r="AI7" s="241">
        <f t="shared" si="17"/>
        <v>2016</v>
      </c>
      <c r="AJ7" s="242">
        <f>SUMIF('Monthly Data (longer 09-23)'!$B:$B,$AI7,'Monthly Data (longer 09-23)'!X:X)</f>
        <v>32586842</v>
      </c>
      <c r="AK7" s="244">
        <f ca="1">SUMIF('ED Normalized Monthly WN'!$C:$C,AI7,'ED Normalized Monthly WN'!$Q:$Q)</f>
        <v>32297160.285484102</v>
      </c>
      <c r="AM7" s="241">
        <f t="shared" si="18"/>
        <v>2016</v>
      </c>
      <c r="AN7" s="242">
        <f>SUMIF('Monthly Data (longer 09-23)'!$B:$B,$AM7,'Monthly Data (longer 09-23)'!P:P)</f>
        <v>4268689</v>
      </c>
      <c r="AO7" s="242">
        <f>'Connection Count'!O6</f>
        <v>2719.8333333333335</v>
      </c>
      <c r="AP7" s="242">
        <f t="shared" si="8"/>
        <v>1569.4671242110423</v>
      </c>
      <c r="AQ7" s="242">
        <f t="shared" si="9"/>
        <v>4268689</v>
      </c>
      <c r="AS7" s="241">
        <f t="shared" si="19"/>
        <v>2016</v>
      </c>
      <c r="AT7" s="242">
        <f>SUMIF('Monthly Data (longer 09-23)'!$B:$B,$AS7,'Monthly Data (longer 09-23)'!S:S)</f>
        <v>335758</v>
      </c>
      <c r="AU7" s="242">
        <f>'Connection Count'!S6</f>
        <v>181</v>
      </c>
      <c r="AV7" s="242">
        <f t="shared" si="10"/>
        <v>1855.0165745856355</v>
      </c>
      <c r="AW7" s="242">
        <f t="shared" si="11"/>
        <v>335758</v>
      </c>
      <c r="AY7" s="241">
        <f t="shared" si="20"/>
        <v>2016</v>
      </c>
      <c r="AZ7" s="242">
        <f>SUMIF('Monthly Data (longer 09-23)'!$B:$B,$AY7,'Monthly Data (longer 09-23)'!V:V)</f>
        <v>1554368</v>
      </c>
      <c r="BA7" s="242">
        <f>'Connection Count'!W6</f>
        <v>139.08333333333334</v>
      </c>
      <c r="BB7" s="242">
        <f t="shared" si="12"/>
        <v>11175.803475134811</v>
      </c>
      <c r="BC7" s="242">
        <f t="shared" si="13"/>
        <v>1554368.0000000002</v>
      </c>
    </row>
    <row r="8" spans="2:55">
      <c r="B8" s="241">
        <f t="shared" si="14"/>
        <v>2017</v>
      </c>
      <c r="C8" s="242">
        <f>SUMIF('Monthly Data (longer 09-23)'!$B:$B,B8,'Monthly Data (longer 09-23)'!C:C)</f>
        <v>240232071</v>
      </c>
      <c r="D8" s="242">
        <f>SUMIF('Monthly Data (longer 09-23)'!$B:$B,B8,'Monthly Data (longer 09-23)'!D:D)</f>
        <v>11183452.554194836</v>
      </c>
      <c r="E8" s="242">
        <f>SUMIF('Monthly Data (longer 09-23)'!$B:$B,B8,'Monthly Data (longer 09-23)'!E:E)</f>
        <v>251415523.5541949</v>
      </c>
      <c r="F8" s="243"/>
      <c r="G8" s="244">
        <f ca="1">SUMIF('Res Normalized Monthly WN'!$C:$C,B8,'Res Normalized Monthly WN'!$Y:$Y)</f>
        <v>256459163.38236558</v>
      </c>
      <c r="H8" s="242">
        <f t="shared" si="0"/>
        <v>11183452.554194836</v>
      </c>
      <c r="I8" s="242">
        <f t="shared" ca="1" si="1"/>
        <v>245275710.82817075</v>
      </c>
      <c r="J8" s="242"/>
      <c r="K8" s="242">
        <f t="shared" ca="1" si="2"/>
        <v>245275710.82817075</v>
      </c>
      <c r="M8" s="241">
        <f t="shared" si="15"/>
        <v>2017</v>
      </c>
      <c r="N8" s="242">
        <f>SUMIF('Monthly Data (longer 09-23)'!$B:$B,M8,'Monthly Data (longer 09-23)'!G:G)</f>
        <v>65115315</v>
      </c>
      <c r="O8" s="242">
        <f>SUMIF('Monthly Data (longer 09-23)'!$B:$B,M8,'Monthly Data (longer 09-23)'!H:H)</f>
        <v>12101008.470702926</v>
      </c>
      <c r="P8" s="242">
        <f>SUMIF('Monthly Data (longer 09-23)'!$B:$B,M8,'Monthly Data (longer 09-23)'!I:I)</f>
        <v>77216323.470702931</v>
      </c>
      <c r="Q8" s="243"/>
      <c r="R8" s="244">
        <f ca="1">SUMIF('GS&lt;50 Normalized Monthly WN'!$C:$C,M8,'GS&lt;50 Normalized Monthly WN'!$S:$S)</f>
        <v>77894793.016260222</v>
      </c>
      <c r="S8" s="242">
        <f t="shared" si="3"/>
        <v>12101008.470702926</v>
      </c>
      <c r="T8" s="242">
        <f ca="1">R8-S8</f>
        <v>65793784.545557298</v>
      </c>
      <c r="U8" s="242"/>
      <c r="V8" s="242">
        <f t="shared" ca="1" si="4"/>
        <v>65793784.545557298</v>
      </c>
      <c r="X8" s="241">
        <f t="shared" si="16"/>
        <v>2017</v>
      </c>
      <c r="Y8" s="242">
        <f>SUMIF('Monthly Data (longer 09-23)'!$B:$B,$X8,'Monthly Data (longer 09-23)'!K:K)</f>
        <v>166511229</v>
      </c>
      <c r="Z8" s="242">
        <f>SUMIF('Monthly Data (longer 09-23)'!$B:$B,$X8,'Monthly Data (longer 09-23)'!L:L)</f>
        <v>12992237.542644275</v>
      </c>
      <c r="AA8" s="242">
        <f>SUMIF('Monthly Data (longer 09-23)'!$B:$B,$X8,'Monthly Data (longer 09-23)'!M:M)</f>
        <v>179503466.54264432</v>
      </c>
      <c r="AB8" s="243"/>
      <c r="AC8" s="244">
        <f ca="1">SUMIF('GS&gt;50 Normalized Monthly WN'!$C:$C,X8,'GS&gt;50 Normalized Monthly WN'!$U:$U)</f>
        <v>180781055.96305194</v>
      </c>
      <c r="AD8" s="242">
        <f t="shared" si="5"/>
        <v>12992237.542644275</v>
      </c>
      <c r="AE8" s="242">
        <f t="shared" ca="1" si="6"/>
        <v>167788818.42040768</v>
      </c>
      <c r="AF8" s="242"/>
      <c r="AG8" s="242">
        <f t="shared" ca="1" si="7"/>
        <v>167788818.42040768</v>
      </c>
      <c r="AI8" s="241">
        <f t="shared" si="17"/>
        <v>2017</v>
      </c>
      <c r="AJ8" s="242">
        <f>SUMIF('Monthly Data (longer 09-23)'!$B:$B,$AI8,'Monthly Data (longer 09-23)'!X:X)</f>
        <v>33420007</v>
      </c>
      <c r="AK8" s="244">
        <f ca="1">SUMIF('ED Normalized Monthly WN'!$C:$C,AI8,'ED Normalized Monthly WN'!$Q:$Q)</f>
        <v>33791889.922449343</v>
      </c>
      <c r="AM8" s="241">
        <f t="shared" si="18"/>
        <v>2017</v>
      </c>
      <c r="AN8" s="242">
        <f>SUMIF('Monthly Data (longer 09-23)'!$B:$B,$AM8,'Monthly Data (longer 09-23)'!P:P)</f>
        <v>2875901</v>
      </c>
      <c r="AO8" s="242">
        <f>'Connection Count'!O7</f>
        <v>2753.3333333333335</v>
      </c>
      <c r="AP8" s="242">
        <f t="shared" si="8"/>
        <v>1044.5161016949153</v>
      </c>
      <c r="AQ8" s="242">
        <f t="shared" si="9"/>
        <v>2875901</v>
      </c>
      <c r="AS8" s="241">
        <f t="shared" si="19"/>
        <v>2017</v>
      </c>
      <c r="AT8" s="242">
        <f>SUMIF('Monthly Data (longer 09-23)'!$B:$B,$AS8,'Monthly Data (longer 09-23)'!S:S)</f>
        <v>304470</v>
      </c>
      <c r="AU8" s="242">
        <f>'Connection Count'!S7</f>
        <v>253.41666666666666</v>
      </c>
      <c r="AV8" s="242">
        <f t="shared" si="10"/>
        <v>1201.4600460374877</v>
      </c>
      <c r="AW8" s="242">
        <f t="shared" si="11"/>
        <v>304470</v>
      </c>
      <c r="AY8" s="241">
        <f t="shared" si="20"/>
        <v>2017</v>
      </c>
      <c r="AZ8" s="242">
        <f>SUMIF('Monthly Data (longer 09-23)'!$B:$B,$AY8,'Monthly Data (longer 09-23)'!V:V)</f>
        <v>1549260</v>
      </c>
      <c r="BA8" s="242">
        <f>'Connection Count'!W7</f>
        <v>132</v>
      </c>
      <c r="BB8" s="242">
        <f t="shared" si="12"/>
        <v>11736.818181818182</v>
      </c>
      <c r="BC8" s="242">
        <f t="shared" si="13"/>
        <v>1549260</v>
      </c>
    </row>
    <row r="9" spans="2:55">
      <c r="B9" s="241">
        <f t="shared" si="14"/>
        <v>2018</v>
      </c>
      <c r="C9" s="242">
        <f>SUMIF('Monthly Data (longer 09-23)'!$B:$B,B9,'Monthly Data (longer 09-23)'!C:C)</f>
        <v>259974120</v>
      </c>
      <c r="D9" s="242">
        <f>SUMIF('Monthly Data (longer 09-23)'!$B:$B,B9,'Monthly Data (longer 09-23)'!D:D)</f>
        <v>13682006.95021414</v>
      </c>
      <c r="E9" s="242">
        <f>SUMIF('Monthly Data (longer 09-23)'!$B:$B,B9,'Monthly Data (longer 09-23)'!E:E)</f>
        <v>273656126.95021415</v>
      </c>
      <c r="F9" s="243"/>
      <c r="G9" s="244">
        <f ca="1">SUMIF('Res Normalized Monthly WN'!$C:$C,B9,'Res Normalized Monthly WN'!$Y:$Y)</f>
        <v>263883736.29732594</v>
      </c>
      <c r="H9" s="242">
        <f t="shared" si="0"/>
        <v>13682006.95021414</v>
      </c>
      <c r="I9" s="242">
        <f t="shared" ca="1" si="1"/>
        <v>250201729.34711179</v>
      </c>
      <c r="J9" s="242"/>
      <c r="K9" s="242">
        <f t="shared" ca="1" si="2"/>
        <v>250201729.34711179</v>
      </c>
      <c r="M9" s="241">
        <f t="shared" si="15"/>
        <v>2018</v>
      </c>
      <c r="N9" s="242">
        <f>SUMIF('Monthly Data (longer 09-23)'!$B:$B,M9,'Monthly Data (longer 09-23)'!G:G)</f>
        <v>66321666</v>
      </c>
      <c r="O9" s="242">
        <f>SUMIF('Monthly Data (longer 09-23)'!$B:$B,M9,'Monthly Data (longer 09-23)'!H:H)</f>
        <v>13307244.786709165</v>
      </c>
      <c r="P9" s="242">
        <f>SUMIF('Monthly Data (longer 09-23)'!$B:$B,M9,'Monthly Data (longer 09-23)'!I:I)</f>
        <v>79628910.786709189</v>
      </c>
      <c r="Q9" s="243"/>
      <c r="R9" s="244">
        <f ca="1">SUMIF('GS&lt;50 Normalized Monthly WN'!$C:$C,M9,'GS&lt;50 Normalized Monthly WN'!$S:$S)</f>
        <v>78344761.295604631</v>
      </c>
      <c r="S9" s="242">
        <f t="shared" si="3"/>
        <v>13307244.786709165</v>
      </c>
      <c r="T9" s="242">
        <f t="shared" ref="T9:T16" ca="1" si="21">R9-S9</f>
        <v>65037516.508895464</v>
      </c>
      <c r="U9" s="242"/>
      <c r="V9" s="242">
        <f t="shared" ca="1" si="4"/>
        <v>65037516.508895464</v>
      </c>
      <c r="X9" s="241">
        <f t="shared" si="16"/>
        <v>2018</v>
      </c>
      <c r="Y9" s="242">
        <f>SUMIF('Monthly Data (longer 09-23)'!$B:$B,$X9,'Monthly Data (longer 09-23)'!K:K)</f>
        <v>171089785</v>
      </c>
      <c r="Z9" s="242">
        <f>SUMIF('Monthly Data (longer 09-23)'!$B:$B,$X9,'Monthly Data (longer 09-23)'!L:L)</f>
        <v>14215346.095885234</v>
      </c>
      <c r="AA9" s="242">
        <f>SUMIF('Monthly Data (longer 09-23)'!$B:$B,$X9,'Monthly Data (longer 09-23)'!M:M)</f>
        <v>185305131.09588525</v>
      </c>
      <c r="AB9" s="243"/>
      <c r="AC9" s="244">
        <f ca="1">SUMIF('GS&gt;50 Normalized Monthly WN'!$C:$C,X9,'GS&gt;50 Normalized Monthly WN'!$U:$U)</f>
        <v>182576695.27478868</v>
      </c>
      <c r="AD9" s="242">
        <f t="shared" si="5"/>
        <v>14215346.095885234</v>
      </c>
      <c r="AE9" s="242">
        <f t="shared" ca="1" si="6"/>
        <v>168361349.17890343</v>
      </c>
      <c r="AF9" s="242"/>
      <c r="AG9" s="242">
        <f t="shared" ca="1" si="7"/>
        <v>168361349.17890343</v>
      </c>
      <c r="AI9" s="241">
        <f t="shared" si="17"/>
        <v>2018</v>
      </c>
      <c r="AJ9" s="242">
        <f>SUMIF('Monthly Data (longer 09-23)'!$B:$B,$AI9,'Monthly Data (longer 09-23)'!X:X)</f>
        <v>31923241</v>
      </c>
      <c r="AK9" s="244">
        <f ca="1">SUMIF('ED Normalized Monthly WN'!$C:$C,AI9,'ED Normalized Monthly WN'!$Q:$Q)</f>
        <v>31265050.757781852</v>
      </c>
      <c r="AM9" s="241">
        <f t="shared" si="18"/>
        <v>2018</v>
      </c>
      <c r="AN9" s="242">
        <f>SUMIF('Monthly Data (longer 09-23)'!$B:$B,$AM9,'Monthly Data (longer 09-23)'!P:P)</f>
        <v>2887551</v>
      </c>
      <c r="AO9" s="242">
        <f>'Connection Count'!O8</f>
        <v>2760.8333333333335</v>
      </c>
      <c r="AP9" s="242">
        <f t="shared" si="8"/>
        <v>1045.8983398732266</v>
      </c>
      <c r="AQ9" s="242">
        <f t="shared" si="9"/>
        <v>2887551</v>
      </c>
      <c r="AS9" s="241">
        <f t="shared" si="19"/>
        <v>2018</v>
      </c>
      <c r="AT9" s="242">
        <f>SUMIF('Monthly Data (longer 09-23)'!$B:$B,$AS9,'Monthly Data (longer 09-23)'!S:S)</f>
        <v>293755</v>
      </c>
      <c r="AU9" s="242">
        <f>'Connection Count'!S8</f>
        <v>242.58333333333334</v>
      </c>
      <c r="AV9" s="242">
        <f t="shared" si="10"/>
        <v>1210.944692545517</v>
      </c>
      <c r="AW9" s="242">
        <f t="shared" si="11"/>
        <v>293755</v>
      </c>
      <c r="AY9" s="241">
        <f t="shared" si="20"/>
        <v>2018</v>
      </c>
      <c r="AZ9" s="242">
        <f>SUMIF('Monthly Data (longer 09-23)'!$B:$B,$AY9,'Monthly Data (longer 09-23)'!V:V)</f>
        <v>1547236</v>
      </c>
      <c r="BA9" s="242">
        <f>'Connection Count'!W8</f>
        <v>131.08333333333334</v>
      </c>
      <c r="BB9" s="242">
        <f t="shared" si="12"/>
        <v>11803.453273998728</v>
      </c>
      <c r="BC9" s="242">
        <f t="shared" si="13"/>
        <v>1547236</v>
      </c>
    </row>
    <row r="10" spans="2:55">
      <c r="B10" s="241">
        <f t="shared" si="14"/>
        <v>2019</v>
      </c>
      <c r="C10" s="242">
        <f>SUMIF('Monthly Data (longer 09-23)'!$B:$B,B10,'Monthly Data (longer 09-23)'!C:C)</f>
        <v>252809094</v>
      </c>
      <c r="D10" s="242">
        <f>SUMIF('Monthly Data (longer 09-23)'!$B:$B,B10,'Monthly Data (longer 09-23)'!D:D)</f>
        <v>14436309.819562547</v>
      </c>
      <c r="E10" s="242">
        <f>SUMIF('Monthly Data (longer 09-23)'!$B:$B,B10,'Monthly Data (longer 09-23)'!E:E)</f>
        <v>267245403.81956255</v>
      </c>
      <c r="F10" s="243"/>
      <c r="G10" s="244">
        <f ca="1">SUMIF('Res Normalized Monthly WN'!$C:$C,B10,'Res Normalized Monthly WN'!$Y:$Y)</f>
        <v>268253885.66011038</v>
      </c>
      <c r="H10" s="242">
        <f t="shared" si="0"/>
        <v>14436309.819562547</v>
      </c>
      <c r="I10" s="242">
        <f t="shared" ca="1" si="1"/>
        <v>253817575.84054783</v>
      </c>
      <c r="J10" s="242"/>
      <c r="K10" s="242">
        <f t="shared" ca="1" si="2"/>
        <v>253817575.84054783</v>
      </c>
      <c r="M10" s="241">
        <f t="shared" si="15"/>
        <v>2019</v>
      </c>
      <c r="N10" s="242">
        <f>SUMIF('Monthly Data (longer 09-23)'!$B:$B,M10,'Monthly Data (longer 09-23)'!G:G)</f>
        <v>65058987</v>
      </c>
      <c r="O10" s="242">
        <f>SUMIF('Monthly Data (longer 09-23)'!$B:$B,M10,'Monthly Data (longer 09-23)'!H:H)</f>
        <v>13653732.179599324</v>
      </c>
      <c r="P10" s="242">
        <f>SUMIF('Monthly Data (longer 09-23)'!$B:$B,M10,'Monthly Data (longer 09-23)'!I:I)</f>
        <v>78712719.1795993</v>
      </c>
      <c r="Q10" s="243"/>
      <c r="R10" s="244">
        <f ca="1">SUMIF('GS&lt;50 Normalized Monthly WN'!$C:$C,M10,'GS&lt;50 Normalized Monthly WN'!$S:$S)</f>
        <v>78753034.281280309</v>
      </c>
      <c r="S10" s="242">
        <f t="shared" si="3"/>
        <v>13653732.179599324</v>
      </c>
      <c r="T10" s="242">
        <f t="shared" ca="1" si="21"/>
        <v>65099302.101680987</v>
      </c>
      <c r="U10" s="242"/>
      <c r="V10" s="242">
        <f t="shared" ca="1" si="4"/>
        <v>65099302.101680987</v>
      </c>
      <c r="X10" s="241">
        <f t="shared" si="16"/>
        <v>2019</v>
      </c>
      <c r="Y10" s="242">
        <f>SUMIF('Monthly Data (longer 09-23)'!$B:$B,$X10,'Monthly Data (longer 09-23)'!K:K)</f>
        <v>180918659</v>
      </c>
      <c r="Z10" s="242">
        <f>SUMIF('Monthly Data (longer 09-23)'!$B:$B,$X10,'Monthly Data (longer 09-23)'!L:L)</f>
        <v>14481712.493671617</v>
      </c>
      <c r="AA10" s="242">
        <f>SUMIF('Monthly Data (longer 09-23)'!$B:$B,$X10,'Monthly Data (longer 09-23)'!M:M)</f>
        <v>195400371.49367166</v>
      </c>
      <c r="AB10" s="243"/>
      <c r="AC10" s="244">
        <f ca="1">SUMIF('GS&gt;50 Normalized Monthly WN'!$C:$C,X10,'GS&gt;50 Normalized Monthly WN'!$U:$U)</f>
        <v>195648076.84219649</v>
      </c>
      <c r="AD10" s="242">
        <f t="shared" si="5"/>
        <v>14481712.493671617</v>
      </c>
      <c r="AE10" s="242">
        <f t="shared" ca="1" si="6"/>
        <v>181166364.34852487</v>
      </c>
      <c r="AF10" s="242"/>
      <c r="AG10" s="242">
        <f t="shared" ca="1" si="7"/>
        <v>181166364.34852487</v>
      </c>
      <c r="AI10" s="241">
        <f t="shared" si="17"/>
        <v>2019</v>
      </c>
      <c r="AJ10" s="242">
        <f>SUMIF('Monthly Data (longer 09-23)'!$B:$B,$AI10,'Monthly Data (longer 09-23)'!X:X)</f>
        <v>34526385</v>
      </c>
      <c r="AK10" s="244">
        <f ca="1">SUMIF('ED Normalized Monthly WN'!$C:$C,AI10,'ED Normalized Monthly WN'!$Q:$Q)</f>
        <v>34523313.184172794</v>
      </c>
      <c r="AM10" s="241">
        <f t="shared" si="18"/>
        <v>2019</v>
      </c>
      <c r="AN10" s="242">
        <f>SUMIF('Monthly Data (longer 09-23)'!$B:$B,$AM10,'Monthly Data (longer 09-23)'!P:P)</f>
        <v>2576355</v>
      </c>
      <c r="AO10" s="242">
        <f>'Connection Count'!O9</f>
        <v>2770</v>
      </c>
      <c r="AP10" s="242">
        <f t="shared" si="8"/>
        <v>930.0920577617328</v>
      </c>
      <c r="AQ10" s="242">
        <f t="shared" si="9"/>
        <v>2576355</v>
      </c>
      <c r="AS10" s="241">
        <f t="shared" si="19"/>
        <v>2019</v>
      </c>
      <c r="AT10" s="242">
        <f>SUMIF('Monthly Data (longer 09-23)'!$B:$B,$AS10,'Monthly Data (longer 09-23)'!S:S)</f>
        <v>285985</v>
      </c>
      <c r="AU10" s="242">
        <f>'Connection Count'!S9</f>
        <v>235.41666666666666</v>
      </c>
      <c r="AV10" s="242">
        <f t="shared" si="10"/>
        <v>1214.8035398230088</v>
      </c>
      <c r="AW10" s="242">
        <f t="shared" si="11"/>
        <v>285985</v>
      </c>
      <c r="AY10" s="241">
        <f t="shared" si="20"/>
        <v>2019</v>
      </c>
      <c r="AZ10" s="242">
        <f>SUMIF('Monthly Data (longer 09-23)'!$B:$B,$AY10,'Monthly Data (longer 09-23)'!V:V)</f>
        <v>1541978</v>
      </c>
      <c r="BA10" s="242">
        <f>'Connection Count'!W9</f>
        <v>129.58333333333334</v>
      </c>
      <c r="BB10" s="242">
        <f t="shared" si="12"/>
        <v>11899.508681672025</v>
      </c>
      <c r="BC10" s="242">
        <f t="shared" si="13"/>
        <v>1541978</v>
      </c>
    </row>
    <row r="11" spans="2:55">
      <c r="B11" s="241">
        <f t="shared" si="14"/>
        <v>2020</v>
      </c>
      <c r="C11" s="242">
        <f>SUMIF('Monthly Data (longer 09-23)'!$B:$B,B11,'Monthly Data (longer 09-23)'!C:C)</f>
        <v>271898869</v>
      </c>
      <c r="D11" s="242">
        <f>SUMIF('Monthly Data (longer 09-23)'!$B:$B,B11,'Monthly Data (longer 09-23)'!D:D)</f>
        <v>14206748.767520793</v>
      </c>
      <c r="E11" s="242">
        <f>SUMIF('Monthly Data (longer 09-23)'!$B:$B,B11,'Monthly Data (longer 09-23)'!E:E)</f>
        <v>286105617.76752079</v>
      </c>
      <c r="F11" s="243"/>
      <c r="G11" s="244">
        <f ca="1">SUMIF('Res Normalized Monthly WN'!$C:$C,B11,'Res Normalized Monthly WN'!$Y:$Y)</f>
        <v>285753248.06148291</v>
      </c>
      <c r="H11" s="242">
        <f t="shared" si="0"/>
        <v>14206748.767520793</v>
      </c>
      <c r="I11" s="242">
        <f t="shared" ca="1" si="1"/>
        <v>271546499.29396212</v>
      </c>
      <c r="J11" s="242"/>
      <c r="K11" s="242">
        <f t="shared" ca="1" si="2"/>
        <v>271546499.29396212</v>
      </c>
      <c r="M11" s="241">
        <f t="shared" si="15"/>
        <v>2020</v>
      </c>
      <c r="N11" s="242">
        <f>SUMIF('Monthly Data (longer 09-23)'!$B:$B,M11,'Monthly Data (longer 09-23)'!G:G)</f>
        <v>60802781</v>
      </c>
      <c r="O11" s="242">
        <f>SUMIF('Monthly Data (longer 09-23)'!$B:$B,M11,'Monthly Data (longer 09-23)'!H:H)</f>
        <v>13601690.531776832</v>
      </c>
      <c r="P11" s="242">
        <f>SUMIF('Monthly Data (longer 09-23)'!$B:$B,M11,'Monthly Data (longer 09-23)'!I:I)</f>
        <v>74404471.531776816</v>
      </c>
      <c r="Q11" s="243"/>
      <c r="R11" s="244">
        <f ca="1">SUMIF('GS&lt;50 Normalized Monthly WN'!$C:$C,M11,'GS&lt;50 Normalized Monthly WN'!$S:$S)</f>
        <v>74691042.046767712</v>
      </c>
      <c r="S11" s="242">
        <f t="shared" si="3"/>
        <v>13601690.531776832</v>
      </c>
      <c r="T11" s="242">
        <f t="shared" ca="1" si="21"/>
        <v>61089351.514990881</v>
      </c>
      <c r="U11" s="242"/>
      <c r="V11" s="242">
        <f t="shared" ca="1" si="4"/>
        <v>61089351.514990881</v>
      </c>
      <c r="X11" s="241">
        <f t="shared" si="16"/>
        <v>2020</v>
      </c>
      <c r="Y11" s="242">
        <f>SUMIF('Monthly Data (longer 09-23)'!$B:$B,$X11,'Monthly Data (longer 09-23)'!K:K)</f>
        <v>171481742</v>
      </c>
      <c r="Z11" s="242">
        <f>SUMIF('Monthly Data (longer 09-23)'!$B:$B,$X11,'Monthly Data (longer 09-23)'!L:L)</f>
        <v>14426620.511432825</v>
      </c>
      <c r="AA11" s="242">
        <f>SUMIF('Monthly Data (longer 09-23)'!$B:$B,$X11,'Monthly Data (longer 09-23)'!M:M)</f>
        <v>185908362.51143277</v>
      </c>
      <c r="AB11" s="243"/>
      <c r="AC11" s="244">
        <f ca="1">SUMIF('GS&gt;50 Normalized Monthly WN'!$C:$C,X11,'GS&gt;50 Normalized Monthly WN'!$U:$U)</f>
        <v>186834010.24352333</v>
      </c>
      <c r="AD11" s="242">
        <f t="shared" si="5"/>
        <v>14426620.511432825</v>
      </c>
      <c r="AE11" s="242">
        <f t="shared" ca="1" si="6"/>
        <v>172407389.7320905</v>
      </c>
      <c r="AF11" s="242"/>
      <c r="AG11" s="242">
        <f t="shared" ca="1" si="7"/>
        <v>172407389.7320905</v>
      </c>
      <c r="AI11" s="241">
        <f t="shared" si="17"/>
        <v>2020</v>
      </c>
      <c r="AJ11" s="242">
        <f>SUMIF('Monthly Data (longer 09-23)'!$B:$B,$AI11,'Monthly Data (longer 09-23)'!X:X)</f>
        <v>29188687</v>
      </c>
      <c r="AK11" s="244">
        <f ca="1">SUMIF('ED Normalized Monthly WN'!$C:$C,AI11,'ED Normalized Monthly WN'!$Q:$Q)</f>
        <v>29289376.952787135</v>
      </c>
      <c r="AM11" s="241">
        <f t="shared" si="18"/>
        <v>2020</v>
      </c>
      <c r="AN11" s="242">
        <f>SUMIF('Monthly Data (longer 09-23)'!$B:$B,$AM11,'Monthly Data (longer 09-23)'!P:P)</f>
        <v>2455697</v>
      </c>
      <c r="AO11" s="242">
        <f>'Connection Count'!O10</f>
        <v>2777.3333333333335</v>
      </c>
      <c r="AP11" s="242">
        <f t="shared" si="8"/>
        <v>884.19239078252519</v>
      </c>
      <c r="AQ11" s="242">
        <f t="shared" si="9"/>
        <v>2455697</v>
      </c>
      <c r="AS11" s="241">
        <f t="shared" si="19"/>
        <v>2020</v>
      </c>
      <c r="AT11" s="242">
        <f>SUMIF('Monthly Data (longer 09-23)'!$B:$B,$AS11,'Monthly Data (longer 09-23)'!S:S)</f>
        <v>281018</v>
      </c>
      <c r="AU11" s="242">
        <f>'Connection Count'!S10</f>
        <v>228.08333333333334</v>
      </c>
      <c r="AV11" s="242">
        <f t="shared" si="10"/>
        <v>1232.0847643405189</v>
      </c>
      <c r="AW11" s="242">
        <f t="shared" si="11"/>
        <v>281018</v>
      </c>
      <c r="AY11" s="241">
        <f t="shared" si="20"/>
        <v>2020</v>
      </c>
      <c r="AZ11" s="242">
        <f>SUMIF('Monthly Data (longer 09-23)'!$B:$B,$AY11,'Monthly Data (longer 09-23)'!V:V)</f>
        <v>1442699</v>
      </c>
      <c r="BA11" s="242">
        <f>'Connection Count'!W10</f>
        <v>125.83333333333333</v>
      </c>
      <c r="BB11" s="242">
        <f t="shared" si="12"/>
        <v>11465.157615894041</v>
      </c>
      <c r="BC11" s="242">
        <f t="shared" si="13"/>
        <v>1442699</v>
      </c>
    </row>
    <row r="12" spans="2:55">
      <c r="B12" s="241">
        <f t="shared" si="14"/>
        <v>2021</v>
      </c>
      <c r="C12" s="242">
        <f>SUMIF('Monthly Data (longer 09-23)'!$B:$B,B12,'Monthly Data (longer 09-23)'!C:C)</f>
        <v>277378582</v>
      </c>
      <c r="D12" s="242">
        <f>SUMIF('Monthly Data (longer 09-23)'!$B:$B,B12,'Monthly Data (longer 09-23)'!D:D)</f>
        <v>13975131.768337958</v>
      </c>
      <c r="E12" s="242">
        <f>SUMIF('Monthly Data (longer 09-23)'!$B:$B,B12,'Monthly Data (longer 09-23)'!E:E)</f>
        <v>291353713.76833797</v>
      </c>
      <c r="F12" s="243"/>
      <c r="G12" s="244">
        <f ca="1">SUMIF('Res Normalized Monthly WN'!$C:$C,B12,'Res Normalized Monthly WN'!$Y:$Y)</f>
        <v>285160668.43818659</v>
      </c>
      <c r="H12" s="242">
        <f t="shared" si="0"/>
        <v>13975131.768337958</v>
      </c>
      <c r="I12" s="242">
        <f t="shared" ca="1" si="1"/>
        <v>271185536.66984862</v>
      </c>
      <c r="J12" s="242"/>
      <c r="K12" s="242">
        <f t="shared" ca="1" si="2"/>
        <v>271185536.66984862</v>
      </c>
      <c r="M12" s="241">
        <f t="shared" si="15"/>
        <v>2021</v>
      </c>
      <c r="N12" s="242">
        <f>SUMIF('Monthly Data (longer 09-23)'!$B:$B,M12,'Monthly Data (longer 09-23)'!G:G)</f>
        <v>62043606</v>
      </c>
      <c r="O12" s="242">
        <f>SUMIF('Monthly Data (longer 09-23)'!$B:$B,M12,'Monthly Data (longer 09-23)'!H:H)</f>
        <v>13632263.206079831</v>
      </c>
      <c r="P12" s="242">
        <f>SUMIF('Monthly Data (longer 09-23)'!$B:$B,M12,'Monthly Data (longer 09-23)'!I:I)</f>
        <v>75675869.206079826</v>
      </c>
      <c r="Q12" s="243"/>
      <c r="R12" s="244">
        <f ca="1">SUMIF('GS&lt;50 Normalized Monthly WN'!$C:$C,M12,'GS&lt;50 Normalized Monthly WN'!$S:$S)</f>
        <v>75158022.18118681</v>
      </c>
      <c r="S12" s="242">
        <f t="shared" si="3"/>
        <v>13632263.206079831</v>
      </c>
      <c r="T12" s="242">
        <f t="shared" ca="1" si="21"/>
        <v>61525758.975106977</v>
      </c>
      <c r="U12" s="242"/>
      <c r="V12" s="242">
        <f t="shared" ca="1" si="4"/>
        <v>61525758.975106977</v>
      </c>
      <c r="X12" s="241">
        <f t="shared" si="16"/>
        <v>2021</v>
      </c>
      <c r="Y12" s="242">
        <f>SUMIF('Monthly Data (longer 09-23)'!$B:$B,$X12,'Monthly Data (longer 09-23)'!K:K)</f>
        <v>178461520</v>
      </c>
      <c r="Z12" s="242">
        <f>SUMIF('Monthly Data (longer 09-23)'!$B:$B,$X12,'Monthly Data (longer 09-23)'!L:L)</f>
        <v>14781463.887884511</v>
      </c>
      <c r="AA12" s="242">
        <f>SUMIF('Monthly Data (longer 09-23)'!$B:$B,$X12,'Monthly Data (longer 09-23)'!M:M)</f>
        <v>193242983.88788456</v>
      </c>
      <c r="AB12" s="243"/>
      <c r="AC12" s="244">
        <f ca="1">SUMIF('GS&gt;50 Normalized Monthly WN'!$C:$C,X12,'GS&gt;50 Normalized Monthly WN'!$U:$U)</f>
        <v>192007840.46008489</v>
      </c>
      <c r="AD12" s="242">
        <f t="shared" si="5"/>
        <v>14781463.887884511</v>
      </c>
      <c r="AE12" s="242">
        <f t="shared" ca="1" si="6"/>
        <v>177226376.57220039</v>
      </c>
      <c r="AF12" s="242"/>
      <c r="AG12" s="242">
        <f t="shared" ca="1" si="7"/>
        <v>177226376.57220039</v>
      </c>
      <c r="AI12" s="241">
        <f t="shared" si="17"/>
        <v>2021</v>
      </c>
      <c r="AJ12" s="242">
        <f>SUMIF('Monthly Data (longer 09-23)'!$B:$B,$AI12,'Monthly Data (longer 09-23)'!X:X)</f>
        <v>28075683</v>
      </c>
      <c r="AK12" s="244">
        <f ca="1">SUMIF('ED Normalized Monthly WN'!$C:$C,AI12,'ED Normalized Monthly WN'!$Q:$Q)</f>
        <v>27854087.564876042</v>
      </c>
      <c r="AM12" s="241">
        <f t="shared" si="18"/>
        <v>2021</v>
      </c>
      <c r="AN12" s="242">
        <f>SUMIF('Monthly Data (longer 09-23)'!$B:$B,$AM12,'Monthly Data (longer 09-23)'!P:P)</f>
        <v>2444025</v>
      </c>
      <c r="AO12" s="242">
        <f>'Connection Count'!O11</f>
        <v>2784.6666666666665</v>
      </c>
      <c r="AP12" s="242">
        <f t="shared" si="8"/>
        <v>877.67237251615995</v>
      </c>
      <c r="AQ12" s="242">
        <f t="shared" si="9"/>
        <v>2444025</v>
      </c>
      <c r="AS12" s="241">
        <f t="shared" si="19"/>
        <v>2021</v>
      </c>
      <c r="AT12" s="242">
        <f>SUMIF('Monthly Data (longer 09-23)'!$B:$B,$AS12,'Monthly Data (longer 09-23)'!S:S)</f>
        <v>278297</v>
      </c>
      <c r="AU12" s="242">
        <f>'Connection Count'!S11</f>
        <v>228</v>
      </c>
      <c r="AV12" s="242">
        <f t="shared" si="10"/>
        <v>1220.6008771929824</v>
      </c>
      <c r="AW12" s="242">
        <f t="shared" si="11"/>
        <v>278297</v>
      </c>
      <c r="AY12" s="241">
        <f t="shared" si="20"/>
        <v>2021</v>
      </c>
      <c r="AZ12" s="242">
        <f>SUMIF('Monthly Data (longer 09-23)'!$B:$B,$AY12,'Monthly Data (longer 09-23)'!V:V)</f>
        <v>1408704</v>
      </c>
      <c r="BA12" s="242">
        <f>'Connection Count'!W11</f>
        <v>125</v>
      </c>
      <c r="BB12" s="242">
        <f t="shared" si="12"/>
        <v>11269.632</v>
      </c>
      <c r="BC12" s="242">
        <f t="shared" si="13"/>
        <v>1408704</v>
      </c>
    </row>
    <row r="13" spans="2:55">
      <c r="B13" s="241">
        <f t="shared" si="14"/>
        <v>2022</v>
      </c>
      <c r="C13" s="242">
        <f>SUMIF('Monthly Data (longer 09-23)'!$B:$B,B13,'Monthly Data (longer 09-23)'!C:C)</f>
        <v>272607146</v>
      </c>
      <c r="D13" s="242">
        <f>SUMIF('Monthly Data (longer 09-23)'!$B:$B,B13,'Monthly Data (longer 09-23)'!D:D)</f>
        <v>14027344.740924463</v>
      </c>
      <c r="E13" s="242">
        <f>SUMIF('Monthly Data (longer 09-23)'!$B:$B,B13,'Monthly Data (longer 09-23)'!E:E)</f>
        <v>286634490.74092448</v>
      </c>
      <c r="F13" s="243"/>
      <c r="G13" s="244">
        <f ca="1">SUMIF('Res Normalized Monthly WN'!$C:$C,B13,'Res Normalized Monthly WN'!$Y:$Y)</f>
        <v>282855068.16232383</v>
      </c>
      <c r="H13" s="242">
        <f t="shared" si="0"/>
        <v>14027344.740924463</v>
      </c>
      <c r="I13" s="242">
        <f t="shared" ca="1" si="1"/>
        <v>268827723.42139935</v>
      </c>
      <c r="J13" s="242"/>
      <c r="K13" s="242">
        <f t="shared" ca="1" si="2"/>
        <v>268827723.42139935</v>
      </c>
      <c r="M13" s="241">
        <f t="shared" si="15"/>
        <v>2022</v>
      </c>
      <c r="N13" s="242">
        <f>SUMIF('Monthly Data (longer 09-23)'!$B:$B,M13,'Monthly Data (longer 09-23)'!G:G)</f>
        <v>67628825</v>
      </c>
      <c r="O13" s="242">
        <f>SUMIF('Monthly Data (longer 09-23)'!$B:$B,M13,'Monthly Data (longer 09-23)'!H:H)</f>
        <v>14012908.228185333</v>
      </c>
      <c r="P13" s="242">
        <f>SUMIF('Monthly Data (longer 09-23)'!$B:$B,M13,'Monthly Data (longer 09-23)'!I:I)</f>
        <v>81641733.228185311</v>
      </c>
      <c r="Q13" s="243"/>
      <c r="R13" s="244">
        <f ca="1">SUMIF('GS&lt;50 Normalized Monthly WN'!$C:$C,M13,'GS&lt;50 Normalized Monthly WN'!$S:$S)</f>
        <v>81176805.294161782</v>
      </c>
      <c r="S13" s="242">
        <f t="shared" si="3"/>
        <v>14012908.228185333</v>
      </c>
      <c r="T13" s="242">
        <f ca="1">R13-S13</f>
        <v>67163897.065976441</v>
      </c>
      <c r="U13" s="242"/>
      <c r="V13" s="242">
        <f t="shared" ca="1" si="4"/>
        <v>67163897.065976441</v>
      </c>
      <c r="X13" s="241">
        <f t="shared" si="16"/>
        <v>2022</v>
      </c>
      <c r="Y13" s="242">
        <f>SUMIF('Monthly Data (longer 09-23)'!$B:$B,$X13,'Monthly Data (longer 09-23)'!K:K)</f>
        <v>183800048</v>
      </c>
      <c r="Z13" s="242">
        <f>SUMIF('Monthly Data (longer 09-23)'!$B:$B,$X13,'Monthly Data (longer 09-23)'!L:L)</f>
        <v>15480346.591853924</v>
      </c>
      <c r="AA13" s="242">
        <f>SUMIF('Monthly Data (longer 09-23)'!$B:$B,$X13,'Monthly Data (longer 09-23)'!M:M)</f>
        <v>199280394.59185389</v>
      </c>
      <c r="AB13" s="243"/>
      <c r="AC13" s="244">
        <f ca="1">SUMIF('GS&gt;50 Normalized Monthly WN'!$C:$C,X13,'GS&gt;50 Normalized Monthly WN'!$U:$U)</f>
        <v>198254124.87084946</v>
      </c>
      <c r="AD13" s="242">
        <f t="shared" si="5"/>
        <v>15480346.591853924</v>
      </c>
      <c r="AE13" s="242">
        <f t="shared" ca="1" si="6"/>
        <v>182773778.27899554</v>
      </c>
      <c r="AF13" s="242"/>
      <c r="AG13" s="242">
        <f t="shared" ca="1" si="7"/>
        <v>182773778.27899554</v>
      </c>
      <c r="AI13" s="241">
        <f t="shared" si="17"/>
        <v>2022</v>
      </c>
      <c r="AJ13" s="242">
        <f>SUMIF('Monthly Data (longer 09-23)'!$B:$B,$AI13,'Monthly Data (longer 09-23)'!X:X)</f>
        <v>28792570</v>
      </c>
      <c r="AK13" s="244">
        <f ca="1">SUMIF('ED Normalized Monthly WN'!$C:$C,AI13,'ED Normalized Monthly WN'!$Q:$Q)</f>
        <v>28546691.036423776</v>
      </c>
      <c r="AM13" s="241">
        <f t="shared" si="18"/>
        <v>2022</v>
      </c>
      <c r="AN13" s="242">
        <f>SUMIF('Monthly Data (longer 09-23)'!$B:$B,$AM13,'Monthly Data (longer 09-23)'!P:P)</f>
        <v>2406027</v>
      </c>
      <c r="AO13" s="242">
        <f>'Connection Count'!O12</f>
        <v>2793.3333333333335</v>
      </c>
      <c r="AP13" s="242">
        <f t="shared" si="8"/>
        <v>861.34618138424821</v>
      </c>
      <c r="AQ13" s="242">
        <f t="shared" si="9"/>
        <v>2406027</v>
      </c>
      <c r="AS13" s="241">
        <f t="shared" si="19"/>
        <v>2022</v>
      </c>
      <c r="AT13" s="242">
        <f>SUMIF('Monthly Data (longer 09-23)'!$B:$B,$AS13,'Monthly Data (longer 09-23)'!S:S)</f>
        <v>271670</v>
      </c>
      <c r="AU13" s="242">
        <f>'Connection Count'!S12</f>
        <v>226.66666666666666</v>
      </c>
      <c r="AV13" s="242">
        <f t="shared" si="10"/>
        <v>1198.5441176470588</v>
      </c>
      <c r="AW13" s="242">
        <f t="shared" si="11"/>
        <v>271670</v>
      </c>
      <c r="AY13" s="241">
        <f t="shared" si="20"/>
        <v>2022</v>
      </c>
      <c r="AZ13" s="242">
        <f>SUMIF('Monthly Data (longer 09-23)'!$B:$B,$AY13,'Monthly Data (longer 09-23)'!V:V)</f>
        <v>1408704</v>
      </c>
      <c r="BA13" s="242">
        <f>'Connection Count'!W12</f>
        <v>125</v>
      </c>
      <c r="BB13" s="242">
        <f t="shared" si="12"/>
        <v>11269.632</v>
      </c>
      <c r="BC13" s="242">
        <f t="shared" si="13"/>
        <v>1408704</v>
      </c>
    </row>
    <row r="14" spans="2:55">
      <c r="B14" s="241">
        <f t="shared" si="14"/>
        <v>2023</v>
      </c>
      <c r="C14" s="242">
        <f>SUMIF('Monthly Data (longer 09-23)'!$B:$B,B14,'Monthly Data (longer 09-23)'!C:C)</f>
        <v>259000633.64553002</v>
      </c>
      <c r="D14" s="242">
        <f>SUMIF('Monthly Data (longer 09-23)'!$B:$B,B14,'Monthly Data (longer 09-23)'!D:D)</f>
        <v>14161671.784384288</v>
      </c>
      <c r="E14" s="242">
        <f>SUMIF('Monthly Data (longer 09-23)'!$B:$B,B14,'Monthly Data (longer 09-23)'!E:E)</f>
        <v>273162305.4299143</v>
      </c>
      <c r="F14" s="243"/>
      <c r="G14" s="244">
        <f ca="1">SUMIF('Res Normalized Monthly WN'!$C:$C,B14,'Res Normalized Monthly WN'!$Y:$Y)</f>
        <v>283901208.57463396</v>
      </c>
      <c r="H14" s="242">
        <f t="shared" si="0"/>
        <v>14161671.784384288</v>
      </c>
      <c r="I14" s="242">
        <f t="shared" ca="1" si="1"/>
        <v>269739536.79024965</v>
      </c>
      <c r="J14" s="242"/>
      <c r="K14" s="242">
        <f t="shared" ca="1" si="2"/>
        <v>269739536.79024965</v>
      </c>
      <c r="M14" s="241">
        <f t="shared" si="15"/>
        <v>2023</v>
      </c>
      <c r="N14" s="242">
        <f>SUMIF('Monthly Data (longer 09-23)'!$B:$B,M14,'Monthly Data (longer 09-23)'!G:G)</f>
        <v>63293408.089218006</v>
      </c>
      <c r="O14" s="242">
        <f>SUMIF('Monthly Data (longer 09-23)'!$B:$B,M14,'Monthly Data (longer 09-23)'!H:H)</f>
        <v>14365508.348809443</v>
      </c>
      <c r="P14" s="242">
        <f>SUMIF('Monthly Data (longer 09-23)'!$B:$B,M14,'Monthly Data (longer 09-23)'!I:I)</f>
        <v>77658916.438027456</v>
      </c>
      <c r="Q14" s="243"/>
      <c r="R14" s="244">
        <f ca="1">SUMIF('GS&lt;50 Normalized Monthly WN'!$C:$C,M14,'GS&lt;50 Normalized Monthly WN'!$S:$S)</f>
        <v>79091937.632357374</v>
      </c>
      <c r="S14" s="242">
        <f t="shared" si="3"/>
        <v>14365508.348809443</v>
      </c>
      <c r="T14" s="242">
        <f ca="1">R14-S14</f>
        <v>64726429.28354793</v>
      </c>
      <c r="U14" s="242"/>
      <c r="V14" s="242">
        <f t="shared" ca="1" si="4"/>
        <v>64726429.28354793</v>
      </c>
      <c r="X14" s="241">
        <f t="shared" si="16"/>
        <v>2023</v>
      </c>
      <c r="Y14" s="242">
        <f>SUMIF('Monthly Data (longer 09-23)'!$B:$B,$X14,'Monthly Data (longer 09-23)'!K:K)</f>
        <v>183420702.72663307</v>
      </c>
      <c r="Z14" s="242">
        <f>SUMIF('Monthly Data (longer 09-23)'!$B:$B,$X14,'Monthly Data (longer 09-23)'!L:L)</f>
        <v>17991525.367459733</v>
      </c>
      <c r="AA14" s="242">
        <f>SUMIF('Monthly Data (longer 09-23)'!$B:$B,$X14,'Monthly Data (longer 09-23)'!M:M)</f>
        <v>201412228.09409276</v>
      </c>
      <c r="AB14" s="243"/>
      <c r="AC14" s="244">
        <f ca="1">SUMIF('GS&gt;50 Normalized Monthly WN'!$C:$C,X14,'GS&gt;50 Normalized Monthly WN'!$U:$U)</f>
        <v>204448072.57885888</v>
      </c>
      <c r="AD14" s="242">
        <f t="shared" si="5"/>
        <v>17991525.367459733</v>
      </c>
      <c r="AE14" s="242">
        <f t="shared" ca="1" si="6"/>
        <v>186456547.21139914</v>
      </c>
      <c r="AF14" s="242"/>
      <c r="AG14" s="242">
        <f t="shared" ca="1" si="7"/>
        <v>186456547.21139914</v>
      </c>
      <c r="AI14" s="241">
        <f t="shared" si="17"/>
        <v>2023</v>
      </c>
      <c r="AJ14" s="242">
        <f>SUMIF('Monthly Data (longer 09-23)'!$B:$B,$AI14,'Monthly Data (longer 09-23)'!X:X)</f>
        <v>34284228</v>
      </c>
      <c r="AK14" s="244">
        <f ca="1">SUMIF('ED Normalized Monthly WN'!$C:$C,AI14,'ED Normalized Monthly WN'!$Q:$Q)</f>
        <v>35032100.121394455</v>
      </c>
      <c r="AM14" s="241">
        <f t="shared" si="18"/>
        <v>2023</v>
      </c>
      <c r="AN14" s="242">
        <f>SUMIF('Monthly Data (longer 09-23)'!$B:$B,$AM14,'Monthly Data (longer 09-23)'!P:P)</f>
        <v>2415232.6883003376</v>
      </c>
      <c r="AO14" s="242">
        <f>'Connection Count'!O13</f>
        <v>2806.9166666666665</v>
      </c>
      <c r="AP14" s="242">
        <f t="shared" si="8"/>
        <v>860.45756790084181</v>
      </c>
      <c r="AQ14" s="242">
        <f>AP14*AO14</f>
        <v>2415232.6883003376</v>
      </c>
      <c r="AS14" s="241">
        <f t="shared" si="19"/>
        <v>2023</v>
      </c>
      <c r="AT14" s="242">
        <f>SUMIF('Monthly Data (longer 09-23)'!$B:$B,$AS14,'Monthly Data (longer 09-23)'!S:S)</f>
        <v>269986.47996137134</v>
      </c>
      <c r="AU14" s="242">
        <f>'Connection Count'!S13</f>
        <v>222.25</v>
      </c>
      <c r="AV14" s="242">
        <f t="shared" si="10"/>
        <v>1214.7873114122444</v>
      </c>
      <c r="AW14" s="242">
        <f t="shared" si="11"/>
        <v>269986.47996137134</v>
      </c>
      <c r="AY14" s="241">
        <f t="shared" si="20"/>
        <v>2023</v>
      </c>
      <c r="AZ14" s="242">
        <f>SUMIF('Monthly Data (longer 09-23)'!$B:$B,$AY14,'Monthly Data (longer 09-23)'!V:V)</f>
        <v>1408699.1791405117</v>
      </c>
      <c r="BA14" s="242">
        <f>'Connection Count'!W13</f>
        <v>125</v>
      </c>
      <c r="BB14" s="242">
        <f t="shared" si="12"/>
        <v>11269.593433124093</v>
      </c>
      <c r="BC14" s="242">
        <f t="shared" si="13"/>
        <v>1408699.1791405117</v>
      </c>
    </row>
    <row r="15" spans="2:55" s="11" customFormat="1">
      <c r="B15" s="245">
        <f t="shared" si="14"/>
        <v>2024</v>
      </c>
      <c r="C15" s="245"/>
      <c r="D15" s="245"/>
      <c r="E15" s="245"/>
      <c r="F15" s="246"/>
      <c r="G15" s="247">
        <f ca="1">SUMIF('Res Normalized Monthly WN'!$C:$C,B15,'Res Normalized Monthly WN'!$Y:$Y)</f>
        <v>286875733.03066367</v>
      </c>
      <c r="H15" s="248">
        <f>'Historic CDM'!C150</f>
        <v>14080908.970873253</v>
      </c>
      <c r="I15" s="248">
        <f t="shared" ca="1" si="1"/>
        <v>272794824.05979043</v>
      </c>
      <c r="J15" s="248">
        <f ca="1">'Total Additional Loads'!D16</f>
        <v>4072994.8117205207</v>
      </c>
      <c r="K15" s="248">
        <f ca="1">I15+J15</f>
        <v>276867818.87151098</v>
      </c>
      <c r="M15" s="245">
        <f>M14+1</f>
        <v>2024</v>
      </c>
      <c r="N15" s="245"/>
      <c r="O15" s="245"/>
      <c r="P15" s="245"/>
      <c r="Q15" s="246"/>
      <c r="R15" s="247">
        <f ca="1">SUMIF('GS&lt;50 Normalized Monthly WN'!$C:$C,M15,'GS&lt;50 Normalized Monthly WN'!$S:$S)</f>
        <v>81659851.389303565</v>
      </c>
      <c r="S15" s="248">
        <f>'Historic CDM'!D150</f>
        <v>13227924.0714256</v>
      </c>
      <c r="T15" s="248">
        <f t="shared" ca="1" si="21"/>
        <v>68431927.317877963</v>
      </c>
      <c r="U15" s="248">
        <f ca="1">'Total Additional Loads'!D17</f>
        <v>1021250.2438725852</v>
      </c>
      <c r="V15" s="248">
        <f ca="1">T15+U15</f>
        <v>69453177.561750546</v>
      </c>
      <c r="X15" s="245">
        <f t="shared" si="16"/>
        <v>2024</v>
      </c>
      <c r="Y15" s="245"/>
      <c r="Z15" s="245"/>
      <c r="AA15" s="245"/>
      <c r="AB15" s="246"/>
      <c r="AC15" s="247">
        <f ca="1">SUMIF('GS&gt;50 Normalized Monthly WN'!$C:$C,X15,'GS&gt;50 Normalized Monthly WN'!$U:$U)</f>
        <v>203702780.71640754</v>
      </c>
      <c r="AD15" s="248">
        <f>'Historic CDM'!E150</f>
        <v>16934708.787240501</v>
      </c>
      <c r="AE15" s="248">
        <f t="shared" ca="1" si="6"/>
        <v>186768071.92916703</v>
      </c>
      <c r="AF15" s="248">
        <f>'Total Additional Loads'!D18</f>
        <v>3514114.034390213</v>
      </c>
      <c r="AG15" s="248">
        <f ca="1">AE15+AF15</f>
        <v>190282185.96355724</v>
      </c>
      <c r="AI15" s="245">
        <f t="shared" si="17"/>
        <v>2024</v>
      </c>
      <c r="AJ15" s="245"/>
      <c r="AK15" s="247">
        <f ca="1">SUMIF('ED Normalized Monthly WN'!$C:$C,AI15,'ED Normalized Monthly WN'!$Q:$Q)</f>
        <v>33920392.464488193</v>
      </c>
      <c r="AM15" s="245">
        <f t="shared" si="18"/>
        <v>2024</v>
      </c>
      <c r="AN15" s="245"/>
      <c r="AO15" s="248">
        <f>'Connection Count'!O14</f>
        <v>2817.5697468134185</v>
      </c>
      <c r="AP15" s="248">
        <f>AP14</f>
        <v>860.45756790084181</v>
      </c>
      <c r="AQ15" s="248">
        <f t="shared" si="9"/>
        <v>2424399.2117340649</v>
      </c>
      <c r="AS15" s="245">
        <f t="shared" si="19"/>
        <v>2024</v>
      </c>
      <c r="AT15" s="245"/>
      <c r="AU15" s="248">
        <f>'Connection Count'!S14</f>
        <v>219.07504548051534</v>
      </c>
      <c r="AV15" s="248">
        <f>AV14</f>
        <v>1214.7873114122444</v>
      </c>
      <c r="AW15" s="248">
        <f t="shared" si="11"/>
        <v>266129.58549679042</v>
      </c>
      <c r="AY15" s="245">
        <f>AY14+1</f>
        <v>2024</v>
      </c>
      <c r="AZ15" s="245"/>
      <c r="BA15" s="248">
        <f>'Connection Count'!W14</f>
        <v>123.87972409682031</v>
      </c>
      <c r="BB15" s="248">
        <f>BB14</f>
        <v>11269.593433124093</v>
      </c>
      <c r="BC15" s="248">
        <f t="shared" si="13"/>
        <v>1396074.1251787506</v>
      </c>
    </row>
    <row r="16" spans="2:55" s="11" customFormat="1">
      <c r="B16" s="245">
        <f t="shared" si="14"/>
        <v>2025</v>
      </c>
      <c r="C16" s="245"/>
      <c r="D16" s="245"/>
      <c r="E16" s="245"/>
      <c r="F16" s="246"/>
      <c r="G16" s="247">
        <f ca="1">SUMIF('Res Normalized Monthly WN'!$C:$C,B16,'Res Normalized Monthly WN'!$Y:$Y)</f>
        <v>289246552.82869923</v>
      </c>
      <c r="H16" s="248">
        <f>'Historic CDM'!C151</f>
        <v>13876355.908445757</v>
      </c>
      <c r="I16" s="248">
        <f t="shared" ca="1" si="1"/>
        <v>275370196.92025346</v>
      </c>
      <c r="J16" s="248">
        <f ca="1">'Total Additional Loads'!E16</f>
        <v>10162570.912190966</v>
      </c>
      <c r="K16" s="248">
        <f ca="1">I16+J16</f>
        <v>285532767.83244443</v>
      </c>
      <c r="M16" s="245">
        <f>M15+1</f>
        <v>2025</v>
      </c>
      <c r="N16" s="245"/>
      <c r="O16" s="245"/>
      <c r="P16" s="245"/>
      <c r="Q16" s="246"/>
      <c r="R16" s="247">
        <f ca="1">SUMIF('GS&lt;50 Normalized Monthly WN'!$C:$C,M16,'GS&lt;50 Normalized Monthly WN'!$S:$S)</f>
        <v>82793710.187880591</v>
      </c>
      <c r="S16" s="248">
        <f>'Historic CDM'!D151</f>
        <v>12219319.189610001</v>
      </c>
      <c r="T16" s="248">
        <f t="shared" ca="1" si="21"/>
        <v>70574390.998270586</v>
      </c>
      <c r="U16" s="248">
        <f ca="1">'Total Additional Loads'!E17</f>
        <v>2618053.3770265197</v>
      </c>
      <c r="V16" s="248">
        <f ca="1">T16+U16</f>
        <v>73192444.375297099</v>
      </c>
      <c r="X16" s="245">
        <f t="shared" si="16"/>
        <v>2025</v>
      </c>
      <c r="Y16" s="245"/>
      <c r="Z16" s="245"/>
      <c r="AA16" s="245"/>
      <c r="AB16" s="246"/>
      <c r="AC16" s="247">
        <f ca="1">SUMIF('GS&gt;50 Normalized Monthly WN'!$C:$C,X16,'GS&gt;50 Normalized Monthly WN'!$U:$U)</f>
        <v>207132515.0983966</v>
      </c>
      <c r="AD16" s="248">
        <f>'Historic CDM'!E151</f>
        <v>15480379.972327283</v>
      </c>
      <c r="AE16" s="248">
        <f t="shared" ca="1" si="6"/>
        <v>191652135.12606931</v>
      </c>
      <c r="AF16" s="248">
        <f ca="1">'Total Additional Loads'!E18</f>
        <v>17455141.186642379</v>
      </c>
      <c r="AG16" s="248">
        <f ca="1">AE16+AF16</f>
        <v>209107276.31271169</v>
      </c>
      <c r="AI16" s="245">
        <f t="shared" si="17"/>
        <v>2025</v>
      </c>
      <c r="AJ16" s="245"/>
      <c r="AK16" s="247">
        <f ca="1">SUMIF('ED Normalized Monthly WN'!$C:$C,AI16,'ED Normalized Monthly WN'!$Q:$Q)</f>
        <v>34244754.121491976</v>
      </c>
      <c r="AM16" s="245">
        <f t="shared" si="18"/>
        <v>2025</v>
      </c>
      <c r="AN16" s="245"/>
      <c r="AO16" s="248">
        <f>'Connection Count'!O15</f>
        <v>2828.2632585547244</v>
      </c>
      <c r="AP16" s="248">
        <f>AP15</f>
        <v>860.45756790084181</v>
      </c>
      <c r="AQ16" s="248">
        <f t="shared" si="9"/>
        <v>2433600.5248393081</v>
      </c>
      <c r="AS16" s="245">
        <f t="shared" si="19"/>
        <v>2025</v>
      </c>
      <c r="AT16" s="245"/>
      <c r="AU16" s="248">
        <f>'Connection Count'!S15</f>
        <v>215.94544680445384</v>
      </c>
      <c r="AV16" s="248">
        <f>AV15</f>
        <v>1214.7873114122444</v>
      </c>
      <c r="AW16" s="248">
        <f t="shared" si="11"/>
        <v>262327.78873529832</v>
      </c>
      <c r="AY16" s="245">
        <f>AY15+1</f>
        <v>2025</v>
      </c>
      <c r="AZ16" s="245"/>
      <c r="BA16" s="248">
        <f>'Connection Count'!W15</f>
        <v>122.76948833843458</v>
      </c>
      <c r="BB16" s="248">
        <f>BB15</f>
        <v>11269.593433124093</v>
      </c>
      <c r="BC16" s="248">
        <f t="shared" si="13"/>
        <v>1383562.2195668274</v>
      </c>
    </row>
    <row r="20" spans="9:55">
      <c r="I20" s="14"/>
      <c r="J20" s="14"/>
      <c r="K20" s="14"/>
      <c r="AP20" s="4"/>
      <c r="AV20" s="4"/>
      <c r="BB20" s="4"/>
    </row>
    <row r="21" spans="9:55">
      <c r="AP21" s="4"/>
      <c r="AQ21" s="4"/>
      <c r="AV21" s="4"/>
      <c r="AW21" s="4"/>
      <c r="BB21" s="4"/>
      <c r="BC21" s="4"/>
    </row>
    <row r="22" spans="9:55">
      <c r="AP22" s="4"/>
      <c r="AQ22" s="4"/>
      <c r="AR22" s="4"/>
      <c r="AV22" s="4"/>
      <c r="AW22" s="4"/>
      <c r="BB22" s="4"/>
      <c r="BC22" s="4"/>
    </row>
    <row r="23" spans="9:55">
      <c r="AP23" s="4"/>
      <c r="AQ23" s="4"/>
      <c r="AR23" s="4"/>
      <c r="AV23" s="4"/>
      <c r="AW23" s="4"/>
      <c r="BB23" s="4"/>
      <c r="BC23" s="4"/>
    </row>
    <row r="24" spans="9:55">
      <c r="AP24" s="4"/>
      <c r="AQ24" s="4"/>
      <c r="AR24" s="4"/>
      <c r="AV24" s="4"/>
      <c r="AW24" s="4"/>
      <c r="BB24" s="4"/>
      <c r="BC24" s="4"/>
    </row>
    <row r="25" spans="9:55">
      <c r="AP25" s="4"/>
      <c r="AQ25" s="4"/>
      <c r="AR25" s="4"/>
      <c r="AV25" s="4"/>
      <c r="AW25" s="4"/>
      <c r="BB25" s="4"/>
      <c r="BC25" s="4"/>
    </row>
    <row r="26" spans="9:55">
      <c r="AP26" s="4"/>
      <c r="AQ26" s="4"/>
      <c r="AR26" s="4"/>
      <c r="AV26" s="4"/>
      <c r="AW26" s="4"/>
      <c r="BB26" s="4"/>
      <c r="BC26" s="4"/>
    </row>
    <row r="27" spans="9:55">
      <c r="AP27" s="4"/>
      <c r="AQ27" s="4"/>
      <c r="AV27" s="4"/>
      <c r="AW27" s="4"/>
      <c r="BB27" s="4"/>
      <c r="BC27" s="4"/>
    </row>
    <row r="54" spans="40:54">
      <c r="AN54" s="6"/>
      <c r="AO54" s="6"/>
      <c r="AP54" s="105"/>
      <c r="AT54" s="6"/>
      <c r="AU54" s="6"/>
      <c r="AV54" s="105"/>
      <c r="AZ54" s="6"/>
      <c r="BA54" s="6"/>
      <c r="BB54" s="105"/>
    </row>
    <row r="55" spans="40:54">
      <c r="AN55" s="6"/>
      <c r="AO55" s="6"/>
      <c r="AP55" s="105"/>
      <c r="AT55" s="6"/>
      <c r="AU55" s="6"/>
      <c r="AV55" s="105"/>
      <c r="AZ55" s="6"/>
      <c r="BA55" s="6"/>
      <c r="BB55" s="105"/>
    </row>
    <row r="56" spans="40:54">
      <c r="AN56" s="6"/>
      <c r="AO56" s="6"/>
      <c r="AP56" s="105"/>
      <c r="AT56" s="6"/>
      <c r="AU56" s="6"/>
      <c r="AV56" s="105"/>
      <c r="AZ56" s="6"/>
      <c r="BA56" s="6"/>
      <c r="BB56" s="105"/>
    </row>
    <row r="57" spans="40:54">
      <c r="AN57" s="6"/>
      <c r="AO57" s="6"/>
      <c r="AP57" s="105"/>
      <c r="AT57" s="6"/>
      <c r="AU57" s="6"/>
      <c r="AV57" s="105"/>
      <c r="AZ57" s="6"/>
      <c r="BA57" s="6"/>
      <c r="BB57" s="105"/>
    </row>
    <row r="58" spans="40:54">
      <c r="AN58" s="6"/>
      <c r="AO58" s="6"/>
      <c r="AP58" s="105"/>
      <c r="AT58" s="6"/>
      <c r="AU58" s="6"/>
      <c r="AV58" s="105"/>
      <c r="AZ58" s="6"/>
      <c r="BA58" s="6"/>
      <c r="BB58" s="105"/>
    </row>
    <row r="59" spans="40:54">
      <c r="AN59" s="6"/>
      <c r="AO59" s="6"/>
      <c r="AP59" s="105"/>
      <c r="AT59" s="6"/>
      <c r="AU59" s="6"/>
      <c r="AV59" s="105"/>
      <c r="AZ59" s="6"/>
      <c r="BA59" s="6"/>
      <c r="BB59" s="105"/>
    </row>
    <row r="60" spans="40:54">
      <c r="AN60" s="6"/>
      <c r="AO60" s="6"/>
      <c r="AP60" s="105"/>
      <c r="AT60" s="6"/>
      <c r="AU60" s="6"/>
      <c r="AV60" s="105"/>
      <c r="AZ60" s="6"/>
      <c r="BA60" s="6"/>
      <c r="BB60" s="105"/>
    </row>
    <row r="61" spans="40:54">
      <c r="AN61" s="6"/>
      <c r="AO61" s="6"/>
      <c r="AP61" s="105"/>
      <c r="AT61" s="6"/>
      <c r="AU61" s="6"/>
      <c r="AV61" s="105"/>
      <c r="AZ61" s="6"/>
      <c r="BA61" s="6"/>
      <c r="BB61" s="105"/>
    </row>
    <row r="62" spans="40:54">
      <c r="AN62" s="6"/>
      <c r="AO62" s="6"/>
      <c r="AP62" s="105"/>
      <c r="AT62" s="6"/>
      <c r="AU62" s="6"/>
      <c r="AV62" s="105"/>
      <c r="AZ62" s="6"/>
      <c r="BA62" s="6"/>
      <c r="BB62" s="105"/>
    </row>
    <row r="63" spans="40:54">
      <c r="AN63" s="6"/>
      <c r="AO63" s="6"/>
      <c r="AP63" s="105"/>
      <c r="AT63" s="6"/>
      <c r="AU63" s="6"/>
      <c r="AV63" s="105"/>
      <c r="AZ63" s="6"/>
      <c r="BA63" s="6"/>
      <c r="BB63" s="105"/>
    </row>
    <row r="64" spans="40:54">
      <c r="AN64" s="6"/>
      <c r="AO64" s="6"/>
      <c r="AP64" s="105"/>
      <c r="AT64" s="6"/>
      <c r="AU64" s="6"/>
      <c r="AV64" s="105"/>
      <c r="AZ64" s="6"/>
      <c r="BA64" s="6"/>
      <c r="BB64" s="105"/>
    </row>
    <row r="65" spans="40:54">
      <c r="AN65" s="6"/>
      <c r="AO65" s="6"/>
      <c r="AP65" s="105"/>
      <c r="AT65" s="6"/>
      <c r="AU65" s="6"/>
      <c r="AV65" s="105"/>
      <c r="AZ65" s="6"/>
      <c r="BA65" s="6"/>
      <c r="BB65" s="105"/>
    </row>
    <row r="66" spans="40:54">
      <c r="AN66" s="6"/>
      <c r="AO66" s="6"/>
      <c r="AP66" s="105"/>
      <c r="AT66" s="6"/>
      <c r="AU66" s="6"/>
      <c r="AV66" s="105"/>
      <c r="AZ66" s="6"/>
      <c r="BA66" s="6"/>
      <c r="BB66" s="105"/>
    </row>
    <row r="67" spans="40:54">
      <c r="AN67" s="6"/>
      <c r="AO67" s="6"/>
      <c r="AP67" s="105"/>
      <c r="AT67" s="6"/>
      <c r="AU67" s="6"/>
      <c r="AV67" s="105"/>
      <c r="AZ67" s="6"/>
      <c r="BA67" s="6"/>
      <c r="BB67" s="105"/>
    </row>
    <row r="68" spans="40:54">
      <c r="AN68" s="6"/>
      <c r="AO68" s="6"/>
      <c r="AP68" s="105"/>
      <c r="AT68" s="6"/>
      <c r="AU68" s="6"/>
      <c r="AV68" s="105"/>
      <c r="AZ68" s="6"/>
      <c r="BA68" s="6"/>
      <c r="BB68" s="105"/>
    </row>
    <row r="69" spans="40:54">
      <c r="AN69" s="6"/>
      <c r="AO69" s="6"/>
      <c r="AP69" s="105"/>
      <c r="AT69" s="6"/>
      <c r="AU69" s="6"/>
      <c r="AV69" s="105"/>
      <c r="AZ69" s="6"/>
      <c r="BA69" s="6"/>
      <c r="BB69" s="105"/>
    </row>
    <row r="70" spans="40:54">
      <c r="AN70" s="6"/>
      <c r="AO70" s="6"/>
      <c r="AP70" s="105"/>
      <c r="AT70" s="6"/>
      <c r="AU70" s="6"/>
      <c r="AV70" s="105"/>
      <c r="AZ70" s="6"/>
      <c r="BA70" s="6"/>
      <c r="BB70" s="105"/>
    </row>
    <row r="71" spans="40:54">
      <c r="AN71" s="6"/>
      <c r="AO71" s="6"/>
      <c r="AP71" s="105"/>
      <c r="AT71" s="6"/>
      <c r="AU71" s="6"/>
      <c r="AV71" s="105"/>
      <c r="AZ71" s="6"/>
      <c r="BA71" s="6"/>
      <c r="BB71" s="105"/>
    </row>
    <row r="72" spans="40:54">
      <c r="AN72" s="6"/>
      <c r="AO72" s="6"/>
      <c r="AP72" s="105"/>
      <c r="AT72" s="6"/>
      <c r="AU72" s="6"/>
      <c r="AV72" s="105"/>
      <c r="AZ72" s="6"/>
      <c r="BA72" s="6"/>
      <c r="BB72" s="105"/>
    </row>
    <row r="73" spans="40:54">
      <c r="AN73" s="6"/>
      <c r="AO73" s="6"/>
      <c r="AP73" s="105"/>
      <c r="AT73" s="6"/>
      <c r="AU73" s="6"/>
      <c r="AV73" s="105"/>
      <c r="AZ73" s="6"/>
      <c r="BA73" s="6"/>
      <c r="BB73" s="105"/>
    </row>
    <row r="74" spans="40:54">
      <c r="AN74" s="6"/>
      <c r="AO74" s="6"/>
      <c r="AP74" s="105"/>
      <c r="AT74" s="6"/>
      <c r="AU74" s="6"/>
      <c r="AV74" s="105"/>
      <c r="AZ74" s="6"/>
      <c r="BA74" s="6"/>
      <c r="BB74" s="105"/>
    </row>
    <row r="75" spans="40:54">
      <c r="AN75" s="6"/>
      <c r="AO75" s="6"/>
      <c r="AP75" s="105"/>
      <c r="AT75" s="6"/>
      <c r="AU75" s="6"/>
      <c r="AV75" s="105"/>
      <c r="AZ75" s="6"/>
      <c r="BA75" s="6"/>
      <c r="BB75" s="105"/>
    </row>
    <row r="76" spans="40:54">
      <c r="AN76" s="6"/>
      <c r="AO76" s="6"/>
      <c r="AP76" s="105"/>
      <c r="AT76" s="6"/>
      <c r="AU76" s="6"/>
      <c r="AV76" s="105"/>
      <c r="AZ76" s="6"/>
      <c r="BA76" s="6"/>
      <c r="BB76" s="105"/>
    </row>
    <row r="77" spans="40:54">
      <c r="AN77" s="6"/>
      <c r="AO77" s="6"/>
      <c r="AP77" s="105"/>
      <c r="AT77" s="6"/>
      <c r="AU77" s="6"/>
      <c r="AV77" s="105"/>
      <c r="AZ77" s="6"/>
      <c r="BA77" s="6"/>
      <c r="BB77" s="105"/>
    </row>
    <row r="78" spans="40:54">
      <c r="AN78" s="6"/>
      <c r="AO78" s="6"/>
      <c r="AP78" s="105"/>
      <c r="AT78" s="6"/>
      <c r="AU78" s="6"/>
      <c r="AV78" s="105"/>
      <c r="AZ78" s="6"/>
      <c r="BA78" s="6"/>
      <c r="BB78" s="105"/>
    </row>
    <row r="79" spans="40:54">
      <c r="AP79" s="101"/>
      <c r="AV79" s="101"/>
      <c r="BB79" s="101"/>
    </row>
  </sheetData>
  <mergeCells count="7">
    <mergeCell ref="AY2:BC2"/>
    <mergeCell ref="AS2:AW2"/>
    <mergeCell ref="AI2:AK2"/>
    <mergeCell ref="AM2:AQ2"/>
    <mergeCell ref="B2:K2"/>
    <mergeCell ref="M2:V2"/>
    <mergeCell ref="X2:A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7EF0-4512-4DC9-9B4A-725DC8EB795B}">
  <sheetPr codeName="Sheet7">
    <tabColor theme="2" tint="-9.9978637043366805E-2"/>
  </sheetPr>
  <dimension ref="A1:DY283"/>
  <sheetViews>
    <sheetView workbookViewId="0">
      <pane xSplit="3" ySplit="1" topLeftCell="AJ5" activePane="bottomRight" state="frozen"/>
      <selection pane="bottomRight" activeCell="AK18" sqref="AK18"/>
      <selection pane="bottomLeft" activeCell="AE3" sqref="AE3"/>
      <selection pane="topRight" activeCell="AE3" sqref="AE3"/>
    </sheetView>
  </sheetViews>
  <sheetFormatPr defaultRowHeight="14.45"/>
  <cols>
    <col min="1" max="1" width="11.85546875" customWidth="1"/>
    <col min="18" max="18" width="9.7109375" style="253" customWidth="1"/>
    <col min="49" max="49" width="9.5703125" bestFit="1" customWidth="1"/>
    <col min="121" max="121" width="14.42578125" bestFit="1" customWidth="1"/>
    <col min="122" max="122" width="14.28515625" bestFit="1" customWidth="1"/>
    <col min="123" max="124" width="14.42578125" bestFit="1" customWidth="1"/>
    <col min="126" max="126" width="9.5703125" bestFit="1" customWidth="1"/>
    <col min="127" max="127" width="10.5703125" bestFit="1" customWidth="1"/>
    <col min="128" max="128" width="11.5703125" bestFit="1" customWidth="1"/>
  </cols>
  <sheetData>
    <row r="1" spans="1:129">
      <c r="A1" t="s">
        <v>0</v>
      </c>
      <c r="B1" t="s">
        <v>1</v>
      </c>
      <c r="C1" t="s">
        <v>151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s="253" t="s">
        <v>40</v>
      </c>
      <c r="DQ1" t="str">
        <f>'Monthly Data (longer 09-23)'!E1</f>
        <v>ReskWh_NoCDM</v>
      </c>
      <c r="DR1" t="str">
        <f>'Monthly Data (longer 09-23)'!I1</f>
        <v>GSlt50kWh_NoCDM</v>
      </c>
      <c r="DS1" t="str">
        <f>'Monthly Data (longer 09-23)'!M1</f>
        <v>GSgt50kWh_NoCDM</v>
      </c>
      <c r="DT1" t="str">
        <f>'Monthly Data (longer 09-23)'!X1</f>
        <v>EDkWh</v>
      </c>
      <c r="DU1" t="str">
        <f>"Avg "&amp;DQ1</f>
        <v>Avg ReskWh_NoCDM</v>
      </c>
      <c r="DV1" t="str">
        <f>"Avg "&amp;DR1</f>
        <v>Avg GSlt50kWh_NoCDM</v>
      </c>
      <c r="DW1" t="str">
        <f>"Avg "&amp;DS1</f>
        <v>Avg GSgt50kWh_NoCDM</v>
      </c>
      <c r="DX1" t="str">
        <f>"Avg "&amp;DT1</f>
        <v>Avg EDkWh</v>
      </c>
    </row>
    <row r="2" spans="1:129">
      <c r="A2" s="197">
        <f>DATE(B2,C2,1)</f>
        <v>36892</v>
      </c>
      <c r="B2">
        <v>2001</v>
      </c>
      <c r="C2">
        <v>1</v>
      </c>
      <c r="D2">
        <v>719.6</v>
      </c>
      <c r="E2">
        <v>0</v>
      </c>
      <c r="F2">
        <v>657.6</v>
      </c>
      <c r="G2">
        <v>0</v>
      </c>
      <c r="H2">
        <v>595.60000000000014</v>
      </c>
      <c r="I2">
        <v>0</v>
      </c>
      <c r="J2">
        <v>533.6</v>
      </c>
      <c r="K2">
        <v>0</v>
      </c>
      <c r="L2">
        <v>471.59999999999997</v>
      </c>
      <c r="M2">
        <v>0</v>
      </c>
      <c r="N2">
        <v>409.59999999999997</v>
      </c>
      <c r="O2">
        <v>0</v>
      </c>
      <c r="P2">
        <v>347.59999999999997</v>
      </c>
      <c r="Q2">
        <v>0</v>
      </c>
      <c r="R2" s="254">
        <v>-3.2129032258064525</v>
      </c>
      <c r="DQ2" s="6"/>
      <c r="DR2" s="6"/>
      <c r="DS2" s="6"/>
      <c r="DT2" s="6"/>
      <c r="DU2" s="16"/>
      <c r="DV2" s="16"/>
      <c r="DW2" s="16"/>
      <c r="DX2" s="16"/>
      <c r="DY2" s="101"/>
    </row>
    <row r="3" spans="1:129">
      <c r="A3" s="197">
        <f t="shared" ref="A3:A66" si="0">DATE(B3,C3,1)</f>
        <v>36923</v>
      </c>
      <c r="B3">
        <v>2001</v>
      </c>
      <c r="C3">
        <v>2</v>
      </c>
      <c r="D3">
        <v>600.29999999999995</v>
      </c>
      <c r="E3">
        <v>0</v>
      </c>
      <c r="F3">
        <v>544.30000000000007</v>
      </c>
      <c r="G3">
        <v>0</v>
      </c>
      <c r="H3">
        <v>488.3</v>
      </c>
      <c r="I3">
        <v>0</v>
      </c>
      <c r="J3">
        <v>432.3</v>
      </c>
      <c r="K3">
        <v>0</v>
      </c>
      <c r="L3">
        <v>376.30000000000007</v>
      </c>
      <c r="M3">
        <v>0</v>
      </c>
      <c r="N3">
        <v>320.30000000000007</v>
      </c>
      <c r="O3">
        <v>0</v>
      </c>
      <c r="P3">
        <v>264.30000000000007</v>
      </c>
      <c r="Q3">
        <v>0</v>
      </c>
      <c r="R3" s="254">
        <v>-1.4392857142857143</v>
      </c>
      <c r="DQ3" s="6"/>
      <c r="DR3" s="6"/>
      <c r="DS3" s="6"/>
      <c r="DT3" s="6"/>
      <c r="DU3" s="16"/>
      <c r="DV3" s="16"/>
      <c r="DW3" s="16"/>
      <c r="DX3" s="16"/>
    </row>
    <row r="4" spans="1:129">
      <c r="A4" s="197">
        <f t="shared" si="0"/>
        <v>36951</v>
      </c>
      <c r="B4">
        <v>2001</v>
      </c>
      <c r="C4">
        <v>3</v>
      </c>
      <c r="D4">
        <v>580.89999999999986</v>
      </c>
      <c r="E4">
        <v>0</v>
      </c>
      <c r="F4">
        <v>518.89999999999986</v>
      </c>
      <c r="G4">
        <v>0</v>
      </c>
      <c r="H4">
        <v>456.9</v>
      </c>
      <c r="I4">
        <v>0</v>
      </c>
      <c r="J4">
        <v>394.89999999999992</v>
      </c>
      <c r="K4">
        <v>0</v>
      </c>
      <c r="L4">
        <v>332.9</v>
      </c>
      <c r="M4">
        <v>0</v>
      </c>
      <c r="N4">
        <v>270.90000000000003</v>
      </c>
      <c r="O4">
        <v>0</v>
      </c>
      <c r="P4">
        <v>208.9</v>
      </c>
      <c r="Q4">
        <v>0</v>
      </c>
      <c r="R4" s="254">
        <v>1.2612903225806453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6"/>
      <c r="DU4" s="16"/>
      <c r="DV4" s="16"/>
      <c r="DW4" s="16"/>
      <c r="DX4" s="16"/>
    </row>
    <row r="5" spans="1:129">
      <c r="A5" s="197">
        <f t="shared" si="0"/>
        <v>36982</v>
      </c>
      <c r="B5">
        <v>2001</v>
      </c>
      <c r="C5">
        <v>4</v>
      </c>
      <c r="D5">
        <v>304.90000000000003</v>
      </c>
      <c r="E5">
        <v>0</v>
      </c>
      <c r="F5">
        <v>245.30000000000004</v>
      </c>
      <c r="G5">
        <v>0.39999999999999858</v>
      </c>
      <c r="H5">
        <v>190.90000000000003</v>
      </c>
      <c r="I5">
        <v>6</v>
      </c>
      <c r="J5">
        <v>141.60000000000002</v>
      </c>
      <c r="K5">
        <v>16.7</v>
      </c>
      <c r="L5">
        <v>96.700000000000031</v>
      </c>
      <c r="M5">
        <v>31.8</v>
      </c>
      <c r="N5">
        <v>58.3</v>
      </c>
      <c r="O5">
        <v>53.400000000000006</v>
      </c>
      <c r="P5">
        <v>28.4</v>
      </c>
      <c r="Q5">
        <v>83.500000000000014</v>
      </c>
      <c r="R5" s="254">
        <v>9.836666666666666</v>
      </c>
      <c r="V5">
        <v>2013</v>
      </c>
      <c r="W5" s="100">
        <f>SUMIFS($D:$D,$B:$B,$V5,$C:$C,W$4)</f>
        <v>675.50000000000011</v>
      </c>
      <c r="X5" s="100">
        <f t="shared" ref="X5:AH5" si="8">SUMIFS($D:$D,$B:$B,$V5,$C:$C,X$4)</f>
        <v>646.79999999999995</v>
      </c>
      <c r="Y5" s="100">
        <f t="shared" si="8"/>
        <v>586.20000000000005</v>
      </c>
      <c r="Z5" s="100">
        <f t="shared" si="8"/>
        <v>378.29999999999995</v>
      </c>
      <c r="AA5" s="100">
        <f t="shared" si="8"/>
        <v>122.69999999999999</v>
      </c>
      <c r="AB5" s="100">
        <f t="shared" si="8"/>
        <v>41.6</v>
      </c>
      <c r="AC5" s="100">
        <f t="shared" si="8"/>
        <v>14</v>
      </c>
      <c r="AD5" s="100">
        <f t="shared" si="8"/>
        <v>14.700000000000003</v>
      </c>
      <c r="AE5" s="100">
        <f t="shared" si="8"/>
        <v>93.899999999999991</v>
      </c>
      <c r="AF5" s="100">
        <f t="shared" si="8"/>
        <v>240.3</v>
      </c>
      <c r="AG5" s="100">
        <f t="shared" si="8"/>
        <v>502.70000000000005</v>
      </c>
      <c r="AH5" s="100">
        <f t="shared" si="8"/>
        <v>697.8</v>
      </c>
      <c r="AJ5">
        <v>2013</v>
      </c>
      <c r="AK5" s="100">
        <f t="shared" ref="AK5:AV15" si="9">SUMIFS($F:$F,$B:$B,$V5,$C:$C,AK$4)</f>
        <v>613.5</v>
      </c>
      <c r="AL5" s="100">
        <f t="shared" si="9"/>
        <v>590.79999999999995</v>
      </c>
      <c r="AM5" s="100">
        <f t="shared" si="9"/>
        <v>524.20000000000016</v>
      </c>
      <c r="AN5" s="100">
        <f t="shared" si="9"/>
        <v>318.29999999999995</v>
      </c>
      <c r="AO5" s="100">
        <f t="shared" si="9"/>
        <v>83.3</v>
      </c>
      <c r="AP5" s="100">
        <f t="shared" si="9"/>
        <v>18.200000000000003</v>
      </c>
      <c r="AQ5" s="100">
        <f t="shared" si="9"/>
        <v>2.6000000000000014</v>
      </c>
      <c r="AR5" s="100">
        <f t="shared" si="9"/>
        <v>3.9000000000000021</v>
      </c>
      <c r="AS5" s="100">
        <f t="shared" si="9"/>
        <v>53.7</v>
      </c>
      <c r="AT5" s="100">
        <f t="shared" si="9"/>
        <v>187.09999999999997</v>
      </c>
      <c r="AU5" s="100">
        <f t="shared" si="9"/>
        <v>442.7</v>
      </c>
      <c r="AV5" s="100">
        <f t="shared" si="9"/>
        <v>635.79999999999995</v>
      </c>
      <c r="AW5" s="231">
        <f>SUM(AK5:AV5)</f>
        <v>3474.0999999999995</v>
      </c>
      <c r="AX5">
        <v>2013</v>
      </c>
      <c r="AY5" s="100">
        <f t="shared" ref="AY5:BJ15" si="10">SUMIFS($H:$H,$B:$B,$V5,$C:$C,AY$4)</f>
        <v>551.5</v>
      </c>
      <c r="AZ5" s="100">
        <f t="shared" si="10"/>
        <v>534.79999999999995</v>
      </c>
      <c r="BA5" s="100">
        <f t="shared" si="10"/>
        <v>462.20000000000005</v>
      </c>
      <c r="BB5" s="100">
        <f t="shared" si="10"/>
        <v>259.09999999999997</v>
      </c>
      <c r="BC5" s="100">
        <f t="shared" si="10"/>
        <v>54.8</v>
      </c>
      <c r="BD5" s="100">
        <f t="shared" si="10"/>
        <v>6</v>
      </c>
      <c r="BE5" s="100">
        <f t="shared" si="10"/>
        <v>0</v>
      </c>
      <c r="BF5" s="100">
        <f t="shared" si="10"/>
        <v>0</v>
      </c>
      <c r="BG5" s="100">
        <f t="shared" si="10"/>
        <v>25.700000000000003</v>
      </c>
      <c r="BH5" s="100">
        <f t="shared" si="10"/>
        <v>139.1</v>
      </c>
      <c r="BI5" s="100">
        <f t="shared" si="10"/>
        <v>382.7</v>
      </c>
      <c r="BJ5" s="100">
        <f t="shared" si="10"/>
        <v>573.79999999999995</v>
      </c>
      <c r="BL5">
        <v>2013</v>
      </c>
      <c r="BM5" s="100">
        <f t="shared" ref="BM5:BX15" si="11">SUMIFS($J:$J,$B:$B,$V5,$C:$C,BM$4)</f>
        <v>489.49999999999994</v>
      </c>
      <c r="BN5" s="100">
        <f t="shared" si="11"/>
        <v>478.79999999999995</v>
      </c>
      <c r="BO5" s="100">
        <f t="shared" si="11"/>
        <v>400.20000000000005</v>
      </c>
      <c r="BP5" s="100">
        <f t="shared" si="11"/>
        <v>204.59999999999994</v>
      </c>
      <c r="BQ5" s="100">
        <f t="shared" si="11"/>
        <v>34.1</v>
      </c>
      <c r="BR5" s="100">
        <f t="shared" si="11"/>
        <v>0.40000000000000036</v>
      </c>
      <c r="BS5" s="100">
        <f t="shared" si="11"/>
        <v>0</v>
      </c>
      <c r="BT5" s="100">
        <f t="shared" si="11"/>
        <v>0</v>
      </c>
      <c r="BU5" s="100">
        <f t="shared" si="11"/>
        <v>9.1000000000000014</v>
      </c>
      <c r="BV5" s="100">
        <f t="shared" si="11"/>
        <v>96.100000000000023</v>
      </c>
      <c r="BW5" s="100">
        <f t="shared" si="11"/>
        <v>322.7</v>
      </c>
      <c r="BX5" s="100">
        <f t="shared" si="11"/>
        <v>511.7999999999999</v>
      </c>
      <c r="BZ5">
        <v>2013</v>
      </c>
      <c r="CA5" s="100">
        <f t="shared" ref="CA5:CL15" si="12">SUMIFS($L:$L,$B:$B,$V5,$C:$C,CA$4)</f>
        <v>427.5</v>
      </c>
      <c r="CB5" s="100">
        <f t="shared" si="12"/>
        <v>422.79999999999995</v>
      </c>
      <c r="CC5" s="100">
        <f t="shared" si="12"/>
        <v>338.20000000000005</v>
      </c>
      <c r="CD5" s="100">
        <f t="shared" si="12"/>
        <v>151.79999999999998</v>
      </c>
      <c r="CE5" s="100">
        <f t="shared" si="12"/>
        <v>19.100000000000001</v>
      </c>
      <c r="CF5" s="100">
        <f t="shared" si="12"/>
        <v>0</v>
      </c>
      <c r="CG5" s="100">
        <f t="shared" si="12"/>
        <v>0</v>
      </c>
      <c r="CH5" s="100">
        <f t="shared" si="12"/>
        <v>0</v>
      </c>
      <c r="CI5" s="100">
        <f t="shared" si="12"/>
        <v>0</v>
      </c>
      <c r="CJ5" s="100">
        <f t="shared" si="12"/>
        <v>62.2</v>
      </c>
      <c r="CK5" s="100">
        <f t="shared" si="12"/>
        <v>264</v>
      </c>
      <c r="CL5" s="100">
        <f t="shared" si="12"/>
        <v>449.7999999999999</v>
      </c>
      <c r="CN5">
        <v>2013</v>
      </c>
      <c r="CO5" s="100">
        <f t="shared" ref="CO5:CZ15" si="13">SUMIFS($N:$N,$B:$B,$V5,$C:$C,CO$4)</f>
        <v>366.09999999999997</v>
      </c>
      <c r="CP5" s="100">
        <f t="shared" si="13"/>
        <v>366.79999999999995</v>
      </c>
      <c r="CQ5" s="100">
        <f t="shared" si="13"/>
        <v>276.2</v>
      </c>
      <c r="CR5" s="100">
        <f t="shared" si="13"/>
        <v>105.1</v>
      </c>
      <c r="CS5" s="100">
        <f t="shared" si="13"/>
        <v>9.1000000000000014</v>
      </c>
      <c r="CT5" s="100">
        <f t="shared" si="13"/>
        <v>0</v>
      </c>
      <c r="CU5" s="100">
        <f t="shared" si="13"/>
        <v>0</v>
      </c>
      <c r="CV5" s="100">
        <f t="shared" si="13"/>
        <v>0</v>
      </c>
      <c r="CW5" s="100">
        <f t="shared" si="13"/>
        <v>0</v>
      </c>
      <c r="CX5" s="100">
        <f t="shared" si="13"/>
        <v>36.5</v>
      </c>
      <c r="CY5" s="100">
        <f t="shared" si="13"/>
        <v>208.60000000000002</v>
      </c>
      <c r="CZ5" s="100">
        <f t="shared" si="13"/>
        <v>388.09999999999997</v>
      </c>
      <c r="DB5">
        <v>2013</v>
      </c>
      <c r="DC5" s="100">
        <f t="shared" ref="DC5:DN15" si="14">SUMIFS($P:$P,$B:$B,$V5,$C:$C,DC$4)</f>
        <v>306.79999999999995</v>
      </c>
      <c r="DD5" s="100">
        <f t="shared" si="14"/>
        <v>310.79999999999995</v>
      </c>
      <c r="DE5" s="100">
        <f t="shared" si="14"/>
        <v>217.3</v>
      </c>
      <c r="DF5" s="100">
        <f t="shared" si="14"/>
        <v>66.900000000000006</v>
      </c>
      <c r="DG5" s="100">
        <f t="shared" si="14"/>
        <v>3</v>
      </c>
      <c r="DH5" s="100">
        <f t="shared" si="14"/>
        <v>0</v>
      </c>
      <c r="DI5" s="100">
        <f t="shared" si="14"/>
        <v>0</v>
      </c>
      <c r="DJ5" s="100">
        <f t="shared" si="14"/>
        <v>0</v>
      </c>
      <c r="DK5" s="100">
        <f t="shared" si="14"/>
        <v>0</v>
      </c>
      <c r="DL5" s="100">
        <f t="shared" si="14"/>
        <v>18.2</v>
      </c>
      <c r="DM5" s="100">
        <f t="shared" si="14"/>
        <v>157.50000000000003</v>
      </c>
      <c r="DN5" s="100">
        <f t="shared" si="14"/>
        <v>329.09999999999991</v>
      </c>
      <c r="DQ5" s="6"/>
      <c r="DR5" s="6"/>
      <c r="DS5" s="6"/>
      <c r="DT5" s="6"/>
      <c r="DU5" s="16"/>
      <c r="DV5" s="16"/>
      <c r="DW5" s="16"/>
      <c r="DX5" s="16"/>
    </row>
    <row r="6" spans="1:129">
      <c r="A6" s="197">
        <f t="shared" si="0"/>
        <v>37012</v>
      </c>
      <c r="B6">
        <v>2001</v>
      </c>
      <c r="C6">
        <v>5</v>
      </c>
      <c r="D6">
        <v>130.29999999999998</v>
      </c>
      <c r="E6">
        <v>5.8000000000000043</v>
      </c>
      <c r="F6">
        <v>82.899999999999991</v>
      </c>
      <c r="G6">
        <v>20.400000000000002</v>
      </c>
      <c r="H6">
        <v>45.5</v>
      </c>
      <c r="I6">
        <v>45</v>
      </c>
      <c r="J6">
        <v>18.299999999999997</v>
      </c>
      <c r="K6">
        <v>79.800000000000011</v>
      </c>
      <c r="L6">
        <v>2.8999999999999986</v>
      </c>
      <c r="M6">
        <v>126.40000000000005</v>
      </c>
      <c r="N6">
        <v>0</v>
      </c>
      <c r="O6">
        <v>185.50000000000003</v>
      </c>
      <c r="P6">
        <v>0</v>
      </c>
      <c r="Q6">
        <v>247.5</v>
      </c>
      <c r="R6" s="254">
        <v>15.983870967741932</v>
      </c>
      <c r="V6">
        <f>V5+1</f>
        <v>2014</v>
      </c>
      <c r="W6" s="100">
        <f t="shared" ref="W6:AH15" si="15">SUMIFS($D:$D,$B:$B,$V6,$C:$C,W$4)</f>
        <v>871.69999999999993</v>
      </c>
      <c r="X6" s="100">
        <f t="shared" si="15"/>
        <v>761.10000000000014</v>
      </c>
      <c r="Y6" s="100">
        <f t="shared" si="15"/>
        <v>699.1</v>
      </c>
      <c r="Z6" s="100">
        <f t="shared" si="15"/>
        <v>343.40000000000003</v>
      </c>
      <c r="AA6" s="100">
        <f t="shared" si="15"/>
        <v>149</v>
      </c>
      <c r="AB6" s="100">
        <f t="shared" si="15"/>
        <v>19.499999999999996</v>
      </c>
      <c r="AC6" s="100">
        <f t="shared" si="15"/>
        <v>24.3</v>
      </c>
      <c r="AD6" s="100">
        <f t="shared" si="15"/>
        <v>13.500000000000004</v>
      </c>
      <c r="AE6" s="100">
        <f t="shared" si="15"/>
        <v>122.29999999999998</v>
      </c>
      <c r="AF6" s="100">
        <f t="shared" si="15"/>
        <v>281.2</v>
      </c>
      <c r="AG6" s="100">
        <f t="shared" si="15"/>
        <v>539.30000000000007</v>
      </c>
      <c r="AH6" s="100">
        <f t="shared" si="15"/>
        <v>607.20000000000005</v>
      </c>
      <c r="AJ6">
        <f>AJ5+1</f>
        <v>2014</v>
      </c>
      <c r="AK6" s="100">
        <f t="shared" si="9"/>
        <v>809.69999999999993</v>
      </c>
      <c r="AL6" s="100">
        <f t="shared" si="9"/>
        <v>705.10000000000014</v>
      </c>
      <c r="AM6" s="100">
        <f t="shared" si="9"/>
        <v>637.10000000000014</v>
      </c>
      <c r="AN6" s="100">
        <f t="shared" si="9"/>
        <v>283.40000000000003</v>
      </c>
      <c r="AO6" s="100">
        <f t="shared" si="9"/>
        <v>103.4</v>
      </c>
      <c r="AP6" s="100">
        <f t="shared" si="9"/>
        <v>4.9999999999999964</v>
      </c>
      <c r="AQ6" s="100">
        <f t="shared" si="9"/>
        <v>4.4000000000000021</v>
      </c>
      <c r="AR6" s="100">
        <f t="shared" si="9"/>
        <v>3.8000000000000007</v>
      </c>
      <c r="AS6" s="100">
        <f t="shared" si="9"/>
        <v>76.799999999999983</v>
      </c>
      <c r="AT6" s="100">
        <f t="shared" si="9"/>
        <v>219.2</v>
      </c>
      <c r="AU6" s="100">
        <f t="shared" si="9"/>
        <v>479.30000000000013</v>
      </c>
      <c r="AV6" s="100">
        <f t="shared" si="9"/>
        <v>545.20000000000005</v>
      </c>
      <c r="AW6" s="231">
        <f>SUM(AK6:AV6)</f>
        <v>3872.4000000000015</v>
      </c>
      <c r="AX6">
        <f>AX5+1</f>
        <v>2014</v>
      </c>
      <c r="AY6" s="100">
        <f t="shared" si="10"/>
        <v>747.69999999999982</v>
      </c>
      <c r="AZ6" s="100">
        <f t="shared" si="10"/>
        <v>649.1</v>
      </c>
      <c r="BA6" s="100">
        <f t="shared" si="10"/>
        <v>575.1</v>
      </c>
      <c r="BB6" s="100">
        <f t="shared" si="10"/>
        <v>223.7</v>
      </c>
      <c r="BC6" s="100">
        <f t="shared" si="10"/>
        <v>67.800000000000011</v>
      </c>
      <c r="BD6" s="100">
        <f t="shared" si="10"/>
        <v>0</v>
      </c>
      <c r="BE6" s="100">
        <f t="shared" si="10"/>
        <v>0</v>
      </c>
      <c r="BF6" s="100">
        <f t="shared" si="10"/>
        <v>0</v>
      </c>
      <c r="BG6" s="100">
        <f t="shared" si="10"/>
        <v>41.7</v>
      </c>
      <c r="BH6" s="100">
        <f t="shared" si="10"/>
        <v>159.9</v>
      </c>
      <c r="BI6" s="100">
        <f t="shared" si="10"/>
        <v>419.30000000000007</v>
      </c>
      <c r="BJ6" s="100">
        <f t="shared" si="10"/>
        <v>483.2</v>
      </c>
      <c r="BL6">
        <f>BL5+1</f>
        <v>2014</v>
      </c>
      <c r="BM6" s="100">
        <f t="shared" si="11"/>
        <v>685.69999999999982</v>
      </c>
      <c r="BN6" s="100">
        <f t="shared" si="11"/>
        <v>593.1</v>
      </c>
      <c r="BO6" s="100">
        <f t="shared" si="11"/>
        <v>513.10000000000014</v>
      </c>
      <c r="BP6" s="100">
        <f t="shared" si="11"/>
        <v>167.99999999999997</v>
      </c>
      <c r="BQ6" s="100">
        <f t="shared" si="11"/>
        <v>41.5</v>
      </c>
      <c r="BR6" s="100">
        <f t="shared" si="11"/>
        <v>0</v>
      </c>
      <c r="BS6" s="100">
        <f t="shared" si="11"/>
        <v>0</v>
      </c>
      <c r="BT6" s="100">
        <f t="shared" si="11"/>
        <v>0</v>
      </c>
      <c r="BU6" s="100">
        <f t="shared" si="11"/>
        <v>19.5</v>
      </c>
      <c r="BV6" s="100">
        <f t="shared" si="11"/>
        <v>107.70000000000003</v>
      </c>
      <c r="BW6" s="100">
        <f t="shared" si="11"/>
        <v>359.30000000000007</v>
      </c>
      <c r="BX6" s="100">
        <f t="shared" si="11"/>
        <v>421.2</v>
      </c>
      <c r="BZ6">
        <f>BZ5+1</f>
        <v>2014</v>
      </c>
      <c r="CA6" s="100">
        <f t="shared" si="12"/>
        <v>623.69999999999993</v>
      </c>
      <c r="CB6" s="100">
        <f t="shared" si="12"/>
        <v>537.09999999999991</v>
      </c>
      <c r="CC6" s="100">
        <f t="shared" si="12"/>
        <v>451.10000000000008</v>
      </c>
      <c r="CD6" s="100">
        <f t="shared" si="12"/>
        <v>118.2</v>
      </c>
      <c r="CE6" s="100">
        <f t="shared" si="12"/>
        <v>19.400000000000002</v>
      </c>
      <c r="CF6" s="100">
        <f t="shared" si="12"/>
        <v>0</v>
      </c>
      <c r="CG6" s="100">
        <f t="shared" si="12"/>
        <v>0</v>
      </c>
      <c r="CH6" s="100">
        <f t="shared" si="12"/>
        <v>0</v>
      </c>
      <c r="CI6" s="100">
        <f t="shared" si="12"/>
        <v>5.6000000000000014</v>
      </c>
      <c r="CJ6" s="100">
        <f t="shared" si="12"/>
        <v>65.399999999999991</v>
      </c>
      <c r="CK6" s="100">
        <f t="shared" si="12"/>
        <v>299.3</v>
      </c>
      <c r="CL6" s="100">
        <f t="shared" si="12"/>
        <v>359.19999999999993</v>
      </c>
      <c r="CN6">
        <f>CN5+1</f>
        <v>2014</v>
      </c>
      <c r="CO6" s="100">
        <f t="shared" si="13"/>
        <v>561.70000000000005</v>
      </c>
      <c r="CP6" s="100">
        <f t="shared" si="13"/>
        <v>481.09999999999985</v>
      </c>
      <c r="CQ6" s="100">
        <f t="shared" si="13"/>
        <v>389.10000000000008</v>
      </c>
      <c r="CR6" s="100">
        <f t="shared" si="13"/>
        <v>74.600000000000009</v>
      </c>
      <c r="CS6" s="100">
        <f t="shared" si="13"/>
        <v>5.2999999999999989</v>
      </c>
      <c r="CT6" s="100">
        <f t="shared" si="13"/>
        <v>0</v>
      </c>
      <c r="CU6" s="100">
        <f t="shared" si="13"/>
        <v>0</v>
      </c>
      <c r="CV6" s="100">
        <f t="shared" si="13"/>
        <v>0</v>
      </c>
      <c r="CW6" s="100">
        <f t="shared" si="13"/>
        <v>0.30000000000000071</v>
      </c>
      <c r="CX6" s="100">
        <f t="shared" si="13"/>
        <v>29.6</v>
      </c>
      <c r="CY6" s="100">
        <f t="shared" si="13"/>
        <v>239.9</v>
      </c>
      <c r="CZ6" s="100">
        <f t="shared" si="13"/>
        <v>297.20000000000005</v>
      </c>
      <c r="DB6">
        <f>DB5+1</f>
        <v>2014</v>
      </c>
      <c r="DC6" s="100">
        <f t="shared" si="14"/>
        <v>499.7</v>
      </c>
      <c r="DD6" s="100">
        <f t="shared" si="14"/>
        <v>425.09999999999985</v>
      </c>
      <c r="DE6" s="100">
        <f t="shared" si="14"/>
        <v>327.10000000000008</v>
      </c>
      <c r="DF6" s="100">
        <f t="shared" si="14"/>
        <v>40.4</v>
      </c>
      <c r="DG6" s="100">
        <f t="shared" si="14"/>
        <v>0.5</v>
      </c>
      <c r="DH6" s="100">
        <f t="shared" si="14"/>
        <v>0</v>
      </c>
      <c r="DI6" s="100">
        <f t="shared" si="14"/>
        <v>0</v>
      </c>
      <c r="DJ6" s="100">
        <f t="shared" si="14"/>
        <v>0</v>
      </c>
      <c r="DK6" s="100">
        <f t="shared" si="14"/>
        <v>0</v>
      </c>
      <c r="DL6" s="100">
        <f t="shared" si="14"/>
        <v>7.5</v>
      </c>
      <c r="DM6" s="100">
        <f t="shared" si="14"/>
        <v>189.4</v>
      </c>
      <c r="DN6" s="100">
        <f t="shared" si="14"/>
        <v>235.70000000000002</v>
      </c>
      <c r="DQ6" s="6"/>
      <c r="DR6" s="6"/>
      <c r="DS6" s="6"/>
      <c r="DT6" s="6"/>
      <c r="DU6" s="16"/>
      <c r="DV6" s="16"/>
      <c r="DW6" s="16"/>
      <c r="DX6" s="16"/>
    </row>
    <row r="7" spans="1:129">
      <c r="A7" s="197">
        <f t="shared" si="0"/>
        <v>37043</v>
      </c>
      <c r="B7">
        <v>2001</v>
      </c>
      <c r="C7">
        <v>6</v>
      </c>
      <c r="D7">
        <v>45.400000000000006</v>
      </c>
      <c r="E7">
        <v>72.999999999999986</v>
      </c>
      <c r="F7">
        <v>24.900000000000002</v>
      </c>
      <c r="G7">
        <v>112.50000000000001</v>
      </c>
      <c r="H7">
        <v>11.700000000000001</v>
      </c>
      <c r="I7">
        <v>159.30000000000004</v>
      </c>
      <c r="J7">
        <v>1.4000000000000004</v>
      </c>
      <c r="K7">
        <v>209.00000000000003</v>
      </c>
      <c r="L7">
        <v>0</v>
      </c>
      <c r="M7">
        <v>267.60000000000002</v>
      </c>
      <c r="N7">
        <v>0</v>
      </c>
      <c r="O7">
        <v>327.59999999999991</v>
      </c>
      <c r="P7">
        <v>0</v>
      </c>
      <c r="Q7">
        <v>387.59999999999991</v>
      </c>
      <c r="R7" s="254">
        <v>20.919999999999998</v>
      </c>
      <c r="V7">
        <f t="shared" ref="V7:V15" si="16">V6+1</f>
        <v>2015</v>
      </c>
      <c r="W7" s="100">
        <f t="shared" si="15"/>
        <v>828.90000000000009</v>
      </c>
      <c r="X7" s="100">
        <f t="shared" si="15"/>
        <v>867.10000000000025</v>
      </c>
      <c r="Y7" s="100">
        <f t="shared" si="15"/>
        <v>627.29999999999995</v>
      </c>
      <c r="Z7" s="100">
        <f t="shared" si="15"/>
        <v>343.20000000000005</v>
      </c>
      <c r="AA7" s="100">
        <f t="shared" si="15"/>
        <v>118.3</v>
      </c>
      <c r="AB7" s="100">
        <f t="shared" si="15"/>
        <v>41.29999999999999</v>
      </c>
      <c r="AC7" s="100">
        <f t="shared" si="15"/>
        <v>15.199999999999996</v>
      </c>
      <c r="AD7" s="100">
        <f t="shared" si="15"/>
        <v>21.7</v>
      </c>
      <c r="AE7" s="100">
        <f t="shared" si="15"/>
        <v>51.3</v>
      </c>
      <c r="AF7" s="100">
        <f t="shared" si="15"/>
        <v>255.50000000000003</v>
      </c>
      <c r="AG7" s="100">
        <f t="shared" si="15"/>
        <v>385.2</v>
      </c>
      <c r="AH7" s="100">
        <f t="shared" si="15"/>
        <v>479.30000000000007</v>
      </c>
      <c r="AJ7">
        <f t="shared" ref="AJ7:AJ15" si="17">AJ6+1</f>
        <v>2015</v>
      </c>
      <c r="AK7" s="100">
        <f t="shared" si="9"/>
        <v>766.90000000000009</v>
      </c>
      <c r="AL7" s="100">
        <f t="shared" si="9"/>
        <v>811.10000000000014</v>
      </c>
      <c r="AM7" s="100">
        <f t="shared" si="9"/>
        <v>565.29999999999995</v>
      </c>
      <c r="AN7" s="100">
        <f t="shared" si="9"/>
        <v>283.2</v>
      </c>
      <c r="AO7" s="100">
        <f t="shared" si="9"/>
        <v>79.599999999999994</v>
      </c>
      <c r="AP7" s="100">
        <f t="shared" si="9"/>
        <v>18.900000000000002</v>
      </c>
      <c r="AQ7" s="100">
        <f t="shared" si="9"/>
        <v>2.8999999999999986</v>
      </c>
      <c r="AR7" s="100">
        <f t="shared" si="9"/>
        <v>8.5000000000000018</v>
      </c>
      <c r="AS7" s="100">
        <f t="shared" si="9"/>
        <v>23.099999999999998</v>
      </c>
      <c r="AT7" s="100">
        <f t="shared" si="9"/>
        <v>194.50000000000003</v>
      </c>
      <c r="AU7" s="100">
        <f t="shared" si="9"/>
        <v>325.2</v>
      </c>
      <c r="AV7" s="100">
        <f t="shared" si="9"/>
        <v>417.30000000000007</v>
      </c>
      <c r="AW7" s="231">
        <f t="shared" ref="AW7:AW17" si="18">SUM(AK7:AV7)</f>
        <v>3496.5</v>
      </c>
      <c r="AX7">
        <f t="shared" ref="AX7:AX15" si="19">AX6+1</f>
        <v>2015</v>
      </c>
      <c r="AY7" s="100">
        <f t="shared" si="10"/>
        <v>704.90000000000009</v>
      </c>
      <c r="AZ7" s="100">
        <f t="shared" si="10"/>
        <v>755.10000000000014</v>
      </c>
      <c r="BA7" s="100">
        <f t="shared" si="10"/>
        <v>503.3</v>
      </c>
      <c r="BB7" s="100">
        <f t="shared" si="10"/>
        <v>223.19999999999996</v>
      </c>
      <c r="BC7" s="100">
        <f t="shared" si="10"/>
        <v>50.9</v>
      </c>
      <c r="BD7" s="100">
        <f t="shared" si="10"/>
        <v>7.9</v>
      </c>
      <c r="BE7" s="100">
        <f t="shared" si="10"/>
        <v>0.19999999999999929</v>
      </c>
      <c r="BF7" s="100">
        <f t="shared" si="10"/>
        <v>2.0999999999999996</v>
      </c>
      <c r="BG7" s="100">
        <f t="shared" si="10"/>
        <v>7.2999999999999972</v>
      </c>
      <c r="BH7" s="100">
        <f t="shared" si="10"/>
        <v>138.6</v>
      </c>
      <c r="BI7" s="100">
        <f t="shared" si="10"/>
        <v>266.09999999999997</v>
      </c>
      <c r="BJ7" s="100">
        <f t="shared" si="10"/>
        <v>355.3</v>
      </c>
      <c r="BL7">
        <f t="shared" ref="BL7:BL15" si="20">BL6+1</f>
        <v>2015</v>
      </c>
      <c r="BM7" s="100">
        <f t="shared" si="11"/>
        <v>642.9</v>
      </c>
      <c r="BN7" s="100">
        <f t="shared" si="11"/>
        <v>699.10000000000014</v>
      </c>
      <c r="BO7" s="100">
        <f t="shared" si="11"/>
        <v>441.3</v>
      </c>
      <c r="BP7" s="100">
        <f t="shared" si="11"/>
        <v>164.10000000000002</v>
      </c>
      <c r="BQ7" s="100">
        <f t="shared" si="11"/>
        <v>27.5</v>
      </c>
      <c r="BR7" s="100">
        <f t="shared" si="11"/>
        <v>2.7000000000000011</v>
      </c>
      <c r="BS7" s="100">
        <f t="shared" si="11"/>
        <v>0</v>
      </c>
      <c r="BT7" s="100">
        <f t="shared" si="11"/>
        <v>0</v>
      </c>
      <c r="BU7" s="100">
        <f t="shared" si="11"/>
        <v>0.19999999999999929</v>
      </c>
      <c r="BV7" s="100">
        <f t="shared" si="11"/>
        <v>92.5</v>
      </c>
      <c r="BW7" s="100">
        <f t="shared" si="11"/>
        <v>210.49999999999997</v>
      </c>
      <c r="BX7" s="100">
        <f t="shared" si="11"/>
        <v>293.29999999999995</v>
      </c>
      <c r="BZ7">
        <f t="shared" ref="BZ7:BZ15" si="21">BZ6+1</f>
        <v>2015</v>
      </c>
      <c r="CA7" s="100">
        <f t="shared" si="12"/>
        <v>580.89999999999986</v>
      </c>
      <c r="CB7" s="100">
        <f t="shared" si="12"/>
        <v>643.10000000000014</v>
      </c>
      <c r="CC7" s="100">
        <f t="shared" si="12"/>
        <v>379.29999999999995</v>
      </c>
      <c r="CD7" s="100">
        <f t="shared" si="12"/>
        <v>110.19999999999997</v>
      </c>
      <c r="CE7" s="100">
        <f t="shared" si="12"/>
        <v>12.199999999999998</v>
      </c>
      <c r="CF7" s="100">
        <f t="shared" si="12"/>
        <v>0.40000000000000036</v>
      </c>
      <c r="CG7" s="100">
        <f t="shared" si="12"/>
        <v>0</v>
      </c>
      <c r="CH7" s="100">
        <f t="shared" si="12"/>
        <v>0</v>
      </c>
      <c r="CI7" s="100">
        <f t="shared" si="12"/>
        <v>0</v>
      </c>
      <c r="CJ7" s="100">
        <f t="shared" si="12"/>
        <v>52.9</v>
      </c>
      <c r="CK7" s="100">
        <f t="shared" si="12"/>
        <v>160.4</v>
      </c>
      <c r="CL7" s="100">
        <f t="shared" si="12"/>
        <v>232.09999999999994</v>
      </c>
      <c r="CN7">
        <f t="shared" ref="CN7:CN15" si="22">CN6+1</f>
        <v>2015</v>
      </c>
      <c r="CO7" s="100">
        <f t="shared" si="13"/>
        <v>518.9</v>
      </c>
      <c r="CP7" s="100">
        <f t="shared" si="13"/>
        <v>587.1</v>
      </c>
      <c r="CQ7" s="100">
        <f t="shared" si="13"/>
        <v>317.29999999999995</v>
      </c>
      <c r="CR7" s="100">
        <f t="shared" si="13"/>
        <v>62</v>
      </c>
      <c r="CS7" s="100">
        <f t="shared" si="13"/>
        <v>2.6999999999999975</v>
      </c>
      <c r="CT7" s="100">
        <f t="shared" si="13"/>
        <v>0</v>
      </c>
      <c r="CU7" s="100">
        <f t="shared" si="13"/>
        <v>0</v>
      </c>
      <c r="CV7" s="100">
        <f t="shared" si="13"/>
        <v>0</v>
      </c>
      <c r="CW7" s="100">
        <f t="shared" si="13"/>
        <v>0</v>
      </c>
      <c r="CX7" s="100">
        <f t="shared" si="13"/>
        <v>23.499999999999996</v>
      </c>
      <c r="CY7" s="100">
        <f t="shared" si="13"/>
        <v>114.4</v>
      </c>
      <c r="CZ7" s="100">
        <f t="shared" si="13"/>
        <v>174.7</v>
      </c>
      <c r="DB7">
        <f t="shared" ref="DB7:DB15" si="23">DB6+1</f>
        <v>2015</v>
      </c>
      <c r="DC7" s="100">
        <f t="shared" si="14"/>
        <v>456.9</v>
      </c>
      <c r="DD7" s="100">
        <f t="shared" si="14"/>
        <v>531.09999999999991</v>
      </c>
      <c r="DE7" s="100">
        <f t="shared" si="14"/>
        <v>255.70000000000002</v>
      </c>
      <c r="DF7" s="100">
        <f t="shared" si="14"/>
        <v>29.799999999999997</v>
      </c>
      <c r="DG7" s="100">
        <f t="shared" si="14"/>
        <v>0</v>
      </c>
      <c r="DH7" s="100">
        <f t="shared" si="14"/>
        <v>0</v>
      </c>
      <c r="DI7" s="100">
        <f t="shared" si="14"/>
        <v>0</v>
      </c>
      <c r="DJ7" s="100">
        <f t="shared" si="14"/>
        <v>0</v>
      </c>
      <c r="DK7" s="100">
        <f t="shared" si="14"/>
        <v>0</v>
      </c>
      <c r="DL7" s="100">
        <f t="shared" si="14"/>
        <v>8.1999999999999993</v>
      </c>
      <c r="DM7" s="100">
        <f t="shared" si="14"/>
        <v>77.900000000000006</v>
      </c>
      <c r="DN7" s="100">
        <f t="shared" si="14"/>
        <v>121.69999999999999</v>
      </c>
      <c r="DQ7" s="6"/>
      <c r="DR7" s="6"/>
      <c r="DS7" s="6"/>
      <c r="DT7" s="6"/>
      <c r="DU7" s="16"/>
      <c r="DV7" s="16"/>
      <c r="DW7" s="16"/>
      <c r="DX7" s="16"/>
    </row>
    <row r="8" spans="1:129">
      <c r="A8" s="197">
        <f t="shared" si="0"/>
        <v>37073</v>
      </c>
      <c r="B8">
        <v>2001</v>
      </c>
      <c r="C8">
        <v>7</v>
      </c>
      <c r="D8">
        <v>9.3999999999999986</v>
      </c>
      <c r="E8">
        <v>100.3</v>
      </c>
      <c r="F8">
        <v>3.1999999999999993</v>
      </c>
      <c r="G8">
        <v>156.10000000000005</v>
      </c>
      <c r="H8">
        <v>1.1999999999999993</v>
      </c>
      <c r="I8">
        <v>216.10000000000002</v>
      </c>
      <c r="J8">
        <v>0</v>
      </c>
      <c r="K8">
        <v>276.89999999999998</v>
      </c>
      <c r="L8">
        <v>0</v>
      </c>
      <c r="M8">
        <v>338.9</v>
      </c>
      <c r="N8">
        <v>0</v>
      </c>
      <c r="O8">
        <v>400.9</v>
      </c>
      <c r="P8">
        <v>0</v>
      </c>
      <c r="Q8">
        <v>462.90000000000003</v>
      </c>
      <c r="R8" s="254">
        <v>22.932258064516123</v>
      </c>
      <c r="V8">
        <f t="shared" si="16"/>
        <v>2016</v>
      </c>
      <c r="W8" s="100">
        <f t="shared" si="15"/>
        <v>706.9</v>
      </c>
      <c r="X8" s="100">
        <f t="shared" si="15"/>
        <v>608.20000000000005</v>
      </c>
      <c r="Y8" s="100">
        <f t="shared" si="15"/>
        <v>466.4</v>
      </c>
      <c r="Z8" s="100">
        <f t="shared" si="15"/>
        <v>392.09999999999991</v>
      </c>
      <c r="AA8" s="100">
        <f t="shared" si="15"/>
        <v>173.29999999999998</v>
      </c>
      <c r="AB8" s="100">
        <f t="shared" si="15"/>
        <v>18.400000000000002</v>
      </c>
      <c r="AC8" s="100">
        <f t="shared" si="15"/>
        <v>2.6000000000000014</v>
      </c>
      <c r="AD8" s="100">
        <f t="shared" si="15"/>
        <v>1.3999999999999986</v>
      </c>
      <c r="AE8" s="100">
        <f t="shared" si="15"/>
        <v>48.5</v>
      </c>
      <c r="AF8" s="100">
        <f t="shared" si="15"/>
        <v>224.6</v>
      </c>
      <c r="AG8" s="100">
        <f t="shared" si="15"/>
        <v>375.3</v>
      </c>
      <c r="AH8" s="100">
        <f t="shared" si="15"/>
        <v>685.19999999999993</v>
      </c>
      <c r="AJ8">
        <f t="shared" si="17"/>
        <v>2016</v>
      </c>
      <c r="AK8" s="100">
        <f t="shared" si="9"/>
        <v>644.9</v>
      </c>
      <c r="AL8" s="100">
        <f t="shared" si="9"/>
        <v>550.19999999999993</v>
      </c>
      <c r="AM8" s="100">
        <f t="shared" si="9"/>
        <v>404.4</v>
      </c>
      <c r="AN8" s="100">
        <f t="shared" si="9"/>
        <v>332.09999999999997</v>
      </c>
      <c r="AO8" s="100">
        <f t="shared" si="9"/>
        <v>126.6</v>
      </c>
      <c r="AP8" s="100">
        <f t="shared" si="9"/>
        <v>6.7999999999999989</v>
      </c>
      <c r="AQ8" s="100">
        <f t="shared" si="9"/>
        <v>0</v>
      </c>
      <c r="AR8" s="100">
        <f t="shared" si="9"/>
        <v>0</v>
      </c>
      <c r="AS8" s="100">
        <f t="shared" si="9"/>
        <v>19.399999999999995</v>
      </c>
      <c r="AT8" s="100">
        <f t="shared" si="9"/>
        <v>173.20000000000002</v>
      </c>
      <c r="AU8" s="100">
        <f t="shared" si="9"/>
        <v>315.30000000000007</v>
      </c>
      <c r="AV8" s="100">
        <f t="shared" si="9"/>
        <v>623.19999999999993</v>
      </c>
      <c r="AW8" s="231">
        <f t="shared" si="18"/>
        <v>3196.1</v>
      </c>
      <c r="AX8">
        <f t="shared" si="19"/>
        <v>2016</v>
      </c>
      <c r="AY8" s="100">
        <f t="shared" si="10"/>
        <v>582.9</v>
      </c>
      <c r="AZ8" s="100">
        <f t="shared" si="10"/>
        <v>492.2</v>
      </c>
      <c r="BA8" s="100">
        <f t="shared" si="10"/>
        <v>342.4</v>
      </c>
      <c r="BB8" s="100">
        <f t="shared" si="10"/>
        <v>272.10000000000002</v>
      </c>
      <c r="BC8" s="100">
        <f t="shared" si="10"/>
        <v>82.399999999999991</v>
      </c>
      <c r="BD8" s="100">
        <f t="shared" si="10"/>
        <v>0.90000000000000036</v>
      </c>
      <c r="BE8" s="100">
        <f t="shared" si="10"/>
        <v>0</v>
      </c>
      <c r="BF8" s="100">
        <f t="shared" si="10"/>
        <v>0</v>
      </c>
      <c r="BG8" s="100">
        <f t="shared" si="10"/>
        <v>3.5999999999999979</v>
      </c>
      <c r="BH8" s="100">
        <f t="shared" si="10"/>
        <v>127</v>
      </c>
      <c r="BI8" s="100">
        <f t="shared" si="10"/>
        <v>255.4</v>
      </c>
      <c r="BJ8" s="100">
        <f t="shared" si="10"/>
        <v>561.20000000000005</v>
      </c>
      <c r="BL8">
        <f t="shared" si="20"/>
        <v>2016</v>
      </c>
      <c r="BM8" s="100">
        <f t="shared" si="11"/>
        <v>520.9</v>
      </c>
      <c r="BN8" s="100">
        <f t="shared" si="11"/>
        <v>434.20000000000005</v>
      </c>
      <c r="BO8" s="100">
        <f t="shared" si="11"/>
        <v>281</v>
      </c>
      <c r="BP8" s="100">
        <f t="shared" si="11"/>
        <v>214.6</v>
      </c>
      <c r="BQ8" s="100">
        <f t="shared" si="11"/>
        <v>46.099999999999994</v>
      </c>
      <c r="BR8" s="100">
        <f t="shared" si="11"/>
        <v>0</v>
      </c>
      <c r="BS8" s="100">
        <f t="shared" si="11"/>
        <v>0</v>
      </c>
      <c r="BT8" s="100">
        <f t="shared" si="11"/>
        <v>0</v>
      </c>
      <c r="BU8" s="100">
        <f t="shared" si="11"/>
        <v>0.19999999999999929</v>
      </c>
      <c r="BV8" s="100">
        <f t="shared" si="11"/>
        <v>88.9</v>
      </c>
      <c r="BW8" s="100">
        <f t="shared" si="11"/>
        <v>200.29999999999998</v>
      </c>
      <c r="BX8" s="100">
        <f t="shared" si="11"/>
        <v>499.20000000000005</v>
      </c>
      <c r="BZ8">
        <f t="shared" si="21"/>
        <v>2016</v>
      </c>
      <c r="CA8" s="100">
        <f t="shared" si="12"/>
        <v>458.89999999999992</v>
      </c>
      <c r="CB8" s="100">
        <f t="shared" si="12"/>
        <v>376.20000000000005</v>
      </c>
      <c r="CC8" s="100">
        <f t="shared" si="12"/>
        <v>224.50000000000003</v>
      </c>
      <c r="CD8" s="100">
        <f t="shared" si="12"/>
        <v>161.5</v>
      </c>
      <c r="CE8" s="100">
        <f t="shared" si="12"/>
        <v>20.099999999999998</v>
      </c>
      <c r="CF8" s="100">
        <f t="shared" si="12"/>
        <v>0</v>
      </c>
      <c r="CG8" s="100">
        <f t="shared" si="12"/>
        <v>0</v>
      </c>
      <c r="CH8" s="100">
        <f t="shared" si="12"/>
        <v>0</v>
      </c>
      <c r="CI8" s="100">
        <f t="shared" si="12"/>
        <v>0</v>
      </c>
      <c r="CJ8" s="100">
        <f t="shared" si="12"/>
        <v>55.9</v>
      </c>
      <c r="CK8" s="100">
        <f t="shared" si="12"/>
        <v>146.9</v>
      </c>
      <c r="CL8" s="100">
        <f t="shared" si="12"/>
        <v>437.20000000000005</v>
      </c>
      <c r="CN8">
        <f t="shared" si="22"/>
        <v>2016</v>
      </c>
      <c r="CO8" s="100">
        <f t="shared" si="13"/>
        <v>396.9</v>
      </c>
      <c r="CP8" s="100">
        <f t="shared" si="13"/>
        <v>318.20000000000005</v>
      </c>
      <c r="CQ8" s="100">
        <f t="shared" si="13"/>
        <v>170.50000000000006</v>
      </c>
      <c r="CR8" s="100">
        <f t="shared" si="13"/>
        <v>113.10000000000001</v>
      </c>
      <c r="CS8" s="100">
        <f t="shared" si="13"/>
        <v>7.0000000000000009</v>
      </c>
      <c r="CT8" s="100">
        <f t="shared" si="13"/>
        <v>0</v>
      </c>
      <c r="CU8" s="100">
        <f t="shared" si="13"/>
        <v>0</v>
      </c>
      <c r="CV8" s="100">
        <f t="shared" si="13"/>
        <v>0</v>
      </c>
      <c r="CW8" s="100">
        <f t="shared" si="13"/>
        <v>0</v>
      </c>
      <c r="CX8" s="100">
        <f t="shared" si="13"/>
        <v>29.8</v>
      </c>
      <c r="CY8" s="100">
        <f t="shared" si="13"/>
        <v>98.199999999999989</v>
      </c>
      <c r="CZ8" s="100">
        <f t="shared" si="13"/>
        <v>375.2</v>
      </c>
      <c r="DB8">
        <f t="shared" si="23"/>
        <v>2016</v>
      </c>
      <c r="DC8" s="100">
        <f t="shared" si="14"/>
        <v>334.9</v>
      </c>
      <c r="DD8" s="100">
        <f t="shared" si="14"/>
        <v>262.50000000000006</v>
      </c>
      <c r="DE8" s="100">
        <f t="shared" si="14"/>
        <v>121.50000000000001</v>
      </c>
      <c r="DF8" s="100">
        <f t="shared" si="14"/>
        <v>74.000000000000014</v>
      </c>
      <c r="DG8" s="100">
        <f t="shared" si="14"/>
        <v>2.8</v>
      </c>
      <c r="DH8" s="100">
        <f t="shared" si="14"/>
        <v>0</v>
      </c>
      <c r="DI8" s="100">
        <f t="shared" si="14"/>
        <v>0</v>
      </c>
      <c r="DJ8" s="100">
        <f t="shared" si="14"/>
        <v>0</v>
      </c>
      <c r="DK8" s="100">
        <f t="shared" si="14"/>
        <v>0</v>
      </c>
      <c r="DL8" s="100">
        <f t="shared" si="14"/>
        <v>11.399999999999999</v>
      </c>
      <c r="DM8" s="100">
        <f t="shared" si="14"/>
        <v>60.900000000000006</v>
      </c>
      <c r="DN8" s="100">
        <f t="shared" si="14"/>
        <v>313.2</v>
      </c>
      <c r="DQ8" s="6"/>
      <c r="DR8" s="6"/>
      <c r="DS8" s="6"/>
      <c r="DT8" s="6"/>
      <c r="DU8" s="16"/>
      <c r="DV8" s="16"/>
      <c r="DW8" s="16"/>
      <c r="DX8" s="16"/>
    </row>
    <row r="9" spans="1:129">
      <c r="A9" s="197">
        <f t="shared" si="0"/>
        <v>37104</v>
      </c>
      <c r="B9">
        <v>2001</v>
      </c>
      <c r="C9">
        <v>8</v>
      </c>
      <c r="D9">
        <v>0</v>
      </c>
      <c r="E9">
        <v>100.19999999999999</v>
      </c>
      <c r="F9">
        <v>0</v>
      </c>
      <c r="G9">
        <v>162.19999999999999</v>
      </c>
      <c r="H9">
        <v>0</v>
      </c>
      <c r="I9">
        <v>224.2</v>
      </c>
      <c r="J9">
        <v>0</v>
      </c>
      <c r="K9">
        <v>286.20000000000005</v>
      </c>
      <c r="L9">
        <v>0</v>
      </c>
      <c r="M9">
        <v>348.20000000000005</v>
      </c>
      <c r="N9">
        <v>0</v>
      </c>
      <c r="O9">
        <v>410.2000000000001</v>
      </c>
      <c r="P9">
        <v>0</v>
      </c>
      <c r="Q9">
        <v>472.2000000000001</v>
      </c>
      <c r="R9" s="254">
        <v>23.232258064516131</v>
      </c>
      <c r="V9">
        <f t="shared" si="16"/>
        <v>2017</v>
      </c>
      <c r="W9" s="100">
        <f t="shared" si="15"/>
        <v>646.20000000000005</v>
      </c>
      <c r="X9" s="100">
        <f t="shared" si="15"/>
        <v>496.69999999999987</v>
      </c>
      <c r="Y9" s="100">
        <f t="shared" si="15"/>
        <v>569.30000000000007</v>
      </c>
      <c r="Z9" s="100">
        <f t="shared" si="15"/>
        <v>259.50000000000006</v>
      </c>
      <c r="AA9" s="100">
        <f t="shared" si="15"/>
        <v>187.8</v>
      </c>
      <c r="AB9" s="100">
        <f t="shared" si="15"/>
        <v>31.899999999999995</v>
      </c>
      <c r="AC9" s="100">
        <f t="shared" si="15"/>
        <v>1</v>
      </c>
      <c r="AD9" s="100">
        <f t="shared" si="15"/>
        <v>22.899999999999995</v>
      </c>
      <c r="AE9" s="100">
        <f t="shared" si="15"/>
        <v>79.399999999999991</v>
      </c>
      <c r="AF9" s="100">
        <f t="shared" si="15"/>
        <v>206</v>
      </c>
      <c r="AG9" s="100">
        <f t="shared" si="15"/>
        <v>474.93552299140981</v>
      </c>
      <c r="AH9" s="100">
        <f t="shared" si="15"/>
        <v>734.00000000000011</v>
      </c>
      <c r="AJ9">
        <f t="shared" si="17"/>
        <v>2017</v>
      </c>
      <c r="AK9" s="100">
        <f t="shared" si="9"/>
        <v>584.19999999999993</v>
      </c>
      <c r="AL9" s="100">
        <f t="shared" si="9"/>
        <v>440.69999999999987</v>
      </c>
      <c r="AM9" s="100">
        <f t="shared" si="9"/>
        <v>507.30000000000007</v>
      </c>
      <c r="AN9" s="100">
        <f t="shared" si="9"/>
        <v>200.50000000000003</v>
      </c>
      <c r="AO9" s="100">
        <f t="shared" si="9"/>
        <v>135.5</v>
      </c>
      <c r="AP9" s="100">
        <f t="shared" si="9"/>
        <v>9.1999999999999957</v>
      </c>
      <c r="AQ9" s="100">
        <f t="shared" si="9"/>
        <v>0</v>
      </c>
      <c r="AR9" s="100">
        <f t="shared" si="9"/>
        <v>6.6999999999999957</v>
      </c>
      <c r="AS9" s="100">
        <f t="shared" si="9"/>
        <v>47.5</v>
      </c>
      <c r="AT9" s="100">
        <f t="shared" si="9"/>
        <v>151.59999999999997</v>
      </c>
      <c r="AU9" s="100">
        <f t="shared" si="9"/>
        <v>414.93552299140981</v>
      </c>
      <c r="AV9" s="100">
        <f t="shared" si="9"/>
        <v>672.00000000000011</v>
      </c>
      <c r="AW9" s="231">
        <f t="shared" si="18"/>
        <v>3170.1355229914097</v>
      </c>
      <c r="AX9">
        <f t="shared" si="19"/>
        <v>2017</v>
      </c>
      <c r="AY9" s="100">
        <f t="shared" si="10"/>
        <v>522.19999999999993</v>
      </c>
      <c r="AZ9" s="100">
        <f t="shared" si="10"/>
        <v>384.69999999999987</v>
      </c>
      <c r="BA9" s="100">
        <f t="shared" si="10"/>
        <v>445.30000000000013</v>
      </c>
      <c r="BB9" s="100">
        <f t="shared" si="10"/>
        <v>147.39999999999995</v>
      </c>
      <c r="BC9" s="100">
        <f t="shared" si="10"/>
        <v>93.700000000000017</v>
      </c>
      <c r="BD9" s="100">
        <f t="shared" si="10"/>
        <v>0</v>
      </c>
      <c r="BE9" s="100">
        <f t="shared" si="10"/>
        <v>0</v>
      </c>
      <c r="BF9" s="100">
        <f t="shared" si="10"/>
        <v>0.5</v>
      </c>
      <c r="BG9" s="100">
        <f t="shared" si="10"/>
        <v>22.1</v>
      </c>
      <c r="BH9" s="100">
        <f t="shared" si="10"/>
        <v>105.10000000000001</v>
      </c>
      <c r="BI9" s="100">
        <f t="shared" si="10"/>
        <v>354.93552299140981</v>
      </c>
      <c r="BJ9" s="100">
        <f t="shared" si="10"/>
        <v>610.00000000000011</v>
      </c>
      <c r="BL9">
        <f t="shared" si="20"/>
        <v>2017</v>
      </c>
      <c r="BM9" s="100">
        <f t="shared" si="11"/>
        <v>460.19999999999993</v>
      </c>
      <c r="BN9" s="100">
        <f t="shared" si="11"/>
        <v>328.69999999999993</v>
      </c>
      <c r="BO9" s="100">
        <f t="shared" si="11"/>
        <v>383.30000000000007</v>
      </c>
      <c r="BP9" s="100">
        <f t="shared" si="11"/>
        <v>100.79999999999997</v>
      </c>
      <c r="BQ9" s="100">
        <f t="shared" si="11"/>
        <v>58.300000000000004</v>
      </c>
      <c r="BR9" s="100">
        <f t="shared" si="11"/>
        <v>0</v>
      </c>
      <c r="BS9" s="100">
        <f t="shared" si="11"/>
        <v>0</v>
      </c>
      <c r="BT9" s="100">
        <f t="shared" si="11"/>
        <v>0</v>
      </c>
      <c r="BU9" s="100">
        <f t="shared" si="11"/>
        <v>4.8000000000000007</v>
      </c>
      <c r="BV9" s="100">
        <f t="shared" si="11"/>
        <v>71</v>
      </c>
      <c r="BW9" s="100">
        <f t="shared" si="11"/>
        <v>294.93552299140987</v>
      </c>
      <c r="BX9" s="100">
        <f t="shared" si="11"/>
        <v>548.00000000000011</v>
      </c>
      <c r="BZ9">
        <f t="shared" si="21"/>
        <v>2017</v>
      </c>
      <c r="CA9" s="100">
        <f t="shared" si="12"/>
        <v>398.19999999999993</v>
      </c>
      <c r="CB9" s="100">
        <f t="shared" si="12"/>
        <v>272.7</v>
      </c>
      <c r="CC9" s="100">
        <f t="shared" si="12"/>
        <v>322.30000000000007</v>
      </c>
      <c r="CD9" s="100">
        <f t="shared" si="12"/>
        <v>59.800000000000011</v>
      </c>
      <c r="CE9" s="100">
        <f t="shared" si="12"/>
        <v>32.1</v>
      </c>
      <c r="CF9" s="100">
        <f t="shared" si="12"/>
        <v>0</v>
      </c>
      <c r="CG9" s="100">
        <f t="shared" si="12"/>
        <v>0</v>
      </c>
      <c r="CH9" s="100">
        <f t="shared" si="12"/>
        <v>0</v>
      </c>
      <c r="CI9" s="100">
        <f t="shared" si="12"/>
        <v>0.59999999999999964</v>
      </c>
      <c r="CJ9" s="100">
        <f t="shared" si="12"/>
        <v>45</v>
      </c>
      <c r="CK9" s="100">
        <f t="shared" si="12"/>
        <v>235.33552299140985</v>
      </c>
      <c r="CL9" s="100">
        <f t="shared" si="12"/>
        <v>486.00000000000006</v>
      </c>
      <c r="CN9">
        <f t="shared" si="22"/>
        <v>2017</v>
      </c>
      <c r="CO9" s="100">
        <f t="shared" si="13"/>
        <v>336.2</v>
      </c>
      <c r="CP9" s="100">
        <f t="shared" si="13"/>
        <v>221.09999999999997</v>
      </c>
      <c r="CQ9" s="100">
        <f t="shared" si="13"/>
        <v>264</v>
      </c>
      <c r="CR9" s="100">
        <f t="shared" si="13"/>
        <v>28</v>
      </c>
      <c r="CS9" s="100">
        <f t="shared" si="13"/>
        <v>14.2</v>
      </c>
      <c r="CT9" s="100">
        <f t="shared" si="13"/>
        <v>0</v>
      </c>
      <c r="CU9" s="100">
        <f t="shared" si="13"/>
        <v>0</v>
      </c>
      <c r="CV9" s="100">
        <f t="shared" si="13"/>
        <v>0</v>
      </c>
      <c r="CW9" s="100">
        <f t="shared" si="13"/>
        <v>0</v>
      </c>
      <c r="CX9" s="100">
        <f t="shared" si="13"/>
        <v>27.4</v>
      </c>
      <c r="CY9" s="100">
        <f t="shared" si="13"/>
        <v>179.03552299140983</v>
      </c>
      <c r="CZ9" s="100">
        <f t="shared" si="13"/>
        <v>424.00000000000006</v>
      </c>
      <c r="DB9">
        <f t="shared" si="23"/>
        <v>2017</v>
      </c>
      <c r="DC9" s="100">
        <f t="shared" si="14"/>
        <v>274.2</v>
      </c>
      <c r="DD9" s="100">
        <f t="shared" si="14"/>
        <v>174.9</v>
      </c>
      <c r="DE9" s="100">
        <f t="shared" si="14"/>
        <v>207.1</v>
      </c>
      <c r="DF9" s="100">
        <f t="shared" si="14"/>
        <v>9.5</v>
      </c>
      <c r="DG9" s="100">
        <f t="shared" si="14"/>
        <v>2.0000000000000009</v>
      </c>
      <c r="DH9" s="100">
        <f t="shared" si="14"/>
        <v>0</v>
      </c>
      <c r="DI9" s="100">
        <f t="shared" si="14"/>
        <v>0</v>
      </c>
      <c r="DJ9" s="100">
        <f t="shared" si="14"/>
        <v>0</v>
      </c>
      <c r="DK9" s="100">
        <f t="shared" si="14"/>
        <v>0</v>
      </c>
      <c r="DL9" s="100">
        <f t="shared" si="14"/>
        <v>15.099999999999998</v>
      </c>
      <c r="DM9" s="100">
        <f t="shared" si="14"/>
        <v>125.03552299140979</v>
      </c>
      <c r="DN9" s="100">
        <f t="shared" si="14"/>
        <v>362.00000000000006</v>
      </c>
      <c r="DQ9" s="6"/>
      <c r="DR9" s="6"/>
      <c r="DS9" s="6"/>
      <c r="DT9" s="6"/>
      <c r="DU9" s="16"/>
      <c r="DV9" s="16"/>
      <c r="DW9" s="16"/>
      <c r="DX9" s="16"/>
    </row>
    <row r="10" spans="1:129">
      <c r="A10" s="197">
        <f t="shared" si="0"/>
        <v>37135</v>
      </c>
      <c r="B10">
        <v>2001</v>
      </c>
      <c r="C10">
        <v>9</v>
      </c>
      <c r="D10">
        <v>111.39999999999999</v>
      </c>
      <c r="E10">
        <v>17.700000000000003</v>
      </c>
      <c r="F10">
        <v>69.900000000000006</v>
      </c>
      <c r="G10">
        <v>36.200000000000003</v>
      </c>
      <c r="H10">
        <v>39.299999999999997</v>
      </c>
      <c r="I10">
        <v>65.599999999999994</v>
      </c>
      <c r="J10">
        <v>19.100000000000001</v>
      </c>
      <c r="K10">
        <v>105.39999999999998</v>
      </c>
      <c r="L10">
        <v>9.6999999999999993</v>
      </c>
      <c r="M10">
        <v>155.99999999999997</v>
      </c>
      <c r="N10">
        <v>5</v>
      </c>
      <c r="O10">
        <v>211.29999999999998</v>
      </c>
      <c r="P10">
        <v>1.0999999999999996</v>
      </c>
      <c r="Q10">
        <v>267.39999999999998</v>
      </c>
      <c r="R10" s="254">
        <v>16.876666666666669</v>
      </c>
      <c r="V10">
        <f t="shared" si="16"/>
        <v>2018</v>
      </c>
      <c r="W10" s="100">
        <f t="shared" si="15"/>
        <v>767.60000000000014</v>
      </c>
      <c r="X10" s="100">
        <f t="shared" si="15"/>
        <v>600.5</v>
      </c>
      <c r="Y10" s="100">
        <f t="shared" si="15"/>
        <v>596.4</v>
      </c>
      <c r="Z10" s="100">
        <f t="shared" si="15"/>
        <v>455.59999999999997</v>
      </c>
      <c r="AA10" s="100">
        <f t="shared" si="15"/>
        <v>105.4</v>
      </c>
      <c r="AB10" s="100">
        <f t="shared" si="15"/>
        <v>25.500000000000004</v>
      </c>
      <c r="AC10" s="100">
        <f t="shared" si="15"/>
        <v>2.5</v>
      </c>
      <c r="AD10" s="100">
        <f t="shared" si="15"/>
        <v>2.8999999999999986</v>
      </c>
      <c r="AE10" s="100">
        <f t="shared" si="15"/>
        <v>69.3</v>
      </c>
      <c r="AF10" s="100">
        <f t="shared" si="15"/>
        <v>294.60000000000002</v>
      </c>
      <c r="AG10" s="100">
        <f t="shared" si="15"/>
        <v>545.73552299140988</v>
      </c>
      <c r="AH10" s="100">
        <f t="shared" si="15"/>
        <v>595.80000000000007</v>
      </c>
      <c r="AJ10">
        <f t="shared" si="17"/>
        <v>2018</v>
      </c>
      <c r="AK10" s="100">
        <f t="shared" si="9"/>
        <v>705.60000000000014</v>
      </c>
      <c r="AL10" s="100">
        <f t="shared" si="9"/>
        <v>544.49999999999989</v>
      </c>
      <c r="AM10" s="100">
        <f t="shared" si="9"/>
        <v>534.40000000000009</v>
      </c>
      <c r="AN10" s="100">
        <f t="shared" si="9"/>
        <v>395.6</v>
      </c>
      <c r="AO10" s="100">
        <f t="shared" si="9"/>
        <v>62.900000000000006</v>
      </c>
      <c r="AP10" s="100">
        <f t="shared" si="9"/>
        <v>7.6000000000000014</v>
      </c>
      <c r="AQ10" s="100">
        <f t="shared" si="9"/>
        <v>0.19999999999999929</v>
      </c>
      <c r="AR10" s="100">
        <f t="shared" si="9"/>
        <v>0</v>
      </c>
      <c r="AS10" s="100">
        <f t="shared" si="9"/>
        <v>41.400000000000006</v>
      </c>
      <c r="AT10" s="100">
        <f t="shared" si="9"/>
        <v>242.29999999999998</v>
      </c>
      <c r="AU10" s="100">
        <f t="shared" si="9"/>
        <v>485.73552299140988</v>
      </c>
      <c r="AV10" s="100">
        <f t="shared" si="9"/>
        <v>533.80000000000007</v>
      </c>
      <c r="AW10" s="231">
        <f t="shared" si="18"/>
        <v>3554.0355229914103</v>
      </c>
      <c r="AX10">
        <f t="shared" si="19"/>
        <v>2018</v>
      </c>
      <c r="AY10" s="100">
        <f t="shared" si="10"/>
        <v>643.6</v>
      </c>
      <c r="AZ10" s="100">
        <f t="shared" si="10"/>
        <v>488.49999999999994</v>
      </c>
      <c r="BA10" s="100">
        <f t="shared" si="10"/>
        <v>472.40000000000003</v>
      </c>
      <c r="BB10" s="100">
        <f t="shared" si="10"/>
        <v>335.59999999999997</v>
      </c>
      <c r="BC10" s="100">
        <f t="shared" si="10"/>
        <v>33.099999999999994</v>
      </c>
      <c r="BD10" s="100">
        <f t="shared" si="10"/>
        <v>2.5</v>
      </c>
      <c r="BE10" s="100">
        <f t="shared" si="10"/>
        <v>0</v>
      </c>
      <c r="BF10" s="100">
        <f t="shared" si="10"/>
        <v>0</v>
      </c>
      <c r="BG10" s="100">
        <f t="shared" si="10"/>
        <v>21.2</v>
      </c>
      <c r="BH10" s="100">
        <f t="shared" si="10"/>
        <v>192.49999999999997</v>
      </c>
      <c r="BI10" s="100">
        <f t="shared" si="10"/>
        <v>425.73552299140994</v>
      </c>
      <c r="BJ10" s="100">
        <f t="shared" si="10"/>
        <v>471.79999999999995</v>
      </c>
      <c r="BL10">
        <f t="shared" si="20"/>
        <v>2018</v>
      </c>
      <c r="BM10" s="100">
        <f t="shared" si="11"/>
        <v>581.6</v>
      </c>
      <c r="BN10" s="100">
        <f t="shared" si="11"/>
        <v>432.49999999999994</v>
      </c>
      <c r="BO10" s="100">
        <f t="shared" si="11"/>
        <v>410.40000000000009</v>
      </c>
      <c r="BP10" s="100">
        <f t="shared" si="11"/>
        <v>275.70000000000005</v>
      </c>
      <c r="BQ10" s="100">
        <f t="shared" si="11"/>
        <v>16.699999999999996</v>
      </c>
      <c r="BR10" s="100">
        <f t="shared" si="11"/>
        <v>0</v>
      </c>
      <c r="BS10" s="100">
        <f t="shared" si="11"/>
        <v>0</v>
      </c>
      <c r="BT10" s="100">
        <f t="shared" si="11"/>
        <v>0</v>
      </c>
      <c r="BU10" s="100">
        <f t="shared" si="11"/>
        <v>7.4000000000000021</v>
      </c>
      <c r="BV10" s="100">
        <f t="shared" si="11"/>
        <v>145.99999999999997</v>
      </c>
      <c r="BW10" s="100">
        <f t="shared" si="11"/>
        <v>365.73552299140988</v>
      </c>
      <c r="BX10" s="100">
        <f t="shared" si="11"/>
        <v>409.79999999999995</v>
      </c>
      <c r="BZ10">
        <f t="shared" si="21"/>
        <v>2018</v>
      </c>
      <c r="CA10" s="100">
        <f t="shared" si="12"/>
        <v>519.59999999999991</v>
      </c>
      <c r="CB10" s="100">
        <f t="shared" si="12"/>
        <v>377.5</v>
      </c>
      <c r="CC10" s="100">
        <f t="shared" si="12"/>
        <v>348.40000000000009</v>
      </c>
      <c r="CD10" s="100">
        <f t="shared" si="12"/>
        <v>217.89999999999998</v>
      </c>
      <c r="CE10" s="100">
        <f t="shared" si="12"/>
        <v>9.1</v>
      </c>
      <c r="CF10" s="100">
        <f t="shared" si="12"/>
        <v>0</v>
      </c>
      <c r="CG10" s="100">
        <f t="shared" si="12"/>
        <v>0</v>
      </c>
      <c r="CH10" s="100">
        <f t="shared" si="12"/>
        <v>0</v>
      </c>
      <c r="CI10" s="100">
        <f t="shared" si="12"/>
        <v>0.30000000000000071</v>
      </c>
      <c r="CJ10" s="100">
        <f t="shared" si="12"/>
        <v>104.00000000000001</v>
      </c>
      <c r="CK10" s="100">
        <f t="shared" si="12"/>
        <v>305.73552299140982</v>
      </c>
      <c r="CL10" s="100">
        <f t="shared" si="12"/>
        <v>347.7999999999999</v>
      </c>
      <c r="CN10">
        <f t="shared" si="22"/>
        <v>2018</v>
      </c>
      <c r="CO10" s="100">
        <f t="shared" si="13"/>
        <v>457.59999999999985</v>
      </c>
      <c r="CP10" s="100">
        <f t="shared" si="13"/>
        <v>323.5</v>
      </c>
      <c r="CQ10" s="100">
        <f t="shared" si="13"/>
        <v>286.40000000000003</v>
      </c>
      <c r="CR10" s="100">
        <f t="shared" si="13"/>
        <v>165</v>
      </c>
      <c r="CS10" s="100">
        <f t="shared" si="13"/>
        <v>4.7</v>
      </c>
      <c r="CT10" s="100">
        <f t="shared" si="13"/>
        <v>0</v>
      </c>
      <c r="CU10" s="100">
        <f t="shared" si="13"/>
        <v>0</v>
      </c>
      <c r="CV10" s="100">
        <f t="shared" si="13"/>
        <v>0</v>
      </c>
      <c r="CW10" s="100">
        <f t="shared" si="13"/>
        <v>0</v>
      </c>
      <c r="CX10" s="100">
        <f t="shared" si="13"/>
        <v>64</v>
      </c>
      <c r="CY10" s="100">
        <f t="shared" si="13"/>
        <v>246.23552299140979</v>
      </c>
      <c r="CZ10" s="100">
        <f t="shared" si="13"/>
        <v>285.8</v>
      </c>
      <c r="DB10">
        <f t="shared" si="23"/>
        <v>2018</v>
      </c>
      <c r="DC10" s="100">
        <f t="shared" si="14"/>
        <v>396.89999999999986</v>
      </c>
      <c r="DD10" s="100">
        <f t="shared" si="14"/>
        <v>270.39999999999998</v>
      </c>
      <c r="DE10" s="100">
        <f t="shared" si="14"/>
        <v>224.4</v>
      </c>
      <c r="DF10" s="100">
        <f t="shared" si="14"/>
        <v>116.89999999999999</v>
      </c>
      <c r="DG10" s="100">
        <f t="shared" si="14"/>
        <v>1.2000000000000002</v>
      </c>
      <c r="DH10" s="100">
        <f t="shared" si="14"/>
        <v>0</v>
      </c>
      <c r="DI10" s="100">
        <f t="shared" si="14"/>
        <v>0</v>
      </c>
      <c r="DJ10" s="100">
        <f t="shared" si="14"/>
        <v>0</v>
      </c>
      <c r="DK10" s="100">
        <f t="shared" si="14"/>
        <v>0</v>
      </c>
      <c r="DL10" s="100">
        <f t="shared" si="14"/>
        <v>29.499999999999996</v>
      </c>
      <c r="DM10" s="100">
        <f t="shared" si="14"/>
        <v>190.23552299140979</v>
      </c>
      <c r="DN10" s="100">
        <f t="shared" si="14"/>
        <v>225.20000000000002</v>
      </c>
      <c r="DQ10" s="6"/>
      <c r="DR10" s="6"/>
      <c r="DS10" s="6"/>
      <c r="DT10" s="6"/>
      <c r="DU10" s="16"/>
      <c r="DV10" s="16"/>
      <c r="DW10" s="16"/>
      <c r="DX10" s="16"/>
    </row>
    <row r="11" spans="1:129">
      <c r="A11" s="197">
        <f t="shared" si="0"/>
        <v>37165</v>
      </c>
      <c r="B11">
        <v>2001</v>
      </c>
      <c r="C11">
        <v>10</v>
      </c>
      <c r="D11">
        <v>262.70000000000005</v>
      </c>
      <c r="E11">
        <v>0.89999999999999858</v>
      </c>
      <c r="F11">
        <v>202.70000000000002</v>
      </c>
      <c r="G11">
        <v>2.8999999999999986</v>
      </c>
      <c r="H11">
        <v>147.19999999999999</v>
      </c>
      <c r="I11">
        <v>9.3999999999999986</v>
      </c>
      <c r="J11">
        <v>102.6</v>
      </c>
      <c r="K11">
        <v>26.799999999999997</v>
      </c>
      <c r="L11">
        <v>69.400000000000006</v>
      </c>
      <c r="M11">
        <v>55.600000000000009</v>
      </c>
      <c r="N11">
        <v>43.3</v>
      </c>
      <c r="O11">
        <v>91.5</v>
      </c>
      <c r="P11">
        <v>21.4</v>
      </c>
      <c r="Q11">
        <v>131.6</v>
      </c>
      <c r="R11" s="254">
        <v>11.554838709677419</v>
      </c>
      <c r="V11">
        <f t="shared" si="16"/>
        <v>2019</v>
      </c>
      <c r="W11" s="100">
        <f t="shared" si="15"/>
        <v>773.8</v>
      </c>
      <c r="X11" s="100">
        <f t="shared" si="15"/>
        <v>636.9000000000002</v>
      </c>
      <c r="Y11" s="100">
        <f t="shared" si="15"/>
        <v>611.39999999999986</v>
      </c>
      <c r="Z11" s="100">
        <f t="shared" si="15"/>
        <v>338.39999999999992</v>
      </c>
      <c r="AA11" s="100">
        <f t="shared" si="15"/>
        <v>194.20000000000002</v>
      </c>
      <c r="AB11" s="100">
        <f t="shared" si="15"/>
        <v>56.1</v>
      </c>
      <c r="AC11" s="100">
        <f t="shared" si="15"/>
        <v>0</v>
      </c>
      <c r="AD11" s="100">
        <f t="shared" si="15"/>
        <v>8.0999999999999979</v>
      </c>
      <c r="AE11" s="100">
        <f t="shared" si="15"/>
        <v>46.099999999999994</v>
      </c>
      <c r="AF11" s="100">
        <f t="shared" si="15"/>
        <v>263.40000000000003</v>
      </c>
      <c r="AG11" s="100">
        <f t="shared" si="15"/>
        <v>555.19999999999982</v>
      </c>
      <c r="AH11" s="100">
        <f t="shared" si="15"/>
        <v>589.90000000000009</v>
      </c>
      <c r="AJ11">
        <f t="shared" si="17"/>
        <v>2019</v>
      </c>
      <c r="AK11" s="100">
        <f t="shared" si="9"/>
        <v>711.8</v>
      </c>
      <c r="AL11" s="100">
        <f t="shared" si="9"/>
        <v>580.90000000000009</v>
      </c>
      <c r="AM11" s="100">
        <f t="shared" si="9"/>
        <v>549.4</v>
      </c>
      <c r="AN11" s="100">
        <f t="shared" si="9"/>
        <v>278.40000000000003</v>
      </c>
      <c r="AO11" s="100">
        <f t="shared" si="9"/>
        <v>139.50000000000006</v>
      </c>
      <c r="AP11" s="100">
        <f t="shared" si="9"/>
        <v>23.9</v>
      </c>
      <c r="AQ11" s="100">
        <f t="shared" si="9"/>
        <v>0</v>
      </c>
      <c r="AR11" s="100">
        <f t="shared" si="9"/>
        <v>0.39999999999999858</v>
      </c>
      <c r="AS11" s="100">
        <f t="shared" si="9"/>
        <v>14.699999999999998</v>
      </c>
      <c r="AT11" s="100">
        <f t="shared" si="9"/>
        <v>204.10000000000002</v>
      </c>
      <c r="AU11" s="100">
        <f t="shared" si="9"/>
        <v>495.19999999999993</v>
      </c>
      <c r="AV11" s="100">
        <f t="shared" si="9"/>
        <v>527.90000000000009</v>
      </c>
      <c r="AW11" s="231">
        <f t="shared" si="18"/>
        <v>3526.2</v>
      </c>
      <c r="AX11">
        <f t="shared" si="19"/>
        <v>2019</v>
      </c>
      <c r="AY11" s="100">
        <f t="shared" si="10"/>
        <v>649.79999999999995</v>
      </c>
      <c r="AZ11" s="100">
        <f t="shared" si="10"/>
        <v>524.90000000000009</v>
      </c>
      <c r="BA11" s="100">
        <f t="shared" si="10"/>
        <v>487.4</v>
      </c>
      <c r="BB11" s="100">
        <f t="shared" si="10"/>
        <v>218.8</v>
      </c>
      <c r="BC11" s="100">
        <f t="shared" si="10"/>
        <v>89.4</v>
      </c>
      <c r="BD11" s="100">
        <f t="shared" si="10"/>
        <v>7.1</v>
      </c>
      <c r="BE11" s="100">
        <f t="shared" si="10"/>
        <v>0</v>
      </c>
      <c r="BF11" s="100">
        <f t="shared" si="10"/>
        <v>0</v>
      </c>
      <c r="BG11" s="100">
        <f t="shared" si="10"/>
        <v>2.0999999999999996</v>
      </c>
      <c r="BH11" s="100">
        <f t="shared" si="10"/>
        <v>147.70000000000002</v>
      </c>
      <c r="BI11" s="100">
        <f t="shared" si="10"/>
        <v>435.2</v>
      </c>
      <c r="BJ11" s="100">
        <f t="shared" si="10"/>
        <v>465.90000000000009</v>
      </c>
      <c r="BL11">
        <f t="shared" si="20"/>
        <v>2019</v>
      </c>
      <c r="BM11" s="100">
        <f t="shared" si="11"/>
        <v>587.79999999999995</v>
      </c>
      <c r="BN11" s="100">
        <f t="shared" si="11"/>
        <v>468.9</v>
      </c>
      <c r="BO11" s="100">
        <f t="shared" si="11"/>
        <v>425.39999999999992</v>
      </c>
      <c r="BP11" s="100">
        <f t="shared" si="11"/>
        <v>162.30000000000001</v>
      </c>
      <c r="BQ11" s="100">
        <f t="shared" si="11"/>
        <v>52.599999999999994</v>
      </c>
      <c r="BR11" s="100">
        <f t="shared" si="11"/>
        <v>1.4000000000000004</v>
      </c>
      <c r="BS11" s="100">
        <f t="shared" si="11"/>
        <v>0</v>
      </c>
      <c r="BT11" s="100">
        <f t="shared" si="11"/>
        <v>0</v>
      </c>
      <c r="BU11" s="100">
        <f t="shared" si="11"/>
        <v>0</v>
      </c>
      <c r="BV11" s="100">
        <f t="shared" si="11"/>
        <v>96.199999999999989</v>
      </c>
      <c r="BW11" s="100">
        <f t="shared" si="11"/>
        <v>375.2</v>
      </c>
      <c r="BX11" s="100">
        <f t="shared" si="11"/>
        <v>403.90000000000009</v>
      </c>
      <c r="BZ11">
        <f t="shared" si="21"/>
        <v>2019</v>
      </c>
      <c r="CA11" s="100">
        <f t="shared" si="12"/>
        <v>525.79999999999995</v>
      </c>
      <c r="CB11" s="100">
        <f t="shared" si="12"/>
        <v>412.90000000000003</v>
      </c>
      <c r="CC11" s="100">
        <f t="shared" si="12"/>
        <v>363.4</v>
      </c>
      <c r="CD11" s="100">
        <f t="shared" si="12"/>
        <v>109.80000000000001</v>
      </c>
      <c r="CE11" s="100">
        <f t="shared" si="12"/>
        <v>26.499999999999996</v>
      </c>
      <c r="CF11" s="100">
        <f t="shared" si="12"/>
        <v>0</v>
      </c>
      <c r="CG11" s="100">
        <f t="shared" si="12"/>
        <v>0</v>
      </c>
      <c r="CH11" s="100">
        <f t="shared" si="12"/>
        <v>0</v>
      </c>
      <c r="CI11" s="100">
        <f t="shared" si="12"/>
        <v>0</v>
      </c>
      <c r="CJ11" s="100">
        <f t="shared" si="12"/>
        <v>55.199999999999989</v>
      </c>
      <c r="CK11" s="100">
        <f t="shared" si="12"/>
        <v>315.20000000000005</v>
      </c>
      <c r="CL11" s="100">
        <f t="shared" si="12"/>
        <v>341.90000000000009</v>
      </c>
      <c r="CN11">
        <f t="shared" si="22"/>
        <v>2019</v>
      </c>
      <c r="CO11" s="100">
        <f t="shared" si="13"/>
        <v>463.8</v>
      </c>
      <c r="CP11" s="100">
        <f t="shared" si="13"/>
        <v>356.90000000000003</v>
      </c>
      <c r="CQ11" s="100">
        <f t="shared" si="13"/>
        <v>302.7</v>
      </c>
      <c r="CR11" s="100">
        <f t="shared" si="13"/>
        <v>69.2</v>
      </c>
      <c r="CS11" s="100">
        <f t="shared" si="13"/>
        <v>9.5</v>
      </c>
      <c r="CT11" s="100">
        <f t="shared" si="13"/>
        <v>0</v>
      </c>
      <c r="CU11" s="100">
        <f t="shared" si="13"/>
        <v>0</v>
      </c>
      <c r="CV11" s="100">
        <f t="shared" si="13"/>
        <v>0</v>
      </c>
      <c r="CW11" s="100">
        <f t="shared" si="13"/>
        <v>0</v>
      </c>
      <c r="CX11" s="100">
        <f t="shared" si="13"/>
        <v>26.900000000000006</v>
      </c>
      <c r="CY11" s="100">
        <f t="shared" si="13"/>
        <v>255.20000000000007</v>
      </c>
      <c r="CZ11" s="100">
        <f t="shared" si="13"/>
        <v>279.90000000000009</v>
      </c>
      <c r="DB11">
        <f t="shared" si="23"/>
        <v>2019</v>
      </c>
      <c r="DC11" s="100">
        <f t="shared" si="14"/>
        <v>401.8</v>
      </c>
      <c r="DD11" s="100">
        <f t="shared" si="14"/>
        <v>300.90000000000003</v>
      </c>
      <c r="DE11" s="100">
        <f t="shared" si="14"/>
        <v>244.70000000000002</v>
      </c>
      <c r="DF11" s="100">
        <f t="shared" si="14"/>
        <v>38.5</v>
      </c>
      <c r="DG11" s="100">
        <f t="shared" si="14"/>
        <v>1.6000000000000005</v>
      </c>
      <c r="DH11" s="100">
        <f t="shared" si="14"/>
        <v>0</v>
      </c>
      <c r="DI11" s="100">
        <f t="shared" si="14"/>
        <v>0</v>
      </c>
      <c r="DJ11" s="100">
        <f t="shared" si="14"/>
        <v>0</v>
      </c>
      <c r="DK11" s="100">
        <f t="shared" si="14"/>
        <v>0</v>
      </c>
      <c r="DL11" s="100">
        <f t="shared" si="14"/>
        <v>10.199999999999999</v>
      </c>
      <c r="DM11" s="100">
        <f t="shared" si="14"/>
        <v>195.80000000000007</v>
      </c>
      <c r="DN11" s="100">
        <f t="shared" si="14"/>
        <v>218.60000000000002</v>
      </c>
      <c r="DQ11" s="6"/>
      <c r="DR11" s="6"/>
      <c r="DS11" s="6"/>
      <c r="DT11" s="6"/>
      <c r="DU11" s="16"/>
      <c r="DV11" s="16"/>
      <c r="DW11" s="16"/>
      <c r="DX11" s="16"/>
    </row>
    <row r="12" spans="1:129">
      <c r="A12" s="197">
        <f t="shared" si="0"/>
        <v>37196</v>
      </c>
      <c r="B12">
        <v>2001</v>
      </c>
      <c r="C12">
        <v>11</v>
      </c>
      <c r="D12">
        <v>339.89999999999986</v>
      </c>
      <c r="E12">
        <v>0</v>
      </c>
      <c r="F12">
        <v>279.89999999999998</v>
      </c>
      <c r="G12">
        <v>0</v>
      </c>
      <c r="H12">
        <v>219.89999999999998</v>
      </c>
      <c r="I12">
        <v>0</v>
      </c>
      <c r="J12">
        <v>160.49999999999997</v>
      </c>
      <c r="K12">
        <v>0.59999999999999964</v>
      </c>
      <c r="L12">
        <v>107.70000000000002</v>
      </c>
      <c r="M12">
        <v>7.7999999999999989</v>
      </c>
      <c r="N12">
        <v>61.400000000000006</v>
      </c>
      <c r="O12">
        <v>21.5</v>
      </c>
      <c r="P12">
        <v>30.1</v>
      </c>
      <c r="Q12">
        <v>50.2</v>
      </c>
      <c r="R12" s="254">
        <v>8.67</v>
      </c>
      <c r="V12">
        <f t="shared" si="16"/>
        <v>2020</v>
      </c>
      <c r="W12" s="100">
        <f t="shared" si="15"/>
        <v>623.20000000000016</v>
      </c>
      <c r="X12" s="100">
        <f t="shared" si="15"/>
        <v>627.29999999999973</v>
      </c>
      <c r="Y12" s="100">
        <f t="shared" si="15"/>
        <v>484.19999999999993</v>
      </c>
      <c r="Z12" s="100">
        <f t="shared" si="15"/>
        <v>396.50000000000006</v>
      </c>
      <c r="AA12" s="100">
        <f t="shared" si="15"/>
        <v>211</v>
      </c>
      <c r="AB12" s="100">
        <f t="shared" si="15"/>
        <v>24.199999999999996</v>
      </c>
      <c r="AC12" s="100">
        <f t="shared" si="15"/>
        <v>0</v>
      </c>
      <c r="AD12" s="100">
        <f t="shared" si="15"/>
        <v>7.9420919656392321</v>
      </c>
      <c r="AE12" s="100">
        <f t="shared" si="15"/>
        <v>106.33552299140982</v>
      </c>
      <c r="AF12" s="100">
        <f t="shared" si="15"/>
        <v>300.89999999999998</v>
      </c>
      <c r="AG12" s="100">
        <f t="shared" si="15"/>
        <v>389.23552299140982</v>
      </c>
      <c r="AH12" s="100">
        <f t="shared" si="15"/>
        <v>609.4</v>
      </c>
      <c r="AJ12">
        <f t="shared" si="17"/>
        <v>2020</v>
      </c>
      <c r="AK12" s="100">
        <f t="shared" si="9"/>
        <v>561.20000000000016</v>
      </c>
      <c r="AL12" s="100">
        <f t="shared" si="9"/>
        <v>569.29999999999984</v>
      </c>
      <c r="AM12" s="100">
        <f t="shared" si="9"/>
        <v>422.2</v>
      </c>
      <c r="AN12" s="100">
        <f t="shared" si="9"/>
        <v>336.5</v>
      </c>
      <c r="AO12" s="100">
        <f t="shared" si="9"/>
        <v>160.50000000000003</v>
      </c>
      <c r="AP12" s="100">
        <f t="shared" si="9"/>
        <v>10.799999999999999</v>
      </c>
      <c r="AQ12" s="100">
        <f t="shared" si="9"/>
        <v>0</v>
      </c>
      <c r="AR12" s="100">
        <f t="shared" si="9"/>
        <v>0</v>
      </c>
      <c r="AS12" s="100">
        <f t="shared" si="9"/>
        <v>62.1355229914098</v>
      </c>
      <c r="AT12" s="100">
        <f t="shared" si="9"/>
        <v>239.7</v>
      </c>
      <c r="AU12" s="100">
        <f t="shared" si="9"/>
        <v>330.63552299140986</v>
      </c>
      <c r="AV12" s="100">
        <f t="shared" si="9"/>
        <v>547.4</v>
      </c>
      <c r="AW12" s="231">
        <f t="shared" si="18"/>
        <v>3240.3710459828199</v>
      </c>
      <c r="AX12">
        <f t="shared" si="19"/>
        <v>2020</v>
      </c>
      <c r="AY12" s="100">
        <f t="shared" si="10"/>
        <v>499.2000000000001</v>
      </c>
      <c r="AZ12" s="100">
        <f t="shared" si="10"/>
        <v>511.29999999999995</v>
      </c>
      <c r="BA12" s="100">
        <f t="shared" si="10"/>
        <v>360.20000000000005</v>
      </c>
      <c r="BB12" s="100">
        <f t="shared" si="10"/>
        <v>276.5</v>
      </c>
      <c r="BC12" s="100">
        <f t="shared" si="10"/>
        <v>115.20000000000002</v>
      </c>
      <c r="BD12" s="100">
        <f t="shared" si="10"/>
        <v>4.4000000000000004</v>
      </c>
      <c r="BE12" s="100">
        <f t="shared" si="10"/>
        <v>0</v>
      </c>
      <c r="BF12" s="100">
        <f t="shared" si="10"/>
        <v>0</v>
      </c>
      <c r="BG12" s="100">
        <f t="shared" si="10"/>
        <v>31.4</v>
      </c>
      <c r="BH12" s="100">
        <f t="shared" si="10"/>
        <v>181.8</v>
      </c>
      <c r="BI12" s="100">
        <f t="shared" si="10"/>
        <v>272.63552299140974</v>
      </c>
      <c r="BJ12" s="100">
        <f t="shared" si="10"/>
        <v>485.40000000000003</v>
      </c>
      <c r="BL12">
        <f t="shared" si="20"/>
        <v>2020</v>
      </c>
      <c r="BM12" s="100">
        <f t="shared" si="11"/>
        <v>437.2000000000001</v>
      </c>
      <c r="BN12" s="100">
        <f t="shared" si="11"/>
        <v>453.29999999999995</v>
      </c>
      <c r="BO12" s="100">
        <f t="shared" si="11"/>
        <v>298.20000000000005</v>
      </c>
      <c r="BP12" s="100">
        <f t="shared" si="11"/>
        <v>219.2</v>
      </c>
      <c r="BQ12" s="100">
        <f t="shared" si="11"/>
        <v>79.800000000000011</v>
      </c>
      <c r="BR12" s="100">
        <f t="shared" si="11"/>
        <v>0</v>
      </c>
      <c r="BS12" s="100">
        <f t="shared" si="11"/>
        <v>0</v>
      </c>
      <c r="BT12" s="100">
        <f t="shared" si="11"/>
        <v>0</v>
      </c>
      <c r="BU12" s="100">
        <f t="shared" si="11"/>
        <v>12.100000000000001</v>
      </c>
      <c r="BV12" s="100">
        <f t="shared" si="11"/>
        <v>129.4</v>
      </c>
      <c r="BW12" s="100">
        <f t="shared" si="11"/>
        <v>215.63552299140977</v>
      </c>
      <c r="BX12" s="100">
        <f t="shared" si="11"/>
        <v>423.40000000000003</v>
      </c>
      <c r="BZ12">
        <f t="shared" si="21"/>
        <v>2020</v>
      </c>
      <c r="CA12" s="100">
        <f t="shared" si="12"/>
        <v>375.2000000000001</v>
      </c>
      <c r="CB12" s="100">
        <f t="shared" si="12"/>
        <v>395.3</v>
      </c>
      <c r="CC12" s="100">
        <f t="shared" si="12"/>
        <v>236.9</v>
      </c>
      <c r="CD12" s="100">
        <f t="shared" si="12"/>
        <v>165.9</v>
      </c>
      <c r="CE12" s="100">
        <f t="shared" si="12"/>
        <v>52.2</v>
      </c>
      <c r="CF12" s="100">
        <f t="shared" si="12"/>
        <v>0</v>
      </c>
      <c r="CG12" s="100">
        <f t="shared" si="12"/>
        <v>0</v>
      </c>
      <c r="CH12" s="100">
        <f t="shared" si="12"/>
        <v>0</v>
      </c>
      <c r="CI12" s="100">
        <f t="shared" si="12"/>
        <v>2.9000000000000004</v>
      </c>
      <c r="CJ12" s="100">
        <f t="shared" si="12"/>
        <v>83.899999999999991</v>
      </c>
      <c r="CK12" s="100">
        <f t="shared" si="12"/>
        <v>167.43552299140978</v>
      </c>
      <c r="CL12" s="100">
        <f t="shared" si="12"/>
        <v>361.4</v>
      </c>
      <c r="CN12">
        <f t="shared" si="22"/>
        <v>2020</v>
      </c>
      <c r="CO12" s="100">
        <f t="shared" si="13"/>
        <v>313.2000000000001</v>
      </c>
      <c r="CP12" s="100">
        <f t="shared" si="13"/>
        <v>337.30000000000007</v>
      </c>
      <c r="CQ12" s="100">
        <f t="shared" si="13"/>
        <v>178.3</v>
      </c>
      <c r="CR12" s="100">
        <f t="shared" si="13"/>
        <v>115.30000000000001</v>
      </c>
      <c r="CS12" s="100">
        <f t="shared" si="13"/>
        <v>31.799999999999997</v>
      </c>
      <c r="CT12" s="100">
        <f t="shared" si="13"/>
        <v>0</v>
      </c>
      <c r="CU12" s="100">
        <f t="shared" si="13"/>
        <v>0</v>
      </c>
      <c r="CV12" s="100">
        <f t="shared" si="13"/>
        <v>0</v>
      </c>
      <c r="CW12" s="100">
        <f t="shared" si="13"/>
        <v>0</v>
      </c>
      <c r="CX12" s="100">
        <f t="shared" si="13"/>
        <v>48.6</v>
      </c>
      <c r="CY12" s="100">
        <f t="shared" si="13"/>
        <v>124.23552299140978</v>
      </c>
      <c r="CZ12" s="100">
        <f t="shared" si="13"/>
        <v>299.40000000000009</v>
      </c>
      <c r="DB12">
        <f t="shared" si="23"/>
        <v>2020</v>
      </c>
      <c r="DC12" s="100">
        <f t="shared" si="14"/>
        <v>251.2</v>
      </c>
      <c r="DD12" s="100">
        <f t="shared" si="14"/>
        <v>279.3</v>
      </c>
      <c r="DE12" s="100">
        <f t="shared" si="14"/>
        <v>122.70000000000002</v>
      </c>
      <c r="DF12" s="100">
        <f t="shared" si="14"/>
        <v>68.500000000000014</v>
      </c>
      <c r="DG12" s="100">
        <f t="shared" si="14"/>
        <v>14.8</v>
      </c>
      <c r="DH12" s="100">
        <f t="shared" si="14"/>
        <v>0</v>
      </c>
      <c r="DI12" s="100">
        <f t="shared" si="14"/>
        <v>0</v>
      </c>
      <c r="DJ12" s="100">
        <f t="shared" si="14"/>
        <v>0</v>
      </c>
      <c r="DK12" s="100">
        <f t="shared" si="14"/>
        <v>0</v>
      </c>
      <c r="DL12" s="100">
        <f t="shared" si="14"/>
        <v>22.499999999999996</v>
      </c>
      <c r="DM12" s="100">
        <f t="shared" si="14"/>
        <v>85.035522991409792</v>
      </c>
      <c r="DN12" s="100">
        <f t="shared" si="14"/>
        <v>237.40000000000006</v>
      </c>
      <c r="DQ12" s="6"/>
      <c r="DR12" s="6"/>
      <c r="DS12" s="6"/>
      <c r="DT12" s="6"/>
      <c r="DU12" s="16"/>
      <c r="DV12" s="16"/>
      <c r="DW12" s="16"/>
      <c r="DX12" s="16"/>
    </row>
    <row r="13" spans="1:129">
      <c r="A13" s="197">
        <f t="shared" si="0"/>
        <v>37226</v>
      </c>
      <c r="B13">
        <v>2001</v>
      </c>
      <c r="C13">
        <v>12</v>
      </c>
      <c r="D13">
        <v>553.6</v>
      </c>
      <c r="E13">
        <v>0</v>
      </c>
      <c r="F13">
        <v>491.6</v>
      </c>
      <c r="G13">
        <v>0</v>
      </c>
      <c r="H13">
        <v>429.6</v>
      </c>
      <c r="I13">
        <v>0</v>
      </c>
      <c r="J13">
        <v>368.3</v>
      </c>
      <c r="K13">
        <v>0.69999999999999929</v>
      </c>
      <c r="L13">
        <v>308.3</v>
      </c>
      <c r="M13">
        <v>2.6999999999999993</v>
      </c>
      <c r="N13">
        <v>249.00000000000003</v>
      </c>
      <c r="O13">
        <v>5.3999999999999986</v>
      </c>
      <c r="P13">
        <v>195</v>
      </c>
      <c r="Q13">
        <v>13.399999999999999</v>
      </c>
      <c r="R13" s="254">
        <v>2.141935483870967</v>
      </c>
      <c r="V13">
        <f t="shared" si="16"/>
        <v>2021</v>
      </c>
      <c r="W13" s="100">
        <f t="shared" si="15"/>
        <v>672.79999999999984</v>
      </c>
      <c r="X13" s="100">
        <f t="shared" si="15"/>
        <v>710.80000000000007</v>
      </c>
      <c r="Y13" s="100">
        <f t="shared" si="15"/>
        <v>460.49999999999994</v>
      </c>
      <c r="Z13" s="100">
        <f t="shared" si="15"/>
        <v>314.5</v>
      </c>
      <c r="AA13" s="100">
        <f t="shared" si="15"/>
        <v>192.73552299140982</v>
      </c>
      <c r="AB13" s="100">
        <f t="shared" si="15"/>
        <v>17.899999999999999</v>
      </c>
      <c r="AC13" s="100">
        <f t="shared" si="15"/>
        <v>10.5</v>
      </c>
      <c r="AD13" s="100">
        <f t="shared" si="15"/>
        <v>4.9000000000000021</v>
      </c>
      <c r="AE13" s="100">
        <f t="shared" si="15"/>
        <v>61.099999999999994</v>
      </c>
      <c r="AF13" s="100">
        <f t="shared" si="15"/>
        <v>166.30000000000004</v>
      </c>
      <c r="AG13" s="100">
        <f t="shared" si="15"/>
        <v>482.90000000000009</v>
      </c>
      <c r="AH13" s="100">
        <f t="shared" si="15"/>
        <v>545.4</v>
      </c>
      <c r="AJ13">
        <f t="shared" si="17"/>
        <v>2021</v>
      </c>
      <c r="AK13" s="100">
        <f t="shared" si="9"/>
        <v>610.79999999999995</v>
      </c>
      <c r="AL13" s="100">
        <f t="shared" si="9"/>
        <v>654.80000000000018</v>
      </c>
      <c r="AM13" s="100">
        <f t="shared" si="9"/>
        <v>398.49999999999994</v>
      </c>
      <c r="AN13" s="100">
        <f t="shared" si="9"/>
        <v>254.90000000000003</v>
      </c>
      <c r="AO13" s="100">
        <f t="shared" si="9"/>
        <v>145.83552299140982</v>
      </c>
      <c r="AP13" s="100">
        <f t="shared" si="9"/>
        <v>6.9</v>
      </c>
      <c r="AQ13" s="100">
        <f t="shared" si="9"/>
        <v>0</v>
      </c>
      <c r="AR13" s="100">
        <f t="shared" si="9"/>
        <v>0</v>
      </c>
      <c r="AS13" s="100">
        <f t="shared" si="9"/>
        <v>33.400000000000006</v>
      </c>
      <c r="AT13" s="100">
        <f t="shared" si="9"/>
        <v>123.80000000000001</v>
      </c>
      <c r="AU13" s="100">
        <f t="shared" si="9"/>
        <v>422.90000000000003</v>
      </c>
      <c r="AV13" s="100">
        <f t="shared" si="9"/>
        <v>483.4</v>
      </c>
      <c r="AW13" s="231">
        <f t="shared" si="18"/>
        <v>3135.2355229914106</v>
      </c>
      <c r="AX13">
        <f t="shared" si="19"/>
        <v>2021</v>
      </c>
      <c r="AY13" s="100">
        <f t="shared" si="10"/>
        <v>548.79999999999995</v>
      </c>
      <c r="AZ13" s="100">
        <f t="shared" si="10"/>
        <v>598.80000000000018</v>
      </c>
      <c r="BA13" s="100">
        <f t="shared" si="10"/>
        <v>336.49999999999994</v>
      </c>
      <c r="BB13" s="100">
        <f t="shared" si="10"/>
        <v>201.20000000000002</v>
      </c>
      <c r="BC13" s="100">
        <f t="shared" si="10"/>
        <v>103.23552299140981</v>
      </c>
      <c r="BD13" s="100">
        <f t="shared" si="10"/>
        <v>1.9000000000000004</v>
      </c>
      <c r="BE13" s="100">
        <f t="shared" si="10"/>
        <v>0</v>
      </c>
      <c r="BF13" s="100">
        <f t="shared" si="10"/>
        <v>0</v>
      </c>
      <c r="BG13" s="100">
        <f t="shared" si="10"/>
        <v>13.3</v>
      </c>
      <c r="BH13" s="100">
        <f t="shared" si="10"/>
        <v>86.1</v>
      </c>
      <c r="BI13" s="100">
        <f t="shared" si="10"/>
        <v>362.90000000000003</v>
      </c>
      <c r="BJ13" s="100">
        <f t="shared" si="10"/>
        <v>421.4</v>
      </c>
      <c r="BL13">
        <f t="shared" si="20"/>
        <v>2021</v>
      </c>
      <c r="BM13" s="100">
        <f t="shared" si="11"/>
        <v>486.8</v>
      </c>
      <c r="BN13" s="100">
        <f t="shared" si="11"/>
        <v>542.80000000000018</v>
      </c>
      <c r="BO13" s="100">
        <f t="shared" si="11"/>
        <v>275.60000000000008</v>
      </c>
      <c r="BP13" s="100">
        <f t="shared" si="11"/>
        <v>153.5</v>
      </c>
      <c r="BQ13" s="100">
        <f t="shared" si="11"/>
        <v>68.935522991409798</v>
      </c>
      <c r="BR13" s="100">
        <f t="shared" si="11"/>
        <v>0</v>
      </c>
      <c r="BS13" s="100">
        <f t="shared" si="11"/>
        <v>0</v>
      </c>
      <c r="BT13" s="100">
        <f t="shared" si="11"/>
        <v>0</v>
      </c>
      <c r="BU13" s="100">
        <f t="shared" si="11"/>
        <v>3.9000000000000004</v>
      </c>
      <c r="BV13" s="100">
        <f t="shared" si="11"/>
        <v>53.599999999999994</v>
      </c>
      <c r="BW13" s="100">
        <f t="shared" si="11"/>
        <v>302.90000000000003</v>
      </c>
      <c r="BX13" s="100">
        <f t="shared" si="11"/>
        <v>359.4</v>
      </c>
      <c r="BZ13">
        <f t="shared" si="21"/>
        <v>2021</v>
      </c>
      <c r="CA13" s="100">
        <f t="shared" si="12"/>
        <v>424.80000000000007</v>
      </c>
      <c r="CB13" s="100">
        <f t="shared" si="12"/>
        <v>486.80000000000013</v>
      </c>
      <c r="CC13" s="100">
        <f t="shared" si="12"/>
        <v>217.30000000000004</v>
      </c>
      <c r="CD13" s="100">
        <f t="shared" si="12"/>
        <v>108.00000000000003</v>
      </c>
      <c r="CE13" s="100">
        <f t="shared" si="12"/>
        <v>40.700000000000003</v>
      </c>
      <c r="CF13" s="100">
        <f t="shared" si="12"/>
        <v>0</v>
      </c>
      <c r="CG13" s="100">
        <f t="shared" si="12"/>
        <v>0</v>
      </c>
      <c r="CH13" s="100">
        <f t="shared" si="12"/>
        <v>0</v>
      </c>
      <c r="CI13" s="100">
        <f t="shared" si="12"/>
        <v>0.59999999999999964</v>
      </c>
      <c r="CJ13" s="100">
        <f t="shared" si="12"/>
        <v>28.000000000000007</v>
      </c>
      <c r="CK13" s="100">
        <f t="shared" si="12"/>
        <v>244.00000000000003</v>
      </c>
      <c r="CL13" s="100">
        <f t="shared" si="12"/>
        <v>297.40000000000003</v>
      </c>
      <c r="CN13">
        <f t="shared" si="22"/>
        <v>2021</v>
      </c>
      <c r="CO13" s="100">
        <f t="shared" si="13"/>
        <v>362.8</v>
      </c>
      <c r="CP13" s="100">
        <f t="shared" si="13"/>
        <v>430.80000000000007</v>
      </c>
      <c r="CQ13" s="100">
        <f t="shared" si="13"/>
        <v>164.20000000000002</v>
      </c>
      <c r="CR13" s="100">
        <f t="shared" si="13"/>
        <v>69.000000000000014</v>
      </c>
      <c r="CS13" s="100">
        <f t="shared" si="13"/>
        <v>19.899999999999999</v>
      </c>
      <c r="CT13" s="100">
        <f t="shared" si="13"/>
        <v>0</v>
      </c>
      <c r="CU13" s="100">
        <f t="shared" si="13"/>
        <v>0</v>
      </c>
      <c r="CV13" s="100">
        <f t="shared" si="13"/>
        <v>0</v>
      </c>
      <c r="CW13" s="100">
        <f t="shared" si="13"/>
        <v>0</v>
      </c>
      <c r="CX13" s="100">
        <f t="shared" si="13"/>
        <v>11.4</v>
      </c>
      <c r="CY13" s="100">
        <f t="shared" si="13"/>
        <v>188.5</v>
      </c>
      <c r="CZ13" s="100">
        <f t="shared" si="13"/>
        <v>235.40000000000006</v>
      </c>
      <c r="DB13">
        <f t="shared" si="23"/>
        <v>2021</v>
      </c>
      <c r="DC13" s="100">
        <f t="shared" si="14"/>
        <v>300.8</v>
      </c>
      <c r="DD13" s="100">
        <f t="shared" si="14"/>
        <v>374.80000000000007</v>
      </c>
      <c r="DE13" s="100">
        <f t="shared" si="14"/>
        <v>117.4</v>
      </c>
      <c r="DF13" s="100">
        <f t="shared" si="14"/>
        <v>39.200000000000003</v>
      </c>
      <c r="DG13" s="100">
        <f t="shared" si="14"/>
        <v>3.9000000000000004</v>
      </c>
      <c r="DH13" s="100">
        <f t="shared" si="14"/>
        <v>0</v>
      </c>
      <c r="DI13" s="100">
        <f t="shared" si="14"/>
        <v>0</v>
      </c>
      <c r="DJ13" s="100">
        <f t="shared" si="14"/>
        <v>0</v>
      </c>
      <c r="DK13" s="100">
        <f t="shared" si="14"/>
        <v>0</v>
      </c>
      <c r="DL13" s="100">
        <f t="shared" si="14"/>
        <v>2.0999999999999996</v>
      </c>
      <c r="DM13" s="100">
        <f t="shared" si="14"/>
        <v>137.1</v>
      </c>
      <c r="DN13" s="100">
        <f t="shared" si="14"/>
        <v>175.60000000000002</v>
      </c>
      <c r="DQ13" s="6"/>
      <c r="DR13" s="6"/>
      <c r="DS13" s="6"/>
      <c r="DT13" s="6"/>
      <c r="DU13" s="16"/>
      <c r="DV13" s="16"/>
      <c r="DW13" s="16"/>
      <c r="DX13" s="16"/>
    </row>
    <row r="14" spans="1:129">
      <c r="A14" s="197">
        <f t="shared" si="0"/>
        <v>37257</v>
      </c>
      <c r="B14">
        <v>2002</v>
      </c>
      <c r="C14">
        <v>1</v>
      </c>
      <c r="D14">
        <v>607.30000000000007</v>
      </c>
      <c r="E14">
        <v>0</v>
      </c>
      <c r="F14">
        <v>545.29999999999995</v>
      </c>
      <c r="G14">
        <v>0</v>
      </c>
      <c r="H14">
        <v>483.2999999999999</v>
      </c>
      <c r="I14">
        <v>0</v>
      </c>
      <c r="J14">
        <v>421.2999999999999</v>
      </c>
      <c r="K14">
        <v>0</v>
      </c>
      <c r="L14">
        <v>359.29999999999995</v>
      </c>
      <c r="M14">
        <v>0</v>
      </c>
      <c r="N14">
        <v>297.29999999999995</v>
      </c>
      <c r="O14">
        <v>0</v>
      </c>
      <c r="P14">
        <v>235.29999999999998</v>
      </c>
      <c r="Q14">
        <v>0</v>
      </c>
      <c r="R14" s="254">
        <v>0.40967741935483881</v>
      </c>
      <c r="V14">
        <f t="shared" si="16"/>
        <v>2022</v>
      </c>
      <c r="W14" s="100">
        <f t="shared" si="15"/>
        <v>828.20000000000016</v>
      </c>
      <c r="X14" s="100">
        <f t="shared" si="15"/>
        <v>663.30000000000007</v>
      </c>
      <c r="Y14" s="100">
        <f t="shared" si="15"/>
        <v>527.93552299140981</v>
      </c>
      <c r="Z14" s="100">
        <f t="shared" si="15"/>
        <v>392.50000000000006</v>
      </c>
      <c r="AA14" s="100">
        <f t="shared" si="15"/>
        <v>131.5</v>
      </c>
      <c r="AB14" s="100">
        <f t="shared" si="15"/>
        <v>27.335522991409807</v>
      </c>
      <c r="AC14" s="100">
        <f t="shared" si="15"/>
        <v>0.5</v>
      </c>
      <c r="AD14" s="100">
        <f t="shared" si="15"/>
        <v>2.9000000000000021</v>
      </c>
      <c r="AE14" s="100">
        <f t="shared" si="15"/>
        <v>76.099999999999994</v>
      </c>
      <c r="AF14" s="100">
        <f t="shared" si="15"/>
        <v>271.5420919656392</v>
      </c>
      <c r="AG14" s="100">
        <f t="shared" si="15"/>
        <v>428.6</v>
      </c>
      <c r="AH14" s="100">
        <f t="shared" si="15"/>
        <v>618.1</v>
      </c>
      <c r="AJ14">
        <f t="shared" si="17"/>
        <v>2022</v>
      </c>
      <c r="AK14" s="100">
        <f t="shared" si="9"/>
        <v>766.2</v>
      </c>
      <c r="AL14" s="100">
        <f t="shared" si="9"/>
        <v>607.30000000000018</v>
      </c>
      <c r="AM14" s="100">
        <f t="shared" si="9"/>
        <v>465.93552299140975</v>
      </c>
      <c r="AN14" s="100">
        <f t="shared" si="9"/>
        <v>333.80000000000007</v>
      </c>
      <c r="AO14" s="100">
        <f t="shared" si="9"/>
        <v>92.700000000000031</v>
      </c>
      <c r="AP14" s="100">
        <f t="shared" si="9"/>
        <v>6.5355229914098061</v>
      </c>
      <c r="AQ14" s="100">
        <f t="shared" si="9"/>
        <v>0</v>
      </c>
      <c r="AR14" s="100">
        <f t="shared" si="9"/>
        <v>0</v>
      </c>
      <c r="AS14" s="100">
        <f t="shared" si="9"/>
        <v>47.400000000000006</v>
      </c>
      <c r="AT14" s="100">
        <f t="shared" si="9"/>
        <v>209.6420919656392</v>
      </c>
      <c r="AU14" s="100">
        <f t="shared" si="9"/>
        <v>368.6</v>
      </c>
      <c r="AV14" s="100">
        <f t="shared" si="9"/>
        <v>556.1</v>
      </c>
      <c r="AW14" s="231">
        <f>SUM(AK14:AV14)</f>
        <v>3454.213137948459</v>
      </c>
      <c r="AX14">
        <f t="shared" si="19"/>
        <v>2022</v>
      </c>
      <c r="AY14" s="100">
        <f t="shared" si="10"/>
        <v>704.2</v>
      </c>
      <c r="AZ14" s="100">
        <f t="shared" si="10"/>
        <v>551.30000000000007</v>
      </c>
      <c r="BA14" s="100">
        <f t="shared" si="10"/>
        <v>403.93552299140981</v>
      </c>
      <c r="BB14" s="100">
        <f t="shared" si="10"/>
        <v>275.80000000000007</v>
      </c>
      <c r="BC14" s="100">
        <f t="shared" si="10"/>
        <v>60.899999999999991</v>
      </c>
      <c r="BD14" s="100">
        <f t="shared" si="10"/>
        <v>0.33552299140980679</v>
      </c>
      <c r="BE14" s="100">
        <f t="shared" si="10"/>
        <v>0</v>
      </c>
      <c r="BF14" s="100">
        <f t="shared" si="10"/>
        <v>0</v>
      </c>
      <c r="BG14" s="100">
        <f t="shared" si="10"/>
        <v>27.5</v>
      </c>
      <c r="BH14" s="100">
        <f t="shared" si="10"/>
        <v>155.24209196563922</v>
      </c>
      <c r="BI14" s="100">
        <f t="shared" si="10"/>
        <v>310.89999999999998</v>
      </c>
      <c r="BJ14" s="100">
        <f t="shared" si="10"/>
        <v>494.09999999999997</v>
      </c>
      <c r="BL14">
        <f t="shared" si="20"/>
        <v>2022</v>
      </c>
      <c r="BM14" s="100">
        <f t="shared" si="11"/>
        <v>642.20000000000005</v>
      </c>
      <c r="BN14" s="100">
        <f t="shared" si="11"/>
        <v>495.30000000000007</v>
      </c>
      <c r="BO14" s="100">
        <f t="shared" si="11"/>
        <v>341.93552299140981</v>
      </c>
      <c r="BP14" s="100">
        <f t="shared" si="11"/>
        <v>220.60000000000005</v>
      </c>
      <c r="BQ14" s="100">
        <f t="shared" si="11"/>
        <v>33</v>
      </c>
      <c r="BR14" s="100">
        <f t="shared" si="11"/>
        <v>0</v>
      </c>
      <c r="BS14" s="100">
        <f t="shared" si="11"/>
        <v>0</v>
      </c>
      <c r="BT14" s="100">
        <f t="shared" si="11"/>
        <v>0</v>
      </c>
      <c r="BU14" s="100">
        <f t="shared" si="11"/>
        <v>10.600000000000001</v>
      </c>
      <c r="BV14" s="100">
        <f t="shared" si="11"/>
        <v>109.40656897422942</v>
      </c>
      <c r="BW14" s="100">
        <f t="shared" si="11"/>
        <v>256.09999999999997</v>
      </c>
      <c r="BX14" s="100">
        <f t="shared" si="11"/>
        <v>432.09999999999997</v>
      </c>
      <c r="BZ14">
        <f t="shared" si="21"/>
        <v>2022</v>
      </c>
      <c r="CA14" s="100">
        <f t="shared" si="12"/>
        <v>580.19999999999993</v>
      </c>
      <c r="CB14" s="100">
        <f t="shared" si="12"/>
        <v>439.3</v>
      </c>
      <c r="CC14" s="100">
        <f t="shared" si="12"/>
        <v>279.93552299140987</v>
      </c>
      <c r="CD14" s="100">
        <f t="shared" si="12"/>
        <v>168.70000000000002</v>
      </c>
      <c r="CE14" s="100">
        <f t="shared" si="12"/>
        <v>12.999999999999998</v>
      </c>
      <c r="CF14" s="100">
        <f t="shared" si="12"/>
        <v>0</v>
      </c>
      <c r="CG14" s="100">
        <f t="shared" si="12"/>
        <v>0</v>
      </c>
      <c r="CH14" s="100">
        <f t="shared" si="12"/>
        <v>0</v>
      </c>
      <c r="CI14" s="100">
        <f t="shared" si="12"/>
        <v>2.5</v>
      </c>
      <c r="CJ14" s="100">
        <f t="shared" si="12"/>
        <v>70.871045982819609</v>
      </c>
      <c r="CK14" s="100">
        <f t="shared" si="12"/>
        <v>203.69999999999996</v>
      </c>
      <c r="CL14" s="100">
        <f t="shared" si="12"/>
        <v>370.1</v>
      </c>
      <c r="CN14">
        <f t="shared" si="22"/>
        <v>2022</v>
      </c>
      <c r="CO14" s="100">
        <f t="shared" si="13"/>
        <v>518.19999999999993</v>
      </c>
      <c r="CP14" s="100">
        <f t="shared" si="13"/>
        <v>383.29999999999995</v>
      </c>
      <c r="CQ14" s="100">
        <f t="shared" si="13"/>
        <v>218.83552299140982</v>
      </c>
      <c r="CR14" s="100">
        <f t="shared" si="13"/>
        <v>121.39999999999999</v>
      </c>
      <c r="CS14" s="100">
        <f t="shared" si="13"/>
        <v>1.5999999999999996</v>
      </c>
      <c r="CT14" s="100">
        <f t="shared" si="13"/>
        <v>0</v>
      </c>
      <c r="CU14" s="100">
        <f t="shared" si="13"/>
        <v>0</v>
      </c>
      <c r="CV14" s="100">
        <f t="shared" si="13"/>
        <v>0</v>
      </c>
      <c r="CW14" s="100">
        <f t="shared" si="13"/>
        <v>0</v>
      </c>
      <c r="CX14" s="100">
        <f t="shared" si="13"/>
        <v>40.135522991409808</v>
      </c>
      <c r="CY14" s="100">
        <f t="shared" si="13"/>
        <v>155.89999999999995</v>
      </c>
      <c r="CZ14" s="100">
        <f t="shared" si="13"/>
        <v>308.3</v>
      </c>
      <c r="DB14">
        <f t="shared" si="23"/>
        <v>2022</v>
      </c>
      <c r="DC14" s="100">
        <f t="shared" si="14"/>
        <v>456.2</v>
      </c>
      <c r="DD14" s="100">
        <f t="shared" si="14"/>
        <v>327.29999999999995</v>
      </c>
      <c r="DE14" s="100">
        <f t="shared" si="14"/>
        <v>161.23552299140979</v>
      </c>
      <c r="DF14" s="100">
        <f t="shared" si="14"/>
        <v>79.599999999999994</v>
      </c>
      <c r="DG14" s="100">
        <f t="shared" si="14"/>
        <v>0</v>
      </c>
      <c r="DH14" s="100">
        <f t="shared" si="14"/>
        <v>0</v>
      </c>
      <c r="DI14" s="100">
        <f t="shared" si="14"/>
        <v>0</v>
      </c>
      <c r="DJ14" s="100">
        <f t="shared" si="14"/>
        <v>0</v>
      </c>
      <c r="DK14" s="100">
        <f t="shared" si="14"/>
        <v>0</v>
      </c>
      <c r="DL14" s="100">
        <f t="shared" si="14"/>
        <v>18.535522991409803</v>
      </c>
      <c r="DM14" s="100">
        <f t="shared" si="14"/>
        <v>114.3</v>
      </c>
      <c r="DN14" s="100">
        <f t="shared" si="14"/>
        <v>248.29999999999998</v>
      </c>
    </row>
    <row r="15" spans="1:129">
      <c r="A15" s="197">
        <f t="shared" si="0"/>
        <v>37288</v>
      </c>
      <c r="B15">
        <v>2002</v>
      </c>
      <c r="C15">
        <v>2</v>
      </c>
      <c r="D15">
        <v>550.80000000000007</v>
      </c>
      <c r="E15">
        <v>0</v>
      </c>
      <c r="F15">
        <v>494.80000000000007</v>
      </c>
      <c r="G15">
        <v>0</v>
      </c>
      <c r="H15">
        <v>438.80000000000007</v>
      </c>
      <c r="I15">
        <v>0</v>
      </c>
      <c r="J15">
        <v>382.80000000000013</v>
      </c>
      <c r="K15">
        <v>0</v>
      </c>
      <c r="L15">
        <v>326.80000000000007</v>
      </c>
      <c r="M15">
        <v>0</v>
      </c>
      <c r="N15">
        <v>270.80000000000013</v>
      </c>
      <c r="O15">
        <v>0</v>
      </c>
      <c r="P15">
        <v>214.90000000000006</v>
      </c>
      <c r="Q15">
        <v>9.9999999999999645E-2</v>
      </c>
      <c r="R15" s="254">
        <v>0.32857142857142846</v>
      </c>
      <c r="V15">
        <f t="shared" si="16"/>
        <v>2023</v>
      </c>
      <c r="W15" s="100">
        <f t="shared" si="15"/>
        <v>610.70000000000005</v>
      </c>
      <c r="X15" s="100">
        <f t="shared" si="15"/>
        <v>547.23552299140999</v>
      </c>
      <c r="Y15" s="100">
        <f t="shared" si="15"/>
        <v>542.1</v>
      </c>
      <c r="Z15" s="100">
        <f t="shared" si="15"/>
        <v>319.59999999999997</v>
      </c>
      <c r="AA15" s="100">
        <f t="shared" si="15"/>
        <v>176.7</v>
      </c>
      <c r="AB15" s="100">
        <f t="shared" si="15"/>
        <v>40.699999999999996</v>
      </c>
      <c r="AC15" s="100">
        <f t="shared" si="15"/>
        <v>0.39999999999999858</v>
      </c>
      <c r="AD15" s="100">
        <f t="shared" si="15"/>
        <v>25.371045982819613</v>
      </c>
      <c r="AE15" s="100">
        <f t="shared" si="15"/>
        <v>69.071045982819612</v>
      </c>
      <c r="AF15" s="100">
        <f t="shared" si="15"/>
        <v>243</v>
      </c>
      <c r="AG15" s="100">
        <f t="shared" si="15"/>
        <v>462.39999999999992</v>
      </c>
      <c r="AH15" s="100">
        <f t="shared" si="15"/>
        <v>493.4</v>
      </c>
      <c r="AJ15">
        <f t="shared" si="17"/>
        <v>2023</v>
      </c>
      <c r="AK15" s="100">
        <f t="shared" ref="AK15:AU15" si="24">SUMIFS($F:$F,$B:$B,$V15,$C:$C,AK$4)</f>
        <v>548.70000000000005</v>
      </c>
      <c r="AL15" s="100">
        <f t="shared" si="24"/>
        <v>491.23552299140994</v>
      </c>
      <c r="AM15" s="100">
        <f t="shared" si="24"/>
        <v>480.09999999999997</v>
      </c>
      <c r="AN15" s="100">
        <f t="shared" si="24"/>
        <v>263.89999999999998</v>
      </c>
      <c r="AO15" s="100">
        <f t="shared" si="24"/>
        <v>122.5</v>
      </c>
      <c r="AP15" s="100">
        <f t="shared" si="24"/>
        <v>14.600000000000001</v>
      </c>
      <c r="AQ15" s="100">
        <f t="shared" si="24"/>
        <v>0</v>
      </c>
      <c r="AR15" s="100">
        <f t="shared" si="24"/>
        <v>8.5710459828196122</v>
      </c>
      <c r="AS15" s="100">
        <f t="shared" si="24"/>
        <v>26.171045982819621</v>
      </c>
      <c r="AT15" s="100">
        <f t="shared" si="24"/>
        <v>191.00000000000003</v>
      </c>
      <c r="AU15" s="100">
        <f t="shared" si="24"/>
        <v>402.39999999999992</v>
      </c>
      <c r="AV15" s="100">
        <f t="shared" si="9"/>
        <v>431.4</v>
      </c>
      <c r="AW15" s="231">
        <f t="shared" si="18"/>
        <v>2980.5776149570493</v>
      </c>
      <c r="AX15">
        <f t="shared" si="19"/>
        <v>2023</v>
      </c>
      <c r="AY15" s="100">
        <f t="shared" ref="AY15:BI15" si="25">SUMIFS($H:$H,$B:$B,$V15,$C:$C,AY$4)</f>
        <v>486.7000000000001</v>
      </c>
      <c r="AZ15" s="100">
        <f t="shared" si="25"/>
        <v>435.23552299140994</v>
      </c>
      <c r="BA15" s="100">
        <f t="shared" si="25"/>
        <v>418.09999999999997</v>
      </c>
      <c r="BB15" s="100">
        <f t="shared" si="25"/>
        <v>211.8</v>
      </c>
      <c r="BC15" s="100">
        <f t="shared" si="25"/>
        <v>80.299999999999983</v>
      </c>
      <c r="BD15" s="100">
        <f t="shared" si="25"/>
        <v>3.5</v>
      </c>
      <c r="BE15" s="100">
        <f t="shared" si="25"/>
        <v>0</v>
      </c>
      <c r="BF15" s="100">
        <f t="shared" si="25"/>
        <v>2.3999999999999986</v>
      </c>
      <c r="BG15" s="100">
        <f t="shared" si="25"/>
        <v>5.4355229914098082</v>
      </c>
      <c r="BH15" s="100">
        <f t="shared" si="25"/>
        <v>144.19999999999999</v>
      </c>
      <c r="BI15" s="100">
        <f t="shared" si="25"/>
        <v>342.39999999999992</v>
      </c>
      <c r="BJ15" s="100">
        <f t="shared" si="10"/>
        <v>369.40000000000003</v>
      </c>
      <c r="BL15">
        <f t="shared" si="20"/>
        <v>2023</v>
      </c>
      <c r="BM15" s="100">
        <f t="shared" ref="BM15:BW15" si="26">SUMIFS($J:$J,$B:$B,$V15,$C:$C,BM$4)</f>
        <v>424.7000000000001</v>
      </c>
      <c r="BN15" s="100">
        <f t="shared" si="26"/>
        <v>379.23552299140988</v>
      </c>
      <c r="BO15" s="100">
        <f t="shared" si="26"/>
        <v>356.09999999999997</v>
      </c>
      <c r="BP15" s="100">
        <f t="shared" si="26"/>
        <v>164.3</v>
      </c>
      <c r="BQ15" s="100">
        <f t="shared" si="26"/>
        <v>46.400000000000006</v>
      </c>
      <c r="BR15" s="100">
        <f t="shared" si="26"/>
        <v>9.9999999999999645E-2</v>
      </c>
      <c r="BS15" s="100">
        <f t="shared" si="26"/>
        <v>0</v>
      </c>
      <c r="BT15" s="100">
        <f t="shared" si="26"/>
        <v>0</v>
      </c>
      <c r="BU15" s="100">
        <f t="shared" si="26"/>
        <v>0</v>
      </c>
      <c r="BV15" s="100">
        <f t="shared" si="26"/>
        <v>100.29999999999998</v>
      </c>
      <c r="BW15" s="100">
        <f t="shared" si="26"/>
        <v>282.40000000000003</v>
      </c>
      <c r="BX15" s="100">
        <f t="shared" si="11"/>
        <v>307.40000000000009</v>
      </c>
      <c r="BZ15">
        <f t="shared" si="21"/>
        <v>2023</v>
      </c>
      <c r="CA15" s="100">
        <f t="shared" ref="CA15:CK15" si="27">SUMIFS($L:$L,$B:$B,$V15,$C:$C,CA$4)</f>
        <v>362.7000000000001</v>
      </c>
      <c r="CB15" s="100">
        <f t="shared" si="27"/>
        <v>323.23552299140982</v>
      </c>
      <c r="CC15" s="100">
        <f t="shared" si="27"/>
        <v>294.10000000000002</v>
      </c>
      <c r="CD15" s="100">
        <f t="shared" si="27"/>
        <v>118.80000000000001</v>
      </c>
      <c r="CE15" s="100">
        <f t="shared" si="27"/>
        <v>27</v>
      </c>
      <c r="CF15" s="100">
        <f t="shared" si="27"/>
        <v>0</v>
      </c>
      <c r="CG15" s="100">
        <f t="shared" si="27"/>
        <v>0</v>
      </c>
      <c r="CH15" s="100">
        <f t="shared" si="27"/>
        <v>0</v>
      </c>
      <c r="CI15" s="100">
        <f t="shared" si="27"/>
        <v>0</v>
      </c>
      <c r="CJ15" s="100">
        <f t="shared" si="27"/>
        <v>60.400000000000006</v>
      </c>
      <c r="CK15" s="100">
        <f t="shared" si="27"/>
        <v>222.40000000000003</v>
      </c>
      <c r="CL15" s="100">
        <f t="shared" si="12"/>
        <v>245.40000000000006</v>
      </c>
      <c r="CN15">
        <f t="shared" si="22"/>
        <v>2023</v>
      </c>
      <c r="CO15" s="100">
        <f t="shared" ref="CO15:CY15" si="28">SUMIFS($N:$N,$B:$B,$V15,$C:$C,CO$4)</f>
        <v>300.70000000000005</v>
      </c>
      <c r="CP15" s="100">
        <f t="shared" si="28"/>
        <v>267.23552299140982</v>
      </c>
      <c r="CQ15" s="100">
        <f t="shared" si="28"/>
        <v>232.10000000000008</v>
      </c>
      <c r="CR15" s="100">
        <f t="shared" si="28"/>
        <v>78.7</v>
      </c>
      <c r="CS15" s="100">
        <f t="shared" si="28"/>
        <v>14.5</v>
      </c>
      <c r="CT15" s="100">
        <f t="shared" si="28"/>
        <v>0</v>
      </c>
      <c r="CU15" s="100">
        <f t="shared" si="28"/>
        <v>0</v>
      </c>
      <c r="CV15" s="100">
        <f t="shared" si="28"/>
        <v>0</v>
      </c>
      <c r="CW15" s="100">
        <f t="shared" si="28"/>
        <v>0</v>
      </c>
      <c r="CX15" s="100">
        <f t="shared" si="28"/>
        <v>31</v>
      </c>
      <c r="CY15" s="100">
        <f t="shared" si="28"/>
        <v>164.3</v>
      </c>
      <c r="CZ15" s="100">
        <f t="shared" si="13"/>
        <v>183.90000000000006</v>
      </c>
      <c r="DB15">
        <f t="shared" si="23"/>
        <v>2023</v>
      </c>
      <c r="DC15" s="100">
        <f t="shared" ref="DC15:DM15" si="29">SUMIFS($P:$P,$B:$B,$V15,$C:$C,DC$4)</f>
        <v>239.3</v>
      </c>
      <c r="DD15" s="100">
        <f t="shared" si="29"/>
        <v>213.03552299140983</v>
      </c>
      <c r="DE15" s="100">
        <f t="shared" si="29"/>
        <v>170.10000000000008</v>
      </c>
      <c r="DF15" s="100">
        <f t="shared" si="29"/>
        <v>44.4</v>
      </c>
      <c r="DG15" s="100">
        <f t="shared" si="29"/>
        <v>6.0000000000000009</v>
      </c>
      <c r="DH15" s="100">
        <f t="shared" si="29"/>
        <v>0</v>
      </c>
      <c r="DI15" s="100">
        <f t="shared" si="29"/>
        <v>0</v>
      </c>
      <c r="DJ15" s="100">
        <f t="shared" si="29"/>
        <v>0</v>
      </c>
      <c r="DK15" s="100">
        <f t="shared" si="29"/>
        <v>0</v>
      </c>
      <c r="DL15" s="100">
        <f t="shared" si="29"/>
        <v>16</v>
      </c>
      <c r="DM15" s="100">
        <f t="shared" si="29"/>
        <v>113.20000000000002</v>
      </c>
      <c r="DN15" s="100">
        <f t="shared" si="14"/>
        <v>126.10000000000001</v>
      </c>
    </row>
    <row r="16" spans="1:129">
      <c r="A16" s="197">
        <f t="shared" si="0"/>
        <v>37316</v>
      </c>
      <c r="B16">
        <v>2002</v>
      </c>
      <c r="C16">
        <v>3</v>
      </c>
      <c r="D16">
        <v>575.9</v>
      </c>
      <c r="E16">
        <v>0</v>
      </c>
      <c r="F16">
        <v>513.90000000000009</v>
      </c>
      <c r="G16">
        <v>0</v>
      </c>
      <c r="H16">
        <v>451.90000000000009</v>
      </c>
      <c r="I16">
        <v>0</v>
      </c>
      <c r="J16">
        <v>389.90000000000003</v>
      </c>
      <c r="K16">
        <v>0</v>
      </c>
      <c r="L16">
        <v>327.90000000000003</v>
      </c>
      <c r="M16">
        <v>0</v>
      </c>
      <c r="N16">
        <v>265.90000000000003</v>
      </c>
      <c r="O16">
        <v>0</v>
      </c>
      <c r="P16">
        <v>206.39999999999995</v>
      </c>
      <c r="Q16">
        <v>2.5</v>
      </c>
      <c r="R16" s="254">
        <v>1.4225806451612903</v>
      </c>
    </row>
    <row r="17" spans="1:118">
      <c r="A17" s="197">
        <f t="shared" si="0"/>
        <v>37347</v>
      </c>
      <c r="B17">
        <v>2002</v>
      </c>
      <c r="C17">
        <v>4</v>
      </c>
      <c r="D17">
        <v>325.29999999999995</v>
      </c>
      <c r="E17">
        <v>7.1000000000000014</v>
      </c>
      <c r="F17">
        <v>273.3</v>
      </c>
      <c r="G17">
        <v>15.100000000000001</v>
      </c>
      <c r="H17">
        <v>223</v>
      </c>
      <c r="I17">
        <v>24.8</v>
      </c>
      <c r="J17">
        <v>175</v>
      </c>
      <c r="K17">
        <v>36.799999999999997</v>
      </c>
      <c r="L17">
        <v>128.1</v>
      </c>
      <c r="M17">
        <v>49.899999999999991</v>
      </c>
      <c r="N17">
        <v>87.200000000000017</v>
      </c>
      <c r="O17">
        <v>69</v>
      </c>
      <c r="P17">
        <v>54.6</v>
      </c>
      <c r="Q17">
        <v>96.399999999999991</v>
      </c>
      <c r="R17" s="254">
        <v>9.3933333333333344</v>
      </c>
      <c r="V17" s="10" t="s">
        <v>152</v>
      </c>
      <c r="W17" s="100">
        <f>AVERAGE(W6:W15)</f>
        <v>733</v>
      </c>
      <c r="X17" s="100">
        <f>AVERAGE(X6:X15)</f>
        <v>651.91355229914109</v>
      </c>
      <c r="Y17" s="100">
        <f>AVERAGE(Y6:Y15)</f>
        <v>558.46355229914104</v>
      </c>
      <c r="Z17" s="100">
        <f t="shared" ref="Z17:AF17" si="30">AVERAGE(Z6:Z15)</f>
        <v>355.53</v>
      </c>
      <c r="AA17" s="100">
        <f t="shared" si="30"/>
        <v>163.99355229914099</v>
      </c>
      <c r="AB17" s="100">
        <f t="shared" si="30"/>
        <v>30.283552299140979</v>
      </c>
      <c r="AC17" s="100">
        <f t="shared" si="30"/>
        <v>5.7</v>
      </c>
      <c r="AD17" s="100">
        <f t="shared" si="30"/>
        <v>11.161313794845885</v>
      </c>
      <c r="AE17" s="100">
        <f t="shared" si="30"/>
        <v>72.950656897422931</v>
      </c>
      <c r="AF17" s="100">
        <f t="shared" si="30"/>
        <v>250.70420919656394</v>
      </c>
      <c r="AG17" s="100">
        <f>AVERAGE(AG6:AG15)</f>
        <v>463.88065689742291</v>
      </c>
      <c r="AH17" s="100">
        <f>AVERAGE(AH6:AH15)</f>
        <v>595.77</v>
      </c>
      <c r="AJ17" s="10" t="s">
        <v>152</v>
      </c>
      <c r="AK17" s="100">
        <f>AVERAGE(AK6:AK15)</f>
        <v>671</v>
      </c>
      <c r="AL17" s="100">
        <f>AVERAGE(AL6:AL15)</f>
        <v>595.51355229914111</v>
      </c>
      <c r="AM17" s="100">
        <f>AVERAGE(AM6:AM15)</f>
        <v>496.46355229914104</v>
      </c>
      <c r="AN17" s="100">
        <f t="shared" ref="AN17:AT17" si="31">AVERAGE(AN6:AN15)</f>
        <v>296.23000000000008</v>
      </c>
      <c r="AO17" s="100">
        <f t="shared" si="31"/>
        <v>116.90355229914098</v>
      </c>
      <c r="AP17" s="100">
        <f t="shared" si="31"/>
        <v>11.023552299140979</v>
      </c>
      <c r="AQ17" s="100">
        <f t="shared" si="31"/>
        <v>0.75</v>
      </c>
      <c r="AR17" s="100">
        <f t="shared" si="31"/>
        <v>2.7971045982819609</v>
      </c>
      <c r="AS17" s="100">
        <f t="shared" si="31"/>
        <v>39.200656897422931</v>
      </c>
      <c r="AT17" s="100">
        <f t="shared" si="31"/>
        <v>194.90420919656393</v>
      </c>
      <c r="AU17" s="100">
        <f>AVERAGE(AU6:AU15)</f>
        <v>404.02065689742301</v>
      </c>
      <c r="AV17" s="100">
        <f>AVERAGE(AV6:AV15)</f>
        <v>533.7700000000001</v>
      </c>
      <c r="AW17" s="231">
        <f t="shared" si="18"/>
        <v>3362.5768367862556</v>
      </c>
      <c r="AX17" s="10" t="s">
        <v>152</v>
      </c>
      <c r="AY17" s="100">
        <f>AVERAGE(AY6:AY15)</f>
        <v>608.99999999999989</v>
      </c>
      <c r="AZ17" s="100">
        <f>AVERAGE(AZ6:AZ15)</f>
        <v>539.11355229914102</v>
      </c>
      <c r="BA17" s="100">
        <f>AVERAGE(BA6:BA15)</f>
        <v>434.46355229914104</v>
      </c>
      <c r="BB17" s="100">
        <f t="shared" ref="BB17:BH17" si="32">AVERAGE(BB6:BB15)</f>
        <v>238.61000000000004</v>
      </c>
      <c r="BC17" s="100">
        <f t="shared" si="32"/>
        <v>77.693552299140975</v>
      </c>
      <c r="BD17" s="100">
        <f t="shared" si="32"/>
        <v>2.8535522991409801</v>
      </c>
      <c r="BE17" s="100">
        <f t="shared" si="32"/>
        <v>1.9999999999999928E-2</v>
      </c>
      <c r="BF17" s="100">
        <f t="shared" si="32"/>
        <v>0.49999999999999983</v>
      </c>
      <c r="BG17" s="100">
        <f t="shared" si="32"/>
        <v>17.56355229914098</v>
      </c>
      <c r="BH17" s="100">
        <f t="shared" si="32"/>
        <v>143.81420919656392</v>
      </c>
      <c r="BI17" s="100">
        <f>AVERAGE(BI6:BI15)</f>
        <v>344.55065689742298</v>
      </c>
      <c r="BJ17" s="100">
        <f>AVERAGE(BJ6:BJ15)</f>
        <v>471.77</v>
      </c>
      <c r="BL17" s="10" t="s">
        <v>152</v>
      </c>
      <c r="BM17" s="100">
        <f>AVERAGE(BM6:BM15)</f>
        <v>546.99999999999989</v>
      </c>
      <c r="BN17" s="100">
        <f>AVERAGE(BN6:BN15)</f>
        <v>482.71355229914104</v>
      </c>
      <c r="BO17" s="100">
        <f>AVERAGE(BO6:BO15)</f>
        <v>372.63355229914106</v>
      </c>
      <c r="BP17" s="100">
        <f t="shared" ref="BP17:BV17" si="33">AVERAGE(BP6:BP15)</f>
        <v>184.31</v>
      </c>
      <c r="BQ17" s="100">
        <f t="shared" si="33"/>
        <v>47.083552299140976</v>
      </c>
      <c r="BR17" s="100">
        <f t="shared" si="33"/>
        <v>0.4200000000000001</v>
      </c>
      <c r="BS17" s="100">
        <f t="shared" si="33"/>
        <v>0</v>
      </c>
      <c r="BT17" s="100">
        <f t="shared" si="33"/>
        <v>0</v>
      </c>
      <c r="BU17" s="100">
        <f t="shared" si="33"/>
        <v>5.87</v>
      </c>
      <c r="BV17" s="100">
        <f t="shared" si="33"/>
        <v>99.500656897422942</v>
      </c>
      <c r="BW17" s="100">
        <f>AVERAGE(BW6:BW15)</f>
        <v>286.30065689742298</v>
      </c>
      <c r="BX17" s="100">
        <f>AVERAGE(BX6:BX15)</f>
        <v>409.7700000000001</v>
      </c>
      <c r="BZ17" s="10" t="s">
        <v>152</v>
      </c>
      <c r="CA17" s="100">
        <f>AVERAGE(CA6:CA15)</f>
        <v>485</v>
      </c>
      <c r="CB17" s="100">
        <f>AVERAGE(CB6:CB15)</f>
        <v>426.41355229914109</v>
      </c>
      <c r="CC17" s="100">
        <f>AVERAGE(CC6:CC15)</f>
        <v>311.72355229914103</v>
      </c>
      <c r="CD17" s="100">
        <f t="shared" ref="CD17:CJ17" si="34">AVERAGE(CD6:CD15)</f>
        <v>133.88</v>
      </c>
      <c r="CE17" s="100">
        <f t="shared" si="34"/>
        <v>25.23</v>
      </c>
      <c r="CF17" s="100">
        <f t="shared" si="34"/>
        <v>4.0000000000000036E-2</v>
      </c>
      <c r="CG17" s="100">
        <f t="shared" si="34"/>
        <v>0</v>
      </c>
      <c r="CH17" s="100">
        <f t="shared" si="34"/>
        <v>0</v>
      </c>
      <c r="CI17" s="100">
        <f t="shared" si="34"/>
        <v>1.2500000000000002</v>
      </c>
      <c r="CJ17" s="100">
        <f t="shared" si="34"/>
        <v>62.157104598281954</v>
      </c>
      <c r="CK17" s="100">
        <f>AVERAGE(CK6:CK15)</f>
        <v>230.04065689742296</v>
      </c>
      <c r="CL17" s="100">
        <f>AVERAGE(CL6:CL15)</f>
        <v>347.85</v>
      </c>
      <c r="CN17" s="10" t="s">
        <v>152</v>
      </c>
      <c r="CO17" s="100">
        <f>AVERAGE(CO6:CO15)</f>
        <v>423</v>
      </c>
      <c r="CP17" s="100">
        <f>AVERAGE(CP6:CP15)</f>
        <v>370.65355229914098</v>
      </c>
      <c r="CQ17" s="100">
        <f>AVERAGE(CQ6:CQ15)</f>
        <v>252.34355229914098</v>
      </c>
      <c r="CR17" s="100">
        <f t="shared" ref="CR17:CX17" si="35">AVERAGE(CR6:CR15)</f>
        <v>89.63000000000001</v>
      </c>
      <c r="CS17" s="100">
        <f t="shared" si="35"/>
        <v>11.12</v>
      </c>
      <c r="CT17" s="100">
        <f t="shared" si="35"/>
        <v>0</v>
      </c>
      <c r="CU17" s="100">
        <f t="shared" si="35"/>
        <v>0</v>
      </c>
      <c r="CV17" s="100">
        <f t="shared" si="35"/>
        <v>0</v>
      </c>
      <c r="CW17" s="100">
        <f t="shared" si="35"/>
        <v>3.0000000000000072E-2</v>
      </c>
      <c r="CX17" s="100">
        <f t="shared" si="35"/>
        <v>33.233552299140982</v>
      </c>
      <c r="CY17" s="100">
        <f>AVERAGE(CY6:CY15)</f>
        <v>176.59065689742295</v>
      </c>
      <c r="CZ17" s="100">
        <f>AVERAGE(CZ6:CZ15)</f>
        <v>286.38000000000005</v>
      </c>
      <c r="DB17" s="10" t="s">
        <v>152</v>
      </c>
      <c r="DC17" s="100">
        <f>AVERAGE(DC6:DC15)</f>
        <v>361.19</v>
      </c>
      <c r="DD17" s="100">
        <f>AVERAGE(DD6:DD15)</f>
        <v>315.93355229914101</v>
      </c>
      <c r="DE17" s="100">
        <f>AVERAGE(DE6:DE15)</f>
        <v>195.19355229914103</v>
      </c>
      <c r="DF17" s="100">
        <f t="shared" ref="DF17:DL17" si="36">AVERAGE(DF6:DF15)</f>
        <v>54.08</v>
      </c>
      <c r="DG17" s="100">
        <f t="shared" si="36"/>
        <v>3.2800000000000002</v>
      </c>
      <c r="DH17" s="100">
        <f t="shared" si="36"/>
        <v>0</v>
      </c>
      <c r="DI17" s="100">
        <f t="shared" si="36"/>
        <v>0</v>
      </c>
      <c r="DJ17" s="100">
        <f t="shared" si="36"/>
        <v>0</v>
      </c>
      <c r="DK17" s="100">
        <f t="shared" si="36"/>
        <v>0</v>
      </c>
      <c r="DL17" s="100">
        <f t="shared" si="36"/>
        <v>14.103552299140977</v>
      </c>
      <c r="DM17" s="100">
        <f>AVERAGE(DM6:DM15)</f>
        <v>128.89065689742296</v>
      </c>
      <c r="DN17" s="100">
        <f>AVERAGE(DN6:DN15)</f>
        <v>226.38000000000002</v>
      </c>
    </row>
    <row r="18" spans="1:118">
      <c r="A18" s="197">
        <f t="shared" si="0"/>
        <v>37377</v>
      </c>
      <c r="B18">
        <v>2002</v>
      </c>
      <c r="C18">
        <v>5</v>
      </c>
      <c r="D18">
        <v>241</v>
      </c>
      <c r="E18">
        <v>6.4000000000000021</v>
      </c>
      <c r="F18">
        <v>185.1</v>
      </c>
      <c r="G18">
        <v>12.500000000000004</v>
      </c>
      <c r="H18">
        <v>132.69999999999996</v>
      </c>
      <c r="I18">
        <v>22.100000000000005</v>
      </c>
      <c r="J18">
        <v>89.3</v>
      </c>
      <c r="K18">
        <v>40.700000000000003</v>
      </c>
      <c r="L18">
        <v>51.8</v>
      </c>
      <c r="M18">
        <v>65.199999999999989</v>
      </c>
      <c r="N18">
        <v>23.999999999999996</v>
      </c>
      <c r="O18">
        <v>99.399999999999977</v>
      </c>
      <c r="P18">
        <v>7.7</v>
      </c>
      <c r="Q18">
        <v>145.1</v>
      </c>
      <c r="R18" s="254">
        <v>12.432258064516132</v>
      </c>
    </row>
    <row r="19" spans="1:118">
      <c r="A19" s="197">
        <f t="shared" si="0"/>
        <v>37408</v>
      </c>
      <c r="B19">
        <v>2002</v>
      </c>
      <c r="C19">
        <v>6</v>
      </c>
      <c r="D19">
        <v>39.800000000000004</v>
      </c>
      <c r="E19">
        <v>81.600000000000023</v>
      </c>
      <c r="F19">
        <v>16.5</v>
      </c>
      <c r="G19">
        <v>118.30000000000001</v>
      </c>
      <c r="H19">
        <v>5.3000000000000007</v>
      </c>
      <c r="I19">
        <v>167.1</v>
      </c>
      <c r="J19">
        <v>1.6999999999999993</v>
      </c>
      <c r="K19">
        <v>223.49999999999997</v>
      </c>
      <c r="L19">
        <v>0</v>
      </c>
      <c r="M19">
        <v>281.8</v>
      </c>
      <c r="N19">
        <v>0</v>
      </c>
      <c r="O19">
        <v>341.79999999999995</v>
      </c>
      <c r="P19">
        <v>0</v>
      </c>
      <c r="Q19">
        <v>401.8</v>
      </c>
      <c r="R19" s="254">
        <v>21.393333333333331</v>
      </c>
    </row>
    <row r="20" spans="1:118">
      <c r="A20" s="197">
        <f t="shared" si="0"/>
        <v>37438</v>
      </c>
      <c r="B20">
        <v>2002</v>
      </c>
      <c r="C20">
        <v>7</v>
      </c>
      <c r="D20">
        <v>0.80000000000000426</v>
      </c>
      <c r="E20">
        <v>139.90000000000003</v>
      </c>
      <c r="F20">
        <v>0</v>
      </c>
      <c r="G20">
        <v>201.10000000000002</v>
      </c>
      <c r="H20">
        <v>0</v>
      </c>
      <c r="I20">
        <v>263.10000000000002</v>
      </c>
      <c r="J20">
        <v>0</v>
      </c>
      <c r="K20">
        <v>325.10000000000008</v>
      </c>
      <c r="L20">
        <v>0</v>
      </c>
      <c r="M20">
        <v>387.09999999999997</v>
      </c>
      <c r="N20">
        <v>0</v>
      </c>
      <c r="O20">
        <v>449.09999999999997</v>
      </c>
      <c r="P20">
        <v>0</v>
      </c>
      <c r="Q20">
        <v>511.09999999999997</v>
      </c>
      <c r="R20" s="254">
        <v>24.487096774193549</v>
      </c>
      <c r="V20" s="13" t="str">
        <f>E1</f>
        <v>CDD20</v>
      </c>
      <c r="W20" s="1" t="s">
        <v>64</v>
      </c>
      <c r="X20" s="1" t="s">
        <v>65</v>
      </c>
      <c r="Y20" s="1" t="s">
        <v>66</v>
      </c>
      <c r="Z20" s="1" t="s">
        <v>67</v>
      </c>
      <c r="AA20" s="1" t="s">
        <v>68</v>
      </c>
      <c r="AB20" s="1" t="s">
        <v>153</v>
      </c>
      <c r="AC20" s="1" t="s">
        <v>154</v>
      </c>
      <c r="AD20" s="12" t="s">
        <v>155</v>
      </c>
      <c r="AE20" s="12" t="s">
        <v>72</v>
      </c>
      <c r="AF20" s="12" t="s">
        <v>73</v>
      </c>
      <c r="AG20" s="12" t="s">
        <v>74</v>
      </c>
      <c r="AH20" s="12" t="s">
        <v>75</v>
      </c>
      <c r="AJ20" s="13" t="str">
        <f>G1</f>
        <v>CDD18</v>
      </c>
      <c r="AK20" s="1" t="s">
        <v>64</v>
      </c>
      <c r="AL20" s="1" t="s">
        <v>65</v>
      </c>
      <c r="AM20" s="1" t="s">
        <v>66</v>
      </c>
      <c r="AN20" s="1" t="s">
        <v>67</v>
      </c>
      <c r="AO20" s="1" t="s">
        <v>68</v>
      </c>
      <c r="AP20" s="1" t="s">
        <v>153</v>
      </c>
      <c r="AQ20" s="1" t="s">
        <v>154</v>
      </c>
      <c r="AR20" s="12" t="s">
        <v>155</v>
      </c>
      <c r="AS20" s="12" t="s">
        <v>72</v>
      </c>
      <c r="AT20" s="12" t="s">
        <v>73</v>
      </c>
      <c r="AU20" s="12" t="s">
        <v>74</v>
      </c>
      <c r="AV20" s="12" t="s">
        <v>75</v>
      </c>
      <c r="AX20" s="13" t="str">
        <f>I1</f>
        <v>CDD16</v>
      </c>
      <c r="AY20" s="1" t="s">
        <v>64</v>
      </c>
      <c r="AZ20" s="1" t="s">
        <v>65</v>
      </c>
      <c r="BA20" s="1" t="s">
        <v>66</v>
      </c>
      <c r="BB20" s="1" t="s">
        <v>67</v>
      </c>
      <c r="BC20" s="1" t="s">
        <v>68</v>
      </c>
      <c r="BD20" s="1" t="s">
        <v>153</v>
      </c>
      <c r="BE20" s="1" t="s">
        <v>154</v>
      </c>
      <c r="BF20" s="12" t="s">
        <v>155</v>
      </c>
      <c r="BG20" s="12" t="s">
        <v>72</v>
      </c>
      <c r="BH20" s="12" t="s">
        <v>73</v>
      </c>
      <c r="BI20" s="12" t="s">
        <v>74</v>
      </c>
      <c r="BJ20" s="12" t="s">
        <v>75</v>
      </c>
      <c r="BL20" s="13" t="str">
        <f>K1</f>
        <v>CDD14</v>
      </c>
      <c r="BM20" s="1" t="s">
        <v>64</v>
      </c>
      <c r="BN20" s="1" t="s">
        <v>65</v>
      </c>
      <c r="BO20" s="1" t="s">
        <v>66</v>
      </c>
      <c r="BP20" s="1" t="s">
        <v>67</v>
      </c>
      <c r="BQ20" s="1" t="s">
        <v>68</v>
      </c>
      <c r="BR20" s="1" t="s">
        <v>153</v>
      </c>
      <c r="BS20" s="1" t="s">
        <v>154</v>
      </c>
      <c r="BT20" s="12" t="s">
        <v>155</v>
      </c>
      <c r="BU20" s="12" t="s">
        <v>72</v>
      </c>
      <c r="BV20" s="12" t="s">
        <v>73</v>
      </c>
      <c r="BW20" s="12" t="s">
        <v>74</v>
      </c>
      <c r="BX20" s="12" t="s">
        <v>75</v>
      </c>
      <c r="BZ20" s="13" t="str">
        <f>M1</f>
        <v>CDD12</v>
      </c>
      <c r="CA20" s="1" t="s">
        <v>64</v>
      </c>
      <c r="CB20" s="1" t="s">
        <v>65</v>
      </c>
      <c r="CC20" s="1" t="s">
        <v>66</v>
      </c>
      <c r="CD20" s="1" t="s">
        <v>67</v>
      </c>
      <c r="CE20" s="1" t="s">
        <v>68</v>
      </c>
      <c r="CF20" s="1" t="s">
        <v>153</v>
      </c>
      <c r="CG20" s="1" t="s">
        <v>154</v>
      </c>
      <c r="CH20" s="12" t="s">
        <v>155</v>
      </c>
      <c r="CI20" s="12" t="s">
        <v>72</v>
      </c>
      <c r="CJ20" s="12" t="s">
        <v>73</v>
      </c>
      <c r="CK20" s="12" t="s">
        <v>74</v>
      </c>
      <c r="CL20" s="12" t="s">
        <v>75</v>
      </c>
      <c r="CN20" s="13" t="str">
        <f>O1</f>
        <v>CDD10</v>
      </c>
      <c r="CO20" s="1" t="s">
        <v>64</v>
      </c>
      <c r="CP20" s="1" t="s">
        <v>65</v>
      </c>
      <c r="CQ20" s="1" t="s">
        <v>66</v>
      </c>
      <c r="CR20" s="1" t="s">
        <v>67</v>
      </c>
      <c r="CS20" s="1" t="s">
        <v>68</v>
      </c>
      <c r="CT20" s="1" t="s">
        <v>153</v>
      </c>
      <c r="CU20" s="1" t="s">
        <v>154</v>
      </c>
      <c r="CV20" s="12" t="s">
        <v>155</v>
      </c>
      <c r="CW20" s="12" t="s">
        <v>72</v>
      </c>
      <c r="CX20" s="12" t="s">
        <v>73</v>
      </c>
      <c r="CY20" s="12" t="s">
        <v>74</v>
      </c>
      <c r="CZ20" s="12" t="s">
        <v>75</v>
      </c>
      <c r="DB20" s="13" t="str">
        <f>Q1</f>
        <v>CDD8</v>
      </c>
      <c r="DC20" s="1" t="s">
        <v>64</v>
      </c>
      <c r="DD20" s="1" t="s">
        <v>65</v>
      </c>
      <c r="DE20" s="1" t="s">
        <v>66</v>
      </c>
      <c r="DF20" s="1" t="s">
        <v>67</v>
      </c>
      <c r="DG20" s="1" t="s">
        <v>68</v>
      </c>
      <c r="DH20" s="1" t="s">
        <v>153</v>
      </c>
      <c r="DI20" s="1" t="s">
        <v>154</v>
      </c>
      <c r="DJ20" s="12" t="s">
        <v>155</v>
      </c>
      <c r="DK20" s="12" t="s">
        <v>72</v>
      </c>
      <c r="DL20" s="12" t="s">
        <v>73</v>
      </c>
      <c r="DM20" s="12" t="s">
        <v>74</v>
      </c>
      <c r="DN20" s="12" t="s">
        <v>75</v>
      </c>
    </row>
    <row r="21" spans="1:118">
      <c r="A21" s="197">
        <f t="shared" si="0"/>
        <v>37469</v>
      </c>
      <c r="B21">
        <v>2002</v>
      </c>
      <c r="C21">
        <v>8</v>
      </c>
      <c r="D21">
        <v>5.1000000000000014</v>
      </c>
      <c r="E21">
        <v>92.3</v>
      </c>
      <c r="F21">
        <v>0</v>
      </c>
      <c r="G21">
        <v>149.20000000000002</v>
      </c>
      <c r="H21">
        <v>0</v>
      </c>
      <c r="I21">
        <v>211.20000000000002</v>
      </c>
      <c r="J21">
        <v>0</v>
      </c>
      <c r="K21">
        <v>273.2</v>
      </c>
      <c r="L21">
        <v>0</v>
      </c>
      <c r="M21">
        <v>335.2</v>
      </c>
      <c r="N21">
        <v>0</v>
      </c>
      <c r="O21">
        <v>397.20000000000005</v>
      </c>
      <c r="P21">
        <v>0</v>
      </c>
      <c r="Q21">
        <v>459.2000000000001</v>
      </c>
      <c r="R21" s="254">
        <v>22.812903225806455</v>
      </c>
      <c r="V21">
        <v>2013</v>
      </c>
      <c r="W21" s="100">
        <f t="shared" ref="W21:AH31" si="37">SUMIFS($E:$E,$B:$B,$V21,$C:$C,W$4)</f>
        <v>0</v>
      </c>
      <c r="X21" s="100">
        <f t="shared" si="37"/>
        <v>0</v>
      </c>
      <c r="Y21" s="100">
        <f t="shared" si="37"/>
        <v>0</v>
      </c>
      <c r="Z21" s="100">
        <f t="shared" si="37"/>
        <v>0</v>
      </c>
      <c r="AA21" s="100">
        <f t="shared" si="37"/>
        <v>28.599999999999998</v>
      </c>
      <c r="AB21" s="100">
        <f t="shared" si="37"/>
        <v>49.099999999999994</v>
      </c>
      <c r="AC21" s="100">
        <f t="shared" si="37"/>
        <v>98.200000000000017</v>
      </c>
      <c r="AD21" s="100">
        <f t="shared" si="37"/>
        <v>64.100000000000009</v>
      </c>
      <c r="AE21" s="100">
        <f t="shared" si="37"/>
        <v>26.299999999999997</v>
      </c>
      <c r="AF21" s="100">
        <f t="shared" si="37"/>
        <v>3.8000000000000007</v>
      </c>
      <c r="AG21" s="100">
        <f t="shared" si="37"/>
        <v>0</v>
      </c>
      <c r="AH21" s="100">
        <f t="shared" si="37"/>
        <v>0</v>
      </c>
      <c r="AJ21">
        <v>2013</v>
      </c>
      <c r="AK21" s="100">
        <f t="shared" ref="AK21:AV31" si="38">SUMIFS($G:$G,$B:$B,$V21,$C:$C,AK$4)</f>
        <v>0</v>
      </c>
      <c r="AL21" s="100">
        <f t="shared" si="38"/>
        <v>0</v>
      </c>
      <c r="AM21" s="100">
        <f t="shared" si="38"/>
        <v>0</v>
      </c>
      <c r="AN21" s="100">
        <f t="shared" si="38"/>
        <v>0</v>
      </c>
      <c r="AO21" s="100">
        <f t="shared" si="38"/>
        <v>51.2</v>
      </c>
      <c r="AP21" s="100">
        <f t="shared" si="38"/>
        <v>85.700000000000017</v>
      </c>
      <c r="AQ21" s="100">
        <f t="shared" si="38"/>
        <v>148.79999999999995</v>
      </c>
      <c r="AR21" s="100">
        <f t="shared" si="38"/>
        <v>115.29999999999998</v>
      </c>
      <c r="AS21" s="100">
        <f t="shared" si="38"/>
        <v>46.099999999999994</v>
      </c>
      <c r="AT21" s="100">
        <f t="shared" si="38"/>
        <v>12.599999999999998</v>
      </c>
      <c r="AU21" s="100">
        <f t="shared" si="38"/>
        <v>0</v>
      </c>
      <c r="AV21" s="100">
        <f t="shared" si="38"/>
        <v>0</v>
      </c>
      <c r="AW21" s="231">
        <f>SUM(AK21:AV21)</f>
        <v>459.70000000000005</v>
      </c>
      <c r="AX21">
        <v>2013</v>
      </c>
      <c r="AY21" s="100">
        <f t="shared" ref="AY21:BJ31" si="39">SUMIFS($I:$I,$B:$B,$V21,$C:$C,AY$4)</f>
        <v>0</v>
      </c>
      <c r="AZ21" s="100">
        <f t="shared" si="39"/>
        <v>0</v>
      </c>
      <c r="BA21" s="100">
        <f t="shared" si="39"/>
        <v>0</v>
      </c>
      <c r="BB21" s="100">
        <f t="shared" si="39"/>
        <v>0.80000000000000071</v>
      </c>
      <c r="BC21" s="100">
        <f t="shared" si="39"/>
        <v>84.7</v>
      </c>
      <c r="BD21" s="100">
        <f t="shared" si="39"/>
        <v>133.49999999999997</v>
      </c>
      <c r="BE21" s="100">
        <f t="shared" si="39"/>
        <v>208.19999999999993</v>
      </c>
      <c r="BF21" s="100">
        <f t="shared" si="39"/>
        <v>173.40000000000003</v>
      </c>
      <c r="BG21" s="100">
        <f t="shared" si="39"/>
        <v>78.100000000000009</v>
      </c>
      <c r="BH21" s="100">
        <f t="shared" si="39"/>
        <v>26.599999999999998</v>
      </c>
      <c r="BI21" s="100">
        <f t="shared" si="39"/>
        <v>0</v>
      </c>
      <c r="BJ21" s="100">
        <f t="shared" si="39"/>
        <v>0</v>
      </c>
      <c r="BL21">
        <v>2013</v>
      </c>
      <c r="BM21" s="100">
        <f t="shared" ref="BM21:BX31" si="40">SUMIFS($K:$K,$B:$B,$V21,$C:$C,BM$4)</f>
        <v>0</v>
      </c>
      <c r="BN21" s="100">
        <f t="shared" si="40"/>
        <v>0</v>
      </c>
      <c r="BO21" s="100">
        <f t="shared" si="40"/>
        <v>0</v>
      </c>
      <c r="BP21" s="100">
        <f t="shared" si="40"/>
        <v>6.3000000000000007</v>
      </c>
      <c r="BQ21" s="100">
        <f t="shared" si="40"/>
        <v>126</v>
      </c>
      <c r="BR21" s="100">
        <f t="shared" si="40"/>
        <v>187.9</v>
      </c>
      <c r="BS21" s="100">
        <f t="shared" si="40"/>
        <v>270.2</v>
      </c>
      <c r="BT21" s="100">
        <f t="shared" si="40"/>
        <v>235.4</v>
      </c>
      <c r="BU21" s="100">
        <f t="shared" si="40"/>
        <v>121.49999999999999</v>
      </c>
      <c r="BV21" s="100">
        <f t="shared" si="40"/>
        <v>45.599999999999994</v>
      </c>
      <c r="BW21" s="100">
        <f t="shared" si="40"/>
        <v>0</v>
      </c>
      <c r="BX21" s="100">
        <f t="shared" si="40"/>
        <v>0</v>
      </c>
      <c r="BZ21">
        <v>2013</v>
      </c>
      <c r="CA21" s="100">
        <f t="shared" ref="CA21:CL31" si="41">SUMIFS($M:$M,$B:$B,$V21,$C:$C,CA$4)</f>
        <v>0</v>
      </c>
      <c r="CB21" s="100">
        <f t="shared" si="41"/>
        <v>0</v>
      </c>
      <c r="CC21" s="100">
        <f t="shared" si="41"/>
        <v>0</v>
      </c>
      <c r="CD21" s="100">
        <f t="shared" si="41"/>
        <v>13.5</v>
      </c>
      <c r="CE21" s="100">
        <f t="shared" si="41"/>
        <v>173</v>
      </c>
      <c r="CF21" s="100">
        <f t="shared" si="41"/>
        <v>247.50000000000003</v>
      </c>
      <c r="CG21" s="100">
        <f t="shared" si="41"/>
        <v>332.20000000000005</v>
      </c>
      <c r="CH21" s="100">
        <f t="shared" si="41"/>
        <v>297.40000000000003</v>
      </c>
      <c r="CI21" s="100">
        <f t="shared" si="41"/>
        <v>172.39999999999998</v>
      </c>
      <c r="CJ21" s="100">
        <f t="shared" si="41"/>
        <v>73.699999999999989</v>
      </c>
      <c r="CK21" s="100">
        <f t="shared" si="41"/>
        <v>1.3000000000000007</v>
      </c>
      <c r="CL21" s="100">
        <f t="shared" si="41"/>
        <v>0</v>
      </c>
      <c r="CN21">
        <v>2013</v>
      </c>
      <c r="CO21" s="100">
        <f t="shared" ref="CO21:CZ30" si="42">SUMIFS($O:$O,$B:$B,$V21,$C:$C,CO$4)</f>
        <v>0.59999999999999964</v>
      </c>
      <c r="CP21" s="100">
        <f t="shared" si="42"/>
        <v>0</v>
      </c>
      <c r="CQ21" s="100">
        <f t="shared" si="42"/>
        <v>0</v>
      </c>
      <c r="CR21" s="100">
        <f t="shared" si="42"/>
        <v>26.8</v>
      </c>
      <c r="CS21" s="100">
        <f t="shared" si="42"/>
        <v>225</v>
      </c>
      <c r="CT21" s="100">
        <f t="shared" si="42"/>
        <v>307.50000000000006</v>
      </c>
      <c r="CU21" s="100">
        <f t="shared" si="42"/>
        <v>394.2</v>
      </c>
      <c r="CV21" s="100">
        <f t="shared" si="42"/>
        <v>359.40000000000003</v>
      </c>
      <c r="CW21" s="100">
        <f t="shared" si="42"/>
        <v>232.39999999999998</v>
      </c>
      <c r="CX21" s="100">
        <f t="shared" si="42"/>
        <v>109.99999999999999</v>
      </c>
      <c r="CY21" s="100">
        <f t="shared" si="42"/>
        <v>5.9</v>
      </c>
      <c r="CZ21" s="100">
        <f t="shared" si="42"/>
        <v>0.30000000000000071</v>
      </c>
      <c r="DB21">
        <v>2013</v>
      </c>
      <c r="DC21" s="100">
        <f t="shared" ref="DC21:DN31" si="43">SUMIFS($Q:$Q,$B:$B,$V21,$C:$C,DC$4)</f>
        <v>3.2999999999999989</v>
      </c>
      <c r="DD21" s="100">
        <f t="shared" si="43"/>
        <v>0</v>
      </c>
      <c r="DE21" s="100">
        <f t="shared" si="43"/>
        <v>3.0999999999999996</v>
      </c>
      <c r="DF21" s="100">
        <f t="shared" si="43"/>
        <v>48.600000000000009</v>
      </c>
      <c r="DG21" s="100">
        <f t="shared" si="43"/>
        <v>280.89999999999998</v>
      </c>
      <c r="DH21" s="100">
        <f t="shared" si="43"/>
        <v>367.50000000000011</v>
      </c>
      <c r="DI21" s="100">
        <f t="shared" si="43"/>
        <v>456.2</v>
      </c>
      <c r="DJ21" s="100">
        <f t="shared" si="43"/>
        <v>421.40000000000003</v>
      </c>
      <c r="DK21" s="100">
        <f t="shared" si="43"/>
        <v>292.39999999999998</v>
      </c>
      <c r="DL21" s="100">
        <f t="shared" si="43"/>
        <v>153.69999999999996</v>
      </c>
      <c r="DM21" s="100">
        <f t="shared" si="43"/>
        <v>14.8</v>
      </c>
      <c r="DN21" s="100">
        <f t="shared" si="43"/>
        <v>3.3000000000000007</v>
      </c>
    </row>
    <row r="22" spans="1:118">
      <c r="A22" s="197">
        <f t="shared" si="0"/>
        <v>37500</v>
      </c>
      <c r="B22">
        <v>2002</v>
      </c>
      <c r="C22">
        <v>9</v>
      </c>
      <c r="D22">
        <v>38.499999999999993</v>
      </c>
      <c r="E22">
        <v>59.3</v>
      </c>
      <c r="F22">
        <v>17.099999999999998</v>
      </c>
      <c r="G22">
        <v>97.90000000000002</v>
      </c>
      <c r="H22">
        <v>5.5</v>
      </c>
      <c r="I22">
        <v>146.29999999999998</v>
      </c>
      <c r="J22">
        <v>0</v>
      </c>
      <c r="K22">
        <v>200.79999999999998</v>
      </c>
      <c r="L22">
        <v>0</v>
      </c>
      <c r="M22">
        <v>260.8</v>
      </c>
      <c r="N22">
        <v>0</v>
      </c>
      <c r="O22">
        <v>320.8</v>
      </c>
      <c r="P22">
        <v>0</v>
      </c>
      <c r="Q22">
        <v>380.8</v>
      </c>
      <c r="R22" s="254">
        <v>20.693333333333335</v>
      </c>
      <c r="V22">
        <f>V21+1</f>
        <v>2014</v>
      </c>
      <c r="W22" s="100">
        <f t="shared" si="37"/>
        <v>0</v>
      </c>
      <c r="X22" s="100">
        <f t="shared" si="37"/>
        <v>0</v>
      </c>
      <c r="Y22" s="100">
        <f t="shared" si="37"/>
        <v>0</v>
      </c>
      <c r="Z22" s="100">
        <f t="shared" si="37"/>
        <v>0</v>
      </c>
      <c r="AA22" s="100">
        <f t="shared" si="37"/>
        <v>10.299999999999997</v>
      </c>
      <c r="AB22" s="100">
        <f t="shared" si="37"/>
        <v>59.999999999999986</v>
      </c>
      <c r="AC22" s="100">
        <f t="shared" si="37"/>
        <v>42.400000000000006</v>
      </c>
      <c r="AD22" s="100">
        <f t="shared" si="37"/>
        <v>43.500000000000007</v>
      </c>
      <c r="AE22" s="100">
        <f t="shared" si="37"/>
        <v>15.299999999999997</v>
      </c>
      <c r="AF22" s="100">
        <f t="shared" si="37"/>
        <v>0</v>
      </c>
      <c r="AG22" s="100">
        <f t="shared" si="37"/>
        <v>0</v>
      </c>
      <c r="AH22" s="100">
        <f t="shared" si="37"/>
        <v>0</v>
      </c>
      <c r="AJ22">
        <f>AJ21+1</f>
        <v>2014</v>
      </c>
      <c r="AK22" s="100">
        <f t="shared" si="38"/>
        <v>0</v>
      </c>
      <c r="AL22" s="100">
        <f t="shared" si="38"/>
        <v>0</v>
      </c>
      <c r="AM22" s="100">
        <f t="shared" si="38"/>
        <v>0</v>
      </c>
      <c r="AN22" s="100">
        <f t="shared" si="38"/>
        <v>0</v>
      </c>
      <c r="AO22" s="100">
        <f t="shared" si="38"/>
        <v>26.7</v>
      </c>
      <c r="AP22" s="100">
        <f t="shared" si="38"/>
        <v>105.49999999999999</v>
      </c>
      <c r="AQ22" s="100">
        <f t="shared" si="38"/>
        <v>84.5</v>
      </c>
      <c r="AR22" s="100">
        <f t="shared" si="38"/>
        <v>95.799999999999983</v>
      </c>
      <c r="AS22" s="100">
        <f t="shared" si="38"/>
        <v>29.799999999999997</v>
      </c>
      <c r="AT22" s="100">
        <f t="shared" si="38"/>
        <v>0</v>
      </c>
      <c r="AU22" s="100">
        <f t="shared" si="38"/>
        <v>0</v>
      </c>
      <c r="AV22" s="100">
        <f t="shared" si="38"/>
        <v>0</v>
      </c>
      <c r="AW22" s="231">
        <f>SUM(AK22:AV22)</f>
        <v>342.3</v>
      </c>
      <c r="AX22">
        <f>AX21+1</f>
        <v>2014</v>
      </c>
      <c r="AY22" s="100">
        <f t="shared" si="39"/>
        <v>0</v>
      </c>
      <c r="AZ22" s="100">
        <f t="shared" si="39"/>
        <v>0</v>
      </c>
      <c r="BA22" s="100">
        <f t="shared" si="39"/>
        <v>0</v>
      </c>
      <c r="BB22" s="100">
        <f t="shared" si="39"/>
        <v>0.30000000000000071</v>
      </c>
      <c r="BC22" s="100">
        <f t="shared" si="39"/>
        <v>53.099999999999994</v>
      </c>
      <c r="BD22" s="100">
        <f t="shared" si="39"/>
        <v>160.5</v>
      </c>
      <c r="BE22" s="100">
        <f t="shared" si="39"/>
        <v>142.1</v>
      </c>
      <c r="BF22" s="100">
        <f t="shared" si="39"/>
        <v>154</v>
      </c>
      <c r="BG22" s="100">
        <f t="shared" si="39"/>
        <v>54.7</v>
      </c>
      <c r="BH22" s="100">
        <f t="shared" si="39"/>
        <v>2.6999999999999993</v>
      </c>
      <c r="BI22" s="100">
        <f t="shared" si="39"/>
        <v>0</v>
      </c>
      <c r="BJ22" s="100">
        <f t="shared" si="39"/>
        <v>0</v>
      </c>
      <c r="BL22">
        <f>BL21+1</f>
        <v>2014</v>
      </c>
      <c r="BM22" s="100">
        <f t="shared" si="40"/>
        <v>0</v>
      </c>
      <c r="BN22" s="100">
        <f t="shared" si="40"/>
        <v>0</v>
      </c>
      <c r="BO22" s="100">
        <f t="shared" si="40"/>
        <v>0</v>
      </c>
      <c r="BP22" s="100">
        <f t="shared" si="40"/>
        <v>4.6000000000000014</v>
      </c>
      <c r="BQ22" s="100">
        <f t="shared" si="40"/>
        <v>88.8</v>
      </c>
      <c r="BR22" s="100">
        <f t="shared" si="40"/>
        <v>220.5</v>
      </c>
      <c r="BS22" s="100">
        <f t="shared" si="40"/>
        <v>204.1</v>
      </c>
      <c r="BT22" s="100">
        <f t="shared" si="40"/>
        <v>216.00000000000003</v>
      </c>
      <c r="BU22" s="100">
        <f t="shared" si="40"/>
        <v>92.5</v>
      </c>
      <c r="BV22" s="100">
        <f t="shared" si="40"/>
        <v>12.499999999999998</v>
      </c>
      <c r="BW22" s="100">
        <f t="shared" si="40"/>
        <v>0</v>
      </c>
      <c r="BX22" s="100">
        <f t="shared" si="40"/>
        <v>0</v>
      </c>
      <c r="BZ22">
        <f>BZ21+1</f>
        <v>2014</v>
      </c>
      <c r="CA22" s="100">
        <f t="shared" si="41"/>
        <v>0</v>
      </c>
      <c r="CB22" s="100">
        <f t="shared" si="41"/>
        <v>0</v>
      </c>
      <c r="CC22" s="100">
        <f t="shared" si="41"/>
        <v>0</v>
      </c>
      <c r="CD22" s="100">
        <f t="shared" si="41"/>
        <v>14.800000000000002</v>
      </c>
      <c r="CE22" s="100">
        <f t="shared" si="41"/>
        <v>128.69999999999999</v>
      </c>
      <c r="CF22" s="100">
        <f t="shared" si="41"/>
        <v>280.50000000000006</v>
      </c>
      <c r="CG22" s="100">
        <f t="shared" si="41"/>
        <v>266.09999999999997</v>
      </c>
      <c r="CH22" s="100">
        <f t="shared" si="41"/>
        <v>278.00000000000006</v>
      </c>
      <c r="CI22" s="100">
        <f t="shared" si="41"/>
        <v>138.6</v>
      </c>
      <c r="CJ22" s="100">
        <f t="shared" si="41"/>
        <v>32.199999999999996</v>
      </c>
      <c r="CK22" s="100">
        <f t="shared" si="41"/>
        <v>0</v>
      </c>
      <c r="CL22" s="100">
        <f t="shared" si="41"/>
        <v>0</v>
      </c>
      <c r="CN22">
        <f>CN21+1</f>
        <v>2014</v>
      </c>
      <c r="CO22" s="100">
        <f t="shared" si="42"/>
        <v>0</v>
      </c>
      <c r="CP22" s="100">
        <f t="shared" si="42"/>
        <v>0</v>
      </c>
      <c r="CQ22" s="100">
        <f t="shared" si="42"/>
        <v>0</v>
      </c>
      <c r="CR22" s="100">
        <f t="shared" si="42"/>
        <v>31.200000000000003</v>
      </c>
      <c r="CS22" s="100">
        <f t="shared" si="42"/>
        <v>176.6</v>
      </c>
      <c r="CT22" s="100">
        <f t="shared" si="42"/>
        <v>340.5</v>
      </c>
      <c r="CU22" s="100">
        <f t="shared" si="42"/>
        <v>328.09999999999997</v>
      </c>
      <c r="CV22" s="100">
        <f t="shared" si="42"/>
        <v>340</v>
      </c>
      <c r="CW22" s="100">
        <f t="shared" si="42"/>
        <v>193.3</v>
      </c>
      <c r="CX22" s="100">
        <f t="shared" si="42"/>
        <v>58.400000000000006</v>
      </c>
      <c r="CY22" s="100">
        <f t="shared" si="42"/>
        <v>0.59999999999999964</v>
      </c>
      <c r="CZ22" s="100">
        <f t="shared" si="42"/>
        <v>0</v>
      </c>
      <c r="DB22">
        <f>DB21+1</f>
        <v>2014</v>
      </c>
      <c r="DC22" s="100">
        <f t="shared" si="43"/>
        <v>0</v>
      </c>
      <c r="DD22" s="100">
        <f t="shared" si="43"/>
        <v>0</v>
      </c>
      <c r="DE22" s="100">
        <f t="shared" si="43"/>
        <v>0</v>
      </c>
      <c r="DF22" s="100">
        <f t="shared" si="43"/>
        <v>57.000000000000007</v>
      </c>
      <c r="DG22" s="100">
        <f t="shared" si="43"/>
        <v>233.79999999999998</v>
      </c>
      <c r="DH22" s="100">
        <f t="shared" si="43"/>
        <v>400.49999999999994</v>
      </c>
      <c r="DI22" s="100">
        <f t="shared" si="43"/>
        <v>390.09999999999997</v>
      </c>
      <c r="DJ22" s="100">
        <f t="shared" si="43"/>
        <v>401.99999999999994</v>
      </c>
      <c r="DK22" s="100">
        <f t="shared" si="43"/>
        <v>252.99999999999994</v>
      </c>
      <c r="DL22" s="100">
        <f t="shared" si="43"/>
        <v>98.299999999999983</v>
      </c>
      <c r="DM22" s="100">
        <f t="shared" si="43"/>
        <v>10.099999999999998</v>
      </c>
      <c r="DN22" s="100">
        <f t="shared" si="43"/>
        <v>0.5</v>
      </c>
    </row>
    <row r="23" spans="1:118">
      <c r="A23" s="197">
        <f t="shared" si="0"/>
        <v>37530</v>
      </c>
      <c r="B23">
        <v>2002</v>
      </c>
      <c r="C23">
        <v>10</v>
      </c>
      <c r="D23">
        <v>311.90000000000009</v>
      </c>
      <c r="E23">
        <v>6.6000000000000014</v>
      </c>
      <c r="F23">
        <v>255.9</v>
      </c>
      <c r="G23">
        <v>12.600000000000001</v>
      </c>
      <c r="H23">
        <v>200.30000000000004</v>
      </c>
      <c r="I23">
        <v>19</v>
      </c>
      <c r="J23">
        <v>151.19999999999999</v>
      </c>
      <c r="K23">
        <v>31.9</v>
      </c>
      <c r="L23">
        <v>107.99999999999999</v>
      </c>
      <c r="M23">
        <v>50.70000000000001</v>
      </c>
      <c r="N23">
        <v>66.8</v>
      </c>
      <c r="O23">
        <v>71.5</v>
      </c>
      <c r="P23">
        <v>33.700000000000003</v>
      </c>
      <c r="Q23">
        <v>100.39999999999999</v>
      </c>
      <c r="R23" s="254">
        <v>10.151612903225805</v>
      </c>
      <c r="V23">
        <f t="shared" ref="V23:V31" si="44">V22+1</f>
        <v>2015</v>
      </c>
      <c r="W23" s="100">
        <f t="shared" si="37"/>
        <v>0</v>
      </c>
      <c r="X23" s="100">
        <f t="shared" si="37"/>
        <v>0</v>
      </c>
      <c r="Y23" s="100">
        <f t="shared" si="37"/>
        <v>0</v>
      </c>
      <c r="Z23" s="100">
        <f t="shared" si="37"/>
        <v>0</v>
      </c>
      <c r="AA23" s="100">
        <f t="shared" si="37"/>
        <v>17.799999999999997</v>
      </c>
      <c r="AB23" s="100">
        <f t="shared" si="37"/>
        <v>26.300000000000008</v>
      </c>
      <c r="AC23" s="100">
        <f t="shared" si="37"/>
        <v>70.799999999999983</v>
      </c>
      <c r="AD23" s="100">
        <f t="shared" si="37"/>
        <v>54</v>
      </c>
      <c r="AE23" s="100">
        <f t="shared" si="37"/>
        <v>38.599999999999994</v>
      </c>
      <c r="AF23" s="100">
        <f t="shared" si="37"/>
        <v>0</v>
      </c>
      <c r="AG23" s="100">
        <f t="shared" si="37"/>
        <v>0</v>
      </c>
      <c r="AH23" s="100">
        <f t="shared" si="37"/>
        <v>0</v>
      </c>
      <c r="AJ23">
        <f t="shared" ref="AJ23:AJ31" si="45">AJ22+1</f>
        <v>2015</v>
      </c>
      <c r="AK23" s="100">
        <f t="shared" si="38"/>
        <v>0</v>
      </c>
      <c r="AL23" s="100">
        <f t="shared" si="38"/>
        <v>0</v>
      </c>
      <c r="AM23" s="100">
        <f t="shared" si="38"/>
        <v>0</v>
      </c>
      <c r="AN23" s="100">
        <f t="shared" si="38"/>
        <v>0</v>
      </c>
      <c r="AO23" s="100">
        <f t="shared" si="38"/>
        <v>41.099999999999994</v>
      </c>
      <c r="AP23" s="100">
        <f t="shared" si="38"/>
        <v>63.900000000000006</v>
      </c>
      <c r="AQ23" s="100">
        <f t="shared" si="38"/>
        <v>120.49999999999997</v>
      </c>
      <c r="AR23" s="100">
        <f t="shared" si="38"/>
        <v>102.79999999999997</v>
      </c>
      <c r="AS23" s="100">
        <f t="shared" si="38"/>
        <v>70.400000000000006</v>
      </c>
      <c r="AT23" s="100">
        <f t="shared" si="38"/>
        <v>1</v>
      </c>
      <c r="AU23" s="100">
        <f t="shared" si="38"/>
        <v>0</v>
      </c>
      <c r="AV23" s="100">
        <f t="shared" si="38"/>
        <v>0</v>
      </c>
      <c r="AW23" s="231">
        <f t="shared" ref="AW23:AW31" si="46">SUM(AK23:AV23)</f>
        <v>399.69999999999993</v>
      </c>
      <c r="AX23">
        <f t="shared" ref="AX23:AX31" si="47">AX22+1</f>
        <v>2015</v>
      </c>
      <c r="AY23" s="100">
        <f t="shared" si="39"/>
        <v>0</v>
      </c>
      <c r="AZ23" s="100">
        <f t="shared" si="39"/>
        <v>0</v>
      </c>
      <c r="BA23" s="100">
        <f t="shared" si="39"/>
        <v>0</v>
      </c>
      <c r="BB23" s="100">
        <f t="shared" si="39"/>
        <v>0</v>
      </c>
      <c r="BC23" s="100">
        <f t="shared" si="39"/>
        <v>74.399999999999991</v>
      </c>
      <c r="BD23" s="100">
        <f t="shared" si="39"/>
        <v>112.89999999999998</v>
      </c>
      <c r="BE23" s="100">
        <f t="shared" si="39"/>
        <v>179.79999999999998</v>
      </c>
      <c r="BF23" s="100">
        <f t="shared" si="39"/>
        <v>158.4</v>
      </c>
      <c r="BG23" s="100">
        <f t="shared" si="39"/>
        <v>114.6</v>
      </c>
      <c r="BH23" s="100">
        <f t="shared" si="39"/>
        <v>7.0999999999999979</v>
      </c>
      <c r="BI23" s="100">
        <f t="shared" si="39"/>
        <v>0.89999999999999858</v>
      </c>
      <c r="BJ23" s="100">
        <f t="shared" si="39"/>
        <v>0</v>
      </c>
      <c r="BL23">
        <f t="shared" ref="BL23:BL31" si="48">BL22+1</f>
        <v>2015</v>
      </c>
      <c r="BM23" s="100">
        <f t="shared" si="40"/>
        <v>0</v>
      </c>
      <c r="BN23" s="100">
        <f t="shared" si="40"/>
        <v>0</v>
      </c>
      <c r="BO23" s="100">
        <f t="shared" si="40"/>
        <v>0</v>
      </c>
      <c r="BP23" s="100">
        <f t="shared" si="40"/>
        <v>0.90000000000000036</v>
      </c>
      <c r="BQ23" s="100">
        <f t="shared" si="40"/>
        <v>112.99999999999999</v>
      </c>
      <c r="BR23" s="100">
        <f t="shared" si="40"/>
        <v>167.7</v>
      </c>
      <c r="BS23" s="100">
        <f t="shared" si="40"/>
        <v>241.60000000000002</v>
      </c>
      <c r="BT23" s="100">
        <f t="shared" si="40"/>
        <v>218.3</v>
      </c>
      <c r="BU23" s="100">
        <f t="shared" si="40"/>
        <v>167.50000000000003</v>
      </c>
      <c r="BV23" s="100">
        <f t="shared" si="40"/>
        <v>22.999999999999996</v>
      </c>
      <c r="BW23" s="100">
        <f t="shared" si="40"/>
        <v>5.2999999999999972</v>
      </c>
      <c r="BX23" s="100">
        <f t="shared" si="40"/>
        <v>0</v>
      </c>
      <c r="BZ23">
        <f t="shared" ref="BZ23:BZ31" si="49">BZ22+1</f>
        <v>2015</v>
      </c>
      <c r="CA23" s="100">
        <f t="shared" si="41"/>
        <v>0</v>
      </c>
      <c r="CB23" s="100">
        <f t="shared" si="41"/>
        <v>0</v>
      </c>
      <c r="CC23" s="100">
        <f t="shared" si="41"/>
        <v>0</v>
      </c>
      <c r="CD23" s="100">
        <f t="shared" si="41"/>
        <v>7</v>
      </c>
      <c r="CE23" s="100">
        <f t="shared" si="41"/>
        <v>159.69999999999999</v>
      </c>
      <c r="CF23" s="100">
        <f t="shared" si="41"/>
        <v>225.4</v>
      </c>
      <c r="CG23" s="100">
        <f t="shared" si="41"/>
        <v>303.60000000000002</v>
      </c>
      <c r="CH23" s="100">
        <f t="shared" si="41"/>
        <v>280.3</v>
      </c>
      <c r="CI23" s="100">
        <f t="shared" si="41"/>
        <v>227.30000000000007</v>
      </c>
      <c r="CJ23" s="100">
        <f t="shared" si="41"/>
        <v>45.4</v>
      </c>
      <c r="CK23" s="100">
        <f t="shared" si="41"/>
        <v>15.199999999999998</v>
      </c>
      <c r="CL23" s="100">
        <f t="shared" si="41"/>
        <v>0.80000000000000071</v>
      </c>
      <c r="CN23">
        <f t="shared" ref="CN23:CN31" si="50">CN22+1</f>
        <v>2015</v>
      </c>
      <c r="CO23" s="100">
        <f t="shared" si="42"/>
        <v>0</v>
      </c>
      <c r="CP23" s="100">
        <f t="shared" si="42"/>
        <v>0</v>
      </c>
      <c r="CQ23" s="100">
        <f t="shared" si="42"/>
        <v>0</v>
      </c>
      <c r="CR23" s="100">
        <f t="shared" si="42"/>
        <v>18.8</v>
      </c>
      <c r="CS23" s="100">
        <f t="shared" si="42"/>
        <v>212.20000000000002</v>
      </c>
      <c r="CT23" s="100">
        <f t="shared" si="42"/>
        <v>285</v>
      </c>
      <c r="CU23" s="100">
        <f t="shared" si="42"/>
        <v>365.59999999999997</v>
      </c>
      <c r="CV23" s="100">
        <f t="shared" si="42"/>
        <v>342.30000000000007</v>
      </c>
      <c r="CW23" s="100">
        <f t="shared" si="42"/>
        <v>287.30000000000007</v>
      </c>
      <c r="CX23" s="100">
        <f t="shared" si="42"/>
        <v>78</v>
      </c>
      <c r="CY23" s="100">
        <f t="shared" si="42"/>
        <v>29.199999999999992</v>
      </c>
      <c r="CZ23" s="100">
        <f t="shared" si="42"/>
        <v>5.4</v>
      </c>
      <c r="DB23">
        <f t="shared" ref="DB23:DB31" si="51">DB22+1</f>
        <v>2015</v>
      </c>
      <c r="DC23" s="100">
        <f t="shared" si="43"/>
        <v>0</v>
      </c>
      <c r="DD23" s="100">
        <f t="shared" si="43"/>
        <v>0</v>
      </c>
      <c r="DE23" s="100">
        <f t="shared" si="43"/>
        <v>0.40000000000000036</v>
      </c>
      <c r="DF23" s="100">
        <f t="shared" si="43"/>
        <v>46.599999999999994</v>
      </c>
      <c r="DG23" s="100">
        <f t="shared" si="43"/>
        <v>271.5</v>
      </c>
      <c r="DH23" s="100">
        <f t="shared" si="43"/>
        <v>345</v>
      </c>
      <c r="DI23" s="100">
        <f t="shared" si="43"/>
        <v>427.59999999999997</v>
      </c>
      <c r="DJ23" s="100">
        <f t="shared" si="43"/>
        <v>404.30000000000007</v>
      </c>
      <c r="DK23" s="100">
        <f t="shared" si="43"/>
        <v>347.30000000000013</v>
      </c>
      <c r="DL23" s="100">
        <f t="shared" si="43"/>
        <v>124.7</v>
      </c>
      <c r="DM23" s="100">
        <f t="shared" si="43"/>
        <v>52.699999999999989</v>
      </c>
      <c r="DN23" s="100">
        <f t="shared" si="43"/>
        <v>14.400000000000002</v>
      </c>
    </row>
    <row r="24" spans="1:118">
      <c r="A24" s="197">
        <f t="shared" si="0"/>
        <v>37561</v>
      </c>
      <c r="B24">
        <v>2002</v>
      </c>
      <c r="C24">
        <v>11</v>
      </c>
      <c r="D24">
        <v>477.5</v>
      </c>
      <c r="E24">
        <v>0</v>
      </c>
      <c r="F24">
        <v>417.5</v>
      </c>
      <c r="G24">
        <v>0</v>
      </c>
      <c r="H24">
        <v>357.5</v>
      </c>
      <c r="I24">
        <v>0</v>
      </c>
      <c r="J24">
        <v>298.5</v>
      </c>
      <c r="K24">
        <v>1</v>
      </c>
      <c r="L24">
        <v>241.1</v>
      </c>
      <c r="M24">
        <v>3.5999999999999996</v>
      </c>
      <c r="N24">
        <v>186.70000000000002</v>
      </c>
      <c r="O24">
        <v>9.1999999999999993</v>
      </c>
      <c r="P24">
        <v>135.5</v>
      </c>
      <c r="Q24">
        <v>18</v>
      </c>
      <c r="R24" s="254">
        <v>4.083333333333333</v>
      </c>
      <c r="V24">
        <f t="shared" si="44"/>
        <v>2016</v>
      </c>
      <c r="W24" s="100">
        <f t="shared" si="37"/>
        <v>0</v>
      </c>
      <c r="X24" s="100">
        <f t="shared" si="37"/>
        <v>0</v>
      </c>
      <c r="Y24" s="100">
        <f t="shared" si="37"/>
        <v>0</v>
      </c>
      <c r="Z24" s="100">
        <f t="shared" si="37"/>
        <v>0</v>
      </c>
      <c r="AA24" s="100">
        <f t="shared" si="37"/>
        <v>22.100000000000005</v>
      </c>
      <c r="AB24" s="100">
        <f t="shared" si="37"/>
        <v>52.900000000000006</v>
      </c>
      <c r="AC24" s="100">
        <f t="shared" si="37"/>
        <v>118.89999999999999</v>
      </c>
      <c r="AD24" s="100">
        <f t="shared" si="37"/>
        <v>114.29999999999998</v>
      </c>
      <c r="AE24" s="100">
        <f t="shared" si="37"/>
        <v>29.799999999999997</v>
      </c>
      <c r="AF24" s="100">
        <f t="shared" si="37"/>
        <v>3.5</v>
      </c>
      <c r="AG24" s="100">
        <f t="shared" si="37"/>
        <v>0</v>
      </c>
      <c r="AH24" s="100">
        <f t="shared" si="37"/>
        <v>0</v>
      </c>
      <c r="AJ24">
        <f t="shared" si="45"/>
        <v>2016</v>
      </c>
      <c r="AK24" s="100">
        <f t="shared" si="38"/>
        <v>0</v>
      </c>
      <c r="AL24" s="100">
        <f t="shared" si="38"/>
        <v>0</v>
      </c>
      <c r="AM24" s="100">
        <f t="shared" si="38"/>
        <v>0</v>
      </c>
      <c r="AN24" s="100">
        <f t="shared" si="38"/>
        <v>0</v>
      </c>
      <c r="AO24" s="100">
        <f t="shared" si="38"/>
        <v>37.400000000000006</v>
      </c>
      <c r="AP24" s="100">
        <f t="shared" si="38"/>
        <v>101.3</v>
      </c>
      <c r="AQ24" s="100">
        <f t="shared" si="38"/>
        <v>178.3</v>
      </c>
      <c r="AR24" s="100">
        <f t="shared" si="38"/>
        <v>174.90000000000006</v>
      </c>
      <c r="AS24" s="100">
        <f t="shared" si="38"/>
        <v>60.70000000000001</v>
      </c>
      <c r="AT24" s="100">
        <f t="shared" si="38"/>
        <v>14.099999999999998</v>
      </c>
      <c r="AU24" s="100">
        <f t="shared" si="38"/>
        <v>0</v>
      </c>
      <c r="AV24" s="100">
        <f t="shared" si="38"/>
        <v>0</v>
      </c>
      <c r="AW24" s="231">
        <f t="shared" si="46"/>
        <v>566.70000000000016</v>
      </c>
      <c r="AX24">
        <f t="shared" si="47"/>
        <v>2016</v>
      </c>
      <c r="AY24" s="100">
        <f t="shared" si="39"/>
        <v>0</v>
      </c>
      <c r="AZ24" s="100">
        <f t="shared" si="39"/>
        <v>0</v>
      </c>
      <c r="BA24" s="100">
        <f t="shared" si="39"/>
        <v>0</v>
      </c>
      <c r="BB24" s="100">
        <f t="shared" si="39"/>
        <v>0</v>
      </c>
      <c r="BC24" s="100">
        <f t="shared" si="39"/>
        <v>55.2</v>
      </c>
      <c r="BD24" s="100">
        <f t="shared" si="39"/>
        <v>155.4</v>
      </c>
      <c r="BE24" s="100">
        <f t="shared" si="39"/>
        <v>240.29999999999998</v>
      </c>
      <c r="BF24" s="100">
        <f t="shared" si="39"/>
        <v>236.90000000000003</v>
      </c>
      <c r="BG24" s="100">
        <f t="shared" si="39"/>
        <v>104.9</v>
      </c>
      <c r="BH24" s="100">
        <f t="shared" si="39"/>
        <v>29.9</v>
      </c>
      <c r="BI24" s="100">
        <f t="shared" si="39"/>
        <v>0.10000000000000142</v>
      </c>
      <c r="BJ24" s="100">
        <f t="shared" si="39"/>
        <v>0</v>
      </c>
      <c r="BL24">
        <f t="shared" si="48"/>
        <v>2016</v>
      </c>
      <c r="BM24" s="100">
        <f t="shared" si="40"/>
        <v>0</v>
      </c>
      <c r="BN24" s="100">
        <f t="shared" si="40"/>
        <v>0</v>
      </c>
      <c r="BO24" s="100">
        <f t="shared" si="40"/>
        <v>0.59999999999999964</v>
      </c>
      <c r="BP24" s="100">
        <f t="shared" si="40"/>
        <v>2.5</v>
      </c>
      <c r="BQ24" s="100">
        <f t="shared" si="40"/>
        <v>80.900000000000006</v>
      </c>
      <c r="BR24" s="100">
        <f t="shared" si="40"/>
        <v>214.49999999999991</v>
      </c>
      <c r="BS24" s="100">
        <f t="shared" si="40"/>
        <v>302.3</v>
      </c>
      <c r="BT24" s="100">
        <f t="shared" si="40"/>
        <v>298.89999999999992</v>
      </c>
      <c r="BU24" s="100">
        <f t="shared" si="40"/>
        <v>161.5</v>
      </c>
      <c r="BV24" s="100">
        <f t="shared" si="40"/>
        <v>53.79999999999999</v>
      </c>
      <c r="BW24" s="100">
        <f t="shared" si="40"/>
        <v>5.0000000000000018</v>
      </c>
      <c r="BX24" s="100">
        <f t="shared" si="40"/>
        <v>0</v>
      </c>
      <c r="BZ24">
        <f t="shared" si="49"/>
        <v>2016</v>
      </c>
      <c r="CA24" s="100">
        <f t="shared" si="41"/>
        <v>0</v>
      </c>
      <c r="CB24" s="100">
        <f t="shared" si="41"/>
        <v>0</v>
      </c>
      <c r="CC24" s="100">
        <f t="shared" si="41"/>
        <v>6.1</v>
      </c>
      <c r="CD24" s="100">
        <f t="shared" si="41"/>
        <v>9.4</v>
      </c>
      <c r="CE24" s="100">
        <f t="shared" si="41"/>
        <v>116.89999999999998</v>
      </c>
      <c r="CF24" s="100">
        <f t="shared" si="41"/>
        <v>274.49999999999989</v>
      </c>
      <c r="CG24" s="100">
        <f t="shared" si="41"/>
        <v>364.29999999999995</v>
      </c>
      <c r="CH24" s="100">
        <f t="shared" si="41"/>
        <v>360.9</v>
      </c>
      <c r="CI24" s="100">
        <f t="shared" si="41"/>
        <v>221.29999999999998</v>
      </c>
      <c r="CJ24" s="100">
        <f t="shared" si="41"/>
        <v>82.799999999999983</v>
      </c>
      <c r="CK24" s="100">
        <f t="shared" si="41"/>
        <v>11.600000000000001</v>
      </c>
      <c r="CL24" s="100">
        <f t="shared" si="41"/>
        <v>0</v>
      </c>
      <c r="CN24">
        <f t="shared" si="50"/>
        <v>2016</v>
      </c>
      <c r="CO24" s="100">
        <f t="shared" si="42"/>
        <v>0</v>
      </c>
      <c r="CP24" s="100">
        <f t="shared" si="42"/>
        <v>0</v>
      </c>
      <c r="CQ24" s="100">
        <f t="shared" si="42"/>
        <v>14.1</v>
      </c>
      <c r="CR24" s="100">
        <f t="shared" si="42"/>
        <v>21.000000000000004</v>
      </c>
      <c r="CS24" s="100">
        <f t="shared" si="42"/>
        <v>165.79999999999998</v>
      </c>
      <c r="CT24" s="100">
        <f t="shared" si="42"/>
        <v>334.49999999999989</v>
      </c>
      <c r="CU24" s="100">
        <f t="shared" si="42"/>
        <v>426.3</v>
      </c>
      <c r="CV24" s="100">
        <f t="shared" si="42"/>
        <v>422.90000000000003</v>
      </c>
      <c r="CW24" s="100">
        <f t="shared" si="42"/>
        <v>281.3</v>
      </c>
      <c r="CX24" s="100">
        <f t="shared" si="42"/>
        <v>118.69999999999999</v>
      </c>
      <c r="CY24" s="100">
        <f t="shared" si="42"/>
        <v>22.900000000000002</v>
      </c>
      <c r="CZ24" s="100">
        <f t="shared" si="42"/>
        <v>0</v>
      </c>
      <c r="DB24">
        <f t="shared" si="51"/>
        <v>2016</v>
      </c>
      <c r="DC24" s="100">
        <f t="shared" si="43"/>
        <v>0</v>
      </c>
      <c r="DD24" s="100">
        <f t="shared" si="43"/>
        <v>2.3000000000000007</v>
      </c>
      <c r="DE24" s="100">
        <f t="shared" si="43"/>
        <v>27.099999999999994</v>
      </c>
      <c r="DF24" s="100">
        <f t="shared" si="43"/>
        <v>41.900000000000006</v>
      </c>
      <c r="DG24" s="100">
        <f t="shared" si="43"/>
        <v>223.59999999999997</v>
      </c>
      <c r="DH24" s="100">
        <f t="shared" si="43"/>
        <v>394.49999999999989</v>
      </c>
      <c r="DI24" s="100">
        <f t="shared" si="43"/>
        <v>488.3</v>
      </c>
      <c r="DJ24" s="100">
        <f t="shared" si="43"/>
        <v>484.90000000000003</v>
      </c>
      <c r="DK24" s="100">
        <f t="shared" si="43"/>
        <v>341.29999999999995</v>
      </c>
      <c r="DL24" s="100">
        <f t="shared" si="43"/>
        <v>162.29999999999998</v>
      </c>
      <c r="DM24" s="100">
        <f t="shared" si="43"/>
        <v>45.600000000000009</v>
      </c>
      <c r="DN24" s="100">
        <f t="shared" si="43"/>
        <v>0</v>
      </c>
    </row>
    <row r="25" spans="1:118">
      <c r="A25" s="197">
        <f t="shared" si="0"/>
        <v>37591</v>
      </c>
      <c r="B25">
        <v>2002</v>
      </c>
      <c r="C25">
        <v>12</v>
      </c>
      <c r="D25">
        <v>672.39999999999986</v>
      </c>
      <c r="E25">
        <v>0</v>
      </c>
      <c r="F25">
        <v>610.39999999999986</v>
      </c>
      <c r="G25">
        <v>0</v>
      </c>
      <c r="H25">
        <v>548.4</v>
      </c>
      <c r="I25">
        <v>0</v>
      </c>
      <c r="J25">
        <v>486.4</v>
      </c>
      <c r="K25">
        <v>0</v>
      </c>
      <c r="L25">
        <v>424.4</v>
      </c>
      <c r="M25">
        <v>0</v>
      </c>
      <c r="N25">
        <v>362.4</v>
      </c>
      <c r="O25">
        <v>0</v>
      </c>
      <c r="P25">
        <v>300.39999999999992</v>
      </c>
      <c r="Q25">
        <v>0</v>
      </c>
      <c r="R25" s="254">
        <v>-1.6903225806451612</v>
      </c>
      <c r="V25">
        <f t="shared" si="44"/>
        <v>2017</v>
      </c>
      <c r="W25" s="100">
        <f t="shared" si="37"/>
        <v>0</v>
      </c>
      <c r="X25" s="100">
        <f t="shared" si="37"/>
        <v>0</v>
      </c>
      <c r="Y25" s="100">
        <f t="shared" si="37"/>
        <v>0</v>
      </c>
      <c r="Z25" s="100">
        <f t="shared" si="37"/>
        <v>0</v>
      </c>
      <c r="AA25" s="100">
        <f t="shared" si="37"/>
        <v>8.1999999999999993</v>
      </c>
      <c r="AB25" s="100">
        <f t="shared" si="37"/>
        <v>65.199999999999989</v>
      </c>
      <c r="AC25" s="100">
        <f t="shared" si="37"/>
        <v>76</v>
      </c>
      <c r="AD25" s="100">
        <f t="shared" si="37"/>
        <v>34.800000000000011</v>
      </c>
      <c r="AE25" s="100">
        <f t="shared" si="37"/>
        <v>28.3</v>
      </c>
      <c r="AF25" s="100">
        <f t="shared" si="37"/>
        <v>4.4000000000000021</v>
      </c>
      <c r="AG25" s="100">
        <f t="shared" si="37"/>
        <v>0</v>
      </c>
      <c r="AH25" s="100">
        <f t="shared" si="37"/>
        <v>0</v>
      </c>
      <c r="AJ25">
        <f t="shared" si="45"/>
        <v>2017</v>
      </c>
      <c r="AK25" s="100">
        <f t="shared" si="38"/>
        <v>0</v>
      </c>
      <c r="AL25" s="100">
        <f t="shared" si="38"/>
        <v>0</v>
      </c>
      <c r="AM25" s="100">
        <f t="shared" si="38"/>
        <v>0</v>
      </c>
      <c r="AN25" s="100">
        <f t="shared" si="38"/>
        <v>1</v>
      </c>
      <c r="AO25" s="100">
        <f t="shared" si="38"/>
        <v>17.900000000000002</v>
      </c>
      <c r="AP25" s="100">
        <f t="shared" si="38"/>
        <v>102.50000000000003</v>
      </c>
      <c r="AQ25" s="100">
        <f t="shared" si="38"/>
        <v>137.00000000000003</v>
      </c>
      <c r="AR25" s="100">
        <f t="shared" si="38"/>
        <v>80.600000000000009</v>
      </c>
      <c r="AS25" s="100">
        <f t="shared" si="38"/>
        <v>56.400000000000006</v>
      </c>
      <c r="AT25" s="100">
        <f t="shared" si="38"/>
        <v>12.000000000000004</v>
      </c>
      <c r="AU25" s="100">
        <f t="shared" si="38"/>
        <v>0</v>
      </c>
      <c r="AV25" s="100">
        <f t="shared" si="38"/>
        <v>0</v>
      </c>
      <c r="AW25" s="231">
        <f t="shared" si="46"/>
        <v>407.40000000000009</v>
      </c>
      <c r="AX25">
        <f t="shared" si="47"/>
        <v>2017</v>
      </c>
      <c r="AY25" s="100">
        <f t="shared" si="39"/>
        <v>0</v>
      </c>
      <c r="AZ25" s="100">
        <f t="shared" si="39"/>
        <v>0</v>
      </c>
      <c r="BA25" s="100">
        <f t="shared" si="39"/>
        <v>0</v>
      </c>
      <c r="BB25" s="100">
        <f t="shared" si="39"/>
        <v>7.9000000000000021</v>
      </c>
      <c r="BC25" s="100">
        <f t="shared" si="39"/>
        <v>38.100000000000009</v>
      </c>
      <c r="BD25" s="100">
        <f t="shared" si="39"/>
        <v>153.29999999999998</v>
      </c>
      <c r="BE25" s="100">
        <f t="shared" si="39"/>
        <v>198.99999999999997</v>
      </c>
      <c r="BF25" s="100">
        <f t="shared" si="39"/>
        <v>136.4</v>
      </c>
      <c r="BG25" s="100">
        <f t="shared" si="39"/>
        <v>90.999999999999986</v>
      </c>
      <c r="BH25" s="100">
        <f t="shared" si="39"/>
        <v>27.5</v>
      </c>
      <c r="BI25" s="100">
        <f t="shared" si="39"/>
        <v>0</v>
      </c>
      <c r="BJ25" s="100">
        <f t="shared" si="39"/>
        <v>0</v>
      </c>
      <c r="BL25">
        <f t="shared" si="48"/>
        <v>2017</v>
      </c>
      <c r="BM25" s="100">
        <f t="shared" si="40"/>
        <v>0</v>
      </c>
      <c r="BN25" s="100">
        <f t="shared" si="40"/>
        <v>0</v>
      </c>
      <c r="BO25" s="100">
        <f t="shared" si="40"/>
        <v>0</v>
      </c>
      <c r="BP25" s="100">
        <f t="shared" si="40"/>
        <v>21.300000000000004</v>
      </c>
      <c r="BQ25" s="100">
        <f t="shared" si="40"/>
        <v>64.7</v>
      </c>
      <c r="BR25" s="100">
        <f t="shared" si="40"/>
        <v>213.29999999999998</v>
      </c>
      <c r="BS25" s="100">
        <f t="shared" si="40"/>
        <v>260.99999999999994</v>
      </c>
      <c r="BT25" s="100">
        <f t="shared" si="40"/>
        <v>197.89999999999998</v>
      </c>
      <c r="BU25" s="100">
        <f t="shared" si="40"/>
        <v>133.70000000000002</v>
      </c>
      <c r="BV25" s="100">
        <f t="shared" si="40"/>
        <v>55.4</v>
      </c>
      <c r="BW25" s="100">
        <f t="shared" si="40"/>
        <v>0</v>
      </c>
      <c r="BX25" s="100">
        <f t="shared" si="40"/>
        <v>0</v>
      </c>
      <c r="BZ25">
        <f t="shared" si="49"/>
        <v>2017</v>
      </c>
      <c r="CA25" s="100">
        <f t="shared" si="41"/>
        <v>0</v>
      </c>
      <c r="CB25" s="100">
        <f t="shared" si="41"/>
        <v>0</v>
      </c>
      <c r="CC25" s="100">
        <f t="shared" si="41"/>
        <v>1</v>
      </c>
      <c r="CD25" s="100">
        <f t="shared" si="41"/>
        <v>40.300000000000004</v>
      </c>
      <c r="CE25" s="100">
        <f t="shared" si="41"/>
        <v>100.50000000000001</v>
      </c>
      <c r="CF25" s="100">
        <f t="shared" si="41"/>
        <v>273.3</v>
      </c>
      <c r="CG25" s="100">
        <f t="shared" si="41"/>
        <v>323</v>
      </c>
      <c r="CH25" s="100">
        <f t="shared" si="41"/>
        <v>259.89999999999998</v>
      </c>
      <c r="CI25" s="100">
        <f t="shared" si="41"/>
        <v>189.50000000000003</v>
      </c>
      <c r="CJ25" s="100">
        <f t="shared" si="41"/>
        <v>91.399999999999991</v>
      </c>
      <c r="CK25" s="100">
        <f t="shared" si="41"/>
        <v>0.40000000000000036</v>
      </c>
      <c r="CL25" s="100">
        <f t="shared" si="41"/>
        <v>0</v>
      </c>
      <c r="CN25">
        <f t="shared" si="50"/>
        <v>2017</v>
      </c>
      <c r="CO25" s="100">
        <f t="shared" si="42"/>
        <v>0</v>
      </c>
      <c r="CP25" s="100">
        <f t="shared" si="42"/>
        <v>4.4000000000000004</v>
      </c>
      <c r="CQ25" s="100">
        <f t="shared" si="42"/>
        <v>4.6999999999999993</v>
      </c>
      <c r="CR25" s="100">
        <f t="shared" si="42"/>
        <v>68.5</v>
      </c>
      <c r="CS25" s="100">
        <f t="shared" si="42"/>
        <v>144.6</v>
      </c>
      <c r="CT25" s="100">
        <f t="shared" si="42"/>
        <v>333.30000000000007</v>
      </c>
      <c r="CU25" s="100">
        <f t="shared" si="42"/>
        <v>385</v>
      </c>
      <c r="CV25" s="100">
        <f t="shared" si="42"/>
        <v>321.90000000000009</v>
      </c>
      <c r="CW25" s="100">
        <f t="shared" si="42"/>
        <v>248.90000000000003</v>
      </c>
      <c r="CX25" s="100">
        <f t="shared" si="42"/>
        <v>135.79999999999998</v>
      </c>
      <c r="CY25" s="100">
        <f t="shared" si="42"/>
        <v>4.1000000000000014</v>
      </c>
      <c r="CZ25" s="100">
        <f t="shared" si="42"/>
        <v>0</v>
      </c>
      <c r="DB25">
        <f t="shared" si="51"/>
        <v>2017</v>
      </c>
      <c r="DC25" s="100">
        <f t="shared" si="43"/>
        <v>0</v>
      </c>
      <c r="DD25" s="100">
        <f t="shared" si="43"/>
        <v>14.200000000000001</v>
      </c>
      <c r="DE25" s="100">
        <f t="shared" si="43"/>
        <v>9.7999999999999989</v>
      </c>
      <c r="DF25" s="100">
        <f t="shared" si="43"/>
        <v>110.00000000000003</v>
      </c>
      <c r="DG25" s="100">
        <f t="shared" si="43"/>
        <v>194.4</v>
      </c>
      <c r="DH25" s="100">
        <f t="shared" si="43"/>
        <v>393.30000000000007</v>
      </c>
      <c r="DI25" s="100">
        <f t="shared" si="43"/>
        <v>447</v>
      </c>
      <c r="DJ25" s="100">
        <f t="shared" si="43"/>
        <v>383.90000000000015</v>
      </c>
      <c r="DK25" s="100">
        <f t="shared" si="43"/>
        <v>308.89999999999992</v>
      </c>
      <c r="DL25" s="100">
        <f t="shared" si="43"/>
        <v>185.49999999999997</v>
      </c>
      <c r="DM25" s="100">
        <f t="shared" si="43"/>
        <v>10.100000000000001</v>
      </c>
      <c r="DN25" s="100">
        <f t="shared" si="43"/>
        <v>0</v>
      </c>
    </row>
    <row r="26" spans="1:118">
      <c r="A26" s="197">
        <f t="shared" si="0"/>
        <v>37622</v>
      </c>
      <c r="B26">
        <v>2003</v>
      </c>
      <c r="C26">
        <v>1</v>
      </c>
      <c r="D26">
        <v>821.20000000000016</v>
      </c>
      <c r="E26">
        <v>0</v>
      </c>
      <c r="F26">
        <v>759.2</v>
      </c>
      <c r="G26">
        <v>0</v>
      </c>
      <c r="H26">
        <v>697.2</v>
      </c>
      <c r="I26">
        <v>0</v>
      </c>
      <c r="J26">
        <v>635.20000000000005</v>
      </c>
      <c r="K26">
        <v>0</v>
      </c>
      <c r="L26">
        <v>573.20000000000005</v>
      </c>
      <c r="M26">
        <v>0</v>
      </c>
      <c r="N26">
        <v>511.2</v>
      </c>
      <c r="O26">
        <v>0</v>
      </c>
      <c r="P26">
        <v>449.20000000000005</v>
      </c>
      <c r="Q26">
        <v>0</v>
      </c>
      <c r="R26" s="254">
        <v>-6.4903225806451612</v>
      </c>
      <c r="V26">
        <f t="shared" si="44"/>
        <v>2018</v>
      </c>
      <c r="W26" s="100">
        <f t="shared" si="37"/>
        <v>0</v>
      </c>
      <c r="X26" s="100">
        <f t="shared" si="37"/>
        <v>0</v>
      </c>
      <c r="Y26" s="100">
        <f t="shared" si="37"/>
        <v>0</v>
      </c>
      <c r="Z26" s="100">
        <f t="shared" si="37"/>
        <v>0</v>
      </c>
      <c r="AA26" s="100">
        <f t="shared" si="37"/>
        <v>30.400000000000006</v>
      </c>
      <c r="AB26" s="100">
        <f t="shared" si="37"/>
        <v>51.8</v>
      </c>
      <c r="AC26" s="100">
        <f t="shared" si="37"/>
        <v>103.60000000000002</v>
      </c>
      <c r="AD26" s="100">
        <f t="shared" si="37"/>
        <v>100.7</v>
      </c>
      <c r="AE26" s="100">
        <f t="shared" si="37"/>
        <v>53.199999999999996</v>
      </c>
      <c r="AF26" s="100">
        <f t="shared" si="37"/>
        <v>9.8999999999999986</v>
      </c>
      <c r="AG26" s="100">
        <f t="shared" si="37"/>
        <v>0</v>
      </c>
      <c r="AH26" s="100">
        <f t="shared" si="37"/>
        <v>0</v>
      </c>
      <c r="AJ26">
        <f t="shared" si="45"/>
        <v>2018</v>
      </c>
      <c r="AK26" s="100">
        <f t="shared" si="38"/>
        <v>0</v>
      </c>
      <c r="AL26" s="100">
        <f t="shared" si="38"/>
        <v>0</v>
      </c>
      <c r="AM26" s="100">
        <f t="shared" si="38"/>
        <v>0</v>
      </c>
      <c r="AN26" s="100">
        <f t="shared" si="38"/>
        <v>0</v>
      </c>
      <c r="AO26" s="100">
        <f t="shared" si="38"/>
        <v>49.900000000000006</v>
      </c>
      <c r="AP26" s="100">
        <f t="shared" si="38"/>
        <v>93.9</v>
      </c>
      <c r="AQ26" s="100">
        <f t="shared" si="38"/>
        <v>163.30000000000001</v>
      </c>
      <c r="AR26" s="100">
        <f t="shared" si="38"/>
        <v>159.80000000000001</v>
      </c>
      <c r="AS26" s="100">
        <f t="shared" si="38"/>
        <v>85.300000000000011</v>
      </c>
      <c r="AT26" s="100">
        <f t="shared" si="38"/>
        <v>19.600000000000001</v>
      </c>
      <c r="AU26" s="100">
        <f t="shared" si="38"/>
        <v>0</v>
      </c>
      <c r="AV26" s="100">
        <f t="shared" si="38"/>
        <v>0</v>
      </c>
      <c r="AW26" s="231">
        <f t="shared" si="46"/>
        <v>571.80000000000007</v>
      </c>
      <c r="AX26">
        <f t="shared" si="47"/>
        <v>2018</v>
      </c>
      <c r="AY26" s="100">
        <f t="shared" si="39"/>
        <v>0</v>
      </c>
      <c r="AZ26" s="100">
        <f t="shared" si="39"/>
        <v>0</v>
      </c>
      <c r="BA26" s="100">
        <f t="shared" si="39"/>
        <v>0</v>
      </c>
      <c r="BB26" s="100">
        <f t="shared" si="39"/>
        <v>0</v>
      </c>
      <c r="BC26" s="100">
        <f t="shared" si="39"/>
        <v>82.1</v>
      </c>
      <c r="BD26" s="100">
        <f t="shared" si="39"/>
        <v>148.80000000000001</v>
      </c>
      <c r="BE26" s="100">
        <f t="shared" si="39"/>
        <v>225.1</v>
      </c>
      <c r="BF26" s="100">
        <f t="shared" si="39"/>
        <v>221.79999999999995</v>
      </c>
      <c r="BG26" s="100">
        <f t="shared" si="39"/>
        <v>125.1</v>
      </c>
      <c r="BH26" s="100">
        <f t="shared" si="39"/>
        <v>31.8</v>
      </c>
      <c r="BI26" s="100">
        <f t="shared" si="39"/>
        <v>0</v>
      </c>
      <c r="BJ26" s="100">
        <f t="shared" si="39"/>
        <v>0</v>
      </c>
      <c r="BL26">
        <f t="shared" si="48"/>
        <v>2018</v>
      </c>
      <c r="BM26" s="100">
        <f t="shared" si="40"/>
        <v>0</v>
      </c>
      <c r="BN26" s="100">
        <f t="shared" si="40"/>
        <v>0</v>
      </c>
      <c r="BO26" s="100">
        <f t="shared" si="40"/>
        <v>0</v>
      </c>
      <c r="BP26" s="100">
        <f t="shared" si="40"/>
        <v>9.9999999999999645E-2</v>
      </c>
      <c r="BQ26" s="100">
        <f t="shared" si="40"/>
        <v>127.69999999999999</v>
      </c>
      <c r="BR26" s="100">
        <f t="shared" si="40"/>
        <v>206.29999999999998</v>
      </c>
      <c r="BS26" s="100">
        <f t="shared" si="40"/>
        <v>287.10000000000008</v>
      </c>
      <c r="BT26" s="100">
        <f t="shared" si="40"/>
        <v>283.79999999999995</v>
      </c>
      <c r="BU26" s="100">
        <f t="shared" si="40"/>
        <v>171.29999999999995</v>
      </c>
      <c r="BV26" s="100">
        <f t="shared" si="40"/>
        <v>47.3</v>
      </c>
      <c r="BW26" s="100">
        <f t="shared" si="40"/>
        <v>0</v>
      </c>
      <c r="BX26" s="100">
        <f t="shared" si="40"/>
        <v>0</v>
      </c>
      <c r="BZ26">
        <f t="shared" si="49"/>
        <v>2018</v>
      </c>
      <c r="CA26" s="100">
        <f t="shared" si="41"/>
        <v>0</v>
      </c>
      <c r="CB26" s="100">
        <f t="shared" si="41"/>
        <v>1</v>
      </c>
      <c r="CC26" s="100">
        <f t="shared" si="41"/>
        <v>0</v>
      </c>
      <c r="CD26" s="100">
        <f t="shared" si="41"/>
        <v>2.2999999999999989</v>
      </c>
      <c r="CE26" s="100">
        <f t="shared" si="41"/>
        <v>182.1</v>
      </c>
      <c r="CF26" s="100">
        <f t="shared" si="41"/>
        <v>266.29999999999995</v>
      </c>
      <c r="CG26" s="100">
        <f t="shared" si="41"/>
        <v>349.10000000000008</v>
      </c>
      <c r="CH26" s="100">
        <f t="shared" si="41"/>
        <v>345.79999999999995</v>
      </c>
      <c r="CI26" s="100">
        <f t="shared" si="41"/>
        <v>224.19999999999996</v>
      </c>
      <c r="CJ26" s="100">
        <f t="shared" si="41"/>
        <v>67.3</v>
      </c>
      <c r="CK26" s="100">
        <f t="shared" si="41"/>
        <v>0</v>
      </c>
      <c r="CL26" s="100">
        <f t="shared" si="41"/>
        <v>0</v>
      </c>
      <c r="CN26">
        <f t="shared" si="50"/>
        <v>2018</v>
      </c>
      <c r="CO26" s="100">
        <f t="shared" si="42"/>
        <v>0</v>
      </c>
      <c r="CP26" s="100">
        <f t="shared" si="42"/>
        <v>3</v>
      </c>
      <c r="CQ26" s="100">
        <f t="shared" si="42"/>
        <v>0</v>
      </c>
      <c r="CR26" s="100">
        <f t="shared" si="42"/>
        <v>9.4</v>
      </c>
      <c r="CS26" s="100">
        <f t="shared" si="42"/>
        <v>239.70000000000002</v>
      </c>
      <c r="CT26" s="100">
        <f t="shared" si="42"/>
        <v>326.29999999999995</v>
      </c>
      <c r="CU26" s="100">
        <f t="shared" si="42"/>
        <v>411.10000000000014</v>
      </c>
      <c r="CV26" s="100">
        <f t="shared" si="42"/>
        <v>407.8</v>
      </c>
      <c r="CW26" s="100">
        <f t="shared" si="42"/>
        <v>283.89999999999992</v>
      </c>
      <c r="CX26" s="100">
        <f t="shared" si="42"/>
        <v>89.3</v>
      </c>
      <c r="CY26" s="100">
        <f t="shared" si="42"/>
        <v>0.5</v>
      </c>
      <c r="CZ26" s="100">
        <f t="shared" si="42"/>
        <v>0</v>
      </c>
      <c r="DB26">
        <f t="shared" si="51"/>
        <v>2018</v>
      </c>
      <c r="DC26" s="100">
        <f t="shared" si="43"/>
        <v>1.3000000000000007</v>
      </c>
      <c r="DD26" s="100">
        <f t="shared" si="43"/>
        <v>5.9</v>
      </c>
      <c r="DE26" s="100">
        <f t="shared" si="43"/>
        <v>0</v>
      </c>
      <c r="DF26" s="100">
        <f t="shared" si="43"/>
        <v>21.3</v>
      </c>
      <c r="DG26" s="100">
        <f t="shared" si="43"/>
        <v>298.20000000000005</v>
      </c>
      <c r="DH26" s="100">
        <f t="shared" si="43"/>
        <v>386.29999999999995</v>
      </c>
      <c r="DI26" s="100">
        <f t="shared" si="43"/>
        <v>473.10000000000014</v>
      </c>
      <c r="DJ26" s="100">
        <f t="shared" si="43"/>
        <v>469.8</v>
      </c>
      <c r="DK26" s="100">
        <f t="shared" si="43"/>
        <v>343.9</v>
      </c>
      <c r="DL26" s="100">
        <f t="shared" si="43"/>
        <v>116.79999999999998</v>
      </c>
      <c r="DM26" s="100">
        <f t="shared" si="43"/>
        <v>4.5</v>
      </c>
      <c r="DN26" s="100">
        <f t="shared" si="43"/>
        <v>1.4000000000000004</v>
      </c>
    </row>
    <row r="27" spans="1:118">
      <c r="A27" s="197">
        <f t="shared" si="0"/>
        <v>37653</v>
      </c>
      <c r="B27">
        <v>2003</v>
      </c>
      <c r="C27">
        <v>2</v>
      </c>
      <c r="D27">
        <v>712.20000000000016</v>
      </c>
      <c r="E27">
        <v>0</v>
      </c>
      <c r="F27">
        <v>656.20000000000016</v>
      </c>
      <c r="G27">
        <v>0</v>
      </c>
      <c r="H27">
        <v>600.20000000000005</v>
      </c>
      <c r="I27">
        <v>0</v>
      </c>
      <c r="J27">
        <v>544.20000000000005</v>
      </c>
      <c r="K27">
        <v>0</v>
      </c>
      <c r="L27">
        <v>488.2</v>
      </c>
      <c r="M27">
        <v>0</v>
      </c>
      <c r="N27">
        <v>432.2</v>
      </c>
      <c r="O27">
        <v>0</v>
      </c>
      <c r="P27">
        <v>376.19999999999993</v>
      </c>
      <c r="Q27">
        <v>0</v>
      </c>
      <c r="R27" s="254">
        <v>-5.4357142857142842</v>
      </c>
      <c r="V27">
        <f t="shared" si="44"/>
        <v>2019</v>
      </c>
      <c r="W27" s="100">
        <f t="shared" si="37"/>
        <v>0</v>
      </c>
      <c r="X27" s="100">
        <f t="shared" si="37"/>
        <v>0</v>
      </c>
      <c r="Y27" s="100">
        <f t="shared" si="37"/>
        <v>0</v>
      </c>
      <c r="Z27" s="100">
        <f t="shared" si="37"/>
        <v>0</v>
      </c>
      <c r="AA27" s="100">
        <f t="shared" si="37"/>
        <v>3.1000000000000014</v>
      </c>
      <c r="AB27" s="100">
        <f t="shared" si="37"/>
        <v>32.099999999999994</v>
      </c>
      <c r="AC27" s="100">
        <f t="shared" si="37"/>
        <v>128.46447700859017</v>
      </c>
      <c r="AD27" s="100">
        <f t="shared" si="37"/>
        <v>70.064477008590202</v>
      </c>
      <c r="AE27" s="100">
        <f t="shared" si="37"/>
        <v>22.3</v>
      </c>
      <c r="AF27" s="100">
        <f t="shared" si="37"/>
        <v>5</v>
      </c>
      <c r="AG27" s="100">
        <f t="shared" si="37"/>
        <v>0</v>
      </c>
      <c r="AH27" s="100">
        <f t="shared" si="37"/>
        <v>0</v>
      </c>
      <c r="AJ27">
        <f t="shared" si="45"/>
        <v>2019</v>
      </c>
      <c r="AK27" s="100">
        <f t="shared" si="38"/>
        <v>0</v>
      </c>
      <c r="AL27" s="100">
        <f t="shared" si="38"/>
        <v>0</v>
      </c>
      <c r="AM27" s="100">
        <f t="shared" si="38"/>
        <v>0</v>
      </c>
      <c r="AN27" s="100">
        <f t="shared" si="38"/>
        <v>0</v>
      </c>
      <c r="AO27" s="100">
        <f t="shared" si="38"/>
        <v>10.400000000000002</v>
      </c>
      <c r="AP27" s="100">
        <f t="shared" si="38"/>
        <v>59.899999999999991</v>
      </c>
      <c r="AQ27" s="100">
        <f t="shared" si="38"/>
        <v>190.46447700859019</v>
      </c>
      <c r="AR27" s="100">
        <f t="shared" si="38"/>
        <v>124.36447700859021</v>
      </c>
      <c r="AS27" s="100">
        <f t="shared" si="38"/>
        <v>50.9</v>
      </c>
      <c r="AT27" s="100">
        <f t="shared" si="38"/>
        <v>7.6999999999999993</v>
      </c>
      <c r="AU27" s="100">
        <f t="shared" si="38"/>
        <v>0</v>
      </c>
      <c r="AV27" s="100">
        <f t="shared" si="38"/>
        <v>0</v>
      </c>
      <c r="AW27" s="231">
        <f t="shared" si="46"/>
        <v>443.72895401718034</v>
      </c>
      <c r="AX27">
        <f t="shared" si="47"/>
        <v>2019</v>
      </c>
      <c r="AY27" s="100">
        <f t="shared" si="39"/>
        <v>0</v>
      </c>
      <c r="AZ27" s="100">
        <f t="shared" si="39"/>
        <v>0</v>
      </c>
      <c r="BA27" s="100">
        <f t="shared" si="39"/>
        <v>0</v>
      </c>
      <c r="BB27" s="100">
        <f t="shared" si="39"/>
        <v>0.39999999999999858</v>
      </c>
      <c r="BC27" s="100">
        <f t="shared" si="39"/>
        <v>22.3</v>
      </c>
      <c r="BD27" s="100">
        <f t="shared" si="39"/>
        <v>103.1</v>
      </c>
      <c r="BE27" s="100">
        <f t="shared" si="39"/>
        <v>252.46447700859022</v>
      </c>
      <c r="BF27" s="100">
        <f t="shared" si="39"/>
        <v>185.96447700859014</v>
      </c>
      <c r="BG27" s="100">
        <f t="shared" si="39"/>
        <v>98.300000000000011</v>
      </c>
      <c r="BH27" s="100">
        <f t="shared" si="39"/>
        <v>13.3</v>
      </c>
      <c r="BI27" s="100">
        <f t="shared" si="39"/>
        <v>0</v>
      </c>
      <c r="BJ27" s="100">
        <f t="shared" si="39"/>
        <v>0</v>
      </c>
      <c r="BL27">
        <f t="shared" si="48"/>
        <v>2019</v>
      </c>
      <c r="BM27" s="100">
        <f t="shared" si="40"/>
        <v>0</v>
      </c>
      <c r="BN27" s="100">
        <f t="shared" si="40"/>
        <v>0</v>
      </c>
      <c r="BO27" s="100">
        <f t="shared" si="40"/>
        <v>0</v>
      </c>
      <c r="BP27" s="100">
        <f t="shared" si="40"/>
        <v>3.8999999999999986</v>
      </c>
      <c r="BQ27" s="100">
        <f t="shared" si="40"/>
        <v>47.5</v>
      </c>
      <c r="BR27" s="100">
        <f t="shared" si="40"/>
        <v>157.4</v>
      </c>
      <c r="BS27" s="100">
        <f t="shared" si="40"/>
        <v>314.46447700859017</v>
      </c>
      <c r="BT27" s="100">
        <f t="shared" si="40"/>
        <v>247.96447700859014</v>
      </c>
      <c r="BU27" s="100">
        <f t="shared" si="40"/>
        <v>156.19999999999999</v>
      </c>
      <c r="BV27" s="100">
        <f t="shared" si="40"/>
        <v>23.799999999999997</v>
      </c>
      <c r="BW27" s="100">
        <f t="shared" si="40"/>
        <v>0</v>
      </c>
      <c r="BX27" s="100">
        <f t="shared" si="40"/>
        <v>0</v>
      </c>
      <c r="BZ27">
        <f t="shared" si="49"/>
        <v>2019</v>
      </c>
      <c r="CA27" s="100">
        <f t="shared" si="41"/>
        <v>0</v>
      </c>
      <c r="CB27" s="100">
        <f t="shared" si="41"/>
        <v>0</v>
      </c>
      <c r="CC27" s="100">
        <f t="shared" si="41"/>
        <v>0</v>
      </c>
      <c r="CD27" s="100">
        <f t="shared" si="41"/>
        <v>11.399999999999999</v>
      </c>
      <c r="CE27" s="100">
        <f t="shared" si="41"/>
        <v>83.399999999999991</v>
      </c>
      <c r="CF27" s="100">
        <f t="shared" si="41"/>
        <v>216.00000000000003</v>
      </c>
      <c r="CG27" s="100">
        <f t="shared" si="41"/>
        <v>376.46447700859022</v>
      </c>
      <c r="CH27" s="100">
        <f t="shared" si="41"/>
        <v>309.96447700859011</v>
      </c>
      <c r="CI27" s="100">
        <f t="shared" si="41"/>
        <v>216.19999999999996</v>
      </c>
      <c r="CJ27" s="100">
        <f t="shared" si="41"/>
        <v>44.8</v>
      </c>
      <c r="CK27" s="100">
        <f t="shared" si="41"/>
        <v>0</v>
      </c>
      <c r="CL27" s="100">
        <f t="shared" si="41"/>
        <v>0</v>
      </c>
      <c r="CN27">
        <f t="shared" si="50"/>
        <v>2019</v>
      </c>
      <c r="CO27" s="100">
        <f t="shared" si="42"/>
        <v>0</v>
      </c>
      <c r="CP27" s="100">
        <f t="shared" si="42"/>
        <v>0</v>
      </c>
      <c r="CQ27" s="100">
        <f t="shared" si="42"/>
        <v>1.3000000000000007</v>
      </c>
      <c r="CR27" s="100">
        <f t="shared" si="42"/>
        <v>30.799999999999997</v>
      </c>
      <c r="CS27" s="100">
        <f t="shared" si="42"/>
        <v>128.39999999999998</v>
      </c>
      <c r="CT27" s="100">
        <f t="shared" si="42"/>
        <v>275.99999999999994</v>
      </c>
      <c r="CU27" s="100">
        <f t="shared" si="42"/>
        <v>438.46447700859022</v>
      </c>
      <c r="CV27" s="100">
        <f t="shared" si="42"/>
        <v>371.96447700859017</v>
      </c>
      <c r="CW27" s="100">
        <f t="shared" si="42"/>
        <v>276.2</v>
      </c>
      <c r="CX27" s="100">
        <f t="shared" si="42"/>
        <v>78.499999999999986</v>
      </c>
      <c r="CY27" s="100">
        <f t="shared" si="42"/>
        <v>0</v>
      </c>
      <c r="CZ27" s="100">
        <f t="shared" si="42"/>
        <v>0</v>
      </c>
      <c r="DB27">
        <f t="shared" si="51"/>
        <v>2019</v>
      </c>
      <c r="DC27" s="100">
        <f t="shared" si="43"/>
        <v>0</v>
      </c>
      <c r="DD27" s="100">
        <f t="shared" si="43"/>
        <v>0</v>
      </c>
      <c r="DE27" s="100">
        <f t="shared" si="43"/>
        <v>5.3000000000000007</v>
      </c>
      <c r="DF27" s="100">
        <f t="shared" si="43"/>
        <v>60.100000000000009</v>
      </c>
      <c r="DG27" s="100">
        <f t="shared" si="43"/>
        <v>182.50000000000003</v>
      </c>
      <c r="DH27" s="100">
        <f t="shared" si="43"/>
        <v>335.99999999999989</v>
      </c>
      <c r="DI27" s="100">
        <f t="shared" si="43"/>
        <v>500.46447700859022</v>
      </c>
      <c r="DJ27" s="100">
        <f t="shared" si="43"/>
        <v>433.96447700859011</v>
      </c>
      <c r="DK27" s="100">
        <f t="shared" si="43"/>
        <v>336.20000000000005</v>
      </c>
      <c r="DL27" s="100">
        <f t="shared" si="43"/>
        <v>123.79999999999998</v>
      </c>
      <c r="DM27" s="100">
        <f t="shared" si="43"/>
        <v>0.59999999999999964</v>
      </c>
      <c r="DN27" s="100">
        <f t="shared" si="43"/>
        <v>0.69999999999999929</v>
      </c>
    </row>
    <row r="28" spans="1:118">
      <c r="A28" s="197">
        <f t="shared" si="0"/>
        <v>37681</v>
      </c>
      <c r="B28">
        <v>2003</v>
      </c>
      <c r="C28">
        <v>3</v>
      </c>
      <c r="D28">
        <v>586.09999999999991</v>
      </c>
      <c r="E28">
        <v>0</v>
      </c>
      <c r="F28">
        <v>524.09999999999991</v>
      </c>
      <c r="G28">
        <v>0</v>
      </c>
      <c r="H28">
        <v>462.09999999999997</v>
      </c>
      <c r="I28">
        <v>0</v>
      </c>
      <c r="J28">
        <v>400.09999999999997</v>
      </c>
      <c r="K28">
        <v>0</v>
      </c>
      <c r="L28">
        <v>339.49999999999994</v>
      </c>
      <c r="M28">
        <v>1.4000000000000004</v>
      </c>
      <c r="N28">
        <v>281.2999999999999</v>
      </c>
      <c r="O28">
        <v>5.1999999999999993</v>
      </c>
      <c r="P28">
        <v>228.59999999999994</v>
      </c>
      <c r="Q28">
        <v>14.5</v>
      </c>
      <c r="R28" s="254">
        <v>1.0935483870967742</v>
      </c>
      <c r="V28">
        <f t="shared" si="44"/>
        <v>2020</v>
      </c>
      <c r="W28" s="100">
        <f t="shared" si="37"/>
        <v>0</v>
      </c>
      <c r="X28" s="100">
        <f t="shared" si="37"/>
        <v>0</v>
      </c>
      <c r="Y28" s="100">
        <f t="shared" si="37"/>
        <v>0</v>
      </c>
      <c r="Z28" s="100">
        <f t="shared" si="37"/>
        <v>0</v>
      </c>
      <c r="AA28" s="100">
        <f t="shared" si="37"/>
        <v>15</v>
      </c>
      <c r="AB28" s="100">
        <f t="shared" si="37"/>
        <v>64.7</v>
      </c>
      <c r="AC28" s="100">
        <f t="shared" si="37"/>
        <v>143.69999999999999</v>
      </c>
      <c r="AD28" s="100">
        <f t="shared" si="37"/>
        <v>66</v>
      </c>
      <c r="AE28" s="100">
        <f t="shared" si="37"/>
        <v>10.564477008590192</v>
      </c>
      <c r="AF28" s="100">
        <f t="shared" si="37"/>
        <v>0</v>
      </c>
      <c r="AG28" s="100">
        <f t="shared" si="37"/>
        <v>0</v>
      </c>
      <c r="AH28" s="100">
        <f t="shared" si="37"/>
        <v>0</v>
      </c>
      <c r="AJ28">
        <f t="shared" si="45"/>
        <v>2020</v>
      </c>
      <c r="AK28" s="100">
        <f t="shared" si="38"/>
        <v>0</v>
      </c>
      <c r="AL28" s="100">
        <f t="shared" si="38"/>
        <v>0</v>
      </c>
      <c r="AM28" s="100">
        <f t="shared" si="38"/>
        <v>0</v>
      </c>
      <c r="AN28" s="100">
        <f t="shared" si="38"/>
        <v>0</v>
      </c>
      <c r="AO28" s="100">
        <f t="shared" si="38"/>
        <v>26.5</v>
      </c>
      <c r="AP28" s="100">
        <f t="shared" si="38"/>
        <v>111.3</v>
      </c>
      <c r="AQ28" s="100">
        <f t="shared" si="38"/>
        <v>205.7</v>
      </c>
      <c r="AR28" s="100">
        <f t="shared" si="38"/>
        <v>120.05790803436078</v>
      </c>
      <c r="AS28" s="100">
        <f t="shared" si="38"/>
        <v>26.364477008590192</v>
      </c>
      <c r="AT28" s="100">
        <f t="shared" si="38"/>
        <v>0.80000000000000071</v>
      </c>
      <c r="AU28" s="100">
        <f t="shared" si="38"/>
        <v>1.3999999999999986</v>
      </c>
      <c r="AV28" s="100">
        <f t="shared" si="38"/>
        <v>0</v>
      </c>
      <c r="AW28" s="231">
        <f t="shared" si="46"/>
        <v>492.12238504295095</v>
      </c>
      <c r="AX28">
        <f t="shared" si="47"/>
        <v>2020</v>
      </c>
      <c r="AY28" s="100">
        <f t="shared" si="39"/>
        <v>0</v>
      </c>
      <c r="AZ28" s="100">
        <f t="shared" si="39"/>
        <v>0</v>
      </c>
      <c r="BA28" s="100">
        <f t="shared" si="39"/>
        <v>0</v>
      </c>
      <c r="BB28" s="100">
        <f t="shared" si="39"/>
        <v>0</v>
      </c>
      <c r="BC28" s="100">
        <f t="shared" si="39"/>
        <v>43.2</v>
      </c>
      <c r="BD28" s="100">
        <f t="shared" si="39"/>
        <v>164.9</v>
      </c>
      <c r="BE28" s="100">
        <f t="shared" si="39"/>
        <v>267.70000000000005</v>
      </c>
      <c r="BF28" s="100">
        <f t="shared" si="39"/>
        <v>182.05790803436074</v>
      </c>
      <c r="BG28" s="100">
        <f t="shared" si="39"/>
        <v>55.628954017180384</v>
      </c>
      <c r="BH28" s="100">
        <f t="shared" si="39"/>
        <v>4.9000000000000021</v>
      </c>
      <c r="BI28" s="100">
        <f t="shared" si="39"/>
        <v>3.3999999999999986</v>
      </c>
      <c r="BJ28" s="100">
        <f t="shared" si="39"/>
        <v>0</v>
      </c>
      <c r="BL28">
        <f t="shared" si="48"/>
        <v>2020</v>
      </c>
      <c r="BM28" s="100">
        <f t="shared" si="40"/>
        <v>0</v>
      </c>
      <c r="BN28" s="100">
        <f t="shared" si="40"/>
        <v>0</v>
      </c>
      <c r="BO28" s="100">
        <f t="shared" si="40"/>
        <v>0</v>
      </c>
      <c r="BP28" s="100">
        <f t="shared" si="40"/>
        <v>2.7000000000000011</v>
      </c>
      <c r="BQ28" s="100">
        <f t="shared" si="40"/>
        <v>69.8</v>
      </c>
      <c r="BR28" s="100">
        <f t="shared" si="40"/>
        <v>220.5</v>
      </c>
      <c r="BS28" s="100">
        <f t="shared" si="40"/>
        <v>329.7</v>
      </c>
      <c r="BT28" s="100">
        <f t="shared" si="40"/>
        <v>244.05790803436074</v>
      </c>
      <c r="BU28" s="100">
        <f t="shared" si="40"/>
        <v>96.328954017180365</v>
      </c>
      <c r="BV28" s="100">
        <f t="shared" si="40"/>
        <v>14.500000000000002</v>
      </c>
      <c r="BW28" s="100">
        <f t="shared" si="40"/>
        <v>6.3999999999999986</v>
      </c>
      <c r="BX28" s="100">
        <f t="shared" si="40"/>
        <v>0</v>
      </c>
      <c r="BZ28">
        <f t="shared" si="49"/>
        <v>2020</v>
      </c>
      <c r="CA28" s="100">
        <f t="shared" si="41"/>
        <v>0</v>
      </c>
      <c r="CB28" s="100">
        <f t="shared" si="41"/>
        <v>0</v>
      </c>
      <c r="CC28" s="100">
        <f t="shared" si="41"/>
        <v>0.69999999999999929</v>
      </c>
      <c r="CD28" s="100">
        <f t="shared" si="41"/>
        <v>9.4000000000000021</v>
      </c>
      <c r="CE28" s="100">
        <f t="shared" si="41"/>
        <v>104.19999999999999</v>
      </c>
      <c r="CF28" s="100">
        <f t="shared" si="41"/>
        <v>280.5</v>
      </c>
      <c r="CG28" s="100">
        <f t="shared" si="41"/>
        <v>391.69999999999993</v>
      </c>
      <c r="CH28" s="100">
        <f t="shared" si="41"/>
        <v>306.05790803436071</v>
      </c>
      <c r="CI28" s="100">
        <f t="shared" si="41"/>
        <v>147.12895401718038</v>
      </c>
      <c r="CJ28" s="100">
        <f t="shared" si="41"/>
        <v>31.000000000000004</v>
      </c>
      <c r="CK28" s="100">
        <f t="shared" si="41"/>
        <v>18.199999999999996</v>
      </c>
      <c r="CL28" s="100">
        <f t="shared" si="41"/>
        <v>0</v>
      </c>
      <c r="CN28">
        <f t="shared" si="50"/>
        <v>2020</v>
      </c>
      <c r="CO28" s="100">
        <f t="shared" si="42"/>
        <v>0</v>
      </c>
      <c r="CP28" s="100">
        <f t="shared" si="42"/>
        <v>0</v>
      </c>
      <c r="CQ28" s="100">
        <f t="shared" si="42"/>
        <v>4.0999999999999996</v>
      </c>
      <c r="CR28" s="100">
        <f t="shared" si="42"/>
        <v>18.800000000000004</v>
      </c>
      <c r="CS28" s="100">
        <f t="shared" si="42"/>
        <v>145.79999999999998</v>
      </c>
      <c r="CT28" s="100">
        <f t="shared" si="42"/>
        <v>340.5</v>
      </c>
      <c r="CU28" s="100">
        <f t="shared" si="42"/>
        <v>453.7</v>
      </c>
      <c r="CV28" s="100">
        <f t="shared" si="42"/>
        <v>368.05790803436071</v>
      </c>
      <c r="CW28" s="100">
        <f t="shared" si="42"/>
        <v>204.2289540171804</v>
      </c>
      <c r="CX28" s="100">
        <f t="shared" si="42"/>
        <v>57.7</v>
      </c>
      <c r="CY28" s="100">
        <f t="shared" si="42"/>
        <v>34.999999999999993</v>
      </c>
      <c r="CZ28" s="100">
        <f t="shared" si="42"/>
        <v>0</v>
      </c>
      <c r="DB28">
        <f t="shared" si="51"/>
        <v>2020</v>
      </c>
      <c r="DC28" s="100">
        <f t="shared" si="43"/>
        <v>0</v>
      </c>
      <c r="DD28" s="100">
        <f t="shared" si="43"/>
        <v>0</v>
      </c>
      <c r="DE28" s="100">
        <f t="shared" si="43"/>
        <v>10.5</v>
      </c>
      <c r="DF28" s="100">
        <f t="shared" si="43"/>
        <v>31.999999999999996</v>
      </c>
      <c r="DG28" s="100">
        <f t="shared" si="43"/>
        <v>190.79999999999998</v>
      </c>
      <c r="DH28" s="100">
        <f t="shared" si="43"/>
        <v>400.5</v>
      </c>
      <c r="DI28" s="100">
        <f t="shared" si="43"/>
        <v>515.69999999999993</v>
      </c>
      <c r="DJ28" s="100">
        <f t="shared" si="43"/>
        <v>430.05790803436076</v>
      </c>
      <c r="DK28" s="100">
        <f t="shared" si="43"/>
        <v>264.22895401718034</v>
      </c>
      <c r="DL28" s="100">
        <f t="shared" si="43"/>
        <v>93.59999999999998</v>
      </c>
      <c r="DM28" s="100">
        <f t="shared" si="43"/>
        <v>55.8</v>
      </c>
      <c r="DN28" s="100">
        <f t="shared" si="43"/>
        <v>0</v>
      </c>
    </row>
    <row r="29" spans="1:118">
      <c r="A29" s="197">
        <f t="shared" si="0"/>
        <v>37712</v>
      </c>
      <c r="B29">
        <v>2003</v>
      </c>
      <c r="C29">
        <v>4</v>
      </c>
      <c r="D29">
        <v>361.29999999999995</v>
      </c>
      <c r="E29">
        <v>0.69999999999999929</v>
      </c>
      <c r="F29">
        <v>303.3</v>
      </c>
      <c r="G29">
        <v>2.6999999999999993</v>
      </c>
      <c r="H29">
        <v>248.10000000000002</v>
      </c>
      <c r="I29">
        <v>7.5</v>
      </c>
      <c r="J29">
        <v>194.10000000000002</v>
      </c>
      <c r="K29">
        <v>13.5</v>
      </c>
      <c r="L29">
        <v>142.5</v>
      </c>
      <c r="M29">
        <v>21.9</v>
      </c>
      <c r="N29">
        <v>100.2</v>
      </c>
      <c r="O29">
        <v>39.599999999999994</v>
      </c>
      <c r="P29">
        <v>69.5</v>
      </c>
      <c r="Q29">
        <v>68.900000000000006</v>
      </c>
      <c r="R29" s="254">
        <v>7.9799999999999995</v>
      </c>
      <c r="V29">
        <f t="shared" si="44"/>
        <v>2021</v>
      </c>
      <c r="W29" s="100">
        <f t="shared" si="37"/>
        <v>0</v>
      </c>
      <c r="X29" s="100">
        <f t="shared" si="37"/>
        <v>0</v>
      </c>
      <c r="Y29" s="100">
        <f t="shared" si="37"/>
        <v>0</v>
      </c>
      <c r="Z29" s="100">
        <f t="shared" si="37"/>
        <v>0</v>
      </c>
      <c r="AA29" s="100">
        <f t="shared" si="37"/>
        <v>23.564477008590192</v>
      </c>
      <c r="AB29" s="100">
        <f t="shared" si="37"/>
        <v>86.000000000000014</v>
      </c>
      <c r="AC29" s="100">
        <f t="shared" si="37"/>
        <v>78.900000000000006</v>
      </c>
      <c r="AD29" s="100">
        <f t="shared" si="37"/>
        <v>105.19343102577058</v>
      </c>
      <c r="AE29" s="100">
        <f t="shared" si="37"/>
        <v>18.600000000000001</v>
      </c>
      <c r="AF29" s="100">
        <f t="shared" si="37"/>
        <v>7.5000000000000036</v>
      </c>
      <c r="AG29" s="100">
        <f t="shared" si="37"/>
        <v>0</v>
      </c>
      <c r="AH29" s="100">
        <f t="shared" si="37"/>
        <v>0</v>
      </c>
      <c r="AJ29">
        <f t="shared" si="45"/>
        <v>2021</v>
      </c>
      <c r="AK29" s="100">
        <f t="shared" si="38"/>
        <v>0</v>
      </c>
      <c r="AL29" s="100">
        <f t="shared" si="38"/>
        <v>0</v>
      </c>
      <c r="AM29" s="100">
        <f t="shared" si="38"/>
        <v>0</v>
      </c>
      <c r="AN29" s="100">
        <f t="shared" si="38"/>
        <v>0.39999999999999858</v>
      </c>
      <c r="AO29" s="100">
        <f t="shared" si="38"/>
        <v>38.664477008590197</v>
      </c>
      <c r="AP29" s="100">
        <f t="shared" si="38"/>
        <v>135</v>
      </c>
      <c r="AQ29" s="100">
        <f t="shared" si="38"/>
        <v>130.4</v>
      </c>
      <c r="AR29" s="100">
        <f t="shared" si="38"/>
        <v>162.29343102577059</v>
      </c>
      <c r="AS29" s="100">
        <f t="shared" si="38"/>
        <v>50.900000000000006</v>
      </c>
      <c r="AT29" s="100">
        <f t="shared" si="38"/>
        <v>27</v>
      </c>
      <c r="AU29" s="100">
        <f t="shared" si="38"/>
        <v>0</v>
      </c>
      <c r="AV29" s="100">
        <f t="shared" si="38"/>
        <v>0</v>
      </c>
      <c r="AW29" s="231">
        <f t="shared" si="46"/>
        <v>544.65790803436073</v>
      </c>
      <c r="AX29">
        <f t="shared" si="47"/>
        <v>2021</v>
      </c>
      <c r="AY29" s="100">
        <f t="shared" si="39"/>
        <v>0</v>
      </c>
      <c r="AZ29" s="100">
        <f t="shared" si="39"/>
        <v>0</v>
      </c>
      <c r="BA29" s="100">
        <f t="shared" si="39"/>
        <v>0</v>
      </c>
      <c r="BB29" s="100">
        <f t="shared" si="39"/>
        <v>6.6999999999999957</v>
      </c>
      <c r="BC29" s="100">
        <f t="shared" si="39"/>
        <v>58.064477008590188</v>
      </c>
      <c r="BD29" s="100">
        <f t="shared" si="39"/>
        <v>190</v>
      </c>
      <c r="BE29" s="100">
        <f t="shared" si="39"/>
        <v>192.39999999999998</v>
      </c>
      <c r="BF29" s="100">
        <f t="shared" si="39"/>
        <v>224.29343102577059</v>
      </c>
      <c r="BG29" s="100">
        <f t="shared" si="39"/>
        <v>90.800000000000011</v>
      </c>
      <c r="BH29" s="100">
        <f t="shared" si="39"/>
        <v>51.300000000000011</v>
      </c>
      <c r="BI29" s="100">
        <f t="shared" si="39"/>
        <v>0</v>
      </c>
      <c r="BJ29" s="100">
        <f t="shared" si="39"/>
        <v>0</v>
      </c>
      <c r="BL29">
        <f t="shared" si="48"/>
        <v>2021</v>
      </c>
      <c r="BM29" s="100">
        <f t="shared" si="40"/>
        <v>0</v>
      </c>
      <c r="BN29" s="100">
        <f t="shared" si="40"/>
        <v>0</v>
      </c>
      <c r="BO29" s="100">
        <f t="shared" si="40"/>
        <v>1.0999999999999996</v>
      </c>
      <c r="BP29" s="100">
        <f t="shared" si="40"/>
        <v>18.999999999999993</v>
      </c>
      <c r="BQ29" s="100">
        <f t="shared" si="40"/>
        <v>85.764477008590191</v>
      </c>
      <c r="BR29" s="100">
        <f t="shared" si="40"/>
        <v>248.09999999999994</v>
      </c>
      <c r="BS29" s="100">
        <f t="shared" si="40"/>
        <v>254.40000000000003</v>
      </c>
      <c r="BT29" s="100">
        <f t="shared" si="40"/>
        <v>286.29343102577059</v>
      </c>
      <c r="BU29" s="100">
        <f t="shared" si="40"/>
        <v>141.39999999999998</v>
      </c>
      <c r="BV29" s="100">
        <f t="shared" si="40"/>
        <v>80.799999999999983</v>
      </c>
      <c r="BW29" s="100">
        <f t="shared" si="40"/>
        <v>0</v>
      </c>
      <c r="BX29" s="100">
        <f t="shared" si="40"/>
        <v>0</v>
      </c>
      <c r="BZ29">
        <f t="shared" si="49"/>
        <v>2021</v>
      </c>
      <c r="CA29" s="100">
        <f t="shared" si="41"/>
        <v>0</v>
      </c>
      <c r="CB29" s="100">
        <f t="shared" si="41"/>
        <v>0</v>
      </c>
      <c r="CC29" s="100">
        <f t="shared" si="41"/>
        <v>4.7999999999999989</v>
      </c>
      <c r="CD29" s="100">
        <f t="shared" si="41"/>
        <v>33.499999999999993</v>
      </c>
      <c r="CE29" s="100">
        <f t="shared" si="41"/>
        <v>119.5289540171804</v>
      </c>
      <c r="CF29" s="100">
        <f t="shared" si="41"/>
        <v>308.09999999999997</v>
      </c>
      <c r="CG29" s="100">
        <f t="shared" si="41"/>
        <v>316.40000000000003</v>
      </c>
      <c r="CH29" s="100">
        <f t="shared" si="41"/>
        <v>348.29343102577053</v>
      </c>
      <c r="CI29" s="100">
        <f t="shared" si="41"/>
        <v>198.1</v>
      </c>
      <c r="CJ29" s="100">
        <f t="shared" si="41"/>
        <v>117.19999999999999</v>
      </c>
      <c r="CK29" s="100">
        <f t="shared" si="41"/>
        <v>1.0999999999999996</v>
      </c>
      <c r="CL29" s="100">
        <f t="shared" si="41"/>
        <v>0</v>
      </c>
      <c r="CN29">
        <f t="shared" si="50"/>
        <v>2021</v>
      </c>
      <c r="CO29" s="100">
        <f t="shared" si="42"/>
        <v>0</v>
      </c>
      <c r="CP29" s="100">
        <f t="shared" si="42"/>
        <v>0</v>
      </c>
      <c r="CQ29" s="100">
        <f t="shared" si="42"/>
        <v>13.699999999999998</v>
      </c>
      <c r="CR29" s="100">
        <f t="shared" si="42"/>
        <v>54.499999999999986</v>
      </c>
      <c r="CS29" s="100">
        <f t="shared" si="42"/>
        <v>160.7289540171804</v>
      </c>
      <c r="CT29" s="100">
        <f t="shared" si="42"/>
        <v>368.1</v>
      </c>
      <c r="CU29" s="100">
        <f t="shared" si="42"/>
        <v>378.4</v>
      </c>
      <c r="CV29" s="100">
        <f t="shared" si="42"/>
        <v>410.29343102577059</v>
      </c>
      <c r="CW29" s="100">
        <f t="shared" si="42"/>
        <v>257.5</v>
      </c>
      <c r="CX29" s="100">
        <f t="shared" si="42"/>
        <v>162.6</v>
      </c>
      <c r="CY29" s="100">
        <f t="shared" si="42"/>
        <v>5.6</v>
      </c>
      <c r="CZ29" s="100">
        <f t="shared" si="42"/>
        <v>0</v>
      </c>
      <c r="DB29">
        <f t="shared" si="51"/>
        <v>2021</v>
      </c>
      <c r="DC29" s="100">
        <f t="shared" si="43"/>
        <v>0</v>
      </c>
      <c r="DD29" s="100">
        <f t="shared" si="43"/>
        <v>0</v>
      </c>
      <c r="DE29" s="100">
        <f t="shared" si="43"/>
        <v>28.9</v>
      </c>
      <c r="DF29" s="100">
        <f t="shared" si="43"/>
        <v>84.699999999999989</v>
      </c>
      <c r="DG29" s="100">
        <f t="shared" si="43"/>
        <v>206.72895401718043</v>
      </c>
      <c r="DH29" s="100">
        <f t="shared" si="43"/>
        <v>428.10000000000008</v>
      </c>
      <c r="DI29" s="100">
        <f t="shared" si="43"/>
        <v>440.39999999999992</v>
      </c>
      <c r="DJ29" s="100">
        <f t="shared" si="43"/>
        <v>472.29343102577064</v>
      </c>
      <c r="DK29" s="100">
        <f t="shared" si="43"/>
        <v>317.49999999999994</v>
      </c>
      <c r="DL29" s="100">
        <f t="shared" si="43"/>
        <v>215.29999999999998</v>
      </c>
      <c r="DM29" s="100">
        <f t="shared" si="43"/>
        <v>14.2</v>
      </c>
      <c r="DN29" s="100">
        <f t="shared" si="43"/>
        <v>2.1999999999999993</v>
      </c>
    </row>
    <row r="30" spans="1:118">
      <c r="A30" s="197">
        <f t="shared" si="0"/>
        <v>37742</v>
      </c>
      <c r="B30">
        <v>2003</v>
      </c>
      <c r="C30">
        <v>5</v>
      </c>
      <c r="D30">
        <v>209.40000000000003</v>
      </c>
      <c r="E30">
        <v>0</v>
      </c>
      <c r="F30">
        <v>147.60000000000002</v>
      </c>
      <c r="G30">
        <v>0.19999999999999929</v>
      </c>
      <c r="H30">
        <v>90.5</v>
      </c>
      <c r="I30">
        <v>5.0999999999999979</v>
      </c>
      <c r="J30">
        <v>46.2</v>
      </c>
      <c r="K30">
        <v>22.799999999999997</v>
      </c>
      <c r="L30">
        <v>19.2</v>
      </c>
      <c r="M30">
        <v>57.800000000000011</v>
      </c>
      <c r="N30">
        <v>3.7000000000000011</v>
      </c>
      <c r="O30">
        <v>104.3</v>
      </c>
      <c r="P30">
        <v>0</v>
      </c>
      <c r="Q30">
        <v>162.59999999999997</v>
      </c>
      <c r="R30" s="254">
        <v>13.245161290322581</v>
      </c>
      <c r="V30">
        <f t="shared" si="44"/>
        <v>2022</v>
      </c>
      <c r="W30" s="100">
        <f t="shared" si="37"/>
        <v>0</v>
      </c>
      <c r="X30" s="100">
        <f t="shared" si="37"/>
        <v>0</v>
      </c>
      <c r="Y30" s="100">
        <f t="shared" si="37"/>
        <v>0</v>
      </c>
      <c r="Z30" s="100">
        <f t="shared" si="37"/>
        <v>0</v>
      </c>
      <c r="AA30" s="100">
        <f t="shared" si="37"/>
        <v>19.099999999999994</v>
      </c>
      <c r="AB30" s="100">
        <f t="shared" si="37"/>
        <v>54.699999999999996</v>
      </c>
      <c r="AC30" s="100">
        <f t="shared" si="37"/>
        <v>95.09999999999998</v>
      </c>
      <c r="AD30" s="100">
        <f t="shared" si="37"/>
        <v>77.828954017180394</v>
      </c>
      <c r="AE30" s="100">
        <f t="shared" si="37"/>
        <v>26.6</v>
      </c>
      <c r="AF30" s="100">
        <f t="shared" si="37"/>
        <v>0</v>
      </c>
      <c r="AG30" s="100">
        <f t="shared" si="37"/>
        <v>0</v>
      </c>
      <c r="AH30" s="100">
        <f t="shared" si="37"/>
        <v>0</v>
      </c>
      <c r="AJ30">
        <f t="shared" si="45"/>
        <v>2022</v>
      </c>
      <c r="AK30" s="100">
        <f t="shared" si="38"/>
        <v>0</v>
      </c>
      <c r="AL30" s="100">
        <f t="shared" si="38"/>
        <v>0</v>
      </c>
      <c r="AM30" s="100">
        <f t="shared" si="38"/>
        <v>0</v>
      </c>
      <c r="AN30" s="100">
        <f t="shared" si="38"/>
        <v>1.3000000000000007</v>
      </c>
      <c r="AO30" s="100">
        <f t="shared" si="38"/>
        <v>42.29999999999999</v>
      </c>
      <c r="AP30" s="100">
        <f t="shared" si="38"/>
        <v>93.9</v>
      </c>
      <c r="AQ30" s="100">
        <f t="shared" si="38"/>
        <v>156.60000000000002</v>
      </c>
      <c r="AR30" s="100">
        <f t="shared" si="38"/>
        <v>136.92895401718036</v>
      </c>
      <c r="AS30" s="100">
        <f t="shared" si="38"/>
        <v>57.899999999999991</v>
      </c>
      <c r="AT30" s="100">
        <f t="shared" si="38"/>
        <v>0.10000000000000142</v>
      </c>
      <c r="AU30" s="100">
        <f t="shared" si="38"/>
        <v>0</v>
      </c>
      <c r="AV30" s="100">
        <f t="shared" si="38"/>
        <v>0</v>
      </c>
      <c r="AW30" s="231">
        <f>SUM(AK30:AV30)</f>
        <v>489.02895401718035</v>
      </c>
      <c r="AX30">
        <f t="shared" si="47"/>
        <v>2022</v>
      </c>
      <c r="AY30" s="100">
        <f t="shared" si="39"/>
        <v>0</v>
      </c>
      <c r="AZ30" s="100">
        <f t="shared" si="39"/>
        <v>0</v>
      </c>
      <c r="BA30" s="100">
        <f t="shared" si="39"/>
        <v>0</v>
      </c>
      <c r="BB30" s="100">
        <f t="shared" si="39"/>
        <v>3.3000000000000007</v>
      </c>
      <c r="BC30" s="100">
        <f t="shared" si="39"/>
        <v>72.5</v>
      </c>
      <c r="BD30" s="100">
        <f t="shared" si="39"/>
        <v>147.70000000000002</v>
      </c>
      <c r="BE30" s="100">
        <f t="shared" si="39"/>
        <v>218.60000000000002</v>
      </c>
      <c r="BF30" s="100">
        <f t="shared" si="39"/>
        <v>198.92895401718039</v>
      </c>
      <c r="BG30" s="100">
        <f t="shared" si="39"/>
        <v>97.999999999999986</v>
      </c>
      <c r="BH30" s="100">
        <f t="shared" si="39"/>
        <v>7.7000000000000028</v>
      </c>
      <c r="BI30" s="100">
        <f t="shared" si="39"/>
        <v>2.2999999999999972</v>
      </c>
      <c r="BJ30" s="100">
        <f t="shared" si="39"/>
        <v>0</v>
      </c>
      <c r="BL30">
        <f t="shared" si="48"/>
        <v>2022</v>
      </c>
      <c r="BM30" s="100">
        <f t="shared" si="40"/>
        <v>0</v>
      </c>
      <c r="BN30" s="100">
        <f t="shared" si="40"/>
        <v>0</v>
      </c>
      <c r="BO30" s="100">
        <f t="shared" si="40"/>
        <v>0</v>
      </c>
      <c r="BP30" s="100">
        <f t="shared" si="40"/>
        <v>8.1</v>
      </c>
      <c r="BQ30" s="100">
        <f t="shared" si="40"/>
        <v>106.6</v>
      </c>
      <c r="BR30" s="100">
        <f t="shared" si="40"/>
        <v>207.3644770085902</v>
      </c>
      <c r="BS30" s="100">
        <f t="shared" si="40"/>
        <v>280.60000000000002</v>
      </c>
      <c r="BT30" s="100">
        <f t="shared" si="40"/>
        <v>260.92895401718039</v>
      </c>
      <c r="BU30" s="100">
        <f t="shared" si="40"/>
        <v>141.1</v>
      </c>
      <c r="BV30" s="100">
        <f t="shared" si="40"/>
        <v>23.8644770085902</v>
      </c>
      <c r="BW30" s="100">
        <f t="shared" si="40"/>
        <v>7.4999999999999964</v>
      </c>
      <c r="BX30" s="100">
        <f t="shared" si="40"/>
        <v>0</v>
      </c>
      <c r="BZ30">
        <f t="shared" si="49"/>
        <v>2022</v>
      </c>
      <c r="CA30" s="100">
        <f t="shared" si="41"/>
        <v>0</v>
      </c>
      <c r="CB30" s="100">
        <f t="shared" si="41"/>
        <v>0</v>
      </c>
      <c r="CC30" s="100">
        <f t="shared" si="41"/>
        <v>0</v>
      </c>
      <c r="CD30" s="100">
        <f t="shared" si="41"/>
        <v>16.2</v>
      </c>
      <c r="CE30" s="100">
        <f t="shared" si="41"/>
        <v>148.6</v>
      </c>
      <c r="CF30" s="100">
        <f t="shared" si="41"/>
        <v>267.3644770085902</v>
      </c>
      <c r="CG30" s="100">
        <f t="shared" si="41"/>
        <v>342.59999999999997</v>
      </c>
      <c r="CH30" s="100">
        <f t="shared" si="41"/>
        <v>322.92895401718039</v>
      </c>
      <c r="CI30" s="100">
        <f t="shared" si="41"/>
        <v>193.00000000000003</v>
      </c>
      <c r="CJ30" s="100">
        <f t="shared" si="41"/>
        <v>47.328954017180394</v>
      </c>
      <c r="CK30" s="100">
        <f t="shared" si="41"/>
        <v>15.099999999999996</v>
      </c>
      <c r="CL30" s="100">
        <f t="shared" si="41"/>
        <v>0</v>
      </c>
      <c r="CN30">
        <f t="shared" si="50"/>
        <v>2022</v>
      </c>
      <c r="CO30" s="100">
        <f t="shared" si="42"/>
        <v>0</v>
      </c>
      <c r="CP30" s="100">
        <f t="shared" si="42"/>
        <v>0</v>
      </c>
      <c r="CQ30" s="100">
        <f t="shared" si="42"/>
        <v>0.90000000000000036</v>
      </c>
      <c r="CR30" s="100">
        <f t="shared" si="42"/>
        <v>28.9</v>
      </c>
      <c r="CS30" s="100">
        <f t="shared" si="42"/>
        <v>199.2</v>
      </c>
      <c r="CT30" s="100">
        <f t="shared" si="42"/>
        <v>327.36447700859014</v>
      </c>
      <c r="CU30" s="100">
        <f t="shared" si="42"/>
        <v>404.59999999999991</v>
      </c>
      <c r="CV30" s="100">
        <f t="shared" si="42"/>
        <v>384.92895401718044</v>
      </c>
      <c r="CW30" s="100">
        <f t="shared" si="42"/>
        <v>250.50000000000006</v>
      </c>
      <c r="CX30" s="100">
        <f t="shared" si="42"/>
        <v>78.59343102577057</v>
      </c>
      <c r="CY30" s="100">
        <f t="shared" si="42"/>
        <v>27.299999999999994</v>
      </c>
      <c r="CZ30" s="100">
        <f t="shared" si="42"/>
        <v>0.19999999999999929</v>
      </c>
      <c r="DB30">
        <f t="shared" si="51"/>
        <v>2022</v>
      </c>
      <c r="DC30" s="100">
        <f t="shared" si="43"/>
        <v>0</v>
      </c>
      <c r="DD30" s="100">
        <f t="shared" si="43"/>
        <v>0</v>
      </c>
      <c r="DE30" s="100">
        <f t="shared" si="43"/>
        <v>5.2999999999999989</v>
      </c>
      <c r="DF30" s="100">
        <f t="shared" si="43"/>
        <v>47.099999999999994</v>
      </c>
      <c r="DG30" s="100">
        <f t="shared" si="43"/>
        <v>259.60000000000002</v>
      </c>
      <c r="DH30" s="100">
        <f t="shared" si="43"/>
        <v>387.36447700859009</v>
      </c>
      <c r="DI30" s="100">
        <f t="shared" si="43"/>
        <v>466.59999999999991</v>
      </c>
      <c r="DJ30" s="100">
        <f t="shared" si="43"/>
        <v>446.92895401718044</v>
      </c>
      <c r="DK30" s="100">
        <f t="shared" si="43"/>
        <v>310.50000000000011</v>
      </c>
      <c r="DL30" s="100">
        <f t="shared" si="43"/>
        <v>118.9934310257706</v>
      </c>
      <c r="DM30" s="100">
        <f t="shared" si="43"/>
        <v>45.7</v>
      </c>
      <c r="DN30" s="100">
        <f t="shared" si="43"/>
        <v>2.1999999999999993</v>
      </c>
    </row>
    <row r="31" spans="1:118">
      <c r="A31" s="197">
        <f t="shared" si="0"/>
        <v>37773</v>
      </c>
      <c r="B31">
        <v>2003</v>
      </c>
      <c r="C31">
        <v>6</v>
      </c>
      <c r="D31">
        <v>57.300000000000004</v>
      </c>
      <c r="E31">
        <v>31.200000000000003</v>
      </c>
      <c r="F31">
        <v>30.300000000000004</v>
      </c>
      <c r="G31">
        <v>64.2</v>
      </c>
      <c r="H31">
        <v>14.2</v>
      </c>
      <c r="I31">
        <v>108.1</v>
      </c>
      <c r="J31">
        <v>4.1999999999999993</v>
      </c>
      <c r="K31">
        <v>158.1</v>
      </c>
      <c r="L31">
        <v>0.59999999999999964</v>
      </c>
      <c r="M31">
        <v>214.50000000000003</v>
      </c>
      <c r="N31">
        <v>0</v>
      </c>
      <c r="O31">
        <v>273.90000000000003</v>
      </c>
      <c r="P31">
        <v>0</v>
      </c>
      <c r="Q31">
        <v>333.9</v>
      </c>
      <c r="R31" s="254">
        <v>19.13</v>
      </c>
      <c r="V31">
        <f t="shared" si="44"/>
        <v>2023</v>
      </c>
      <c r="W31" s="100">
        <f t="shared" ref="W31:AG31" si="52">SUMIFS($E:$E,$B:$B,$V31,$C:$C,W$4)</f>
        <v>0</v>
      </c>
      <c r="X31" s="100">
        <f t="shared" si="52"/>
        <v>0</v>
      </c>
      <c r="Y31" s="100">
        <f t="shared" si="52"/>
        <v>0</v>
      </c>
      <c r="Z31" s="100">
        <f t="shared" si="52"/>
        <v>0</v>
      </c>
      <c r="AA31" s="100">
        <f t="shared" si="52"/>
        <v>6.2999999999999972</v>
      </c>
      <c r="AB31" s="100">
        <f t="shared" si="52"/>
        <v>31.299999999999997</v>
      </c>
      <c r="AC31" s="100">
        <f t="shared" si="52"/>
        <v>71.264477008590177</v>
      </c>
      <c r="AD31" s="100">
        <f t="shared" si="52"/>
        <v>38.986862051541152</v>
      </c>
      <c r="AE31" s="100">
        <f t="shared" si="52"/>
        <v>17.7</v>
      </c>
      <c r="AF31" s="100">
        <f t="shared" si="52"/>
        <v>3.3999999999999986</v>
      </c>
      <c r="AG31" s="100">
        <f t="shared" si="52"/>
        <v>0</v>
      </c>
      <c r="AH31" s="100">
        <f t="shared" si="37"/>
        <v>0</v>
      </c>
      <c r="AJ31">
        <f t="shared" si="45"/>
        <v>2023</v>
      </c>
      <c r="AK31" s="100">
        <f t="shared" ref="AK31:AU31" si="53">SUMIFS($G:$G,$B:$B,$V31,$C:$C,AK$4)</f>
        <v>0</v>
      </c>
      <c r="AL31" s="100">
        <f t="shared" si="53"/>
        <v>0</v>
      </c>
      <c r="AM31" s="100">
        <f t="shared" si="53"/>
        <v>0</v>
      </c>
      <c r="AN31" s="100">
        <f t="shared" si="53"/>
        <v>4.2999999999999972</v>
      </c>
      <c r="AO31" s="100">
        <f t="shared" si="53"/>
        <v>14.099999999999998</v>
      </c>
      <c r="AP31" s="100">
        <f t="shared" si="53"/>
        <v>65.2</v>
      </c>
      <c r="AQ31" s="100">
        <f t="shared" si="53"/>
        <v>132.86447700859017</v>
      </c>
      <c r="AR31" s="100">
        <f t="shared" si="53"/>
        <v>84.186862051541155</v>
      </c>
      <c r="AS31" s="100">
        <f t="shared" si="53"/>
        <v>34.799999999999997</v>
      </c>
      <c r="AT31" s="100">
        <f t="shared" si="53"/>
        <v>13.399999999999995</v>
      </c>
      <c r="AU31" s="100">
        <f t="shared" si="53"/>
        <v>0</v>
      </c>
      <c r="AV31" s="100">
        <f t="shared" si="38"/>
        <v>0</v>
      </c>
      <c r="AW31" s="231">
        <f t="shared" si="46"/>
        <v>348.85133906013129</v>
      </c>
      <c r="AX31">
        <f t="shared" si="47"/>
        <v>2023</v>
      </c>
      <c r="AY31" s="100">
        <f t="shared" ref="AY31:BI31" si="54">SUMIFS($I:$I,$B:$B,$V31,$C:$C,AY$4)</f>
        <v>0</v>
      </c>
      <c r="AZ31" s="100">
        <f t="shared" si="54"/>
        <v>0</v>
      </c>
      <c r="BA31" s="100">
        <f t="shared" si="54"/>
        <v>0</v>
      </c>
      <c r="BB31" s="100">
        <f t="shared" si="54"/>
        <v>12.2</v>
      </c>
      <c r="BC31" s="100">
        <f t="shared" si="54"/>
        <v>33.9</v>
      </c>
      <c r="BD31" s="100">
        <f t="shared" si="54"/>
        <v>114.10000000000001</v>
      </c>
      <c r="BE31" s="100">
        <f t="shared" si="54"/>
        <v>194.8644770085902</v>
      </c>
      <c r="BF31" s="100">
        <f t="shared" si="54"/>
        <v>140.01581606872151</v>
      </c>
      <c r="BG31" s="100">
        <f t="shared" si="54"/>
        <v>74.064477008590188</v>
      </c>
      <c r="BH31" s="100">
        <f t="shared" si="54"/>
        <v>28.599999999999994</v>
      </c>
      <c r="BI31" s="100">
        <f t="shared" si="54"/>
        <v>0</v>
      </c>
      <c r="BJ31" s="100">
        <f t="shared" si="39"/>
        <v>0</v>
      </c>
      <c r="BL31">
        <f t="shared" si="48"/>
        <v>2023</v>
      </c>
      <c r="BM31" s="100">
        <f t="shared" ref="BM31:BW31" si="55">SUMIFS($K:$K,$B:$B,$V31,$C:$C,BM$4)</f>
        <v>0</v>
      </c>
      <c r="BN31" s="100">
        <f t="shared" si="55"/>
        <v>0</v>
      </c>
      <c r="BO31" s="100">
        <f t="shared" si="55"/>
        <v>0</v>
      </c>
      <c r="BP31" s="100">
        <f t="shared" si="55"/>
        <v>24.699999999999996</v>
      </c>
      <c r="BQ31" s="100">
        <f t="shared" si="55"/>
        <v>62.000000000000007</v>
      </c>
      <c r="BR31" s="100">
        <f t="shared" si="55"/>
        <v>170.69999999999996</v>
      </c>
      <c r="BS31" s="100">
        <f t="shared" si="55"/>
        <v>256.86447700859026</v>
      </c>
      <c r="BT31" s="100">
        <f t="shared" si="55"/>
        <v>199.61581606872156</v>
      </c>
      <c r="BU31" s="100">
        <f t="shared" si="55"/>
        <v>128.6289540171804</v>
      </c>
      <c r="BV31" s="100">
        <f t="shared" si="55"/>
        <v>46.699999999999996</v>
      </c>
      <c r="BW31" s="100">
        <f t="shared" si="55"/>
        <v>0</v>
      </c>
      <c r="BX31" s="100">
        <f t="shared" si="40"/>
        <v>0</v>
      </c>
      <c r="BZ31">
        <f t="shared" si="49"/>
        <v>2023</v>
      </c>
      <c r="CA31" s="100">
        <f t="shared" ref="CA31:CK31" si="56">SUMIFS($M:$M,$B:$B,$V31,$C:$C,CA$4)</f>
        <v>0</v>
      </c>
      <c r="CB31" s="100">
        <f t="shared" si="56"/>
        <v>0</v>
      </c>
      <c r="CC31" s="100">
        <f t="shared" si="56"/>
        <v>0</v>
      </c>
      <c r="CD31" s="100">
        <f t="shared" si="56"/>
        <v>39.199999999999996</v>
      </c>
      <c r="CE31" s="100">
        <f t="shared" si="56"/>
        <v>104.60000000000002</v>
      </c>
      <c r="CF31" s="100">
        <f t="shared" si="56"/>
        <v>230.59999999999994</v>
      </c>
      <c r="CG31" s="100">
        <f t="shared" si="56"/>
        <v>318.86447700859026</v>
      </c>
      <c r="CH31" s="100">
        <f t="shared" si="56"/>
        <v>261.61581606872153</v>
      </c>
      <c r="CI31" s="100">
        <f t="shared" si="56"/>
        <v>188.62895401718038</v>
      </c>
      <c r="CJ31" s="100">
        <f t="shared" si="56"/>
        <v>68.799999999999983</v>
      </c>
      <c r="CK31" s="100">
        <f t="shared" si="56"/>
        <v>0</v>
      </c>
      <c r="CL31" s="100">
        <f t="shared" si="41"/>
        <v>0</v>
      </c>
      <c r="CN31">
        <f t="shared" si="50"/>
        <v>2023</v>
      </c>
      <c r="CO31" s="100">
        <f t="shared" ref="CO31:CZ31" si="57">SUMIFS($O:$O,$B:$B,$V31,$C:$C,CO$4)</f>
        <v>0</v>
      </c>
      <c r="CP31" s="100">
        <f t="shared" si="57"/>
        <v>0</v>
      </c>
      <c r="CQ31" s="100">
        <f t="shared" si="57"/>
        <v>0</v>
      </c>
      <c r="CR31" s="100">
        <f t="shared" si="57"/>
        <v>59.099999999999994</v>
      </c>
      <c r="CS31" s="100">
        <f t="shared" si="57"/>
        <v>154.1</v>
      </c>
      <c r="CT31" s="100">
        <f t="shared" si="57"/>
        <v>290.59999999999997</v>
      </c>
      <c r="CU31" s="100">
        <f t="shared" si="57"/>
        <v>380.8644770085902</v>
      </c>
      <c r="CV31" s="100">
        <f t="shared" si="57"/>
        <v>323.6158160687217</v>
      </c>
      <c r="CW31" s="100">
        <f t="shared" si="57"/>
        <v>248.62895401718038</v>
      </c>
      <c r="CX31" s="100">
        <f t="shared" si="57"/>
        <v>101.4</v>
      </c>
      <c r="CY31" s="100">
        <f t="shared" si="57"/>
        <v>1.9000000000000004</v>
      </c>
      <c r="CZ31" s="100">
        <f t="shared" si="57"/>
        <v>0.5</v>
      </c>
      <c r="DB31">
        <f t="shared" si="51"/>
        <v>2023</v>
      </c>
      <c r="DC31" s="100">
        <f t="shared" ref="DC31:DM31" si="58">SUMIFS($Q:$Q,$B:$B,$V31,$C:$C,DC$4)</f>
        <v>0.59999999999999964</v>
      </c>
      <c r="DD31" s="100">
        <f t="shared" si="58"/>
        <v>1.8000000000000007</v>
      </c>
      <c r="DE31" s="100">
        <f t="shared" si="58"/>
        <v>0</v>
      </c>
      <c r="DF31" s="100">
        <f t="shared" si="58"/>
        <v>84.800000000000011</v>
      </c>
      <c r="DG31" s="100">
        <f t="shared" si="58"/>
        <v>207.59999999999997</v>
      </c>
      <c r="DH31" s="100">
        <f t="shared" si="58"/>
        <v>350.59999999999997</v>
      </c>
      <c r="DI31" s="100">
        <f t="shared" si="58"/>
        <v>442.8644770085902</v>
      </c>
      <c r="DJ31" s="100">
        <f t="shared" si="58"/>
        <v>385.6158160687217</v>
      </c>
      <c r="DK31" s="100">
        <f t="shared" si="58"/>
        <v>308.62895401718038</v>
      </c>
      <c r="DL31" s="100">
        <f t="shared" si="58"/>
        <v>148.4</v>
      </c>
      <c r="DM31" s="100">
        <f t="shared" si="58"/>
        <v>10.8</v>
      </c>
      <c r="DN31" s="100">
        <f t="shared" si="43"/>
        <v>4.6999999999999993</v>
      </c>
    </row>
    <row r="32" spans="1:118">
      <c r="A32" s="197">
        <f t="shared" si="0"/>
        <v>37803</v>
      </c>
      <c r="B32">
        <v>2003</v>
      </c>
      <c r="C32">
        <v>7</v>
      </c>
      <c r="D32">
        <v>1.1000000000000014</v>
      </c>
      <c r="E32">
        <v>83.700000000000031</v>
      </c>
      <c r="F32">
        <v>0</v>
      </c>
      <c r="G32">
        <v>144.6</v>
      </c>
      <c r="H32">
        <v>0</v>
      </c>
      <c r="I32">
        <v>206.59999999999997</v>
      </c>
      <c r="J32">
        <v>0</v>
      </c>
      <c r="K32">
        <v>268.59999999999997</v>
      </c>
      <c r="L32">
        <v>0</v>
      </c>
      <c r="M32">
        <v>330.59999999999997</v>
      </c>
      <c r="N32">
        <v>0</v>
      </c>
      <c r="O32">
        <v>392.59999999999997</v>
      </c>
      <c r="P32">
        <v>0</v>
      </c>
      <c r="Q32">
        <v>454.59999999999997</v>
      </c>
      <c r="R32" s="254">
        <v>22.664516129032261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</row>
    <row r="33" spans="1:118">
      <c r="A33" s="197">
        <f t="shared" si="0"/>
        <v>37834</v>
      </c>
      <c r="B33">
        <v>2003</v>
      </c>
      <c r="C33">
        <v>8</v>
      </c>
      <c r="D33">
        <v>4.0999999999999979</v>
      </c>
      <c r="E33">
        <v>85.200000000000017</v>
      </c>
      <c r="F33">
        <v>0</v>
      </c>
      <c r="G33">
        <v>143.1</v>
      </c>
      <c r="H33">
        <v>0</v>
      </c>
      <c r="I33">
        <v>205.1</v>
      </c>
      <c r="J33">
        <v>0</v>
      </c>
      <c r="K33">
        <v>267.10000000000002</v>
      </c>
      <c r="L33">
        <v>0</v>
      </c>
      <c r="M33">
        <v>329.1</v>
      </c>
      <c r="N33">
        <v>0</v>
      </c>
      <c r="O33">
        <v>391.10000000000008</v>
      </c>
      <c r="P33">
        <v>0</v>
      </c>
      <c r="Q33">
        <v>453.10000000000008</v>
      </c>
      <c r="R33" s="254">
        <v>22.616129032258069</v>
      </c>
      <c r="V33" s="10" t="s">
        <v>152</v>
      </c>
      <c r="W33" s="100">
        <f>AVERAGE(W22:W31)</f>
        <v>0</v>
      </c>
      <c r="X33" s="100">
        <f>AVERAGE(X22:X31)</f>
        <v>0</v>
      </c>
      <c r="Y33" s="100">
        <f>AVERAGE(Y22:Y31)</f>
        <v>0</v>
      </c>
      <c r="Z33" s="100">
        <f t="shared" ref="Z33:AF33" si="59">AVERAGE(Z22:Z31)</f>
        <v>0</v>
      </c>
      <c r="AA33" s="100">
        <f t="shared" si="59"/>
        <v>15.58644770085902</v>
      </c>
      <c r="AB33" s="100">
        <f t="shared" si="59"/>
        <v>52.499999999999986</v>
      </c>
      <c r="AC33" s="100">
        <f t="shared" si="59"/>
        <v>92.912895401718032</v>
      </c>
      <c r="AD33" s="100">
        <f t="shared" si="59"/>
        <v>70.537372410308237</v>
      </c>
      <c r="AE33" s="100">
        <f t="shared" si="59"/>
        <v>26.096447700859017</v>
      </c>
      <c r="AF33" s="100">
        <f t="shared" si="59"/>
        <v>3.37</v>
      </c>
      <c r="AG33" s="100">
        <f>AVERAGE(AG22:AG31)</f>
        <v>0</v>
      </c>
      <c r="AH33" s="100">
        <f>AVERAGE(AH22:AH31)</f>
        <v>0</v>
      </c>
      <c r="AJ33" s="10" t="s">
        <v>152</v>
      </c>
      <c r="AK33" s="100">
        <f>AVERAGE(AK22:AK31)</f>
        <v>0</v>
      </c>
      <c r="AL33" s="100">
        <f>AVERAGE(AL22:AL31)</f>
        <v>0</v>
      </c>
      <c r="AM33" s="100">
        <f>AVERAGE(AM22:AM31)</f>
        <v>0</v>
      </c>
      <c r="AN33" s="100">
        <f t="shared" ref="AN33:AT33" si="60">AVERAGE(AN22:AN31)</f>
        <v>0.69999999999999962</v>
      </c>
      <c r="AO33" s="100">
        <f t="shared" si="60"/>
        <v>30.496447700859022</v>
      </c>
      <c r="AP33" s="100">
        <f t="shared" si="60"/>
        <v>93.24</v>
      </c>
      <c r="AQ33" s="100">
        <f t="shared" si="60"/>
        <v>149.96289540171807</v>
      </c>
      <c r="AR33" s="100">
        <f t="shared" si="60"/>
        <v>124.17316321374433</v>
      </c>
      <c r="AS33" s="100">
        <f t="shared" si="60"/>
        <v>52.346447700859017</v>
      </c>
      <c r="AT33" s="100">
        <f t="shared" si="60"/>
        <v>9.57</v>
      </c>
      <c r="AU33" s="100">
        <f>AVERAGE(AU22:AU31)</f>
        <v>0.13999999999999985</v>
      </c>
      <c r="AV33" s="100">
        <f>AVERAGE(AV22:AV31)</f>
        <v>0</v>
      </c>
      <c r="AW33" s="231">
        <f>SUM(AK33:AV33)</f>
        <v>460.62895401718038</v>
      </c>
      <c r="AX33" s="10" t="s">
        <v>152</v>
      </c>
      <c r="AY33" s="100">
        <f>AVERAGE(AY22:AY31)</f>
        <v>0</v>
      </c>
      <c r="AZ33" s="100">
        <f>AVERAGE(AZ22:AZ31)</f>
        <v>0</v>
      </c>
      <c r="BA33" s="100">
        <f>AVERAGE(BA22:BA31)</f>
        <v>0</v>
      </c>
      <c r="BB33" s="100">
        <f t="shared" ref="BB33:BH33" si="61">AVERAGE(BB22:BB31)</f>
        <v>3.0799999999999996</v>
      </c>
      <c r="BC33" s="100">
        <f t="shared" si="61"/>
        <v>53.286447700859014</v>
      </c>
      <c r="BD33" s="100">
        <f t="shared" si="61"/>
        <v>145.07</v>
      </c>
      <c r="BE33" s="100">
        <f t="shared" si="61"/>
        <v>211.23289540171805</v>
      </c>
      <c r="BF33" s="100">
        <f t="shared" si="61"/>
        <v>183.87605861546231</v>
      </c>
      <c r="BG33" s="100">
        <f t="shared" si="61"/>
        <v>90.709343102577066</v>
      </c>
      <c r="BH33" s="100">
        <f t="shared" si="61"/>
        <v>20.479999999999997</v>
      </c>
      <c r="BI33" s="100">
        <f>AVERAGE(BI22:BI31)</f>
        <v>0.6699999999999996</v>
      </c>
      <c r="BJ33" s="100">
        <f>AVERAGE(BJ22:BJ31)</f>
        <v>0</v>
      </c>
      <c r="BL33" s="10" t="s">
        <v>152</v>
      </c>
      <c r="BM33" s="100">
        <f>AVERAGE(BM22:BM31)</f>
        <v>0</v>
      </c>
      <c r="BN33" s="100">
        <f>AVERAGE(BN22:BN31)</f>
        <v>0</v>
      </c>
      <c r="BO33" s="100">
        <f>AVERAGE(BO22:BO31)</f>
        <v>0.16999999999999993</v>
      </c>
      <c r="BP33" s="100">
        <f t="shared" ref="BP33:BV33" si="62">AVERAGE(BP22:BP31)</f>
        <v>8.7799999999999994</v>
      </c>
      <c r="BQ33" s="100">
        <f t="shared" si="62"/>
        <v>84.676447700859015</v>
      </c>
      <c r="BR33" s="100">
        <f t="shared" si="62"/>
        <v>202.63644770085901</v>
      </c>
      <c r="BS33" s="100">
        <f t="shared" si="62"/>
        <v>273.21289540171807</v>
      </c>
      <c r="BT33" s="100">
        <f t="shared" si="62"/>
        <v>245.37605861546234</v>
      </c>
      <c r="BU33" s="100">
        <f t="shared" si="62"/>
        <v>139.01579080343606</v>
      </c>
      <c r="BV33" s="100">
        <f t="shared" si="62"/>
        <v>38.166447700859024</v>
      </c>
      <c r="BW33" s="100">
        <f>AVERAGE(BW22:BW31)</f>
        <v>2.419999999999999</v>
      </c>
      <c r="BX33" s="100">
        <f>AVERAGE(BX22:BX31)</f>
        <v>0</v>
      </c>
      <c r="BZ33" s="10" t="s">
        <v>152</v>
      </c>
      <c r="CA33" s="100">
        <f>AVERAGE(CA22:CA31)</f>
        <v>0</v>
      </c>
      <c r="CB33" s="100">
        <f>AVERAGE(CB22:CB31)</f>
        <v>0.1</v>
      </c>
      <c r="CC33" s="100">
        <f>AVERAGE(CC22:CC31)</f>
        <v>1.2599999999999998</v>
      </c>
      <c r="CD33" s="100">
        <f t="shared" ref="CD33:CJ33" si="63">AVERAGE(CD22:CD31)</f>
        <v>18.349999999999998</v>
      </c>
      <c r="CE33" s="100">
        <f t="shared" si="63"/>
        <v>124.82289540171806</v>
      </c>
      <c r="CF33" s="100">
        <f t="shared" si="63"/>
        <v>262.25644770085898</v>
      </c>
      <c r="CG33" s="100">
        <f t="shared" si="63"/>
        <v>335.21289540171807</v>
      </c>
      <c r="CH33" s="100">
        <f t="shared" si="63"/>
        <v>307.37605861546228</v>
      </c>
      <c r="CI33" s="100">
        <f t="shared" si="63"/>
        <v>194.39579080343606</v>
      </c>
      <c r="CJ33" s="100">
        <f t="shared" si="63"/>
        <v>62.822895401718029</v>
      </c>
      <c r="CK33" s="100">
        <f>AVERAGE(CK22:CK31)</f>
        <v>6.1599999999999984</v>
      </c>
      <c r="CL33" s="100">
        <f>AVERAGE(CL22:CL31)</f>
        <v>8.0000000000000071E-2</v>
      </c>
      <c r="CN33" s="10" t="s">
        <v>152</v>
      </c>
      <c r="CO33" s="100">
        <f>AVERAGE(CO22:CO31)</f>
        <v>0</v>
      </c>
      <c r="CP33" s="100">
        <f>AVERAGE(CP22:CP31)</f>
        <v>0.74</v>
      </c>
      <c r="CQ33" s="100">
        <f>AVERAGE(CQ22:CQ31)</f>
        <v>3.879999999999999</v>
      </c>
      <c r="CR33" s="100">
        <f t="shared" ref="CR33:CX33" si="64">AVERAGE(CR22:CR31)</f>
        <v>34.1</v>
      </c>
      <c r="CS33" s="100">
        <f t="shared" si="64"/>
        <v>172.71289540171804</v>
      </c>
      <c r="CT33" s="100">
        <f t="shared" si="64"/>
        <v>322.21644770085902</v>
      </c>
      <c r="CU33" s="100">
        <f t="shared" si="64"/>
        <v>397.21289540171807</v>
      </c>
      <c r="CV33" s="100">
        <f t="shared" si="64"/>
        <v>369.37605861546234</v>
      </c>
      <c r="CW33" s="100">
        <f t="shared" si="64"/>
        <v>253.17579080343612</v>
      </c>
      <c r="CX33" s="100">
        <f t="shared" si="64"/>
        <v>95.899343102577049</v>
      </c>
      <c r="CY33" s="100">
        <f>AVERAGE(CY22:CY31)</f>
        <v>12.709999999999997</v>
      </c>
      <c r="CZ33" s="100">
        <f>AVERAGE(CZ22:CZ31)</f>
        <v>0.61</v>
      </c>
      <c r="DB33" s="10" t="s">
        <v>152</v>
      </c>
      <c r="DC33" s="100">
        <f>AVERAGE(DC22:DC31)</f>
        <v>0.19000000000000003</v>
      </c>
      <c r="DD33" s="100">
        <f>AVERAGE(DD22:DD31)</f>
        <v>2.42</v>
      </c>
      <c r="DE33" s="100">
        <f>AVERAGE(DE22:DE31)</f>
        <v>8.73</v>
      </c>
      <c r="DF33" s="100">
        <f t="shared" ref="DF33:DL33" si="65">AVERAGE(DF22:DF31)</f>
        <v>58.55</v>
      </c>
      <c r="DG33" s="100">
        <f t="shared" si="65"/>
        <v>226.87289540171804</v>
      </c>
      <c r="DH33" s="100">
        <f t="shared" si="65"/>
        <v>382.21644770085902</v>
      </c>
      <c r="DI33" s="100">
        <f t="shared" si="65"/>
        <v>459.21289540171801</v>
      </c>
      <c r="DJ33" s="100">
        <f t="shared" si="65"/>
        <v>431.37605861546234</v>
      </c>
      <c r="DK33" s="100">
        <f t="shared" si="65"/>
        <v>313.14579080343611</v>
      </c>
      <c r="DL33" s="100">
        <f t="shared" si="65"/>
        <v>138.76934310257707</v>
      </c>
      <c r="DM33" s="100">
        <f>AVERAGE(DM22:DM31)</f>
        <v>25.009999999999998</v>
      </c>
      <c r="DN33" s="100">
        <f>AVERAGE(DN22:DN31)</f>
        <v>2.6100000000000003</v>
      </c>
    </row>
    <row r="34" spans="1:118">
      <c r="A34" s="197">
        <f t="shared" si="0"/>
        <v>37865</v>
      </c>
      <c r="B34">
        <v>2003</v>
      </c>
      <c r="C34">
        <v>9</v>
      </c>
      <c r="D34">
        <v>83.3</v>
      </c>
      <c r="E34">
        <v>10.600000000000001</v>
      </c>
      <c r="F34">
        <v>50.300000000000004</v>
      </c>
      <c r="G34">
        <v>37.599999999999994</v>
      </c>
      <c r="H34">
        <v>27.200000000000003</v>
      </c>
      <c r="I34">
        <v>74.5</v>
      </c>
      <c r="J34">
        <v>13.799999999999999</v>
      </c>
      <c r="K34">
        <v>121.1</v>
      </c>
      <c r="L34">
        <v>4.7999999999999989</v>
      </c>
      <c r="M34">
        <v>172.1</v>
      </c>
      <c r="N34">
        <v>0.59999999999999964</v>
      </c>
      <c r="O34">
        <v>227.90000000000003</v>
      </c>
      <c r="P34">
        <v>0</v>
      </c>
      <c r="Q34">
        <v>287.30000000000007</v>
      </c>
      <c r="R34" s="254">
        <v>17.576666666666661</v>
      </c>
    </row>
    <row r="35" spans="1:118">
      <c r="A35" s="197">
        <f t="shared" si="0"/>
        <v>37895</v>
      </c>
      <c r="B35">
        <v>2003</v>
      </c>
      <c r="C35">
        <v>10</v>
      </c>
      <c r="D35">
        <v>286.60000000000002</v>
      </c>
      <c r="E35">
        <v>0</v>
      </c>
      <c r="F35">
        <v>225.6</v>
      </c>
      <c r="G35">
        <v>1</v>
      </c>
      <c r="H35">
        <v>173</v>
      </c>
      <c r="I35">
        <v>10.400000000000002</v>
      </c>
      <c r="J35">
        <v>122.39999999999999</v>
      </c>
      <c r="K35">
        <v>21.8</v>
      </c>
      <c r="L35">
        <v>76.699999999999974</v>
      </c>
      <c r="M35">
        <v>38.100000000000009</v>
      </c>
      <c r="N35">
        <v>38.200000000000003</v>
      </c>
      <c r="O35">
        <v>61.599999999999994</v>
      </c>
      <c r="P35">
        <v>12.1</v>
      </c>
      <c r="Q35">
        <v>97.5</v>
      </c>
      <c r="R35" s="254">
        <v>10.754838709677417</v>
      </c>
    </row>
    <row r="36" spans="1:118">
      <c r="A36" s="197">
        <f t="shared" si="0"/>
        <v>37926</v>
      </c>
      <c r="B36">
        <v>2003</v>
      </c>
      <c r="C36">
        <v>11</v>
      </c>
      <c r="D36">
        <v>398.8</v>
      </c>
      <c r="E36">
        <v>0</v>
      </c>
      <c r="F36">
        <v>338.8</v>
      </c>
      <c r="G36">
        <v>0</v>
      </c>
      <c r="H36">
        <v>278.8</v>
      </c>
      <c r="I36">
        <v>0</v>
      </c>
      <c r="J36">
        <v>221.5</v>
      </c>
      <c r="K36">
        <v>2.7000000000000011</v>
      </c>
      <c r="L36">
        <v>166.70000000000002</v>
      </c>
      <c r="M36">
        <v>7.9</v>
      </c>
      <c r="N36">
        <v>118.39999999999999</v>
      </c>
      <c r="O36">
        <v>19.600000000000001</v>
      </c>
      <c r="P36">
        <v>78.599999999999994</v>
      </c>
      <c r="Q36">
        <v>39.800000000000004</v>
      </c>
      <c r="R36" s="254">
        <v>6.706666666666667</v>
      </c>
      <c r="X36" s="9" t="s">
        <v>156</v>
      </c>
      <c r="AC36" s="9"/>
      <c r="AL36" s="9" t="s">
        <v>156</v>
      </c>
      <c r="AQ36" s="9"/>
      <c r="AZ36" s="9" t="s">
        <v>156</v>
      </c>
      <c r="BE36" s="9"/>
      <c r="BN36" s="9" t="s">
        <v>156</v>
      </c>
      <c r="BS36" s="9"/>
      <c r="CB36" s="9" t="s">
        <v>156</v>
      </c>
      <c r="CG36" s="9"/>
      <c r="CP36" s="9" t="s">
        <v>156</v>
      </c>
      <c r="CU36" s="9"/>
      <c r="DD36" s="9" t="s">
        <v>156</v>
      </c>
      <c r="DI36" s="9"/>
    </row>
    <row r="37" spans="1:118">
      <c r="A37" s="197">
        <f t="shared" si="0"/>
        <v>37956</v>
      </c>
      <c r="B37">
        <v>2003</v>
      </c>
      <c r="C37">
        <v>12</v>
      </c>
      <c r="D37">
        <v>603.79999999999995</v>
      </c>
      <c r="E37">
        <v>0</v>
      </c>
      <c r="F37">
        <v>541.80000000000007</v>
      </c>
      <c r="G37">
        <v>0</v>
      </c>
      <c r="H37">
        <v>479.8</v>
      </c>
      <c r="I37">
        <v>0</v>
      </c>
      <c r="J37">
        <v>417.79999999999995</v>
      </c>
      <c r="K37">
        <v>0</v>
      </c>
      <c r="L37">
        <v>355.79999999999995</v>
      </c>
      <c r="M37">
        <v>0</v>
      </c>
      <c r="N37">
        <v>293.79999999999995</v>
      </c>
      <c r="O37">
        <v>0</v>
      </c>
      <c r="P37">
        <v>231.8</v>
      </c>
      <c r="Q37">
        <v>0</v>
      </c>
      <c r="R37" s="254">
        <v>0.52258064516129032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</row>
    <row r="38" spans="1:118">
      <c r="A38" s="197">
        <f t="shared" si="0"/>
        <v>37987</v>
      </c>
      <c r="B38">
        <v>2004</v>
      </c>
      <c r="C38">
        <v>1</v>
      </c>
      <c r="D38">
        <v>824.89999999999986</v>
      </c>
      <c r="E38">
        <v>0</v>
      </c>
      <c r="F38">
        <v>762.89999999999986</v>
      </c>
      <c r="G38">
        <v>0</v>
      </c>
      <c r="H38">
        <v>700.89999999999986</v>
      </c>
      <c r="I38">
        <v>0</v>
      </c>
      <c r="J38">
        <v>638.9</v>
      </c>
      <c r="K38">
        <v>0</v>
      </c>
      <c r="L38">
        <v>576.9</v>
      </c>
      <c r="M38">
        <v>0</v>
      </c>
      <c r="N38">
        <v>514.90000000000009</v>
      </c>
      <c r="O38">
        <v>0</v>
      </c>
      <c r="P38">
        <v>453.40000000000003</v>
      </c>
      <c r="Q38">
        <v>0.5</v>
      </c>
      <c r="R38" s="254">
        <v>-6.6096774193548402</v>
      </c>
      <c r="X38" t="s">
        <v>157</v>
      </c>
      <c r="Y38" t="s">
        <v>158</v>
      </c>
      <c r="Z38" s="229">
        <f ca="1">OFFSET(W$17,0,(ROW()-ROW(Z$38)))</f>
        <v>733</v>
      </c>
      <c r="AA38" s="229">
        <f ca="1">OFFSET(W$33,0,(ROW()-ROW(AA$38)))</f>
        <v>0</v>
      </c>
      <c r="AE38" s="7"/>
      <c r="AF38" s="7"/>
      <c r="AL38" t="s">
        <v>157</v>
      </c>
      <c r="AM38" t="s">
        <v>158</v>
      </c>
      <c r="AN38" s="229">
        <f ca="1">OFFSET(AK$17,0,(ROW()-ROW(AN$38)))</f>
        <v>671</v>
      </c>
      <c r="AO38" s="229">
        <f ca="1">OFFSET(AK$33,0,(ROW()-ROW(AO$38)))</f>
        <v>0</v>
      </c>
      <c r="AS38" s="7"/>
      <c r="AT38" s="7"/>
      <c r="AZ38" t="s">
        <v>157</v>
      </c>
      <c r="BA38" t="s">
        <v>158</v>
      </c>
      <c r="BB38" s="229">
        <f ca="1">OFFSET(AY$17,0,(ROW()-ROW(BB$38)))</f>
        <v>608.99999999999989</v>
      </c>
      <c r="BC38" s="229">
        <f ca="1">OFFSET(AY$33,0,(ROW()-ROW(BC$38)))</f>
        <v>0</v>
      </c>
      <c r="BG38" s="7"/>
      <c r="BH38" s="7"/>
      <c r="BN38" t="s">
        <v>157</v>
      </c>
      <c r="BO38" t="s">
        <v>158</v>
      </c>
      <c r="BP38" s="229">
        <f ca="1">OFFSET(BM$17,0,(ROW()-ROW(BP$38)))</f>
        <v>546.99999999999989</v>
      </c>
      <c r="BQ38" s="229">
        <f ca="1">OFFSET(BM$33,0,(ROW()-ROW(BQ$38)))</f>
        <v>0</v>
      </c>
      <c r="BU38" s="7"/>
      <c r="BV38" s="7"/>
      <c r="CB38" t="s">
        <v>157</v>
      </c>
      <c r="CC38" t="s">
        <v>158</v>
      </c>
      <c r="CD38" s="229">
        <f ca="1">OFFSET(CA$17,0,(ROW()-ROW(CD$38)))</f>
        <v>485</v>
      </c>
      <c r="CE38" s="229">
        <f ca="1">OFFSET(CA$33,0,(ROW()-ROW(CE$38)))</f>
        <v>0</v>
      </c>
      <c r="CI38" s="7"/>
      <c r="CJ38" s="7"/>
      <c r="CP38" t="s">
        <v>157</v>
      </c>
      <c r="CQ38" t="s">
        <v>158</v>
      </c>
      <c r="CR38" s="229">
        <f ca="1">OFFSET(CO$17,0,(ROW()-ROW(CR$38)))</f>
        <v>423</v>
      </c>
      <c r="CS38" s="229">
        <f ca="1">OFFSET(CO$33,0,(ROW()-ROW(CS$38)))</f>
        <v>0</v>
      </c>
      <c r="CW38" s="7"/>
      <c r="CX38" s="7"/>
      <c r="DD38" t="s">
        <v>157</v>
      </c>
      <c r="DE38" t="s">
        <v>158</v>
      </c>
      <c r="DF38" s="229">
        <f ca="1">OFFSET(DC$17,0,(ROW()-ROW(DF$38)))</f>
        <v>361.19</v>
      </c>
      <c r="DG38" s="229">
        <f ca="1">OFFSET(DC$33,0,(ROW()-ROW(DG$38)))</f>
        <v>0.19000000000000003</v>
      </c>
      <c r="DK38" s="7"/>
      <c r="DL38" s="7"/>
    </row>
    <row r="39" spans="1:118">
      <c r="A39" s="197">
        <f t="shared" si="0"/>
        <v>38018</v>
      </c>
      <c r="B39">
        <v>2004</v>
      </c>
      <c r="C39">
        <v>2</v>
      </c>
      <c r="D39">
        <v>637.40000000000009</v>
      </c>
      <c r="E39">
        <v>0</v>
      </c>
      <c r="F39">
        <v>579.4</v>
      </c>
      <c r="G39">
        <v>0</v>
      </c>
      <c r="H39">
        <v>521.4</v>
      </c>
      <c r="I39">
        <v>0</v>
      </c>
      <c r="J39">
        <v>463.4</v>
      </c>
      <c r="K39">
        <v>0</v>
      </c>
      <c r="L39">
        <v>405.4</v>
      </c>
      <c r="M39">
        <v>0</v>
      </c>
      <c r="N39">
        <v>347.4</v>
      </c>
      <c r="O39">
        <v>0</v>
      </c>
      <c r="P39">
        <v>289.39999999999998</v>
      </c>
      <c r="Q39">
        <v>0</v>
      </c>
      <c r="R39" s="254">
        <v>-1.9793103448275864</v>
      </c>
      <c r="X39" t="s">
        <v>157</v>
      </c>
      <c r="Y39" t="s">
        <v>159</v>
      </c>
      <c r="Z39" s="229">
        <f t="shared" ref="Z39:Z49" ca="1" si="66">OFFSET(W$17,0,(ROW()-ROW(Z$38)))</f>
        <v>651.91355229914109</v>
      </c>
      <c r="AA39" s="229">
        <f t="shared" ref="AA39:AA49" ca="1" si="67">OFFSET(W$33,0,(ROW()-ROW(AA$38)))</f>
        <v>0</v>
      </c>
      <c r="AE39" s="7"/>
      <c r="AF39" s="7"/>
      <c r="AL39" t="s">
        <v>157</v>
      </c>
      <c r="AM39" t="s">
        <v>159</v>
      </c>
      <c r="AN39" s="229">
        <f t="shared" ref="AN39:AN49" ca="1" si="68">OFFSET(AK$17,0,(ROW()-ROW(AN$38)))</f>
        <v>595.51355229914111</v>
      </c>
      <c r="AO39" s="229">
        <f t="shared" ref="AO39:AO49" ca="1" si="69">OFFSET(AK$33,0,(ROW()-ROW(AO$38)))</f>
        <v>0</v>
      </c>
      <c r="AS39" s="7"/>
      <c r="AT39" s="7"/>
      <c r="AZ39" t="s">
        <v>157</v>
      </c>
      <c r="BA39" t="s">
        <v>159</v>
      </c>
      <c r="BB39" s="229">
        <f t="shared" ref="BB39:BB49" ca="1" si="70">OFFSET(AY$17,0,(ROW()-ROW(BB$38)))</f>
        <v>539.11355229914102</v>
      </c>
      <c r="BC39" s="229">
        <f t="shared" ref="BC39:BC49" ca="1" si="71">OFFSET(AY$33,0,(ROW()-ROW(BC$38)))</f>
        <v>0</v>
      </c>
      <c r="BG39" s="7"/>
      <c r="BH39" s="7"/>
      <c r="BN39" t="s">
        <v>157</v>
      </c>
      <c r="BO39" t="s">
        <v>159</v>
      </c>
      <c r="BP39" s="229">
        <f t="shared" ref="BP39:BP49" ca="1" si="72">OFFSET(BM$17,0,(ROW()-ROW(BP$38)))</f>
        <v>482.71355229914104</v>
      </c>
      <c r="BQ39" s="229">
        <f t="shared" ref="BQ39:BQ49" ca="1" si="73">OFFSET(BM$33,0,(ROW()-ROW(BQ$38)))</f>
        <v>0</v>
      </c>
      <c r="BU39" s="7"/>
      <c r="BV39" s="7"/>
      <c r="CB39" t="s">
        <v>157</v>
      </c>
      <c r="CC39" t="s">
        <v>159</v>
      </c>
      <c r="CD39" s="229">
        <f t="shared" ref="CD39:CD49" ca="1" si="74">OFFSET(CA$17,0,(ROW()-ROW(CD$38)))</f>
        <v>426.41355229914109</v>
      </c>
      <c r="CE39" s="229">
        <f t="shared" ref="CE39:CE49" ca="1" si="75">OFFSET(CA$33,0,(ROW()-ROW(CE$38)))</f>
        <v>0.1</v>
      </c>
      <c r="CI39" s="7"/>
      <c r="CJ39" s="7"/>
      <c r="CP39" t="s">
        <v>157</v>
      </c>
      <c r="CQ39" t="s">
        <v>159</v>
      </c>
      <c r="CR39" s="229">
        <f t="shared" ref="CR39:CR49" ca="1" si="76">OFFSET(CO$17,0,(ROW()-ROW(CR$38)))</f>
        <v>370.65355229914098</v>
      </c>
      <c r="CS39" s="229">
        <f t="shared" ref="CS39:CS49" ca="1" si="77">OFFSET(CO$33,0,(ROW()-ROW(CS$38)))</f>
        <v>0.74</v>
      </c>
      <c r="CW39" s="7"/>
      <c r="CX39" s="7"/>
      <c r="DD39" t="s">
        <v>157</v>
      </c>
      <c r="DE39" t="s">
        <v>159</v>
      </c>
      <c r="DF39" s="229">
        <f t="shared" ref="DF39:DF49" ca="1" si="78">OFFSET(DC$17,0,(ROW()-ROW(DF$38)))</f>
        <v>315.93355229914101</v>
      </c>
      <c r="DG39" s="229">
        <f t="shared" ref="DG39:DG49" ca="1" si="79">OFFSET(DC$33,0,(ROW()-ROW(DG$38)))</f>
        <v>2.42</v>
      </c>
      <c r="DK39" s="7"/>
      <c r="DL39" s="7"/>
    </row>
    <row r="40" spans="1:118">
      <c r="A40" s="197">
        <f t="shared" si="0"/>
        <v>38047</v>
      </c>
      <c r="B40">
        <v>2004</v>
      </c>
      <c r="C40">
        <v>3</v>
      </c>
      <c r="D40">
        <v>491.2999999999999</v>
      </c>
      <c r="E40">
        <v>0</v>
      </c>
      <c r="F40">
        <v>429.29999999999995</v>
      </c>
      <c r="G40">
        <v>0</v>
      </c>
      <c r="H40">
        <v>367.29999999999995</v>
      </c>
      <c r="I40">
        <v>0</v>
      </c>
      <c r="J40">
        <v>305.29999999999995</v>
      </c>
      <c r="K40">
        <v>0</v>
      </c>
      <c r="L40">
        <v>246.9</v>
      </c>
      <c r="M40">
        <v>3.5999999999999996</v>
      </c>
      <c r="N40">
        <v>191.2</v>
      </c>
      <c r="O40">
        <v>9.8999999999999986</v>
      </c>
      <c r="P40">
        <v>141.80000000000001</v>
      </c>
      <c r="Q40">
        <v>22.5</v>
      </c>
      <c r="R40" s="254">
        <v>4.1516129032258062</v>
      </c>
      <c r="X40" t="s">
        <v>157</v>
      </c>
      <c r="Y40" t="s">
        <v>160</v>
      </c>
      <c r="Z40" s="229">
        <f t="shared" ca="1" si="66"/>
        <v>558.46355229914104</v>
      </c>
      <c r="AA40" s="229">
        <f t="shared" ca="1" si="67"/>
        <v>0</v>
      </c>
      <c r="AE40" s="7"/>
      <c r="AF40" s="7"/>
      <c r="AL40" t="s">
        <v>157</v>
      </c>
      <c r="AM40" t="s">
        <v>160</v>
      </c>
      <c r="AN40" s="229">
        <f t="shared" ca="1" si="68"/>
        <v>496.46355229914104</v>
      </c>
      <c r="AO40" s="229">
        <f t="shared" ca="1" si="69"/>
        <v>0</v>
      </c>
      <c r="AS40" s="7"/>
      <c r="AT40" s="7"/>
      <c r="AZ40" t="s">
        <v>157</v>
      </c>
      <c r="BA40" t="s">
        <v>160</v>
      </c>
      <c r="BB40" s="229">
        <f t="shared" ca="1" si="70"/>
        <v>434.46355229914104</v>
      </c>
      <c r="BC40" s="229">
        <f t="shared" ca="1" si="71"/>
        <v>0</v>
      </c>
      <c r="BG40" s="7"/>
      <c r="BH40" s="7"/>
      <c r="BN40" t="s">
        <v>157</v>
      </c>
      <c r="BO40" t="s">
        <v>160</v>
      </c>
      <c r="BP40" s="229">
        <f t="shared" ca="1" si="72"/>
        <v>372.63355229914106</v>
      </c>
      <c r="BQ40" s="229">
        <f t="shared" ca="1" si="73"/>
        <v>0.16999999999999993</v>
      </c>
      <c r="BU40" s="7"/>
      <c r="BV40" s="7"/>
      <c r="CB40" t="s">
        <v>157</v>
      </c>
      <c r="CC40" t="s">
        <v>160</v>
      </c>
      <c r="CD40" s="229">
        <f t="shared" ca="1" si="74"/>
        <v>311.72355229914103</v>
      </c>
      <c r="CE40" s="229">
        <f t="shared" ca="1" si="75"/>
        <v>1.2599999999999998</v>
      </c>
      <c r="CI40" s="7"/>
      <c r="CJ40" s="7"/>
      <c r="CP40" t="s">
        <v>157</v>
      </c>
      <c r="CQ40" t="s">
        <v>160</v>
      </c>
      <c r="CR40" s="229">
        <f t="shared" ca="1" si="76"/>
        <v>252.34355229914098</v>
      </c>
      <c r="CS40" s="229">
        <f t="shared" ca="1" si="77"/>
        <v>3.879999999999999</v>
      </c>
      <c r="CW40" s="7"/>
      <c r="CX40" s="7"/>
      <c r="DD40" t="s">
        <v>157</v>
      </c>
      <c r="DE40" t="s">
        <v>160</v>
      </c>
      <c r="DF40" s="229">
        <f t="shared" ca="1" si="78"/>
        <v>195.19355229914103</v>
      </c>
      <c r="DG40" s="229">
        <f t="shared" ca="1" si="79"/>
        <v>8.73</v>
      </c>
      <c r="DK40" s="7"/>
      <c r="DL40" s="7"/>
    </row>
    <row r="41" spans="1:118">
      <c r="A41" s="197">
        <f t="shared" si="0"/>
        <v>38078</v>
      </c>
      <c r="B41">
        <v>2004</v>
      </c>
      <c r="C41">
        <v>4</v>
      </c>
      <c r="D41">
        <v>307.50000000000006</v>
      </c>
      <c r="E41">
        <v>0.19999999999999929</v>
      </c>
      <c r="F41">
        <v>251.70000000000002</v>
      </c>
      <c r="G41">
        <v>4.3999999999999986</v>
      </c>
      <c r="H41">
        <v>199.70000000000002</v>
      </c>
      <c r="I41">
        <v>12.399999999999999</v>
      </c>
      <c r="J41">
        <v>153.1</v>
      </c>
      <c r="K41">
        <v>25.799999999999997</v>
      </c>
      <c r="L41">
        <v>109.6</v>
      </c>
      <c r="M41">
        <v>42.3</v>
      </c>
      <c r="N41">
        <v>69.3</v>
      </c>
      <c r="O41">
        <v>62</v>
      </c>
      <c r="P41">
        <v>34.6</v>
      </c>
      <c r="Q41">
        <v>87.300000000000011</v>
      </c>
      <c r="R41" s="254">
        <v>9.7566666666666642</v>
      </c>
      <c r="W41" s="63"/>
      <c r="X41" t="s">
        <v>157</v>
      </c>
      <c r="Y41" t="s">
        <v>161</v>
      </c>
      <c r="Z41" s="229">
        <f t="shared" ca="1" si="66"/>
        <v>355.53</v>
      </c>
      <c r="AA41" s="229">
        <f t="shared" ca="1" si="67"/>
        <v>0</v>
      </c>
      <c r="AE41" s="7"/>
      <c r="AF41" s="7"/>
      <c r="AG41" s="63"/>
      <c r="AH41" s="63"/>
      <c r="AK41" s="63"/>
      <c r="AL41" t="s">
        <v>157</v>
      </c>
      <c r="AM41" t="s">
        <v>161</v>
      </c>
      <c r="AN41" s="229">
        <f t="shared" ca="1" si="68"/>
        <v>296.23000000000008</v>
      </c>
      <c r="AO41" s="229">
        <f t="shared" ca="1" si="69"/>
        <v>0.69999999999999962</v>
      </c>
      <c r="AS41" s="7"/>
      <c r="AT41" s="7"/>
      <c r="AU41" s="63"/>
      <c r="AV41" s="63"/>
      <c r="AY41" s="63"/>
      <c r="AZ41" t="s">
        <v>157</v>
      </c>
      <c r="BA41" t="s">
        <v>161</v>
      </c>
      <c r="BB41" s="229">
        <f t="shared" ca="1" si="70"/>
        <v>238.61000000000004</v>
      </c>
      <c r="BC41" s="229">
        <f t="shared" ca="1" si="71"/>
        <v>3.0799999999999996</v>
      </c>
      <c r="BG41" s="7"/>
      <c r="BH41" s="7"/>
      <c r="BI41" s="63"/>
      <c r="BJ41" s="63"/>
      <c r="BM41" s="63"/>
      <c r="BN41" t="s">
        <v>157</v>
      </c>
      <c r="BO41" t="s">
        <v>161</v>
      </c>
      <c r="BP41" s="229">
        <f t="shared" ca="1" si="72"/>
        <v>184.31</v>
      </c>
      <c r="BQ41" s="229">
        <f t="shared" ca="1" si="73"/>
        <v>8.7799999999999994</v>
      </c>
      <c r="BU41" s="7"/>
      <c r="BV41" s="7"/>
      <c r="BW41" s="63"/>
      <c r="BX41" s="63"/>
      <c r="CA41" s="63"/>
      <c r="CB41" t="s">
        <v>157</v>
      </c>
      <c r="CC41" t="s">
        <v>161</v>
      </c>
      <c r="CD41" s="229">
        <f t="shared" ca="1" si="74"/>
        <v>133.88</v>
      </c>
      <c r="CE41" s="229">
        <f t="shared" ca="1" si="75"/>
        <v>18.349999999999998</v>
      </c>
      <c r="CI41" s="7"/>
      <c r="CJ41" s="7"/>
      <c r="CK41" s="63"/>
      <c r="CL41" s="63"/>
      <c r="CO41" s="63"/>
      <c r="CP41" t="s">
        <v>157</v>
      </c>
      <c r="CQ41" t="s">
        <v>161</v>
      </c>
      <c r="CR41" s="229">
        <f t="shared" ca="1" si="76"/>
        <v>89.63000000000001</v>
      </c>
      <c r="CS41" s="229">
        <f t="shared" ca="1" si="77"/>
        <v>34.1</v>
      </c>
      <c r="CW41" s="7"/>
      <c r="CX41" s="7"/>
      <c r="CY41" s="63"/>
      <c r="CZ41" s="63"/>
      <c r="DC41" s="63"/>
      <c r="DD41" t="s">
        <v>157</v>
      </c>
      <c r="DE41" t="s">
        <v>161</v>
      </c>
      <c r="DF41" s="229">
        <f t="shared" ca="1" si="78"/>
        <v>54.08</v>
      </c>
      <c r="DG41" s="229">
        <f t="shared" ca="1" si="79"/>
        <v>58.55</v>
      </c>
      <c r="DK41" s="7"/>
      <c r="DL41" s="7"/>
      <c r="DM41" s="63"/>
      <c r="DN41" s="63"/>
    </row>
    <row r="42" spans="1:118">
      <c r="A42" s="197">
        <f t="shared" si="0"/>
        <v>38108</v>
      </c>
      <c r="B42">
        <v>2004</v>
      </c>
      <c r="C42">
        <v>5</v>
      </c>
      <c r="D42">
        <v>147.60000000000002</v>
      </c>
      <c r="E42">
        <v>12.099999999999998</v>
      </c>
      <c r="F42">
        <v>101.60000000000004</v>
      </c>
      <c r="G42">
        <v>28.099999999999998</v>
      </c>
      <c r="H42">
        <v>65.100000000000009</v>
      </c>
      <c r="I42">
        <v>53.599999999999994</v>
      </c>
      <c r="J42">
        <v>39.299999999999997</v>
      </c>
      <c r="K42">
        <v>89.799999999999983</v>
      </c>
      <c r="L42">
        <v>20.399999999999999</v>
      </c>
      <c r="M42">
        <v>132.89999999999998</v>
      </c>
      <c r="N42">
        <v>11.1</v>
      </c>
      <c r="O42">
        <v>185.6</v>
      </c>
      <c r="P42">
        <v>5.2</v>
      </c>
      <c r="Q42">
        <v>241.7</v>
      </c>
      <c r="R42" s="254">
        <v>15.629032258064518</v>
      </c>
      <c r="V42" s="36"/>
      <c r="W42" s="63"/>
      <c r="X42" t="s">
        <v>157</v>
      </c>
      <c r="Y42" t="s">
        <v>68</v>
      </c>
      <c r="Z42" s="229">
        <f t="shared" ca="1" si="66"/>
        <v>163.99355229914099</v>
      </c>
      <c r="AA42" s="229">
        <f t="shared" ca="1" si="67"/>
        <v>15.58644770085902</v>
      </c>
      <c r="AE42" s="7"/>
      <c r="AF42" s="7"/>
      <c r="AG42" s="63"/>
      <c r="AH42" s="63"/>
      <c r="AJ42" s="36"/>
      <c r="AK42" s="63"/>
      <c r="AL42" t="s">
        <v>157</v>
      </c>
      <c r="AM42" t="s">
        <v>68</v>
      </c>
      <c r="AN42" s="229">
        <f t="shared" ca="1" si="68"/>
        <v>116.90355229914098</v>
      </c>
      <c r="AO42" s="229">
        <f t="shared" ca="1" si="69"/>
        <v>30.496447700859022</v>
      </c>
      <c r="AS42" s="7"/>
      <c r="AT42" s="7"/>
      <c r="AU42" s="63"/>
      <c r="AV42" s="63"/>
      <c r="AX42" s="36"/>
      <c r="AY42" s="63"/>
      <c r="AZ42" t="s">
        <v>157</v>
      </c>
      <c r="BA42" t="s">
        <v>68</v>
      </c>
      <c r="BB42" s="229">
        <f t="shared" ca="1" si="70"/>
        <v>77.693552299140975</v>
      </c>
      <c r="BC42" s="229">
        <f t="shared" ca="1" si="71"/>
        <v>53.286447700859014</v>
      </c>
      <c r="BG42" s="7"/>
      <c r="BH42" s="7"/>
      <c r="BI42" s="63"/>
      <c r="BJ42" s="63"/>
      <c r="BL42" s="36"/>
      <c r="BM42" s="63"/>
      <c r="BN42" t="s">
        <v>157</v>
      </c>
      <c r="BO42" t="s">
        <v>68</v>
      </c>
      <c r="BP42" s="229">
        <f t="shared" ca="1" si="72"/>
        <v>47.083552299140976</v>
      </c>
      <c r="BQ42" s="229">
        <f t="shared" ca="1" si="73"/>
        <v>84.676447700859015</v>
      </c>
      <c r="BU42" s="7"/>
      <c r="BV42" s="7"/>
      <c r="BW42" s="63"/>
      <c r="BX42" s="63"/>
      <c r="BZ42" s="36"/>
      <c r="CA42" s="63"/>
      <c r="CB42" t="s">
        <v>157</v>
      </c>
      <c r="CC42" t="s">
        <v>68</v>
      </c>
      <c r="CD42" s="229">
        <f t="shared" ca="1" si="74"/>
        <v>25.23</v>
      </c>
      <c r="CE42" s="229">
        <f t="shared" ca="1" si="75"/>
        <v>124.82289540171806</v>
      </c>
      <c r="CI42" s="7"/>
      <c r="CJ42" s="7"/>
      <c r="CK42" s="63"/>
      <c r="CL42" s="63"/>
      <c r="CN42" s="36"/>
      <c r="CO42" s="63"/>
      <c r="CP42" t="s">
        <v>157</v>
      </c>
      <c r="CQ42" t="s">
        <v>68</v>
      </c>
      <c r="CR42" s="229">
        <f t="shared" ca="1" si="76"/>
        <v>11.12</v>
      </c>
      <c r="CS42" s="229">
        <f t="shared" ca="1" si="77"/>
        <v>172.71289540171804</v>
      </c>
      <c r="CW42" s="7"/>
      <c r="CX42" s="7"/>
      <c r="CY42" s="63"/>
      <c r="CZ42" s="63"/>
      <c r="DB42" s="36"/>
      <c r="DC42" s="63"/>
      <c r="DD42" t="s">
        <v>157</v>
      </c>
      <c r="DE42" t="s">
        <v>68</v>
      </c>
      <c r="DF42" s="229">
        <f t="shared" ca="1" si="78"/>
        <v>3.2800000000000002</v>
      </c>
      <c r="DG42" s="229">
        <f t="shared" ca="1" si="79"/>
        <v>226.87289540171804</v>
      </c>
      <c r="DK42" s="7"/>
      <c r="DL42" s="7"/>
      <c r="DM42" s="63"/>
      <c r="DN42" s="63"/>
    </row>
    <row r="43" spans="1:118">
      <c r="A43" s="197">
        <f t="shared" si="0"/>
        <v>38139</v>
      </c>
      <c r="B43">
        <v>2004</v>
      </c>
      <c r="C43">
        <v>6</v>
      </c>
      <c r="D43">
        <v>50.900000000000006</v>
      </c>
      <c r="E43">
        <v>31.499999999999996</v>
      </c>
      <c r="F43">
        <v>21.4</v>
      </c>
      <c r="G43">
        <v>61.999999999999993</v>
      </c>
      <c r="H43">
        <v>3.7000000000000011</v>
      </c>
      <c r="I43">
        <v>104.30000000000001</v>
      </c>
      <c r="J43">
        <v>0</v>
      </c>
      <c r="K43">
        <v>160.60000000000005</v>
      </c>
      <c r="L43">
        <v>0</v>
      </c>
      <c r="M43">
        <v>220.60000000000008</v>
      </c>
      <c r="N43">
        <v>0</v>
      </c>
      <c r="O43">
        <v>280.60000000000002</v>
      </c>
      <c r="P43">
        <v>0</v>
      </c>
      <c r="Q43">
        <v>340.6</v>
      </c>
      <c r="R43" s="254">
        <v>19.353333333333332</v>
      </c>
      <c r="X43" t="s">
        <v>157</v>
      </c>
      <c r="Y43" t="s">
        <v>153</v>
      </c>
      <c r="Z43" s="229">
        <f t="shared" ca="1" si="66"/>
        <v>30.283552299140979</v>
      </c>
      <c r="AA43" s="229">
        <f t="shared" ca="1" si="67"/>
        <v>52.499999999999986</v>
      </c>
      <c r="AE43" s="7"/>
      <c r="AF43" s="7"/>
      <c r="AL43" t="s">
        <v>157</v>
      </c>
      <c r="AM43" t="s">
        <v>153</v>
      </c>
      <c r="AN43" s="229">
        <f t="shared" ca="1" si="68"/>
        <v>11.023552299140979</v>
      </c>
      <c r="AO43" s="229">
        <f t="shared" ca="1" si="69"/>
        <v>93.24</v>
      </c>
      <c r="AS43" s="7"/>
      <c r="AT43" s="7"/>
      <c r="AZ43" t="s">
        <v>157</v>
      </c>
      <c r="BA43" t="s">
        <v>153</v>
      </c>
      <c r="BB43" s="229">
        <f t="shared" ca="1" si="70"/>
        <v>2.8535522991409801</v>
      </c>
      <c r="BC43" s="229">
        <f t="shared" ca="1" si="71"/>
        <v>145.07</v>
      </c>
      <c r="BG43" s="7"/>
      <c r="BH43" s="7"/>
      <c r="BN43" t="s">
        <v>157</v>
      </c>
      <c r="BO43" t="s">
        <v>153</v>
      </c>
      <c r="BP43" s="229">
        <f t="shared" ca="1" si="72"/>
        <v>0.4200000000000001</v>
      </c>
      <c r="BQ43" s="229">
        <f t="shared" ca="1" si="73"/>
        <v>202.63644770085901</v>
      </c>
      <c r="BU43" s="7"/>
      <c r="BV43" s="7"/>
      <c r="CB43" t="s">
        <v>157</v>
      </c>
      <c r="CC43" t="s">
        <v>153</v>
      </c>
      <c r="CD43" s="229">
        <f t="shared" ca="1" si="74"/>
        <v>4.0000000000000036E-2</v>
      </c>
      <c r="CE43" s="229">
        <f t="shared" ca="1" si="75"/>
        <v>262.25644770085898</v>
      </c>
      <c r="CI43" s="7"/>
      <c r="CJ43" s="7"/>
      <c r="CP43" t="s">
        <v>157</v>
      </c>
      <c r="CQ43" t="s">
        <v>153</v>
      </c>
      <c r="CR43" s="229">
        <f t="shared" ca="1" si="76"/>
        <v>0</v>
      </c>
      <c r="CS43" s="229">
        <f t="shared" ca="1" si="77"/>
        <v>322.21644770085902</v>
      </c>
      <c r="CW43" s="7"/>
      <c r="CX43" s="7"/>
      <c r="DD43" t="s">
        <v>157</v>
      </c>
      <c r="DE43" t="s">
        <v>153</v>
      </c>
      <c r="DF43" s="229">
        <f t="shared" ca="1" si="78"/>
        <v>0</v>
      </c>
      <c r="DG43" s="229">
        <f t="shared" ca="1" si="79"/>
        <v>382.21644770085902</v>
      </c>
      <c r="DK43" s="7"/>
      <c r="DL43" s="7"/>
    </row>
    <row r="44" spans="1:118">
      <c r="A44" s="197">
        <f t="shared" si="0"/>
        <v>38169</v>
      </c>
      <c r="B44">
        <v>2004</v>
      </c>
      <c r="C44">
        <v>7</v>
      </c>
      <c r="D44">
        <v>12.099999999999998</v>
      </c>
      <c r="E44">
        <v>70.3</v>
      </c>
      <c r="F44">
        <v>2.1999999999999993</v>
      </c>
      <c r="G44">
        <v>122.39999999999999</v>
      </c>
      <c r="H44">
        <v>0</v>
      </c>
      <c r="I44">
        <v>182.20000000000002</v>
      </c>
      <c r="J44">
        <v>0</v>
      </c>
      <c r="K44">
        <v>244.20000000000002</v>
      </c>
      <c r="L44">
        <v>0</v>
      </c>
      <c r="M44">
        <v>306.2</v>
      </c>
      <c r="N44">
        <v>0</v>
      </c>
      <c r="O44">
        <v>368.20000000000005</v>
      </c>
      <c r="P44">
        <v>0</v>
      </c>
      <c r="Q44">
        <v>430.2</v>
      </c>
      <c r="R44" s="254">
        <v>21.877419354838707</v>
      </c>
      <c r="V44" s="10"/>
      <c r="X44" t="s">
        <v>157</v>
      </c>
      <c r="Y44" t="s">
        <v>154</v>
      </c>
      <c r="Z44" s="229">
        <f t="shared" ca="1" si="66"/>
        <v>5.7</v>
      </c>
      <c r="AA44" s="229">
        <f t="shared" ca="1" si="67"/>
        <v>92.912895401718032</v>
      </c>
      <c r="AE44" s="7"/>
      <c r="AF44" s="7"/>
      <c r="AJ44" s="10"/>
      <c r="AL44" t="s">
        <v>157</v>
      </c>
      <c r="AM44" t="s">
        <v>154</v>
      </c>
      <c r="AN44" s="229">
        <f t="shared" ca="1" si="68"/>
        <v>0.75</v>
      </c>
      <c r="AO44" s="229">
        <f t="shared" ca="1" si="69"/>
        <v>149.96289540171807</v>
      </c>
      <c r="AS44" s="7"/>
      <c r="AT44" s="7"/>
      <c r="AX44" s="10"/>
      <c r="AZ44" t="s">
        <v>157</v>
      </c>
      <c r="BA44" t="s">
        <v>154</v>
      </c>
      <c r="BB44" s="229">
        <f t="shared" ca="1" si="70"/>
        <v>1.9999999999999928E-2</v>
      </c>
      <c r="BC44" s="229">
        <f t="shared" ca="1" si="71"/>
        <v>211.23289540171805</v>
      </c>
      <c r="BG44" s="7"/>
      <c r="BH44" s="7"/>
      <c r="BL44" s="10"/>
      <c r="BN44" t="s">
        <v>157</v>
      </c>
      <c r="BO44" t="s">
        <v>154</v>
      </c>
      <c r="BP44" s="229">
        <f t="shared" ca="1" si="72"/>
        <v>0</v>
      </c>
      <c r="BQ44" s="229">
        <f t="shared" ca="1" si="73"/>
        <v>273.21289540171807</v>
      </c>
      <c r="BU44" s="7"/>
      <c r="BV44" s="7"/>
      <c r="BZ44" s="10"/>
      <c r="CB44" t="s">
        <v>157</v>
      </c>
      <c r="CC44" t="s">
        <v>154</v>
      </c>
      <c r="CD44" s="229">
        <f t="shared" ca="1" si="74"/>
        <v>0</v>
      </c>
      <c r="CE44" s="229">
        <f t="shared" ca="1" si="75"/>
        <v>335.21289540171807</v>
      </c>
      <c r="CI44" s="7"/>
      <c r="CJ44" s="7"/>
      <c r="CN44" s="10"/>
      <c r="CP44" t="s">
        <v>157</v>
      </c>
      <c r="CQ44" t="s">
        <v>154</v>
      </c>
      <c r="CR44" s="229">
        <f t="shared" ca="1" si="76"/>
        <v>0</v>
      </c>
      <c r="CS44" s="229">
        <f t="shared" ca="1" si="77"/>
        <v>397.21289540171807</v>
      </c>
      <c r="CW44" s="7"/>
      <c r="CX44" s="7"/>
      <c r="DB44" s="10"/>
      <c r="DD44" t="s">
        <v>157</v>
      </c>
      <c r="DE44" t="s">
        <v>154</v>
      </c>
      <c r="DF44" s="229">
        <f t="shared" ca="1" si="78"/>
        <v>0</v>
      </c>
      <c r="DG44" s="229">
        <f t="shared" ca="1" si="79"/>
        <v>459.21289540171801</v>
      </c>
      <c r="DK44" s="7"/>
      <c r="DL44" s="7"/>
    </row>
    <row r="45" spans="1:118">
      <c r="A45" s="197">
        <f t="shared" si="0"/>
        <v>38200</v>
      </c>
      <c r="B45">
        <v>2004</v>
      </c>
      <c r="C45">
        <v>8</v>
      </c>
      <c r="D45">
        <v>34.600000000000009</v>
      </c>
      <c r="E45">
        <v>40.700000000000003</v>
      </c>
      <c r="F45">
        <v>6.0999999999999979</v>
      </c>
      <c r="G45">
        <v>74.199999999999974</v>
      </c>
      <c r="H45">
        <v>0</v>
      </c>
      <c r="I45">
        <v>130.1</v>
      </c>
      <c r="J45">
        <v>0</v>
      </c>
      <c r="K45">
        <v>192.10000000000002</v>
      </c>
      <c r="L45">
        <v>0</v>
      </c>
      <c r="M45">
        <v>254.10000000000002</v>
      </c>
      <c r="N45">
        <v>0</v>
      </c>
      <c r="O45">
        <v>316.09999999999997</v>
      </c>
      <c r="P45">
        <v>0</v>
      </c>
      <c r="Q45">
        <v>378.09999999999991</v>
      </c>
      <c r="R45" s="254">
        <v>20.196774193548393</v>
      </c>
      <c r="X45" t="s">
        <v>157</v>
      </c>
      <c r="Y45" t="s">
        <v>155</v>
      </c>
      <c r="Z45" s="229">
        <f t="shared" ca="1" si="66"/>
        <v>11.161313794845885</v>
      </c>
      <c r="AA45" s="229">
        <f t="shared" ca="1" si="67"/>
        <v>70.537372410308237</v>
      </c>
      <c r="AE45" s="7"/>
      <c r="AF45" s="7"/>
      <c r="AL45" t="s">
        <v>157</v>
      </c>
      <c r="AM45" t="s">
        <v>155</v>
      </c>
      <c r="AN45" s="229">
        <f t="shared" ca="1" si="68"/>
        <v>2.7971045982819609</v>
      </c>
      <c r="AO45" s="229">
        <f t="shared" ca="1" si="69"/>
        <v>124.17316321374433</v>
      </c>
      <c r="AS45" s="7"/>
      <c r="AT45" s="7"/>
      <c r="AZ45" t="s">
        <v>157</v>
      </c>
      <c r="BA45" t="s">
        <v>155</v>
      </c>
      <c r="BB45" s="229">
        <f t="shared" ca="1" si="70"/>
        <v>0.49999999999999983</v>
      </c>
      <c r="BC45" s="229">
        <f t="shared" ca="1" si="71"/>
        <v>183.87605861546231</v>
      </c>
      <c r="BG45" s="7"/>
      <c r="BH45" s="7"/>
      <c r="BN45" t="s">
        <v>157</v>
      </c>
      <c r="BO45" t="s">
        <v>155</v>
      </c>
      <c r="BP45" s="229">
        <f t="shared" ca="1" si="72"/>
        <v>0</v>
      </c>
      <c r="BQ45" s="229">
        <f t="shared" ca="1" si="73"/>
        <v>245.37605861546234</v>
      </c>
      <c r="BU45" s="7"/>
      <c r="BV45" s="7"/>
      <c r="CB45" t="s">
        <v>157</v>
      </c>
      <c r="CC45" t="s">
        <v>155</v>
      </c>
      <c r="CD45" s="229">
        <f t="shared" ca="1" si="74"/>
        <v>0</v>
      </c>
      <c r="CE45" s="229">
        <f t="shared" ca="1" si="75"/>
        <v>307.37605861546228</v>
      </c>
      <c r="CI45" s="7"/>
      <c r="CJ45" s="7"/>
      <c r="CP45" t="s">
        <v>157</v>
      </c>
      <c r="CQ45" t="s">
        <v>155</v>
      </c>
      <c r="CR45" s="229">
        <f t="shared" ca="1" si="76"/>
        <v>0</v>
      </c>
      <c r="CS45" s="229">
        <f t="shared" ca="1" si="77"/>
        <v>369.37605861546234</v>
      </c>
      <c r="CW45" s="7"/>
      <c r="CX45" s="7"/>
      <c r="DD45" t="s">
        <v>157</v>
      </c>
      <c r="DE45" t="s">
        <v>155</v>
      </c>
      <c r="DF45" s="229">
        <f t="shared" ca="1" si="78"/>
        <v>0</v>
      </c>
      <c r="DG45" s="229">
        <f t="shared" ca="1" si="79"/>
        <v>431.37605861546234</v>
      </c>
      <c r="DK45" s="7"/>
      <c r="DL45" s="7"/>
    </row>
    <row r="46" spans="1:118">
      <c r="A46" s="197">
        <f t="shared" si="0"/>
        <v>38231</v>
      </c>
      <c r="B46">
        <v>2004</v>
      </c>
      <c r="C46">
        <v>9</v>
      </c>
      <c r="D46">
        <v>50.3</v>
      </c>
      <c r="E46">
        <v>27</v>
      </c>
      <c r="F46">
        <v>22.999999999999996</v>
      </c>
      <c r="G46">
        <v>59.699999999999989</v>
      </c>
      <c r="H46">
        <v>5.9999999999999982</v>
      </c>
      <c r="I46">
        <v>102.7</v>
      </c>
      <c r="J46">
        <v>0.59999999999999964</v>
      </c>
      <c r="K46">
        <v>157.30000000000004</v>
      </c>
      <c r="L46">
        <v>0</v>
      </c>
      <c r="M46">
        <v>216.70000000000002</v>
      </c>
      <c r="N46">
        <v>0</v>
      </c>
      <c r="O46">
        <v>276.7</v>
      </c>
      <c r="P46">
        <v>0</v>
      </c>
      <c r="Q46">
        <v>336.70000000000005</v>
      </c>
      <c r="R46" s="254">
        <v>19.223333333333333</v>
      </c>
      <c r="X46" t="s">
        <v>157</v>
      </c>
      <c r="Y46" t="s">
        <v>162</v>
      </c>
      <c r="Z46" s="229">
        <f t="shared" ca="1" si="66"/>
        <v>72.950656897422931</v>
      </c>
      <c r="AA46" s="229">
        <f t="shared" ca="1" si="67"/>
        <v>26.096447700859017</v>
      </c>
      <c r="AE46" s="7"/>
      <c r="AF46" s="7"/>
      <c r="AL46" t="s">
        <v>157</v>
      </c>
      <c r="AM46" t="s">
        <v>162</v>
      </c>
      <c r="AN46" s="229">
        <f t="shared" ca="1" si="68"/>
        <v>39.200656897422931</v>
      </c>
      <c r="AO46" s="229">
        <f t="shared" ca="1" si="69"/>
        <v>52.346447700859017</v>
      </c>
      <c r="AS46" s="7"/>
      <c r="AT46" s="7"/>
      <c r="AZ46" t="s">
        <v>157</v>
      </c>
      <c r="BA46" t="s">
        <v>162</v>
      </c>
      <c r="BB46" s="229">
        <f t="shared" ca="1" si="70"/>
        <v>17.56355229914098</v>
      </c>
      <c r="BC46" s="229">
        <f t="shared" ca="1" si="71"/>
        <v>90.709343102577066</v>
      </c>
      <c r="BG46" s="7"/>
      <c r="BH46" s="7"/>
      <c r="BN46" t="s">
        <v>157</v>
      </c>
      <c r="BO46" t="s">
        <v>162</v>
      </c>
      <c r="BP46" s="229">
        <f t="shared" ca="1" si="72"/>
        <v>5.87</v>
      </c>
      <c r="BQ46" s="229">
        <f t="shared" ca="1" si="73"/>
        <v>139.01579080343606</v>
      </c>
      <c r="BU46" s="7"/>
      <c r="BV46" s="7"/>
      <c r="CB46" t="s">
        <v>157</v>
      </c>
      <c r="CC46" t="s">
        <v>162</v>
      </c>
      <c r="CD46" s="229">
        <f t="shared" ca="1" si="74"/>
        <v>1.2500000000000002</v>
      </c>
      <c r="CE46" s="229">
        <f t="shared" ca="1" si="75"/>
        <v>194.39579080343606</v>
      </c>
      <c r="CI46" s="7"/>
      <c r="CJ46" s="7"/>
      <c r="CP46" t="s">
        <v>157</v>
      </c>
      <c r="CQ46" t="s">
        <v>162</v>
      </c>
      <c r="CR46" s="229">
        <f t="shared" ca="1" si="76"/>
        <v>3.0000000000000072E-2</v>
      </c>
      <c r="CS46" s="229">
        <f t="shared" ca="1" si="77"/>
        <v>253.17579080343612</v>
      </c>
      <c r="CW46" s="7"/>
      <c r="CX46" s="7"/>
      <c r="DD46" t="s">
        <v>157</v>
      </c>
      <c r="DE46" t="s">
        <v>162</v>
      </c>
      <c r="DF46" s="229">
        <f t="shared" ca="1" si="78"/>
        <v>0</v>
      </c>
      <c r="DG46" s="229">
        <f t="shared" ca="1" si="79"/>
        <v>313.14579080343611</v>
      </c>
      <c r="DK46" s="7"/>
      <c r="DL46" s="7"/>
    </row>
    <row r="47" spans="1:118">
      <c r="A47" s="197">
        <f t="shared" si="0"/>
        <v>38261</v>
      </c>
      <c r="B47">
        <v>2004</v>
      </c>
      <c r="C47">
        <v>10</v>
      </c>
      <c r="D47">
        <v>252.39999999999995</v>
      </c>
      <c r="E47">
        <v>0</v>
      </c>
      <c r="F47">
        <v>190.89999999999995</v>
      </c>
      <c r="G47">
        <v>0.5</v>
      </c>
      <c r="H47">
        <v>133.59999999999997</v>
      </c>
      <c r="I47">
        <v>5.1999999999999993</v>
      </c>
      <c r="J47">
        <v>81.899999999999963</v>
      </c>
      <c r="K47">
        <v>15.5</v>
      </c>
      <c r="L47">
        <v>39.800000000000004</v>
      </c>
      <c r="M47">
        <v>35.4</v>
      </c>
      <c r="N47">
        <v>14.2</v>
      </c>
      <c r="O47">
        <v>71.800000000000011</v>
      </c>
      <c r="P47">
        <v>4.7</v>
      </c>
      <c r="Q47">
        <v>124.30000000000004</v>
      </c>
      <c r="R47" s="254">
        <v>11.858064516129028</v>
      </c>
      <c r="X47" t="s">
        <v>157</v>
      </c>
      <c r="Y47" t="s">
        <v>163</v>
      </c>
      <c r="Z47" s="229">
        <f t="shared" ca="1" si="66"/>
        <v>250.70420919656394</v>
      </c>
      <c r="AA47" s="229">
        <f t="shared" ca="1" si="67"/>
        <v>3.37</v>
      </c>
      <c r="AE47" s="7"/>
      <c r="AF47" s="7"/>
      <c r="AL47" t="s">
        <v>157</v>
      </c>
      <c r="AM47" t="s">
        <v>163</v>
      </c>
      <c r="AN47" s="229">
        <f t="shared" ca="1" si="68"/>
        <v>194.90420919656393</v>
      </c>
      <c r="AO47" s="229">
        <f t="shared" ca="1" si="69"/>
        <v>9.57</v>
      </c>
      <c r="AS47" s="7"/>
      <c r="AT47" s="7"/>
      <c r="AZ47" t="s">
        <v>157</v>
      </c>
      <c r="BA47" t="s">
        <v>163</v>
      </c>
      <c r="BB47" s="229">
        <f t="shared" ca="1" si="70"/>
        <v>143.81420919656392</v>
      </c>
      <c r="BC47" s="229">
        <f t="shared" ca="1" si="71"/>
        <v>20.479999999999997</v>
      </c>
      <c r="BG47" s="7"/>
      <c r="BH47" s="7"/>
      <c r="BN47" t="s">
        <v>157</v>
      </c>
      <c r="BO47" t="s">
        <v>163</v>
      </c>
      <c r="BP47" s="229">
        <f t="shared" ca="1" si="72"/>
        <v>99.500656897422942</v>
      </c>
      <c r="BQ47" s="229">
        <f t="shared" ca="1" si="73"/>
        <v>38.166447700859024</v>
      </c>
      <c r="BU47" s="7"/>
      <c r="BV47" s="7"/>
      <c r="CB47" t="s">
        <v>157</v>
      </c>
      <c r="CC47" t="s">
        <v>163</v>
      </c>
      <c r="CD47" s="229">
        <f t="shared" ca="1" si="74"/>
        <v>62.157104598281954</v>
      </c>
      <c r="CE47" s="229">
        <f t="shared" ca="1" si="75"/>
        <v>62.822895401718029</v>
      </c>
      <c r="CI47" s="7"/>
      <c r="CJ47" s="7"/>
      <c r="CP47" t="s">
        <v>157</v>
      </c>
      <c r="CQ47" t="s">
        <v>163</v>
      </c>
      <c r="CR47" s="229">
        <f t="shared" ca="1" si="76"/>
        <v>33.233552299140982</v>
      </c>
      <c r="CS47" s="229">
        <f t="shared" ca="1" si="77"/>
        <v>95.899343102577049</v>
      </c>
      <c r="CW47" s="7"/>
      <c r="CX47" s="7"/>
      <c r="DD47" t="s">
        <v>157</v>
      </c>
      <c r="DE47" t="s">
        <v>163</v>
      </c>
      <c r="DF47" s="229">
        <f t="shared" ca="1" si="78"/>
        <v>14.103552299140977</v>
      </c>
      <c r="DG47" s="229">
        <f t="shared" ca="1" si="79"/>
        <v>138.76934310257707</v>
      </c>
      <c r="DK47" s="7"/>
      <c r="DL47" s="7"/>
    </row>
    <row r="48" spans="1:118">
      <c r="A48" s="197">
        <f t="shared" si="0"/>
        <v>38292</v>
      </c>
      <c r="B48">
        <v>2004</v>
      </c>
      <c r="C48">
        <v>11</v>
      </c>
      <c r="D48">
        <v>414</v>
      </c>
      <c r="E48">
        <v>0</v>
      </c>
      <c r="F48">
        <v>353.99999999999994</v>
      </c>
      <c r="G48">
        <v>0</v>
      </c>
      <c r="H48">
        <v>293.99999999999994</v>
      </c>
      <c r="I48">
        <v>0</v>
      </c>
      <c r="J48">
        <v>233.99999999999997</v>
      </c>
      <c r="K48">
        <v>0</v>
      </c>
      <c r="L48">
        <v>175.69999999999996</v>
      </c>
      <c r="M48">
        <v>1.6999999999999993</v>
      </c>
      <c r="N48">
        <v>120.1</v>
      </c>
      <c r="O48">
        <v>6.0999999999999979</v>
      </c>
      <c r="P48">
        <v>72.2</v>
      </c>
      <c r="Q48">
        <v>18.2</v>
      </c>
      <c r="R48" s="254">
        <v>6.200000000000002</v>
      </c>
      <c r="X48" t="s">
        <v>157</v>
      </c>
      <c r="Y48" t="s">
        <v>164</v>
      </c>
      <c r="Z48" s="229">
        <f t="shared" ca="1" si="66"/>
        <v>463.88065689742291</v>
      </c>
      <c r="AA48" s="229">
        <f t="shared" ca="1" si="67"/>
        <v>0</v>
      </c>
      <c r="AE48" s="7"/>
      <c r="AF48" s="7"/>
      <c r="AL48" t="s">
        <v>157</v>
      </c>
      <c r="AM48" t="s">
        <v>164</v>
      </c>
      <c r="AN48" s="229">
        <f t="shared" ca="1" si="68"/>
        <v>404.02065689742301</v>
      </c>
      <c r="AO48" s="229">
        <f t="shared" ca="1" si="69"/>
        <v>0.13999999999999985</v>
      </c>
      <c r="AS48" s="7"/>
      <c r="AT48" s="7"/>
      <c r="AZ48" t="s">
        <v>157</v>
      </c>
      <c r="BA48" t="s">
        <v>164</v>
      </c>
      <c r="BB48" s="229">
        <f t="shared" ca="1" si="70"/>
        <v>344.55065689742298</v>
      </c>
      <c r="BC48" s="229">
        <f t="shared" ca="1" si="71"/>
        <v>0.6699999999999996</v>
      </c>
      <c r="BG48" s="7"/>
      <c r="BH48" s="7"/>
      <c r="BN48" t="s">
        <v>157</v>
      </c>
      <c r="BO48" t="s">
        <v>164</v>
      </c>
      <c r="BP48" s="229">
        <f t="shared" ca="1" si="72"/>
        <v>286.30065689742298</v>
      </c>
      <c r="BQ48" s="229">
        <f t="shared" ca="1" si="73"/>
        <v>2.419999999999999</v>
      </c>
      <c r="BU48" s="7"/>
      <c r="BV48" s="7"/>
      <c r="CB48" t="s">
        <v>157</v>
      </c>
      <c r="CC48" t="s">
        <v>164</v>
      </c>
      <c r="CD48" s="229">
        <f t="shared" ca="1" si="74"/>
        <v>230.04065689742296</v>
      </c>
      <c r="CE48" s="229">
        <f t="shared" ca="1" si="75"/>
        <v>6.1599999999999984</v>
      </c>
      <c r="CI48" s="7"/>
      <c r="CJ48" s="7"/>
      <c r="CP48" t="s">
        <v>157</v>
      </c>
      <c r="CQ48" t="s">
        <v>164</v>
      </c>
      <c r="CR48" s="229">
        <f t="shared" ca="1" si="76"/>
        <v>176.59065689742295</v>
      </c>
      <c r="CS48" s="229">
        <f t="shared" ca="1" si="77"/>
        <v>12.709999999999997</v>
      </c>
      <c r="CW48" s="7"/>
      <c r="CX48" s="7"/>
      <c r="DD48" t="s">
        <v>157</v>
      </c>
      <c r="DE48" t="s">
        <v>164</v>
      </c>
      <c r="DF48" s="229">
        <f t="shared" ca="1" si="78"/>
        <v>128.89065689742296</v>
      </c>
      <c r="DG48" s="229">
        <f t="shared" ca="1" si="79"/>
        <v>25.009999999999998</v>
      </c>
      <c r="DK48" s="7"/>
      <c r="DL48" s="7"/>
    </row>
    <row r="49" spans="1:116">
      <c r="A49" s="197">
        <f t="shared" si="0"/>
        <v>38322</v>
      </c>
      <c r="B49">
        <v>2004</v>
      </c>
      <c r="C49">
        <v>12</v>
      </c>
      <c r="D49">
        <v>655.50000000000011</v>
      </c>
      <c r="E49">
        <v>0</v>
      </c>
      <c r="F49">
        <v>593.50000000000011</v>
      </c>
      <c r="G49">
        <v>0</v>
      </c>
      <c r="H49">
        <v>531.5</v>
      </c>
      <c r="I49">
        <v>0</v>
      </c>
      <c r="J49">
        <v>469.5</v>
      </c>
      <c r="K49">
        <v>0</v>
      </c>
      <c r="L49">
        <v>407.49999999999994</v>
      </c>
      <c r="M49">
        <v>0</v>
      </c>
      <c r="N49">
        <v>346.09999999999997</v>
      </c>
      <c r="O49">
        <v>0.59999999999999964</v>
      </c>
      <c r="P49">
        <v>288</v>
      </c>
      <c r="Q49">
        <v>4.5</v>
      </c>
      <c r="R49" s="254">
        <v>-1.1451612903225807</v>
      </c>
      <c r="X49" t="s">
        <v>157</v>
      </c>
      <c r="Y49" t="s">
        <v>165</v>
      </c>
      <c r="Z49" s="229">
        <f t="shared" ca="1" si="66"/>
        <v>595.77</v>
      </c>
      <c r="AA49" s="229">
        <f t="shared" ca="1" si="67"/>
        <v>0</v>
      </c>
      <c r="AE49" s="7"/>
      <c r="AF49" s="7"/>
      <c r="AL49" t="s">
        <v>157</v>
      </c>
      <c r="AM49" t="s">
        <v>165</v>
      </c>
      <c r="AN49" s="229">
        <f t="shared" ca="1" si="68"/>
        <v>533.7700000000001</v>
      </c>
      <c r="AO49" s="229">
        <f t="shared" ca="1" si="69"/>
        <v>0</v>
      </c>
      <c r="AS49" s="7"/>
      <c r="AT49" s="7"/>
      <c r="AZ49" t="s">
        <v>157</v>
      </c>
      <c r="BA49" t="s">
        <v>165</v>
      </c>
      <c r="BB49" s="229">
        <f t="shared" ca="1" si="70"/>
        <v>471.77</v>
      </c>
      <c r="BC49" s="229">
        <f t="shared" ca="1" si="71"/>
        <v>0</v>
      </c>
      <c r="BG49" s="7"/>
      <c r="BH49" s="7"/>
      <c r="BN49" t="s">
        <v>157</v>
      </c>
      <c r="BO49" t="s">
        <v>165</v>
      </c>
      <c r="BP49" s="229">
        <f t="shared" ca="1" si="72"/>
        <v>409.7700000000001</v>
      </c>
      <c r="BQ49" s="229">
        <f t="shared" ca="1" si="73"/>
        <v>0</v>
      </c>
      <c r="BU49" s="7"/>
      <c r="BV49" s="7"/>
      <c r="CB49" t="s">
        <v>157</v>
      </c>
      <c r="CC49" t="s">
        <v>165</v>
      </c>
      <c r="CD49" s="229">
        <f t="shared" ca="1" si="74"/>
        <v>347.85</v>
      </c>
      <c r="CE49" s="229">
        <f t="shared" ca="1" si="75"/>
        <v>8.0000000000000071E-2</v>
      </c>
      <c r="CI49" s="7"/>
      <c r="CJ49" s="7"/>
      <c r="CP49" t="s">
        <v>157</v>
      </c>
      <c r="CQ49" t="s">
        <v>165</v>
      </c>
      <c r="CR49" s="229">
        <f t="shared" ca="1" si="76"/>
        <v>286.38000000000005</v>
      </c>
      <c r="CS49" s="229">
        <f t="shared" ca="1" si="77"/>
        <v>0.61</v>
      </c>
      <c r="CW49" s="7"/>
      <c r="CX49" s="7"/>
      <c r="DD49" t="s">
        <v>157</v>
      </c>
      <c r="DE49" t="s">
        <v>165</v>
      </c>
      <c r="DF49" s="229">
        <f t="shared" ca="1" si="78"/>
        <v>226.38000000000002</v>
      </c>
      <c r="DG49" s="229">
        <f t="shared" ca="1" si="79"/>
        <v>2.6100000000000003</v>
      </c>
      <c r="DK49" s="7"/>
      <c r="DL49" s="7"/>
    </row>
    <row r="50" spans="1:116">
      <c r="A50" s="197">
        <f t="shared" si="0"/>
        <v>38353</v>
      </c>
      <c r="B50">
        <v>2005</v>
      </c>
      <c r="C50">
        <v>1</v>
      </c>
      <c r="D50">
        <v>762.40000000000009</v>
      </c>
      <c r="E50">
        <v>0</v>
      </c>
      <c r="F50">
        <v>700.40000000000009</v>
      </c>
      <c r="G50">
        <v>0</v>
      </c>
      <c r="H50">
        <v>638.40000000000009</v>
      </c>
      <c r="I50">
        <v>0</v>
      </c>
      <c r="J50">
        <v>576.40000000000009</v>
      </c>
      <c r="K50">
        <v>0</v>
      </c>
      <c r="L50">
        <v>514.4</v>
      </c>
      <c r="M50">
        <v>0</v>
      </c>
      <c r="N50">
        <v>452.4</v>
      </c>
      <c r="O50">
        <v>0</v>
      </c>
      <c r="P50">
        <v>390.40000000000003</v>
      </c>
      <c r="Q50">
        <v>0</v>
      </c>
      <c r="R50" s="254">
        <v>-4.5935483870967735</v>
      </c>
    </row>
    <row r="51" spans="1:116">
      <c r="A51" s="197">
        <f t="shared" si="0"/>
        <v>38384</v>
      </c>
      <c r="B51">
        <v>2005</v>
      </c>
      <c r="C51">
        <v>2</v>
      </c>
      <c r="D51">
        <v>628.00000000000011</v>
      </c>
      <c r="E51">
        <v>0</v>
      </c>
      <c r="F51">
        <v>572</v>
      </c>
      <c r="G51">
        <v>0</v>
      </c>
      <c r="H51">
        <v>516</v>
      </c>
      <c r="I51">
        <v>0</v>
      </c>
      <c r="J51">
        <v>460</v>
      </c>
      <c r="K51">
        <v>0</v>
      </c>
      <c r="L51">
        <v>403.99999999999994</v>
      </c>
      <c r="M51">
        <v>0</v>
      </c>
      <c r="N51">
        <v>347.99999999999994</v>
      </c>
      <c r="O51">
        <v>0</v>
      </c>
      <c r="P51">
        <v>291.99999999999994</v>
      </c>
      <c r="Q51">
        <v>0</v>
      </c>
      <c r="R51" s="254">
        <v>-2.4285714285714284</v>
      </c>
    </row>
    <row r="52" spans="1:116">
      <c r="A52" s="197">
        <f t="shared" si="0"/>
        <v>38412</v>
      </c>
      <c r="B52">
        <v>2005</v>
      </c>
      <c r="C52">
        <v>3</v>
      </c>
      <c r="D52">
        <v>607.30000000000007</v>
      </c>
      <c r="E52">
        <v>0</v>
      </c>
      <c r="F52">
        <v>545.30000000000007</v>
      </c>
      <c r="G52">
        <v>0</v>
      </c>
      <c r="H52">
        <v>483.30000000000007</v>
      </c>
      <c r="I52">
        <v>0</v>
      </c>
      <c r="J52">
        <v>421.3</v>
      </c>
      <c r="K52">
        <v>0</v>
      </c>
      <c r="L52">
        <v>359.3</v>
      </c>
      <c r="M52">
        <v>0</v>
      </c>
      <c r="N52">
        <v>299.99999999999994</v>
      </c>
      <c r="O52">
        <v>2.7000000000000011</v>
      </c>
      <c r="P52">
        <v>242.00000000000003</v>
      </c>
      <c r="Q52">
        <v>6.7000000000000011</v>
      </c>
      <c r="R52" s="254">
        <v>0.40967741935483876</v>
      </c>
    </row>
    <row r="53" spans="1:116">
      <c r="A53" s="197">
        <f t="shared" si="0"/>
        <v>38443</v>
      </c>
      <c r="B53">
        <v>2005</v>
      </c>
      <c r="C53">
        <v>4</v>
      </c>
      <c r="D53">
        <v>301.09999999999997</v>
      </c>
      <c r="E53">
        <v>0</v>
      </c>
      <c r="F53">
        <v>242.5</v>
      </c>
      <c r="G53">
        <v>1.3999999999999986</v>
      </c>
      <c r="H53">
        <v>185.6</v>
      </c>
      <c r="I53">
        <v>4.5</v>
      </c>
      <c r="J53">
        <v>132.1</v>
      </c>
      <c r="K53">
        <v>11</v>
      </c>
      <c r="L53">
        <v>84</v>
      </c>
      <c r="M53">
        <v>22.9</v>
      </c>
      <c r="N53">
        <v>40.70000000000001</v>
      </c>
      <c r="O53">
        <v>39.6</v>
      </c>
      <c r="P53">
        <v>16.5</v>
      </c>
      <c r="Q53">
        <v>75.400000000000006</v>
      </c>
      <c r="R53" s="254">
        <v>9.9633333333333347</v>
      </c>
    </row>
    <row r="54" spans="1:116">
      <c r="A54" s="197">
        <f t="shared" si="0"/>
        <v>38473</v>
      </c>
      <c r="B54">
        <v>2005</v>
      </c>
      <c r="C54">
        <v>5</v>
      </c>
      <c r="D54">
        <v>201.89999999999998</v>
      </c>
      <c r="E54">
        <v>2.1999999999999993</v>
      </c>
      <c r="F54">
        <v>143.4</v>
      </c>
      <c r="G54">
        <v>5.6999999999999993</v>
      </c>
      <c r="H54">
        <v>93.4</v>
      </c>
      <c r="I54">
        <v>17.700000000000003</v>
      </c>
      <c r="J54">
        <v>55.099999999999994</v>
      </c>
      <c r="K54">
        <v>41.4</v>
      </c>
      <c r="L54">
        <v>29.700000000000003</v>
      </c>
      <c r="M54">
        <v>78</v>
      </c>
      <c r="N54">
        <v>14.700000000000001</v>
      </c>
      <c r="O54">
        <v>125</v>
      </c>
      <c r="P54">
        <v>4.7</v>
      </c>
      <c r="Q54">
        <v>177</v>
      </c>
      <c r="R54" s="254">
        <v>13.558064516129031</v>
      </c>
    </row>
    <row r="55" spans="1:116">
      <c r="A55" s="197">
        <f t="shared" si="0"/>
        <v>38504</v>
      </c>
      <c r="B55">
        <v>2005</v>
      </c>
      <c r="C55">
        <v>6</v>
      </c>
      <c r="D55">
        <v>14.599999999999998</v>
      </c>
      <c r="E55">
        <v>117.1</v>
      </c>
      <c r="F55">
        <v>4.3999999999999986</v>
      </c>
      <c r="G55">
        <v>166.9</v>
      </c>
      <c r="H55">
        <v>0</v>
      </c>
      <c r="I55">
        <v>222.50000000000003</v>
      </c>
      <c r="J55">
        <v>0</v>
      </c>
      <c r="K55">
        <v>282.50000000000006</v>
      </c>
      <c r="L55">
        <v>0</v>
      </c>
      <c r="M55">
        <v>342.5</v>
      </c>
      <c r="N55">
        <v>0</v>
      </c>
      <c r="O55">
        <v>402.50000000000006</v>
      </c>
      <c r="P55">
        <v>0</v>
      </c>
      <c r="Q55">
        <v>462.5</v>
      </c>
      <c r="R55" s="254">
        <v>23.416666666666668</v>
      </c>
    </row>
    <row r="56" spans="1:116">
      <c r="A56" s="197">
        <f t="shared" si="0"/>
        <v>38534</v>
      </c>
      <c r="B56">
        <v>2005</v>
      </c>
      <c r="C56">
        <v>7</v>
      </c>
      <c r="D56">
        <v>1.1999999999999993</v>
      </c>
      <c r="E56">
        <v>133.90000000000003</v>
      </c>
      <c r="F56">
        <v>0</v>
      </c>
      <c r="G56">
        <v>194.7</v>
      </c>
      <c r="H56">
        <v>0</v>
      </c>
      <c r="I56">
        <v>256.7</v>
      </c>
      <c r="J56">
        <v>0</v>
      </c>
      <c r="K56">
        <v>318.7</v>
      </c>
      <c r="L56">
        <v>0</v>
      </c>
      <c r="M56">
        <v>380.7</v>
      </c>
      <c r="N56">
        <v>0</v>
      </c>
      <c r="O56">
        <v>442.69999999999993</v>
      </c>
      <c r="P56">
        <v>0</v>
      </c>
      <c r="Q56">
        <v>504.69999999999993</v>
      </c>
      <c r="R56" s="254">
        <v>24.28064516129032</v>
      </c>
    </row>
    <row r="57" spans="1:116">
      <c r="A57" s="197">
        <f t="shared" si="0"/>
        <v>38565</v>
      </c>
      <c r="B57">
        <v>2005</v>
      </c>
      <c r="C57">
        <v>8</v>
      </c>
      <c r="D57">
        <v>3.3999999999999986</v>
      </c>
      <c r="E57">
        <v>126.79999999999998</v>
      </c>
      <c r="F57">
        <v>0.10000000000000142</v>
      </c>
      <c r="G57">
        <v>185.49999999999994</v>
      </c>
      <c r="H57">
        <v>0</v>
      </c>
      <c r="I57">
        <v>247.39999999999998</v>
      </c>
      <c r="J57">
        <v>0</v>
      </c>
      <c r="K57">
        <v>309.40000000000003</v>
      </c>
      <c r="L57">
        <v>0</v>
      </c>
      <c r="M57">
        <v>371.40000000000003</v>
      </c>
      <c r="N57">
        <v>0</v>
      </c>
      <c r="O57">
        <v>433.40000000000003</v>
      </c>
      <c r="P57">
        <v>0</v>
      </c>
      <c r="Q57">
        <v>495.4</v>
      </c>
      <c r="R57" s="254">
        <v>23.980645161290322</v>
      </c>
    </row>
    <row r="58" spans="1:116">
      <c r="A58" s="197">
        <f t="shared" si="0"/>
        <v>38596</v>
      </c>
      <c r="B58">
        <v>2005</v>
      </c>
      <c r="C58">
        <v>9</v>
      </c>
      <c r="D58">
        <v>32.5</v>
      </c>
      <c r="E58">
        <v>39.4</v>
      </c>
      <c r="F58">
        <v>15.299999999999999</v>
      </c>
      <c r="G58">
        <v>82.199999999999989</v>
      </c>
      <c r="H58">
        <v>7.6</v>
      </c>
      <c r="I58">
        <v>134.49999999999997</v>
      </c>
      <c r="J58">
        <v>3.5999999999999996</v>
      </c>
      <c r="K58">
        <v>190.5</v>
      </c>
      <c r="L58">
        <v>0</v>
      </c>
      <c r="M58">
        <v>246.90000000000003</v>
      </c>
      <c r="N58">
        <v>0</v>
      </c>
      <c r="O58">
        <v>306.90000000000009</v>
      </c>
      <c r="P58">
        <v>0</v>
      </c>
      <c r="Q58">
        <v>366.90000000000009</v>
      </c>
      <c r="R58" s="254">
        <v>20.23</v>
      </c>
    </row>
    <row r="59" spans="1:116">
      <c r="A59" s="197">
        <f t="shared" si="0"/>
        <v>38626</v>
      </c>
      <c r="B59">
        <v>2005</v>
      </c>
      <c r="C59">
        <v>10</v>
      </c>
      <c r="D59">
        <v>235</v>
      </c>
      <c r="E59">
        <v>9.1999999999999993</v>
      </c>
      <c r="F59">
        <v>182.8</v>
      </c>
      <c r="G59">
        <v>19</v>
      </c>
      <c r="H59">
        <v>134.00000000000003</v>
      </c>
      <c r="I59">
        <v>32.200000000000003</v>
      </c>
      <c r="J59">
        <v>89.800000000000011</v>
      </c>
      <c r="K59">
        <v>49.999999999999993</v>
      </c>
      <c r="L59">
        <v>53.500000000000007</v>
      </c>
      <c r="M59">
        <v>75.7</v>
      </c>
      <c r="N59">
        <v>25.900000000000006</v>
      </c>
      <c r="O59">
        <v>110.1</v>
      </c>
      <c r="P59">
        <v>7.8000000000000007</v>
      </c>
      <c r="Q59">
        <v>153.99999999999997</v>
      </c>
      <c r="R59" s="254">
        <v>12.716129032258069</v>
      </c>
    </row>
    <row r="60" spans="1:116">
      <c r="A60" s="197">
        <f t="shared" si="0"/>
        <v>38657</v>
      </c>
      <c r="B60">
        <v>2005</v>
      </c>
      <c r="C60">
        <v>11</v>
      </c>
      <c r="D60">
        <v>406.20000000000005</v>
      </c>
      <c r="E60">
        <v>0</v>
      </c>
      <c r="F60">
        <v>346.20000000000005</v>
      </c>
      <c r="G60">
        <v>0</v>
      </c>
      <c r="H60">
        <v>286.8</v>
      </c>
      <c r="I60">
        <v>0.60000000000000142</v>
      </c>
      <c r="J60">
        <v>231.2</v>
      </c>
      <c r="K60">
        <v>5.0000000000000018</v>
      </c>
      <c r="L60">
        <v>182.8</v>
      </c>
      <c r="M60">
        <v>16.600000000000001</v>
      </c>
      <c r="N60">
        <v>141.00000000000003</v>
      </c>
      <c r="O60">
        <v>34.799999999999997</v>
      </c>
      <c r="P60">
        <v>103.69999999999999</v>
      </c>
      <c r="Q60">
        <v>57.5</v>
      </c>
      <c r="R60" s="254">
        <v>6.46</v>
      </c>
    </row>
    <row r="61" spans="1:116">
      <c r="A61" s="197">
        <f t="shared" si="0"/>
        <v>38687</v>
      </c>
      <c r="B61">
        <v>2005</v>
      </c>
      <c r="C61">
        <v>12</v>
      </c>
      <c r="D61">
        <v>721.7</v>
      </c>
      <c r="E61">
        <v>0</v>
      </c>
      <c r="F61">
        <v>659.7</v>
      </c>
      <c r="G61">
        <v>0</v>
      </c>
      <c r="H61">
        <v>597.70000000000005</v>
      </c>
      <c r="I61">
        <v>0</v>
      </c>
      <c r="J61">
        <v>535.70000000000005</v>
      </c>
      <c r="K61">
        <v>0</v>
      </c>
      <c r="L61">
        <v>473.7000000000001</v>
      </c>
      <c r="M61">
        <v>0</v>
      </c>
      <c r="N61">
        <v>411.7000000000001</v>
      </c>
      <c r="O61">
        <v>0</v>
      </c>
      <c r="P61">
        <v>349.70000000000016</v>
      </c>
      <c r="Q61">
        <v>0</v>
      </c>
      <c r="R61" s="254">
        <v>-3.2806451612903218</v>
      </c>
    </row>
    <row r="62" spans="1:116">
      <c r="A62" s="197">
        <f t="shared" si="0"/>
        <v>38718</v>
      </c>
      <c r="B62">
        <v>2006</v>
      </c>
      <c r="C62">
        <v>1</v>
      </c>
      <c r="D62">
        <v>556.70000000000005</v>
      </c>
      <c r="E62">
        <v>0</v>
      </c>
      <c r="F62">
        <v>494.69999999999993</v>
      </c>
      <c r="G62">
        <v>0</v>
      </c>
      <c r="H62">
        <v>432.69999999999993</v>
      </c>
      <c r="I62">
        <v>0</v>
      </c>
      <c r="J62">
        <v>370.69999999999993</v>
      </c>
      <c r="K62">
        <v>0</v>
      </c>
      <c r="L62">
        <v>308.69999999999993</v>
      </c>
      <c r="M62">
        <v>0</v>
      </c>
      <c r="N62">
        <v>246.7</v>
      </c>
      <c r="O62">
        <v>0</v>
      </c>
      <c r="P62">
        <v>185</v>
      </c>
      <c r="Q62">
        <v>0.30000000000000071</v>
      </c>
      <c r="R62" s="254">
        <v>2.0419354838709678</v>
      </c>
    </row>
    <row r="63" spans="1:116">
      <c r="A63" s="197">
        <f t="shared" si="0"/>
        <v>38749</v>
      </c>
      <c r="B63">
        <v>2006</v>
      </c>
      <c r="C63">
        <v>2</v>
      </c>
      <c r="D63">
        <v>594</v>
      </c>
      <c r="E63">
        <v>0</v>
      </c>
      <c r="F63">
        <v>538</v>
      </c>
      <c r="G63">
        <v>0</v>
      </c>
      <c r="H63">
        <v>481.99999999999994</v>
      </c>
      <c r="I63">
        <v>0</v>
      </c>
      <c r="J63">
        <v>425.99999999999994</v>
      </c>
      <c r="K63">
        <v>0</v>
      </c>
      <c r="L63">
        <v>370.00000000000006</v>
      </c>
      <c r="M63">
        <v>0</v>
      </c>
      <c r="N63">
        <v>314</v>
      </c>
      <c r="O63">
        <v>0</v>
      </c>
      <c r="P63">
        <v>258.00000000000006</v>
      </c>
      <c r="Q63">
        <v>0</v>
      </c>
      <c r="R63" s="254">
        <v>-1.2142857142857142</v>
      </c>
    </row>
    <row r="64" spans="1:116">
      <c r="A64" s="197">
        <f t="shared" si="0"/>
        <v>38777</v>
      </c>
      <c r="B64">
        <v>2006</v>
      </c>
      <c r="C64">
        <v>3</v>
      </c>
      <c r="D64">
        <v>523.4</v>
      </c>
      <c r="E64">
        <v>0</v>
      </c>
      <c r="F64">
        <v>461.39999999999992</v>
      </c>
      <c r="G64">
        <v>0</v>
      </c>
      <c r="H64">
        <v>399.4</v>
      </c>
      <c r="I64">
        <v>0</v>
      </c>
      <c r="J64">
        <v>337.4</v>
      </c>
      <c r="K64">
        <v>0</v>
      </c>
      <c r="L64">
        <v>276.5</v>
      </c>
      <c r="M64">
        <v>1.0999999999999996</v>
      </c>
      <c r="N64">
        <v>219.20000000000005</v>
      </c>
      <c r="O64">
        <v>5.8000000000000007</v>
      </c>
      <c r="P64">
        <v>166.80000000000004</v>
      </c>
      <c r="Q64">
        <v>15.4</v>
      </c>
      <c r="R64" s="254">
        <v>3.1161290322580641</v>
      </c>
    </row>
    <row r="65" spans="1:18">
      <c r="A65" s="197">
        <f t="shared" si="0"/>
        <v>38808</v>
      </c>
      <c r="B65">
        <v>2006</v>
      </c>
      <c r="C65">
        <v>4</v>
      </c>
      <c r="D65">
        <v>278.40000000000003</v>
      </c>
      <c r="E65">
        <v>0</v>
      </c>
      <c r="F65">
        <v>219.49999999999997</v>
      </c>
      <c r="G65">
        <v>1.1000000000000014</v>
      </c>
      <c r="H65">
        <v>165.8</v>
      </c>
      <c r="I65">
        <v>7.4000000000000021</v>
      </c>
      <c r="J65">
        <v>118.20000000000002</v>
      </c>
      <c r="K65">
        <v>19.800000000000004</v>
      </c>
      <c r="L65">
        <v>77.899999999999991</v>
      </c>
      <c r="M65">
        <v>39.499999999999993</v>
      </c>
      <c r="N65">
        <v>44.2</v>
      </c>
      <c r="O65">
        <v>65.800000000000011</v>
      </c>
      <c r="P65">
        <v>20.200000000000003</v>
      </c>
      <c r="Q65">
        <v>101.80000000000001</v>
      </c>
      <c r="R65" s="254">
        <v>10.719999999999999</v>
      </c>
    </row>
    <row r="66" spans="1:18">
      <c r="A66" s="197">
        <f t="shared" si="0"/>
        <v>38838</v>
      </c>
      <c r="B66">
        <v>2006</v>
      </c>
      <c r="C66">
        <v>5</v>
      </c>
      <c r="D66">
        <v>153.4</v>
      </c>
      <c r="E66">
        <v>26.1</v>
      </c>
      <c r="F66">
        <v>105.9</v>
      </c>
      <c r="G66">
        <v>40.600000000000009</v>
      </c>
      <c r="H66">
        <v>65.100000000000009</v>
      </c>
      <c r="I66">
        <v>61.8</v>
      </c>
      <c r="J66">
        <v>31.8</v>
      </c>
      <c r="K66">
        <v>90.499999999999986</v>
      </c>
      <c r="L66">
        <v>12.399999999999999</v>
      </c>
      <c r="M66">
        <v>133.09999999999997</v>
      </c>
      <c r="N66">
        <v>2.5999999999999996</v>
      </c>
      <c r="O66">
        <v>185.3</v>
      </c>
      <c r="P66">
        <v>0</v>
      </c>
      <c r="Q66">
        <v>244.7</v>
      </c>
      <c r="R66" s="254">
        <v>15.893548387096773</v>
      </c>
    </row>
    <row r="67" spans="1:18">
      <c r="A67" s="197">
        <f t="shared" ref="A67:A130" si="80">DATE(B67,C67,1)</f>
        <v>38869</v>
      </c>
      <c r="B67">
        <v>2006</v>
      </c>
      <c r="C67">
        <v>6</v>
      </c>
      <c r="D67">
        <v>24.900000000000006</v>
      </c>
      <c r="E67">
        <v>41.800000000000004</v>
      </c>
      <c r="F67">
        <v>8.8000000000000007</v>
      </c>
      <c r="G67">
        <v>85.700000000000017</v>
      </c>
      <c r="H67">
        <v>2</v>
      </c>
      <c r="I67">
        <v>138.89999999999998</v>
      </c>
      <c r="J67">
        <v>0</v>
      </c>
      <c r="K67">
        <v>196.89999999999995</v>
      </c>
      <c r="L67">
        <v>0</v>
      </c>
      <c r="M67">
        <v>256.89999999999998</v>
      </c>
      <c r="N67">
        <v>0</v>
      </c>
      <c r="O67">
        <v>316.90000000000003</v>
      </c>
      <c r="P67">
        <v>0</v>
      </c>
      <c r="Q67">
        <v>376.9</v>
      </c>
      <c r="R67" s="254">
        <v>20.563333333333336</v>
      </c>
    </row>
    <row r="68" spans="1:18">
      <c r="A68" s="197">
        <f t="shared" si="80"/>
        <v>38899</v>
      </c>
      <c r="B68">
        <v>2006</v>
      </c>
      <c r="C68">
        <v>7</v>
      </c>
      <c r="D68">
        <v>2.1000000000000014</v>
      </c>
      <c r="E68">
        <v>137.5</v>
      </c>
      <c r="F68">
        <v>0</v>
      </c>
      <c r="G68">
        <v>197.4</v>
      </c>
      <c r="H68">
        <v>0</v>
      </c>
      <c r="I68">
        <v>259.40000000000003</v>
      </c>
      <c r="J68">
        <v>0</v>
      </c>
      <c r="K68">
        <v>321.39999999999998</v>
      </c>
      <c r="L68">
        <v>0</v>
      </c>
      <c r="M68">
        <v>383.39999999999992</v>
      </c>
      <c r="N68">
        <v>0</v>
      </c>
      <c r="O68">
        <v>445.39999999999992</v>
      </c>
      <c r="P68">
        <v>0</v>
      </c>
      <c r="Q68">
        <v>507.39999999999992</v>
      </c>
      <c r="R68" s="254">
        <v>24.36774193548387</v>
      </c>
    </row>
    <row r="69" spans="1:18">
      <c r="A69" s="197">
        <f t="shared" si="80"/>
        <v>38930</v>
      </c>
      <c r="B69">
        <v>2006</v>
      </c>
      <c r="C69">
        <v>8</v>
      </c>
      <c r="D69">
        <v>1.2000000000000028</v>
      </c>
      <c r="E69">
        <v>86.6</v>
      </c>
      <c r="F69">
        <v>0</v>
      </c>
      <c r="G69">
        <v>147.39999999999998</v>
      </c>
      <c r="H69">
        <v>0</v>
      </c>
      <c r="I69">
        <v>209.39999999999998</v>
      </c>
      <c r="J69">
        <v>0</v>
      </c>
      <c r="K69">
        <v>271.39999999999998</v>
      </c>
      <c r="L69">
        <v>0</v>
      </c>
      <c r="M69">
        <v>333.39999999999986</v>
      </c>
      <c r="N69">
        <v>0</v>
      </c>
      <c r="O69">
        <v>395.39999999999986</v>
      </c>
      <c r="P69">
        <v>0</v>
      </c>
      <c r="Q69">
        <v>457.39999999999992</v>
      </c>
      <c r="R69" s="254">
        <v>22.754838709677419</v>
      </c>
    </row>
    <row r="70" spans="1:18">
      <c r="A70" s="197">
        <f t="shared" si="80"/>
        <v>38961</v>
      </c>
      <c r="B70">
        <v>2006</v>
      </c>
      <c r="C70">
        <v>9</v>
      </c>
      <c r="D70">
        <v>94.199999999999989</v>
      </c>
      <c r="E70">
        <v>4.3999999999999986</v>
      </c>
      <c r="F70">
        <v>52.099999999999994</v>
      </c>
      <c r="G70">
        <v>22.299999999999997</v>
      </c>
      <c r="H70">
        <v>27.8</v>
      </c>
      <c r="I70">
        <v>58</v>
      </c>
      <c r="J70">
        <v>10.3</v>
      </c>
      <c r="K70">
        <v>100.5</v>
      </c>
      <c r="L70">
        <v>2</v>
      </c>
      <c r="M70">
        <v>152.19999999999999</v>
      </c>
      <c r="N70">
        <v>0</v>
      </c>
      <c r="O70">
        <v>210.20000000000002</v>
      </c>
      <c r="P70">
        <v>0</v>
      </c>
      <c r="Q70">
        <v>270.20000000000005</v>
      </c>
      <c r="R70" s="254">
        <v>17.006666666666668</v>
      </c>
    </row>
    <row r="71" spans="1:18">
      <c r="A71" s="197">
        <f t="shared" si="80"/>
        <v>38991</v>
      </c>
      <c r="B71">
        <v>2006</v>
      </c>
      <c r="C71">
        <v>10</v>
      </c>
      <c r="D71">
        <v>311.3</v>
      </c>
      <c r="E71">
        <v>0.30000000000000071</v>
      </c>
      <c r="F71">
        <v>251.29999999999998</v>
      </c>
      <c r="G71">
        <v>2.3000000000000007</v>
      </c>
      <c r="H71">
        <v>191.7</v>
      </c>
      <c r="I71">
        <v>4.6999999999999993</v>
      </c>
      <c r="J71">
        <v>136.50000000000003</v>
      </c>
      <c r="K71">
        <v>11.499999999999998</v>
      </c>
      <c r="L71">
        <v>90.600000000000023</v>
      </c>
      <c r="M71">
        <v>27.599999999999998</v>
      </c>
      <c r="N71">
        <v>53.3</v>
      </c>
      <c r="O71">
        <v>52.300000000000004</v>
      </c>
      <c r="P71">
        <v>26.199999999999996</v>
      </c>
      <c r="Q71">
        <v>87.200000000000031</v>
      </c>
      <c r="R71" s="254">
        <v>9.9677419354838683</v>
      </c>
    </row>
    <row r="72" spans="1:18">
      <c r="A72" s="197">
        <f t="shared" si="80"/>
        <v>39022</v>
      </c>
      <c r="B72">
        <v>2006</v>
      </c>
      <c r="C72">
        <v>11</v>
      </c>
      <c r="D72">
        <v>416.79999999999995</v>
      </c>
      <c r="E72">
        <v>0</v>
      </c>
      <c r="F72">
        <v>356.79999999999995</v>
      </c>
      <c r="G72">
        <v>0</v>
      </c>
      <c r="H72">
        <v>296.79999999999995</v>
      </c>
      <c r="I72">
        <v>0</v>
      </c>
      <c r="J72">
        <v>237.90000000000003</v>
      </c>
      <c r="K72">
        <v>1.0999999999999996</v>
      </c>
      <c r="L72">
        <v>181.80000000000004</v>
      </c>
      <c r="M72">
        <v>5</v>
      </c>
      <c r="N72">
        <v>132</v>
      </c>
      <c r="O72">
        <v>15.2</v>
      </c>
      <c r="P72">
        <v>89.199999999999989</v>
      </c>
      <c r="Q72">
        <v>32.400000000000006</v>
      </c>
      <c r="R72" s="254">
        <v>6.1066666666666656</v>
      </c>
    </row>
    <row r="73" spans="1:18">
      <c r="A73" s="197">
        <f t="shared" si="80"/>
        <v>39052</v>
      </c>
      <c r="B73">
        <v>2006</v>
      </c>
      <c r="C73">
        <v>12</v>
      </c>
      <c r="D73">
        <v>522.4</v>
      </c>
      <c r="E73">
        <v>0</v>
      </c>
      <c r="F73">
        <v>460.40000000000003</v>
      </c>
      <c r="G73">
        <v>0</v>
      </c>
      <c r="H73">
        <v>398.40000000000009</v>
      </c>
      <c r="I73">
        <v>0</v>
      </c>
      <c r="J73">
        <v>336.40000000000009</v>
      </c>
      <c r="K73">
        <v>0</v>
      </c>
      <c r="L73">
        <v>274.40000000000009</v>
      </c>
      <c r="M73">
        <v>0</v>
      </c>
      <c r="N73">
        <v>212.99999999999997</v>
      </c>
      <c r="O73">
        <v>0.59999999999999964</v>
      </c>
      <c r="P73">
        <v>153.9</v>
      </c>
      <c r="Q73">
        <v>3.5</v>
      </c>
      <c r="R73" s="254">
        <v>3.1483870967741945</v>
      </c>
    </row>
    <row r="74" spans="1:18">
      <c r="A74" s="197">
        <f t="shared" si="80"/>
        <v>39083</v>
      </c>
      <c r="B74">
        <v>2007</v>
      </c>
      <c r="C74">
        <v>1</v>
      </c>
      <c r="D74">
        <v>664.40000000000009</v>
      </c>
      <c r="E74">
        <v>0</v>
      </c>
      <c r="F74">
        <v>602.4</v>
      </c>
      <c r="G74">
        <v>0</v>
      </c>
      <c r="H74">
        <v>540.40000000000009</v>
      </c>
      <c r="I74">
        <v>0</v>
      </c>
      <c r="J74">
        <v>478.40000000000003</v>
      </c>
      <c r="K74">
        <v>0</v>
      </c>
      <c r="L74">
        <v>416.40000000000003</v>
      </c>
      <c r="M74">
        <v>0</v>
      </c>
      <c r="N74">
        <v>354.40000000000003</v>
      </c>
      <c r="O74">
        <v>0</v>
      </c>
      <c r="P74">
        <v>293.8</v>
      </c>
      <c r="Q74">
        <v>1.4000000000000004</v>
      </c>
      <c r="R74" s="254">
        <v>-1.4322580645161289</v>
      </c>
    </row>
    <row r="75" spans="1:18">
      <c r="A75" s="197">
        <f t="shared" si="80"/>
        <v>39114</v>
      </c>
      <c r="B75">
        <v>2007</v>
      </c>
      <c r="C75">
        <v>2</v>
      </c>
      <c r="D75">
        <v>762.10000000000014</v>
      </c>
      <c r="E75">
        <v>0</v>
      </c>
      <c r="F75">
        <v>706.10000000000014</v>
      </c>
      <c r="G75">
        <v>0</v>
      </c>
      <c r="H75">
        <v>650.1</v>
      </c>
      <c r="I75">
        <v>0</v>
      </c>
      <c r="J75">
        <v>594.1</v>
      </c>
      <c r="K75">
        <v>0</v>
      </c>
      <c r="L75">
        <v>538.1</v>
      </c>
      <c r="M75">
        <v>0</v>
      </c>
      <c r="N75">
        <v>482.1</v>
      </c>
      <c r="O75">
        <v>0</v>
      </c>
      <c r="P75">
        <v>426.1</v>
      </c>
      <c r="Q75">
        <v>0</v>
      </c>
      <c r="R75" s="254">
        <v>-7.2178571428571416</v>
      </c>
    </row>
    <row r="76" spans="1:18">
      <c r="A76" s="197">
        <f t="shared" si="80"/>
        <v>39142</v>
      </c>
      <c r="B76">
        <v>2007</v>
      </c>
      <c r="C76">
        <v>3</v>
      </c>
      <c r="D76">
        <v>491.09999999999991</v>
      </c>
      <c r="E76">
        <v>0</v>
      </c>
      <c r="F76">
        <v>429.2999999999999</v>
      </c>
      <c r="G76">
        <v>0.19999999999999929</v>
      </c>
      <c r="H76">
        <v>370.2999999999999</v>
      </c>
      <c r="I76">
        <v>3.1999999999999993</v>
      </c>
      <c r="J76">
        <v>312.29999999999995</v>
      </c>
      <c r="K76">
        <v>7.1999999999999993</v>
      </c>
      <c r="L76">
        <v>256.3</v>
      </c>
      <c r="M76">
        <v>13.2</v>
      </c>
      <c r="N76">
        <v>204.2</v>
      </c>
      <c r="O76">
        <v>23.099999999999998</v>
      </c>
      <c r="P76">
        <v>156.19999999999999</v>
      </c>
      <c r="Q76">
        <v>37.099999999999994</v>
      </c>
      <c r="R76" s="254">
        <v>4.1580645161290315</v>
      </c>
    </row>
    <row r="77" spans="1:18">
      <c r="A77" s="197">
        <f t="shared" si="80"/>
        <v>39173</v>
      </c>
      <c r="B77">
        <v>2007</v>
      </c>
      <c r="C77">
        <v>4</v>
      </c>
      <c r="D77">
        <v>344.3</v>
      </c>
      <c r="E77">
        <v>0</v>
      </c>
      <c r="F77">
        <v>285.20000000000005</v>
      </c>
      <c r="G77">
        <v>0.89999999999999858</v>
      </c>
      <c r="H77">
        <v>229.90000000000003</v>
      </c>
      <c r="I77">
        <v>5.5999999999999979</v>
      </c>
      <c r="J77">
        <v>177.40000000000003</v>
      </c>
      <c r="K77">
        <v>13.099999999999998</v>
      </c>
      <c r="L77">
        <v>134.1</v>
      </c>
      <c r="M77">
        <v>29.800000000000004</v>
      </c>
      <c r="N77">
        <v>99.2</v>
      </c>
      <c r="O77">
        <v>54.9</v>
      </c>
      <c r="P77">
        <v>71.300000000000011</v>
      </c>
      <c r="Q77">
        <v>87</v>
      </c>
      <c r="R77" s="254">
        <v>8.5233333333333317</v>
      </c>
    </row>
    <row r="78" spans="1:18">
      <c r="A78" s="197">
        <f t="shared" si="80"/>
        <v>39203</v>
      </c>
      <c r="B78">
        <v>2007</v>
      </c>
      <c r="C78">
        <v>5</v>
      </c>
      <c r="D78">
        <v>126.9</v>
      </c>
      <c r="E78">
        <v>23.7</v>
      </c>
      <c r="F78">
        <v>87.200000000000017</v>
      </c>
      <c r="G78">
        <v>46</v>
      </c>
      <c r="H78">
        <v>54.1</v>
      </c>
      <c r="I78">
        <v>74.900000000000006</v>
      </c>
      <c r="J78">
        <v>25</v>
      </c>
      <c r="K78">
        <v>107.8</v>
      </c>
      <c r="L78">
        <v>5.6</v>
      </c>
      <c r="M78">
        <v>150.4</v>
      </c>
      <c r="N78">
        <v>0.69999999999999929</v>
      </c>
      <c r="O78">
        <v>207.50000000000006</v>
      </c>
      <c r="P78">
        <v>0</v>
      </c>
      <c r="Q78">
        <v>268.8</v>
      </c>
      <c r="R78" s="254">
        <v>16.670967741935481</v>
      </c>
    </row>
    <row r="79" spans="1:18">
      <c r="A79" s="197">
        <f t="shared" si="80"/>
        <v>39234</v>
      </c>
      <c r="B79">
        <v>2007</v>
      </c>
      <c r="C79">
        <v>6</v>
      </c>
      <c r="D79">
        <v>18</v>
      </c>
      <c r="E79">
        <v>82.100000000000009</v>
      </c>
      <c r="F79">
        <v>8.1</v>
      </c>
      <c r="G79">
        <v>132.20000000000002</v>
      </c>
      <c r="H79">
        <v>4.0999999999999996</v>
      </c>
      <c r="I79">
        <v>188.2</v>
      </c>
      <c r="J79">
        <v>9.9999999999999645E-2</v>
      </c>
      <c r="K79">
        <v>244.2</v>
      </c>
      <c r="L79">
        <v>0</v>
      </c>
      <c r="M79">
        <v>304.09999999999997</v>
      </c>
      <c r="N79">
        <v>0</v>
      </c>
      <c r="O79">
        <v>364.09999999999997</v>
      </c>
      <c r="P79">
        <v>0</v>
      </c>
      <c r="Q79">
        <v>424.09999999999991</v>
      </c>
      <c r="R79" s="254">
        <v>22.136666666666667</v>
      </c>
    </row>
    <row r="80" spans="1:18">
      <c r="A80" s="197">
        <f t="shared" si="80"/>
        <v>39264</v>
      </c>
      <c r="B80">
        <v>2007</v>
      </c>
      <c r="C80">
        <v>7</v>
      </c>
      <c r="D80">
        <v>6.8000000000000007</v>
      </c>
      <c r="E80">
        <v>91.7</v>
      </c>
      <c r="F80">
        <v>1.3000000000000007</v>
      </c>
      <c r="G80">
        <v>148.19999999999999</v>
      </c>
      <c r="H80">
        <v>0</v>
      </c>
      <c r="I80">
        <v>208.9</v>
      </c>
      <c r="J80">
        <v>0</v>
      </c>
      <c r="K80">
        <v>270.90000000000003</v>
      </c>
      <c r="L80">
        <v>0</v>
      </c>
      <c r="M80">
        <v>332.90000000000003</v>
      </c>
      <c r="N80">
        <v>0</v>
      </c>
      <c r="O80">
        <v>394.9</v>
      </c>
      <c r="P80">
        <v>0</v>
      </c>
      <c r="Q80">
        <v>456.90000000000003</v>
      </c>
      <c r="R80" s="254">
        <v>22.738709677419354</v>
      </c>
    </row>
    <row r="81" spans="1:18">
      <c r="A81" s="197">
        <f t="shared" si="80"/>
        <v>39295</v>
      </c>
      <c r="B81">
        <v>2007</v>
      </c>
      <c r="C81">
        <v>8</v>
      </c>
      <c r="D81">
        <v>12.000000000000004</v>
      </c>
      <c r="E81">
        <v>113.00000000000001</v>
      </c>
      <c r="F81">
        <v>4.4000000000000021</v>
      </c>
      <c r="G81">
        <v>167.40000000000003</v>
      </c>
      <c r="H81">
        <v>0.30000000000000071</v>
      </c>
      <c r="I81">
        <v>225.30000000000004</v>
      </c>
      <c r="J81">
        <v>0</v>
      </c>
      <c r="K81">
        <v>287</v>
      </c>
      <c r="L81">
        <v>0</v>
      </c>
      <c r="M81">
        <v>349.00000000000011</v>
      </c>
      <c r="N81">
        <v>0</v>
      </c>
      <c r="O81">
        <v>411.00000000000006</v>
      </c>
      <c r="P81">
        <v>0</v>
      </c>
      <c r="Q81">
        <v>473.00000000000006</v>
      </c>
      <c r="R81" s="254">
        <v>23.258064516129025</v>
      </c>
    </row>
    <row r="82" spans="1:18">
      <c r="A82" s="197">
        <f t="shared" si="80"/>
        <v>39326</v>
      </c>
      <c r="B82">
        <v>2007</v>
      </c>
      <c r="C82">
        <v>9</v>
      </c>
      <c r="D82">
        <v>50.099999999999994</v>
      </c>
      <c r="E82">
        <v>41.100000000000009</v>
      </c>
      <c r="F82">
        <v>25.399999999999995</v>
      </c>
      <c r="G82">
        <v>76.400000000000006</v>
      </c>
      <c r="H82">
        <v>12.299999999999999</v>
      </c>
      <c r="I82">
        <v>123.30000000000001</v>
      </c>
      <c r="J82">
        <v>5</v>
      </c>
      <c r="K82">
        <v>176</v>
      </c>
      <c r="L82">
        <v>0.59999999999999964</v>
      </c>
      <c r="M82">
        <v>231.6</v>
      </c>
      <c r="N82">
        <v>0</v>
      </c>
      <c r="O82">
        <v>291</v>
      </c>
      <c r="P82">
        <v>0</v>
      </c>
      <c r="Q82">
        <v>351.00000000000006</v>
      </c>
      <c r="R82" s="254">
        <v>19.7</v>
      </c>
    </row>
    <row r="83" spans="1:18">
      <c r="A83" s="197">
        <f t="shared" si="80"/>
        <v>39356</v>
      </c>
      <c r="B83">
        <v>2007</v>
      </c>
      <c r="C83">
        <v>10</v>
      </c>
      <c r="D83">
        <v>153.60000000000002</v>
      </c>
      <c r="E83">
        <v>22.700000000000003</v>
      </c>
      <c r="F83">
        <v>111.19999999999999</v>
      </c>
      <c r="G83">
        <v>42.300000000000011</v>
      </c>
      <c r="H83">
        <v>78.899999999999991</v>
      </c>
      <c r="I83">
        <v>71.999999999999986</v>
      </c>
      <c r="J83">
        <v>50.899999999999991</v>
      </c>
      <c r="K83">
        <v>105.99999999999999</v>
      </c>
      <c r="L83">
        <v>25</v>
      </c>
      <c r="M83">
        <v>142.1</v>
      </c>
      <c r="N83">
        <v>7.1000000000000005</v>
      </c>
      <c r="O83">
        <v>186.20000000000002</v>
      </c>
      <c r="P83">
        <v>0.70000000000000018</v>
      </c>
      <c r="Q83">
        <v>241.8</v>
      </c>
      <c r="R83" s="254">
        <v>15.77741935483871</v>
      </c>
    </row>
    <row r="84" spans="1:18">
      <c r="A84" s="197">
        <f t="shared" si="80"/>
        <v>39387</v>
      </c>
      <c r="B84">
        <v>2007</v>
      </c>
      <c r="C84">
        <v>11</v>
      </c>
      <c r="D84">
        <v>460.3</v>
      </c>
      <c r="E84">
        <v>0</v>
      </c>
      <c r="F84">
        <v>400.3</v>
      </c>
      <c r="G84">
        <v>0</v>
      </c>
      <c r="H84">
        <v>340.3</v>
      </c>
      <c r="I84">
        <v>0</v>
      </c>
      <c r="J84">
        <v>280.29999999999995</v>
      </c>
      <c r="K84">
        <v>0</v>
      </c>
      <c r="L84">
        <v>220.89999999999998</v>
      </c>
      <c r="M84">
        <v>0.59999999999999964</v>
      </c>
      <c r="N84">
        <v>166.70000000000002</v>
      </c>
      <c r="O84">
        <v>6.4</v>
      </c>
      <c r="P84">
        <v>114.49999999999999</v>
      </c>
      <c r="Q84">
        <v>14.2</v>
      </c>
      <c r="R84" s="254">
        <v>4.6566666666666672</v>
      </c>
    </row>
    <row r="85" spans="1:18">
      <c r="A85" s="197">
        <f t="shared" si="80"/>
        <v>39417</v>
      </c>
      <c r="B85">
        <v>2007</v>
      </c>
      <c r="C85">
        <v>12</v>
      </c>
      <c r="D85">
        <v>656.99999999999989</v>
      </c>
      <c r="E85">
        <v>0</v>
      </c>
      <c r="F85">
        <v>595</v>
      </c>
      <c r="G85">
        <v>0</v>
      </c>
      <c r="H85">
        <v>533</v>
      </c>
      <c r="I85">
        <v>0</v>
      </c>
      <c r="J85">
        <v>471</v>
      </c>
      <c r="K85">
        <v>0</v>
      </c>
      <c r="L85">
        <v>409</v>
      </c>
      <c r="M85">
        <v>0</v>
      </c>
      <c r="N85">
        <v>347</v>
      </c>
      <c r="O85">
        <v>0</v>
      </c>
      <c r="P85">
        <v>285</v>
      </c>
      <c r="Q85">
        <v>0</v>
      </c>
      <c r="R85" s="254">
        <v>-1.1935483870967738</v>
      </c>
    </row>
    <row r="86" spans="1:18">
      <c r="A86" s="197">
        <f t="shared" si="80"/>
        <v>39448</v>
      </c>
      <c r="B86">
        <v>2008</v>
      </c>
      <c r="C86">
        <v>1</v>
      </c>
      <c r="D86">
        <v>673.19999999999993</v>
      </c>
      <c r="E86">
        <v>0</v>
      </c>
      <c r="F86">
        <v>611.19999999999993</v>
      </c>
      <c r="G86">
        <v>0</v>
      </c>
      <c r="H86">
        <v>549.20000000000005</v>
      </c>
      <c r="I86">
        <v>0</v>
      </c>
      <c r="J86">
        <v>487.20000000000005</v>
      </c>
      <c r="K86">
        <v>0</v>
      </c>
      <c r="L86">
        <v>427.3</v>
      </c>
      <c r="M86">
        <v>2.0999999999999996</v>
      </c>
      <c r="N86">
        <v>369.30000000000007</v>
      </c>
      <c r="O86">
        <v>6.1</v>
      </c>
      <c r="P86">
        <v>311.3</v>
      </c>
      <c r="Q86">
        <v>10.1</v>
      </c>
      <c r="R86" s="254">
        <v>-1.7161290322580647</v>
      </c>
    </row>
    <row r="87" spans="1:18">
      <c r="A87" s="197">
        <f t="shared" si="80"/>
        <v>39479</v>
      </c>
      <c r="B87">
        <v>2008</v>
      </c>
      <c r="C87">
        <v>2</v>
      </c>
      <c r="D87">
        <v>687.3</v>
      </c>
      <c r="E87">
        <v>0</v>
      </c>
      <c r="F87">
        <v>629.29999999999995</v>
      </c>
      <c r="G87">
        <v>0</v>
      </c>
      <c r="H87">
        <v>571.29999999999984</v>
      </c>
      <c r="I87">
        <v>0</v>
      </c>
      <c r="J87">
        <v>513.29999999999995</v>
      </c>
      <c r="K87">
        <v>0</v>
      </c>
      <c r="L87">
        <v>455.2999999999999</v>
      </c>
      <c r="M87">
        <v>0</v>
      </c>
      <c r="N87">
        <v>397.2999999999999</v>
      </c>
      <c r="O87">
        <v>0</v>
      </c>
      <c r="P87">
        <v>339.29999999999995</v>
      </c>
      <c r="Q87">
        <v>0</v>
      </c>
      <c r="R87" s="254">
        <v>-3.7</v>
      </c>
    </row>
    <row r="88" spans="1:18">
      <c r="A88" s="197">
        <f t="shared" si="80"/>
        <v>39508</v>
      </c>
      <c r="B88">
        <v>2008</v>
      </c>
      <c r="C88">
        <v>3</v>
      </c>
      <c r="D88">
        <v>603.6</v>
      </c>
      <c r="E88">
        <v>0</v>
      </c>
      <c r="F88">
        <v>541.6</v>
      </c>
      <c r="G88">
        <v>0</v>
      </c>
      <c r="H88">
        <v>479.60000000000008</v>
      </c>
      <c r="I88">
        <v>0</v>
      </c>
      <c r="J88">
        <v>417.60000000000008</v>
      </c>
      <c r="K88">
        <v>0</v>
      </c>
      <c r="L88">
        <v>355.6</v>
      </c>
      <c r="M88">
        <v>0</v>
      </c>
      <c r="N88">
        <v>294.40000000000003</v>
      </c>
      <c r="O88">
        <v>0.80000000000000071</v>
      </c>
      <c r="P88">
        <v>234.4</v>
      </c>
      <c r="Q88">
        <v>2.8000000000000007</v>
      </c>
      <c r="R88" s="254">
        <v>0.52903225806451604</v>
      </c>
    </row>
    <row r="89" spans="1:18">
      <c r="A89" s="197">
        <f t="shared" si="80"/>
        <v>39539</v>
      </c>
      <c r="B89">
        <v>2008</v>
      </c>
      <c r="C89">
        <v>4</v>
      </c>
      <c r="D89">
        <v>282.49999999999989</v>
      </c>
      <c r="E89">
        <v>0</v>
      </c>
      <c r="F89">
        <v>223.79999999999993</v>
      </c>
      <c r="G89">
        <v>1.3000000000000007</v>
      </c>
      <c r="H89">
        <v>168.79999999999993</v>
      </c>
      <c r="I89">
        <v>6.2999999999999972</v>
      </c>
      <c r="J89">
        <v>124.20000000000002</v>
      </c>
      <c r="K89">
        <v>21.7</v>
      </c>
      <c r="L89">
        <v>88.9</v>
      </c>
      <c r="M89">
        <v>46.399999999999984</v>
      </c>
      <c r="N89">
        <v>59.400000000000006</v>
      </c>
      <c r="O89">
        <v>76.899999999999991</v>
      </c>
      <c r="P89">
        <v>31.399999999999995</v>
      </c>
      <c r="Q89">
        <v>108.89999999999999</v>
      </c>
      <c r="R89" s="254">
        <v>10.583333333333334</v>
      </c>
    </row>
    <row r="90" spans="1:18">
      <c r="A90" s="197">
        <f t="shared" si="80"/>
        <v>39569</v>
      </c>
      <c r="B90">
        <v>2008</v>
      </c>
      <c r="C90">
        <v>5</v>
      </c>
      <c r="D90">
        <v>199.39999999999998</v>
      </c>
      <c r="E90">
        <v>5.6000000000000014</v>
      </c>
      <c r="F90">
        <v>143.39999999999998</v>
      </c>
      <c r="G90">
        <v>11.600000000000001</v>
      </c>
      <c r="H90">
        <v>88.600000000000009</v>
      </c>
      <c r="I90">
        <v>18.799999999999997</v>
      </c>
      <c r="J90">
        <v>44.400000000000006</v>
      </c>
      <c r="K90">
        <v>36.599999999999994</v>
      </c>
      <c r="L90">
        <v>12.8</v>
      </c>
      <c r="M90">
        <v>66.999999999999986</v>
      </c>
      <c r="N90">
        <v>1.0999999999999996</v>
      </c>
      <c r="O90">
        <v>117.3</v>
      </c>
      <c r="P90">
        <v>0</v>
      </c>
      <c r="Q90">
        <v>178.20000000000005</v>
      </c>
      <c r="R90" s="254">
        <v>13.748387096774193</v>
      </c>
    </row>
    <row r="91" spans="1:18">
      <c r="A91" s="197">
        <f t="shared" si="80"/>
        <v>39600</v>
      </c>
      <c r="B91">
        <v>2008</v>
      </c>
      <c r="C91">
        <v>6</v>
      </c>
      <c r="D91">
        <v>15.199999999999996</v>
      </c>
      <c r="E91">
        <v>75.899999999999991</v>
      </c>
      <c r="F91">
        <v>3.1999999999999993</v>
      </c>
      <c r="G91">
        <v>123.89999999999998</v>
      </c>
      <c r="H91">
        <v>0.5</v>
      </c>
      <c r="I91">
        <v>181.20000000000002</v>
      </c>
      <c r="J91">
        <v>0</v>
      </c>
      <c r="K91">
        <v>240.70000000000005</v>
      </c>
      <c r="L91">
        <v>0</v>
      </c>
      <c r="M91">
        <v>300.70000000000005</v>
      </c>
      <c r="N91">
        <v>0</v>
      </c>
      <c r="O91">
        <v>360.7000000000001</v>
      </c>
      <c r="P91">
        <v>0</v>
      </c>
      <c r="Q91">
        <v>420.7000000000001</v>
      </c>
      <c r="R91" s="254">
        <v>22.02333333333333</v>
      </c>
    </row>
    <row r="92" spans="1:18">
      <c r="A92" s="197">
        <f t="shared" si="80"/>
        <v>39630</v>
      </c>
      <c r="B92">
        <v>2008</v>
      </c>
      <c r="C92">
        <v>7</v>
      </c>
      <c r="D92">
        <v>4.6000000000000014</v>
      </c>
      <c r="E92">
        <v>130.9</v>
      </c>
      <c r="F92">
        <v>0.30000000000000071</v>
      </c>
      <c r="G92">
        <v>188.59999999999997</v>
      </c>
      <c r="H92">
        <v>0</v>
      </c>
      <c r="I92">
        <v>250.29999999999995</v>
      </c>
      <c r="J92">
        <v>0</v>
      </c>
      <c r="K92">
        <v>312.3</v>
      </c>
      <c r="L92">
        <v>0</v>
      </c>
      <c r="M92">
        <v>374.30000000000007</v>
      </c>
      <c r="N92">
        <v>0</v>
      </c>
      <c r="O92">
        <v>436.3</v>
      </c>
      <c r="P92">
        <v>0</v>
      </c>
      <c r="Q92">
        <v>498.3</v>
      </c>
      <c r="R92" s="254">
        <v>24.074193548387104</v>
      </c>
    </row>
    <row r="93" spans="1:18">
      <c r="A93" s="197">
        <f t="shared" si="80"/>
        <v>39661</v>
      </c>
      <c r="B93">
        <v>2008</v>
      </c>
      <c r="C93">
        <v>8</v>
      </c>
      <c r="D93">
        <v>5.9999999999999964</v>
      </c>
      <c r="E93">
        <v>87.9</v>
      </c>
      <c r="F93">
        <v>0.89999999999999858</v>
      </c>
      <c r="G93">
        <v>144.80000000000001</v>
      </c>
      <c r="H93">
        <v>0</v>
      </c>
      <c r="I93">
        <v>205.90000000000009</v>
      </c>
      <c r="J93">
        <v>0</v>
      </c>
      <c r="K93">
        <v>267.90000000000009</v>
      </c>
      <c r="L93">
        <v>0</v>
      </c>
      <c r="M93">
        <v>329.90000000000003</v>
      </c>
      <c r="N93">
        <v>0</v>
      </c>
      <c r="O93">
        <v>391.90000000000003</v>
      </c>
      <c r="P93">
        <v>0</v>
      </c>
      <c r="Q93">
        <v>453.90000000000003</v>
      </c>
      <c r="R93" s="254">
        <v>22.641935483870963</v>
      </c>
    </row>
    <row r="94" spans="1:18">
      <c r="A94" s="197">
        <f t="shared" si="80"/>
        <v>39692</v>
      </c>
      <c r="B94">
        <v>2008</v>
      </c>
      <c r="C94">
        <v>9</v>
      </c>
      <c r="D94">
        <v>38.4</v>
      </c>
      <c r="E94">
        <v>31.2</v>
      </c>
      <c r="F94">
        <v>12.200000000000001</v>
      </c>
      <c r="G94">
        <v>65</v>
      </c>
      <c r="H94">
        <v>0.59999999999999964</v>
      </c>
      <c r="I94">
        <v>113.40000000000003</v>
      </c>
      <c r="J94">
        <v>0</v>
      </c>
      <c r="K94">
        <v>172.8</v>
      </c>
      <c r="L94">
        <v>0</v>
      </c>
      <c r="M94">
        <v>232.79999999999995</v>
      </c>
      <c r="N94">
        <v>0</v>
      </c>
      <c r="O94">
        <v>292.7999999999999</v>
      </c>
      <c r="P94">
        <v>0</v>
      </c>
      <c r="Q94">
        <v>352.7999999999999</v>
      </c>
      <c r="R94" s="254">
        <v>19.759999999999998</v>
      </c>
    </row>
    <row r="95" spans="1:18">
      <c r="A95" s="197">
        <f t="shared" si="80"/>
        <v>39722</v>
      </c>
      <c r="B95">
        <v>2008</v>
      </c>
      <c r="C95">
        <v>10</v>
      </c>
      <c r="D95">
        <v>279.39999999999998</v>
      </c>
      <c r="E95">
        <v>0</v>
      </c>
      <c r="F95">
        <v>220.70000000000002</v>
      </c>
      <c r="G95">
        <v>3.2999999999999972</v>
      </c>
      <c r="H95">
        <v>164.40000000000003</v>
      </c>
      <c r="I95">
        <v>9</v>
      </c>
      <c r="J95">
        <v>115.8</v>
      </c>
      <c r="K95">
        <v>22.4</v>
      </c>
      <c r="L95">
        <v>72.5</v>
      </c>
      <c r="M95">
        <v>41.099999999999994</v>
      </c>
      <c r="N95">
        <v>37.499999999999993</v>
      </c>
      <c r="O95">
        <v>68.100000000000009</v>
      </c>
      <c r="P95">
        <v>18.7</v>
      </c>
      <c r="Q95">
        <v>111.29999999999997</v>
      </c>
      <c r="R95" s="254">
        <v>10.987096774193546</v>
      </c>
    </row>
    <row r="96" spans="1:18">
      <c r="A96" s="197">
        <f t="shared" si="80"/>
        <v>39753</v>
      </c>
      <c r="B96">
        <v>2008</v>
      </c>
      <c r="C96">
        <v>11</v>
      </c>
      <c r="D96">
        <v>473.4</v>
      </c>
      <c r="E96">
        <v>0</v>
      </c>
      <c r="F96">
        <v>413.4</v>
      </c>
      <c r="G96">
        <v>0</v>
      </c>
      <c r="H96">
        <v>353.40000000000003</v>
      </c>
      <c r="I96">
        <v>0</v>
      </c>
      <c r="J96">
        <v>295.00000000000006</v>
      </c>
      <c r="K96">
        <v>1.5999999999999996</v>
      </c>
      <c r="L96">
        <v>242.70000000000002</v>
      </c>
      <c r="M96">
        <v>9.3000000000000007</v>
      </c>
      <c r="N96">
        <v>193.4</v>
      </c>
      <c r="O96">
        <v>20</v>
      </c>
      <c r="P96">
        <v>147.9</v>
      </c>
      <c r="Q96">
        <v>34.5</v>
      </c>
      <c r="R96" s="254">
        <v>4.22</v>
      </c>
    </row>
    <row r="97" spans="1:18">
      <c r="A97" s="197">
        <f t="shared" si="80"/>
        <v>39783</v>
      </c>
      <c r="B97">
        <v>2008</v>
      </c>
      <c r="C97">
        <v>12</v>
      </c>
      <c r="D97">
        <v>694</v>
      </c>
      <c r="E97">
        <v>0</v>
      </c>
      <c r="F97">
        <v>632</v>
      </c>
      <c r="G97">
        <v>0</v>
      </c>
      <c r="H97">
        <v>570</v>
      </c>
      <c r="I97">
        <v>0</v>
      </c>
      <c r="J97">
        <v>507.99999999999994</v>
      </c>
      <c r="K97">
        <v>0</v>
      </c>
      <c r="L97">
        <v>445.99999999999989</v>
      </c>
      <c r="M97">
        <v>0</v>
      </c>
      <c r="N97">
        <v>384.7999999999999</v>
      </c>
      <c r="O97">
        <v>0.80000000000000071</v>
      </c>
      <c r="P97">
        <v>324.79999999999995</v>
      </c>
      <c r="Q97">
        <v>2.8000000000000007</v>
      </c>
      <c r="R97" s="254">
        <v>-2.3870967741935489</v>
      </c>
    </row>
    <row r="98" spans="1:18">
      <c r="A98" s="197">
        <f t="shared" si="80"/>
        <v>39814</v>
      </c>
      <c r="B98">
        <v>2009</v>
      </c>
      <c r="C98">
        <v>1</v>
      </c>
      <c r="D98">
        <v>861.0999999999998</v>
      </c>
      <c r="E98">
        <v>0</v>
      </c>
      <c r="F98">
        <v>799.0999999999998</v>
      </c>
      <c r="G98">
        <v>0</v>
      </c>
      <c r="H98">
        <v>737.0999999999998</v>
      </c>
      <c r="I98">
        <v>0</v>
      </c>
      <c r="J98">
        <v>675.0999999999998</v>
      </c>
      <c r="K98">
        <v>0</v>
      </c>
      <c r="L98">
        <v>613.09999999999991</v>
      </c>
      <c r="M98">
        <v>0</v>
      </c>
      <c r="N98">
        <v>551.1</v>
      </c>
      <c r="O98">
        <v>0</v>
      </c>
      <c r="P98">
        <v>489.09999999999997</v>
      </c>
      <c r="Q98">
        <v>0</v>
      </c>
      <c r="R98" s="254">
        <v>-7.7774193548387114</v>
      </c>
    </row>
    <row r="99" spans="1:18">
      <c r="A99" s="197">
        <f t="shared" si="80"/>
        <v>39845</v>
      </c>
      <c r="B99">
        <v>2009</v>
      </c>
      <c r="C99">
        <v>2</v>
      </c>
      <c r="D99">
        <v>608.89999999999986</v>
      </c>
      <c r="E99">
        <v>0</v>
      </c>
      <c r="F99">
        <v>552.9</v>
      </c>
      <c r="G99">
        <v>0</v>
      </c>
      <c r="H99">
        <v>496.90000000000003</v>
      </c>
      <c r="I99">
        <v>0</v>
      </c>
      <c r="J99">
        <v>440.9</v>
      </c>
      <c r="K99">
        <v>0</v>
      </c>
      <c r="L99">
        <v>384.90000000000003</v>
      </c>
      <c r="M99">
        <v>0</v>
      </c>
      <c r="N99">
        <v>328.9</v>
      </c>
      <c r="O99">
        <v>0</v>
      </c>
      <c r="P99">
        <v>274.60000000000002</v>
      </c>
      <c r="Q99">
        <v>1.6999999999999993</v>
      </c>
      <c r="R99" s="254">
        <v>-1.7464285714285712</v>
      </c>
    </row>
    <row r="100" spans="1:18">
      <c r="A100" s="197">
        <f t="shared" si="80"/>
        <v>39873</v>
      </c>
      <c r="B100">
        <v>2009</v>
      </c>
      <c r="C100">
        <v>3</v>
      </c>
      <c r="D100">
        <v>525.80000000000018</v>
      </c>
      <c r="E100">
        <v>0</v>
      </c>
      <c r="F100">
        <v>463.80000000000007</v>
      </c>
      <c r="G100">
        <v>0</v>
      </c>
      <c r="H100">
        <v>401.8</v>
      </c>
      <c r="I100">
        <v>0</v>
      </c>
      <c r="J100">
        <v>339.8</v>
      </c>
      <c r="K100">
        <v>0</v>
      </c>
      <c r="L100">
        <v>277.7999999999999</v>
      </c>
      <c r="M100">
        <v>0</v>
      </c>
      <c r="N100">
        <v>217.69999999999993</v>
      </c>
      <c r="O100">
        <v>1.8999999999999986</v>
      </c>
      <c r="P100">
        <v>162.39999999999998</v>
      </c>
      <c r="Q100">
        <v>8.6</v>
      </c>
      <c r="R100" s="254">
        <v>3.0387096774193547</v>
      </c>
    </row>
    <row r="101" spans="1:18">
      <c r="A101" s="197">
        <f t="shared" si="80"/>
        <v>39904</v>
      </c>
      <c r="B101">
        <v>2009</v>
      </c>
      <c r="C101">
        <v>4</v>
      </c>
      <c r="D101">
        <v>316.7</v>
      </c>
      <c r="E101">
        <v>4.3999999999999986</v>
      </c>
      <c r="F101">
        <v>263.39999999999992</v>
      </c>
      <c r="G101">
        <v>11.099999999999998</v>
      </c>
      <c r="H101">
        <v>212.2</v>
      </c>
      <c r="I101">
        <v>19.899999999999999</v>
      </c>
      <c r="J101">
        <v>162.99999999999997</v>
      </c>
      <c r="K101">
        <v>30.7</v>
      </c>
      <c r="L101">
        <v>116.5</v>
      </c>
      <c r="M101">
        <v>44.2</v>
      </c>
      <c r="N101">
        <v>74.499999999999986</v>
      </c>
      <c r="O101">
        <v>62.2</v>
      </c>
      <c r="P101">
        <v>39.900000000000006</v>
      </c>
      <c r="Q101">
        <v>87.6</v>
      </c>
      <c r="R101" s="254">
        <v>9.5900000000000016</v>
      </c>
    </row>
    <row r="102" spans="1:18">
      <c r="A102" s="197">
        <f t="shared" si="80"/>
        <v>39934</v>
      </c>
      <c r="B102">
        <v>2009</v>
      </c>
      <c r="C102">
        <v>5</v>
      </c>
      <c r="D102">
        <v>128.29999999999998</v>
      </c>
      <c r="E102">
        <v>5.3000000000000043</v>
      </c>
      <c r="F102">
        <v>75.8</v>
      </c>
      <c r="G102">
        <v>14.800000000000004</v>
      </c>
      <c r="H102">
        <v>35.9</v>
      </c>
      <c r="I102">
        <v>36.900000000000006</v>
      </c>
      <c r="J102">
        <v>11.099999999999998</v>
      </c>
      <c r="K102">
        <v>74.100000000000023</v>
      </c>
      <c r="L102">
        <v>1.7999999999999989</v>
      </c>
      <c r="M102">
        <v>126.80000000000001</v>
      </c>
      <c r="N102">
        <v>0</v>
      </c>
      <c r="O102">
        <v>186.99999999999997</v>
      </c>
      <c r="P102">
        <v>0</v>
      </c>
      <c r="Q102">
        <v>248.99999999999997</v>
      </c>
      <c r="R102" s="254">
        <v>16.032258064516132</v>
      </c>
    </row>
    <row r="103" spans="1:18">
      <c r="A103" s="197">
        <f t="shared" si="80"/>
        <v>39965</v>
      </c>
      <c r="B103">
        <v>2009</v>
      </c>
      <c r="C103">
        <v>6</v>
      </c>
      <c r="D103">
        <v>53.000000000000007</v>
      </c>
      <c r="E103">
        <v>37.799999999999997</v>
      </c>
      <c r="F103">
        <v>25.300000000000004</v>
      </c>
      <c r="G103">
        <v>70.099999999999994</v>
      </c>
      <c r="H103">
        <v>10.5</v>
      </c>
      <c r="I103">
        <v>115.30000000000001</v>
      </c>
      <c r="J103">
        <v>3.6999999999999993</v>
      </c>
      <c r="K103">
        <v>168.5</v>
      </c>
      <c r="L103">
        <v>0</v>
      </c>
      <c r="M103">
        <v>224.79999999999998</v>
      </c>
      <c r="N103">
        <v>0</v>
      </c>
      <c r="O103">
        <v>284.8</v>
      </c>
      <c r="P103">
        <v>0</v>
      </c>
      <c r="Q103">
        <v>344.80000000000007</v>
      </c>
      <c r="R103" s="254">
        <v>19.493333333333336</v>
      </c>
    </row>
    <row r="104" spans="1:18">
      <c r="A104" s="197">
        <f t="shared" si="80"/>
        <v>39995</v>
      </c>
      <c r="B104">
        <v>2009</v>
      </c>
      <c r="C104">
        <v>7</v>
      </c>
      <c r="D104">
        <v>13.8</v>
      </c>
      <c r="E104">
        <v>38.400000000000006</v>
      </c>
      <c r="F104">
        <v>1.4000000000000021</v>
      </c>
      <c r="G104">
        <v>87.999999999999986</v>
      </c>
      <c r="H104">
        <v>0</v>
      </c>
      <c r="I104">
        <v>148.60000000000002</v>
      </c>
      <c r="J104">
        <v>0</v>
      </c>
      <c r="K104">
        <v>210.60000000000002</v>
      </c>
      <c r="L104">
        <v>0</v>
      </c>
      <c r="M104">
        <v>272.60000000000002</v>
      </c>
      <c r="N104">
        <v>0</v>
      </c>
      <c r="O104">
        <v>334.59999999999997</v>
      </c>
      <c r="P104">
        <v>0</v>
      </c>
      <c r="Q104">
        <v>396.59999999999997</v>
      </c>
      <c r="R104" s="254">
        <v>20.79354838709677</v>
      </c>
    </row>
    <row r="105" spans="1:18">
      <c r="A105" s="197">
        <f t="shared" si="80"/>
        <v>40026</v>
      </c>
      <c r="B105">
        <v>2009</v>
      </c>
      <c r="C105">
        <v>8</v>
      </c>
      <c r="D105">
        <v>21</v>
      </c>
      <c r="E105">
        <v>76.599999999999994</v>
      </c>
      <c r="F105">
        <v>6.6999999999999993</v>
      </c>
      <c r="G105">
        <v>124.30000000000003</v>
      </c>
      <c r="H105">
        <v>1.1999999999999993</v>
      </c>
      <c r="I105">
        <v>180.79999999999998</v>
      </c>
      <c r="J105">
        <v>0</v>
      </c>
      <c r="K105">
        <v>241.6</v>
      </c>
      <c r="L105">
        <v>0</v>
      </c>
      <c r="M105">
        <v>303.59999999999991</v>
      </c>
      <c r="N105">
        <v>0</v>
      </c>
      <c r="O105">
        <v>365.59999999999997</v>
      </c>
      <c r="P105">
        <v>0</v>
      </c>
      <c r="Q105">
        <v>427.59999999999991</v>
      </c>
      <c r="R105" s="254">
        <v>21.793548387096774</v>
      </c>
    </row>
    <row r="106" spans="1:18">
      <c r="A106" s="197">
        <f t="shared" si="80"/>
        <v>40057</v>
      </c>
      <c r="B106">
        <v>2009</v>
      </c>
      <c r="C106">
        <v>9</v>
      </c>
      <c r="D106">
        <v>59.800000000000004</v>
      </c>
      <c r="E106">
        <v>19.299999999999997</v>
      </c>
      <c r="F106">
        <v>28</v>
      </c>
      <c r="G106">
        <v>47.499999999999986</v>
      </c>
      <c r="H106">
        <v>12.899999999999999</v>
      </c>
      <c r="I106">
        <v>92.399999999999991</v>
      </c>
      <c r="J106">
        <v>5.6999999999999993</v>
      </c>
      <c r="K106">
        <v>145.20000000000002</v>
      </c>
      <c r="L106">
        <v>2.0999999999999996</v>
      </c>
      <c r="M106">
        <v>201.60000000000002</v>
      </c>
      <c r="N106">
        <v>9.9999999999999645E-2</v>
      </c>
      <c r="O106">
        <v>259.59999999999997</v>
      </c>
      <c r="P106">
        <v>0</v>
      </c>
      <c r="Q106">
        <v>319.49999999999994</v>
      </c>
      <c r="R106" s="254">
        <v>18.649999999999995</v>
      </c>
    </row>
    <row r="107" spans="1:18">
      <c r="A107" s="197">
        <f t="shared" si="80"/>
        <v>40087</v>
      </c>
      <c r="B107">
        <v>2009</v>
      </c>
      <c r="C107">
        <v>10</v>
      </c>
      <c r="D107">
        <v>309.59999999999991</v>
      </c>
      <c r="E107">
        <v>0</v>
      </c>
      <c r="F107">
        <v>247.60000000000002</v>
      </c>
      <c r="G107">
        <v>0</v>
      </c>
      <c r="H107">
        <v>186.3</v>
      </c>
      <c r="I107">
        <v>0.69999999999999929</v>
      </c>
      <c r="J107">
        <v>128.30000000000001</v>
      </c>
      <c r="K107">
        <v>4.6999999999999993</v>
      </c>
      <c r="L107">
        <v>74.700000000000017</v>
      </c>
      <c r="M107">
        <v>13.1</v>
      </c>
      <c r="N107">
        <v>39.400000000000006</v>
      </c>
      <c r="O107">
        <v>39.799999999999997</v>
      </c>
      <c r="P107">
        <v>19.899999999999999</v>
      </c>
      <c r="Q107">
        <v>82.3</v>
      </c>
      <c r="R107" s="254">
        <v>10.012903225806452</v>
      </c>
    </row>
    <row r="108" spans="1:18">
      <c r="A108" s="197">
        <f t="shared" si="80"/>
        <v>40118</v>
      </c>
      <c r="B108">
        <v>2009</v>
      </c>
      <c r="C108">
        <v>11</v>
      </c>
      <c r="D108">
        <v>380.49999999999989</v>
      </c>
      <c r="E108">
        <v>0</v>
      </c>
      <c r="F108">
        <v>320.49999999999994</v>
      </c>
      <c r="G108">
        <v>0</v>
      </c>
      <c r="H108">
        <v>260.5</v>
      </c>
      <c r="I108">
        <v>0</v>
      </c>
      <c r="J108">
        <v>200.9</v>
      </c>
      <c r="K108">
        <v>0.40000000000000036</v>
      </c>
      <c r="L108">
        <v>144.40000000000003</v>
      </c>
      <c r="M108">
        <v>3.9000000000000004</v>
      </c>
      <c r="N108">
        <v>90.90000000000002</v>
      </c>
      <c r="O108">
        <v>10.4</v>
      </c>
      <c r="P108">
        <v>46.599999999999987</v>
      </c>
      <c r="Q108">
        <v>26.1</v>
      </c>
      <c r="R108" s="254">
        <v>7.3166666666666655</v>
      </c>
    </row>
    <row r="109" spans="1:18">
      <c r="A109" s="197">
        <f t="shared" si="80"/>
        <v>40148</v>
      </c>
      <c r="B109">
        <v>2009</v>
      </c>
      <c r="C109">
        <v>12</v>
      </c>
      <c r="D109">
        <v>665.4</v>
      </c>
      <c r="E109">
        <v>0</v>
      </c>
      <c r="F109">
        <v>603.4</v>
      </c>
      <c r="G109">
        <v>0</v>
      </c>
      <c r="H109">
        <v>541.4</v>
      </c>
      <c r="I109">
        <v>0</v>
      </c>
      <c r="J109">
        <v>479.4</v>
      </c>
      <c r="K109">
        <v>0</v>
      </c>
      <c r="L109">
        <v>417.4</v>
      </c>
      <c r="M109">
        <v>0</v>
      </c>
      <c r="N109">
        <v>355.4</v>
      </c>
      <c r="O109">
        <v>0</v>
      </c>
      <c r="P109">
        <v>293.39999999999998</v>
      </c>
      <c r="Q109">
        <v>0</v>
      </c>
      <c r="R109" s="254">
        <v>-1.4645161290322577</v>
      </c>
    </row>
    <row r="110" spans="1:18">
      <c r="A110" s="197">
        <f t="shared" si="80"/>
        <v>40179</v>
      </c>
      <c r="B110">
        <v>2010</v>
      </c>
      <c r="C110">
        <v>1</v>
      </c>
      <c r="D110">
        <v>741.69999999999993</v>
      </c>
      <c r="E110">
        <v>0</v>
      </c>
      <c r="F110">
        <v>679.7</v>
      </c>
      <c r="G110">
        <v>0</v>
      </c>
      <c r="H110">
        <v>617.70000000000005</v>
      </c>
      <c r="I110">
        <v>0</v>
      </c>
      <c r="J110">
        <v>555.70000000000005</v>
      </c>
      <c r="K110">
        <v>0</v>
      </c>
      <c r="L110">
        <v>493.7</v>
      </c>
      <c r="M110">
        <v>0</v>
      </c>
      <c r="N110">
        <v>431.70000000000005</v>
      </c>
      <c r="O110">
        <v>0</v>
      </c>
      <c r="P110">
        <v>369.70000000000005</v>
      </c>
      <c r="Q110">
        <v>0</v>
      </c>
      <c r="R110" s="254">
        <v>-3.9258064516129036</v>
      </c>
    </row>
    <row r="111" spans="1:18">
      <c r="A111" s="197">
        <f t="shared" si="80"/>
        <v>40210</v>
      </c>
      <c r="B111">
        <v>2010</v>
      </c>
      <c r="C111">
        <v>2</v>
      </c>
      <c r="D111">
        <v>626.9</v>
      </c>
      <c r="E111">
        <v>0</v>
      </c>
      <c r="F111">
        <v>570.89999999999986</v>
      </c>
      <c r="G111">
        <v>0</v>
      </c>
      <c r="H111">
        <v>514.9</v>
      </c>
      <c r="I111">
        <v>0</v>
      </c>
      <c r="J111">
        <v>458.9</v>
      </c>
      <c r="K111">
        <v>0</v>
      </c>
      <c r="L111">
        <v>402.89999999999992</v>
      </c>
      <c r="M111">
        <v>0</v>
      </c>
      <c r="N111">
        <v>346.9</v>
      </c>
      <c r="O111">
        <v>0</v>
      </c>
      <c r="P111">
        <v>290.90000000000003</v>
      </c>
      <c r="Q111">
        <v>0</v>
      </c>
      <c r="R111" s="254">
        <v>-2.3892857142857147</v>
      </c>
    </row>
    <row r="112" spans="1:18">
      <c r="A112" s="197">
        <f t="shared" si="80"/>
        <v>40238</v>
      </c>
      <c r="B112">
        <v>2010</v>
      </c>
      <c r="C112">
        <v>3</v>
      </c>
      <c r="D112">
        <v>459.10000000000008</v>
      </c>
      <c r="E112">
        <v>0</v>
      </c>
      <c r="F112">
        <v>397.1</v>
      </c>
      <c r="G112">
        <v>0</v>
      </c>
      <c r="H112">
        <v>335.1</v>
      </c>
      <c r="I112">
        <v>0</v>
      </c>
      <c r="J112">
        <v>273.09999999999997</v>
      </c>
      <c r="K112">
        <v>0</v>
      </c>
      <c r="L112">
        <v>211.30000000000004</v>
      </c>
      <c r="M112">
        <v>0.19999999999999929</v>
      </c>
      <c r="N112">
        <v>154.19999999999999</v>
      </c>
      <c r="O112">
        <v>5.0999999999999996</v>
      </c>
      <c r="P112">
        <v>103.89999999999996</v>
      </c>
      <c r="Q112">
        <v>16.8</v>
      </c>
      <c r="R112" s="254">
        <v>5.1903225806451605</v>
      </c>
    </row>
    <row r="113" spans="1:18">
      <c r="A113" s="197">
        <f t="shared" si="80"/>
        <v>40269</v>
      </c>
      <c r="B113">
        <v>2010</v>
      </c>
      <c r="C113">
        <v>4</v>
      </c>
      <c r="D113">
        <v>242</v>
      </c>
      <c r="E113">
        <v>0</v>
      </c>
      <c r="F113">
        <v>183.4</v>
      </c>
      <c r="G113">
        <v>1.4000000000000021</v>
      </c>
      <c r="H113">
        <v>135.59999999999997</v>
      </c>
      <c r="I113">
        <v>13.599999999999998</v>
      </c>
      <c r="J113">
        <v>91.6</v>
      </c>
      <c r="K113">
        <v>29.599999999999998</v>
      </c>
      <c r="L113">
        <v>51.2</v>
      </c>
      <c r="M113">
        <v>49.199999999999989</v>
      </c>
      <c r="N113">
        <v>22.500000000000007</v>
      </c>
      <c r="O113">
        <v>80.5</v>
      </c>
      <c r="P113">
        <v>7.1999999999999993</v>
      </c>
      <c r="Q113">
        <v>125.20000000000002</v>
      </c>
      <c r="R113" s="254">
        <v>11.933333333333332</v>
      </c>
    </row>
    <row r="114" spans="1:18">
      <c r="A114" s="197">
        <f t="shared" si="80"/>
        <v>40299</v>
      </c>
      <c r="B114">
        <v>2010</v>
      </c>
      <c r="C114">
        <v>5</v>
      </c>
      <c r="D114">
        <v>125.70000000000002</v>
      </c>
      <c r="E114">
        <v>21.700000000000003</v>
      </c>
      <c r="F114">
        <v>91.9</v>
      </c>
      <c r="G114">
        <v>49.9</v>
      </c>
      <c r="H114">
        <v>63.699999999999996</v>
      </c>
      <c r="I114">
        <v>83.699999999999989</v>
      </c>
      <c r="J114">
        <v>39.299999999999997</v>
      </c>
      <c r="K114">
        <v>121.30000000000001</v>
      </c>
      <c r="L114">
        <v>21.9</v>
      </c>
      <c r="M114">
        <v>165.9</v>
      </c>
      <c r="N114">
        <v>10.900000000000002</v>
      </c>
      <c r="O114">
        <v>216.9</v>
      </c>
      <c r="P114">
        <v>1.1000000000000005</v>
      </c>
      <c r="Q114">
        <v>269.10000000000002</v>
      </c>
      <c r="R114" s="254">
        <v>16.64516129032258</v>
      </c>
    </row>
    <row r="115" spans="1:18">
      <c r="A115" s="197">
        <f t="shared" si="80"/>
        <v>40330</v>
      </c>
      <c r="B115">
        <v>2010</v>
      </c>
      <c r="C115">
        <v>6</v>
      </c>
      <c r="D115">
        <v>14.700000000000003</v>
      </c>
      <c r="E115">
        <v>73.199999999999989</v>
      </c>
      <c r="F115">
        <v>5.7000000000000028</v>
      </c>
      <c r="G115">
        <v>124.20000000000002</v>
      </c>
      <c r="H115">
        <v>0.5</v>
      </c>
      <c r="I115">
        <v>178.99999999999997</v>
      </c>
      <c r="J115">
        <v>0</v>
      </c>
      <c r="K115">
        <v>238.49999999999997</v>
      </c>
      <c r="L115">
        <v>0</v>
      </c>
      <c r="M115">
        <v>298.5</v>
      </c>
      <c r="N115">
        <v>0</v>
      </c>
      <c r="O115">
        <v>358.5</v>
      </c>
      <c r="P115">
        <v>0</v>
      </c>
      <c r="Q115">
        <v>418.5</v>
      </c>
      <c r="R115" s="254">
        <v>21.950000000000003</v>
      </c>
    </row>
    <row r="116" spans="1:18">
      <c r="A116" s="197">
        <f t="shared" si="80"/>
        <v>40360</v>
      </c>
      <c r="B116">
        <v>2010</v>
      </c>
      <c r="C116">
        <v>7</v>
      </c>
      <c r="D116">
        <v>2.7000000000000028</v>
      </c>
      <c r="E116">
        <v>156.80000000000001</v>
      </c>
      <c r="F116">
        <v>0.10000000000000142</v>
      </c>
      <c r="G116">
        <v>216.20000000000005</v>
      </c>
      <c r="H116">
        <v>0</v>
      </c>
      <c r="I116">
        <v>278.10000000000002</v>
      </c>
      <c r="J116">
        <v>0</v>
      </c>
      <c r="K116">
        <v>340.09999999999997</v>
      </c>
      <c r="L116">
        <v>0</v>
      </c>
      <c r="M116">
        <v>402.1</v>
      </c>
      <c r="N116">
        <v>0</v>
      </c>
      <c r="O116">
        <v>464.1</v>
      </c>
      <c r="P116">
        <v>0</v>
      </c>
      <c r="Q116">
        <v>526.1</v>
      </c>
      <c r="R116" s="254">
        <v>24.970967741935478</v>
      </c>
    </row>
    <row r="117" spans="1:18">
      <c r="A117" s="197">
        <f t="shared" si="80"/>
        <v>40391</v>
      </c>
      <c r="B117">
        <v>2010</v>
      </c>
      <c r="C117">
        <v>8</v>
      </c>
      <c r="D117">
        <v>3</v>
      </c>
      <c r="E117">
        <v>130.30000000000001</v>
      </c>
      <c r="F117">
        <v>0</v>
      </c>
      <c r="G117">
        <v>189.29999999999995</v>
      </c>
      <c r="H117">
        <v>0</v>
      </c>
      <c r="I117">
        <v>251.29999999999995</v>
      </c>
      <c r="J117">
        <v>0</v>
      </c>
      <c r="K117">
        <v>313.29999999999995</v>
      </c>
      <c r="L117">
        <v>0</v>
      </c>
      <c r="M117">
        <v>375.3</v>
      </c>
      <c r="N117">
        <v>0</v>
      </c>
      <c r="O117">
        <v>437.3</v>
      </c>
      <c r="P117">
        <v>0</v>
      </c>
      <c r="Q117">
        <v>499.3</v>
      </c>
      <c r="R117" s="254">
        <v>24.106451612903228</v>
      </c>
    </row>
    <row r="118" spans="1:18">
      <c r="A118" s="197">
        <f t="shared" si="80"/>
        <v>40422</v>
      </c>
      <c r="B118">
        <v>2010</v>
      </c>
      <c r="C118">
        <v>9</v>
      </c>
      <c r="D118">
        <v>81.7</v>
      </c>
      <c r="E118">
        <v>28.799999999999997</v>
      </c>
      <c r="F118">
        <v>42.900000000000006</v>
      </c>
      <c r="G118">
        <v>50</v>
      </c>
      <c r="H118">
        <v>14</v>
      </c>
      <c r="I118">
        <v>81.100000000000009</v>
      </c>
      <c r="J118">
        <v>3.5</v>
      </c>
      <c r="K118">
        <v>130.60000000000002</v>
      </c>
      <c r="L118">
        <v>9.9999999999999645E-2</v>
      </c>
      <c r="M118">
        <v>187.20000000000002</v>
      </c>
      <c r="N118">
        <v>0</v>
      </c>
      <c r="O118">
        <v>247.09999999999997</v>
      </c>
      <c r="P118">
        <v>0</v>
      </c>
      <c r="Q118">
        <v>307.09999999999997</v>
      </c>
      <c r="R118" s="254">
        <v>18.236666666666661</v>
      </c>
    </row>
    <row r="119" spans="1:18">
      <c r="A119" s="197">
        <f t="shared" si="80"/>
        <v>40452</v>
      </c>
      <c r="B119">
        <v>2010</v>
      </c>
      <c r="C119">
        <v>10</v>
      </c>
      <c r="D119">
        <v>226.39999999999995</v>
      </c>
      <c r="E119">
        <v>0</v>
      </c>
      <c r="F119">
        <v>165.7</v>
      </c>
      <c r="G119">
        <v>1.3000000000000007</v>
      </c>
      <c r="H119">
        <v>112.2</v>
      </c>
      <c r="I119">
        <v>9.8000000000000007</v>
      </c>
      <c r="J119">
        <v>67.399999999999991</v>
      </c>
      <c r="K119">
        <v>27</v>
      </c>
      <c r="L119">
        <v>32</v>
      </c>
      <c r="M119">
        <v>53.599999999999994</v>
      </c>
      <c r="N119">
        <v>11.099999999999996</v>
      </c>
      <c r="O119">
        <v>94.7</v>
      </c>
      <c r="P119">
        <v>2.5999999999999996</v>
      </c>
      <c r="Q119">
        <v>148.20000000000002</v>
      </c>
      <c r="R119" s="254">
        <v>12.696774193548386</v>
      </c>
    </row>
    <row r="120" spans="1:18">
      <c r="A120" s="197">
        <f t="shared" si="80"/>
        <v>40483</v>
      </c>
      <c r="B120">
        <v>2010</v>
      </c>
      <c r="C120">
        <v>11</v>
      </c>
      <c r="D120">
        <v>437.69999999999987</v>
      </c>
      <c r="E120">
        <v>0</v>
      </c>
      <c r="F120">
        <v>377.69999999999987</v>
      </c>
      <c r="G120">
        <v>0</v>
      </c>
      <c r="H120">
        <v>317.7</v>
      </c>
      <c r="I120">
        <v>0</v>
      </c>
      <c r="J120">
        <v>258.3</v>
      </c>
      <c r="K120">
        <v>0.59999999999999964</v>
      </c>
      <c r="L120">
        <v>200.30000000000004</v>
      </c>
      <c r="M120">
        <v>2.5999999999999996</v>
      </c>
      <c r="N120">
        <v>142.30000000000004</v>
      </c>
      <c r="O120">
        <v>4.5999999999999996</v>
      </c>
      <c r="P120">
        <v>87.800000000000011</v>
      </c>
      <c r="Q120">
        <v>10.1</v>
      </c>
      <c r="R120" s="254">
        <v>5.4099999999999984</v>
      </c>
    </row>
    <row r="121" spans="1:18">
      <c r="A121" s="197">
        <f t="shared" si="80"/>
        <v>40513</v>
      </c>
      <c r="B121">
        <v>2010</v>
      </c>
      <c r="C121">
        <v>12</v>
      </c>
      <c r="D121">
        <v>726.3</v>
      </c>
      <c r="E121">
        <v>0</v>
      </c>
      <c r="F121">
        <v>664.29999999999984</v>
      </c>
      <c r="G121">
        <v>0</v>
      </c>
      <c r="H121">
        <v>602.29999999999995</v>
      </c>
      <c r="I121">
        <v>0</v>
      </c>
      <c r="J121">
        <v>540.29999999999995</v>
      </c>
      <c r="K121">
        <v>0</v>
      </c>
      <c r="L121">
        <v>478.29999999999995</v>
      </c>
      <c r="M121">
        <v>0</v>
      </c>
      <c r="N121">
        <v>416.3</v>
      </c>
      <c r="O121">
        <v>0</v>
      </c>
      <c r="P121">
        <v>354.3</v>
      </c>
      <c r="Q121">
        <v>0</v>
      </c>
      <c r="R121" s="254">
        <v>-3.4290322580645163</v>
      </c>
    </row>
    <row r="122" spans="1:18">
      <c r="A122" s="197">
        <f t="shared" si="80"/>
        <v>40544</v>
      </c>
      <c r="B122">
        <v>2011</v>
      </c>
      <c r="C122">
        <v>1</v>
      </c>
      <c r="D122">
        <v>792.89999999999986</v>
      </c>
      <c r="E122">
        <v>0</v>
      </c>
      <c r="F122">
        <v>730.89999999999986</v>
      </c>
      <c r="G122">
        <v>0</v>
      </c>
      <c r="H122">
        <v>668.9</v>
      </c>
      <c r="I122">
        <v>0</v>
      </c>
      <c r="J122">
        <v>606.9</v>
      </c>
      <c r="K122">
        <v>0</v>
      </c>
      <c r="L122">
        <v>544.9</v>
      </c>
      <c r="M122">
        <v>0</v>
      </c>
      <c r="N122">
        <v>482.90000000000003</v>
      </c>
      <c r="O122">
        <v>0</v>
      </c>
      <c r="P122">
        <v>420.89999999999992</v>
      </c>
      <c r="Q122">
        <v>0</v>
      </c>
      <c r="R122" s="254">
        <v>-5.5774193548387094</v>
      </c>
    </row>
    <row r="123" spans="1:18">
      <c r="A123" s="197">
        <f t="shared" si="80"/>
        <v>40575</v>
      </c>
      <c r="B123">
        <v>2011</v>
      </c>
      <c r="C123">
        <v>2</v>
      </c>
      <c r="D123">
        <v>670.6</v>
      </c>
      <c r="E123">
        <v>0</v>
      </c>
      <c r="F123">
        <v>614.6</v>
      </c>
      <c r="G123">
        <v>0</v>
      </c>
      <c r="H123">
        <v>558.59999999999991</v>
      </c>
      <c r="I123">
        <v>0</v>
      </c>
      <c r="J123">
        <v>502.60000000000008</v>
      </c>
      <c r="K123">
        <v>0</v>
      </c>
      <c r="L123">
        <v>446.6</v>
      </c>
      <c r="M123">
        <v>0</v>
      </c>
      <c r="N123">
        <v>390.6</v>
      </c>
      <c r="O123">
        <v>0</v>
      </c>
      <c r="P123">
        <v>334.60000000000008</v>
      </c>
      <c r="Q123">
        <v>0</v>
      </c>
      <c r="R123" s="254">
        <v>-3.9499999999999997</v>
      </c>
    </row>
    <row r="124" spans="1:18">
      <c r="A124" s="197">
        <f t="shared" si="80"/>
        <v>40603</v>
      </c>
      <c r="B124">
        <v>2011</v>
      </c>
      <c r="C124">
        <v>3</v>
      </c>
      <c r="D124">
        <v>582.1</v>
      </c>
      <c r="E124">
        <v>0</v>
      </c>
      <c r="F124">
        <v>520.09999999999991</v>
      </c>
      <c r="G124">
        <v>0</v>
      </c>
      <c r="H124">
        <v>458.09999999999991</v>
      </c>
      <c r="I124">
        <v>0</v>
      </c>
      <c r="J124">
        <v>396.09999999999997</v>
      </c>
      <c r="K124">
        <v>0</v>
      </c>
      <c r="L124">
        <v>334.09999999999997</v>
      </c>
      <c r="M124">
        <v>0</v>
      </c>
      <c r="N124">
        <v>274.30000000000007</v>
      </c>
      <c r="O124">
        <v>2.2000000000000011</v>
      </c>
      <c r="P124">
        <v>216.70000000000002</v>
      </c>
      <c r="Q124">
        <v>6.6000000000000014</v>
      </c>
      <c r="R124" s="254">
        <v>1.2225806451612906</v>
      </c>
    </row>
    <row r="125" spans="1:18">
      <c r="A125" s="197">
        <f t="shared" si="80"/>
        <v>40634</v>
      </c>
      <c r="B125">
        <v>2011</v>
      </c>
      <c r="C125">
        <v>4</v>
      </c>
      <c r="D125">
        <v>353.79999999999995</v>
      </c>
      <c r="E125">
        <v>0</v>
      </c>
      <c r="F125">
        <v>293.8</v>
      </c>
      <c r="G125">
        <v>0</v>
      </c>
      <c r="H125">
        <v>235.50000000000003</v>
      </c>
      <c r="I125">
        <v>1.6999999999999993</v>
      </c>
      <c r="J125">
        <v>182.40000000000003</v>
      </c>
      <c r="K125">
        <v>8.6</v>
      </c>
      <c r="L125">
        <v>132.4</v>
      </c>
      <c r="M125">
        <v>18.600000000000001</v>
      </c>
      <c r="N125">
        <v>86</v>
      </c>
      <c r="O125">
        <v>32.199999999999996</v>
      </c>
      <c r="P125">
        <v>48.599999999999994</v>
      </c>
      <c r="Q125">
        <v>54.8</v>
      </c>
      <c r="R125" s="254">
        <v>8.2066666666666652</v>
      </c>
    </row>
    <row r="126" spans="1:18">
      <c r="A126" s="197">
        <f t="shared" si="80"/>
        <v>40664</v>
      </c>
      <c r="B126">
        <v>2011</v>
      </c>
      <c r="C126">
        <v>5</v>
      </c>
      <c r="D126">
        <v>159.70000000000002</v>
      </c>
      <c r="E126">
        <v>18.8</v>
      </c>
      <c r="F126">
        <v>112.29999999999998</v>
      </c>
      <c r="G126">
        <v>33.4</v>
      </c>
      <c r="H126">
        <v>70.399999999999991</v>
      </c>
      <c r="I126">
        <v>53.499999999999993</v>
      </c>
      <c r="J126">
        <v>37.199999999999996</v>
      </c>
      <c r="K126">
        <v>82.300000000000011</v>
      </c>
      <c r="L126">
        <v>19.200000000000003</v>
      </c>
      <c r="M126">
        <v>126.30000000000001</v>
      </c>
      <c r="N126">
        <v>7.9999999999999982</v>
      </c>
      <c r="O126">
        <v>177.10000000000002</v>
      </c>
      <c r="P126">
        <v>2.0999999999999996</v>
      </c>
      <c r="Q126">
        <v>233.19999999999996</v>
      </c>
      <c r="R126" s="254">
        <v>15.45483870967742</v>
      </c>
    </row>
    <row r="127" spans="1:18">
      <c r="A127" s="197">
        <f t="shared" si="80"/>
        <v>40695</v>
      </c>
      <c r="B127">
        <v>2011</v>
      </c>
      <c r="C127">
        <v>6</v>
      </c>
      <c r="D127">
        <v>24.399999999999995</v>
      </c>
      <c r="E127">
        <v>59.100000000000009</v>
      </c>
      <c r="F127">
        <v>10.099999999999994</v>
      </c>
      <c r="G127">
        <v>104.80000000000001</v>
      </c>
      <c r="H127">
        <v>1</v>
      </c>
      <c r="I127">
        <v>155.69999999999999</v>
      </c>
      <c r="J127">
        <v>0</v>
      </c>
      <c r="K127">
        <v>214.70000000000002</v>
      </c>
      <c r="L127">
        <v>0</v>
      </c>
      <c r="M127">
        <v>274.7</v>
      </c>
      <c r="N127">
        <v>0</v>
      </c>
      <c r="O127">
        <v>334.7</v>
      </c>
      <c r="P127">
        <v>0</v>
      </c>
      <c r="Q127">
        <v>394.7</v>
      </c>
      <c r="R127" s="254">
        <v>21.15666666666667</v>
      </c>
    </row>
    <row r="128" spans="1:18">
      <c r="A128" s="197">
        <f t="shared" si="80"/>
        <v>40725</v>
      </c>
      <c r="B128">
        <v>2011</v>
      </c>
      <c r="C128">
        <v>7</v>
      </c>
      <c r="D128">
        <v>0</v>
      </c>
      <c r="E128">
        <v>180.29999999999995</v>
      </c>
      <c r="F128">
        <v>0</v>
      </c>
      <c r="G128">
        <v>242.29999999999998</v>
      </c>
      <c r="H128">
        <v>0</v>
      </c>
      <c r="I128">
        <v>304.29999999999995</v>
      </c>
      <c r="J128">
        <v>0</v>
      </c>
      <c r="K128">
        <v>366.29999999999995</v>
      </c>
      <c r="L128">
        <v>0</v>
      </c>
      <c r="M128">
        <v>428.29999999999995</v>
      </c>
      <c r="N128">
        <v>0</v>
      </c>
      <c r="O128">
        <v>490.3</v>
      </c>
      <c r="P128">
        <v>0</v>
      </c>
      <c r="Q128">
        <v>552.30000000000007</v>
      </c>
      <c r="R128" s="254">
        <v>25.816129032258072</v>
      </c>
    </row>
    <row r="129" spans="1:18">
      <c r="A129" s="197">
        <f t="shared" si="80"/>
        <v>40756</v>
      </c>
      <c r="B129">
        <v>2011</v>
      </c>
      <c r="C129">
        <v>8</v>
      </c>
      <c r="D129">
        <v>0.90000000000000213</v>
      </c>
      <c r="E129">
        <v>83.300000000000011</v>
      </c>
      <c r="F129">
        <v>0</v>
      </c>
      <c r="G129">
        <v>144.4</v>
      </c>
      <c r="H129">
        <v>0</v>
      </c>
      <c r="I129">
        <v>206.4</v>
      </c>
      <c r="J129">
        <v>0</v>
      </c>
      <c r="K129">
        <v>268.40000000000009</v>
      </c>
      <c r="L129">
        <v>0</v>
      </c>
      <c r="M129">
        <v>330.40000000000003</v>
      </c>
      <c r="N129">
        <v>0</v>
      </c>
      <c r="O129">
        <v>392.40000000000003</v>
      </c>
      <c r="P129">
        <v>0</v>
      </c>
      <c r="Q129">
        <v>454.4</v>
      </c>
      <c r="R129" s="254">
        <v>22.658064516129031</v>
      </c>
    </row>
    <row r="130" spans="1:18">
      <c r="A130" s="197">
        <f t="shared" si="80"/>
        <v>40787</v>
      </c>
      <c r="B130">
        <v>2011</v>
      </c>
      <c r="C130">
        <v>9</v>
      </c>
      <c r="D130">
        <v>100.2</v>
      </c>
      <c r="E130">
        <v>28.6</v>
      </c>
      <c r="F130">
        <v>59.3</v>
      </c>
      <c r="G130">
        <v>47.7</v>
      </c>
      <c r="H130">
        <v>28.200000000000003</v>
      </c>
      <c r="I130">
        <v>76.599999999999994</v>
      </c>
      <c r="J130">
        <v>9.6</v>
      </c>
      <c r="K130">
        <v>117.99999999999996</v>
      </c>
      <c r="L130">
        <v>3.1999999999999993</v>
      </c>
      <c r="M130">
        <v>171.59999999999997</v>
      </c>
      <c r="N130">
        <v>0.40000000000000036</v>
      </c>
      <c r="O130">
        <v>228.79999999999998</v>
      </c>
      <c r="P130">
        <v>0</v>
      </c>
      <c r="Q130">
        <v>288.40000000000003</v>
      </c>
      <c r="R130" s="254">
        <v>17.613333333333337</v>
      </c>
    </row>
    <row r="131" spans="1:18">
      <c r="A131" s="197">
        <f t="shared" ref="A131:A194" si="81">DATE(B131,C131,1)</f>
        <v>40817</v>
      </c>
      <c r="B131">
        <v>2011</v>
      </c>
      <c r="C131">
        <v>10</v>
      </c>
      <c r="D131">
        <v>246.9</v>
      </c>
      <c r="E131">
        <v>0</v>
      </c>
      <c r="F131">
        <v>189.50000000000003</v>
      </c>
      <c r="G131">
        <v>4.6000000000000014</v>
      </c>
      <c r="H131">
        <v>138.80000000000001</v>
      </c>
      <c r="I131">
        <v>15.899999999999999</v>
      </c>
      <c r="J131">
        <v>96.2</v>
      </c>
      <c r="K131">
        <v>35.299999999999997</v>
      </c>
      <c r="L131">
        <v>55.399999999999991</v>
      </c>
      <c r="M131">
        <v>56.500000000000014</v>
      </c>
      <c r="N131">
        <v>27.2</v>
      </c>
      <c r="O131">
        <v>90.300000000000011</v>
      </c>
      <c r="P131">
        <v>10.8</v>
      </c>
      <c r="Q131">
        <v>135.9</v>
      </c>
      <c r="R131" s="254">
        <v>12.03548387096774</v>
      </c>
    </row>
    <row r="132" spans="1:18">
      <c r="A132" s="197">
        <f t="shared" si="81"/>
        <v>40848</v>
      </c>
      <c r="B132">
        <v>2011</v>
      </c>
      <c r="C132">
        <v>11</v>
      </c>
      <c r="D132">
        <v>374.09999999999985</v>
      </c>
      <c r="E132">
        <v>0</v>
      </c>
      <c r="F132">
        <v>314.09999999999991</v>
      </c>
      <c r="G132">
        <v>0</v>
      </c>
      <c r="H132">
        <v>254.1</v>
      </c>
      <c r="I132">
        <v>0</v>
      </c>
      <c r="J132">
        <v>195.6</v>
      </c>
      <c r="K132">
        <v>1.5</v>
      </c>
      <c r="L132">
        <v>141.80000000000001</v>
      </c>
      <c r="M132">
        <v>7.6999999999999993</v>
      </c>
      <c r="N132">
        <v>94.500000000000043</v>
      </c>
      <c r="O132">
        <v>20.399999999999999</v>
      </c>
      <c r="P132">
        <v>55.699999999999996</v>
      </c>
      <c r="Q132">
        <v>41.599999999999994</v>
      </c>
      <c r="R132" s="254">
        <v>7.5300000000000011</v>
      </c>
    </row>
    <row r="133" spans="1:18">
      <c r="A133" s="197">
        <f t="shared" si="81"/>
        <v>40878</v>
      </c>
      <c r="B133">
        <v>2011</v>
      </c>
      <c r="C133">
        <v>12</v>
      </c>
      <c r="D133">
        <v>557.60000000000014</v>
      </c>
      <c r="E133">
        <v>0</v>
      </c>
      <c r="F133">
        <v>495.60000000000014</v>
      </c>
      <c r="G133">
        <v>0</v>
      </c>
      <c r="H133">
        <v>433.60000000000008</v>
      </c>
      <c r="I133">
        <v>0</v>
      </c>
      <c r="J133">
        <v>371.60000000000008</v>
      </c>
      <c r="K133">
        <v>0</v>
      </c>
      <c r="L133">
        <v>309.60000000000002</v>
      </c>
      <c r="M133">
        <v>0</v>
      </c>
      <c r="N133">
        <v>247.6</v>
      </c>
      <c r="O133">
        <v>0</v>
      </c>
      <c r="P133">
        <v>185.79999999999998</v>
      </c>
      <c r="Q133">
        <v>0.19999999999999929</v>
      </c>
      <c r="R133" s="254">
        <v>2.0129032258064514</v>
      </c>
    </row>
    <row r="134" spans="1:18">
      <c r="A134" s="197">
        <f t="shared" si="81"/>
        <v>40909</v>
      </c>
      <c r="B134">
        <v>2012</v>
      </c>
      <c r="C134">
        <v>1</v>
      </c>
      <c r="D134">
        <v>648.79999999999995</v>
      </c>
      <c r="E134">
        <v>0</v>
      </c>
      <c r="F134">
        <v>586.79999999999995</v>
      </c>
      <c r="G134">
        <v>0</v>
      </c>
      <c r="H134">
        <v>524.80000000000007</v>
      </c>
      <c r="I134">
        <v>0</v>
      </c>
      <c r="J134">
        <v>462.8</v>
      </c>
      <c r="K134">
        <v>0</v>
      </c>
      <c r="L134">
        <v>400.79999999999995</v>
      </c>
      <c r="M134">
        <v>0</v>
      </c>
      <c r="N134">
        <v>338.8</v>
      </c>
      <c r="O134">
        <v>0</v>
      </c>
      <c r="P134">
        <v>276.79999999999995</v>
      </c>
      <c r="Q134">
        <v>0</v>
      </c>
      <c r="R134" s="254">
        <v>-0.92903225806451584</v>
      </c>
    </row>
    <row r="135" spans="1:18">
      <c r="A135" s="197">
        <f t="shared" si="81"/>
        <v>40940</v>
      </c>
      <c r="B135">
        <v>2012</v>
      </c>
      <c r="C135">
        <v>2</v>
      </c>
      <c r="D135">
        <v>565.09999999999991</v>
      </c>
      <c r="E135">
        <v>0</v>
      </c>
      <c r="F135">
        <v>507.1</v>
      </c>
      <c r="G135">
        <v>0</v>
      </c>
      <c r="H135">
        <v>449.1</v>
      </c>
      <c r="I135">
        <v>0</v>
      </c>
      <c r="J135">
        <v>391.10000000000008</v>
      </c>
      <c r="K135">
        <v>0</v>
      </c>
      <c r="L135">
        <v>333.1</v>
      </c>
      <c r="M135">
        <v>0</v>
      </c>
      <c r="N135">
        <v>275.09999999999997</v>
      </c>
      <c r="O135">
        <v>0</v>
      </c>
      <c r="P135">
        <v>217.1</v>
      </c>
      <c r="Q135">
        <v>0</v>
      </c>
      <c r="R135" s="254">
        <v>0.51379310344827578</v>
      </c>
    </row>
    <row r="136" spans="1:18">
      <c r="A136" s="197">
        <f t="shared" si="81"/>
        <v>40969</v>
      </c>
      <c r="B136">
        <v>2012</v>
      </c>
      <c r="C136">
        <v>3</v>
      </c>
      <c r="D136">
        <v>323.90000000000003</v>
      </c>
      <c r="E136">
        <v>0</v>
      </c>
      <c r="F136">
        <v>267.8</v>
      </c>
      <c r="G136">
        <v>5.8999999999999986</v>
      </c>
      <c r="H136">
        <v>215.6</v>
      </c>
      <c r="I136">
        <v>15.7</v>
      </c>
      <c r="J136">
        <v>171.39999999999998</v>
      </c>
      <c r="K136">
        <v>33.5</v>
      </c>
      <c r="L136">
        <v>133</v>
      </c>
      <c r="M136">
        <v>57.099999999999994</v>
      </c>
      <c r="N136">
        <v>101.89999999999999</v>
      </c>
      <c r="O136">
        <v>87.999999999999986</v>
      </c>
      <c r="P136">
        <v>73.3</v>
      </c>
      <c r="Q136">
        <v>121.39999999999999</v>
      </c>
      <c r="R136" s="254">
        <v>9.5516129032258075</v>
      </c>
    </row>
    <row r="137" spans="1:18">
      <c r="A137" s="197">
        <f t="shared" si="81"/>
        <v>41000</v>
      </c>
      <c r="B137">
        <v>2012</v>
      </c>
      <c r="C137">
        <v>4</v>
      </c>
      <c r="D137">
        <v>323.39999999999998</v>
      </c>
      <c r="E137">
        <v>0</v>
      </c>
      <c r="F137">
        <v>264.29999999999995</v>
      </c>
      <c r="G137">
        <v>0.89999999999999858</v>
      </c>
      <c r="H137">
        <v>206.29999999999998</v>
      </c>
      <c r="I137">
        <v>2.8999999999999986</v>
      </c>
      <c r="J137">
        <v>151.60000000000002</v>
      </c>
      <c r="K137">
        <v>8.1999999999999993</v>
      </c>
      <c r="L137">
        <v>99.6</v>
      </c>
      <c r="M137">
        <v>16.2</v>
      </c>
      <c r="N137">
        <v>52.400000000000006</v>
      </c>
      <c r="O137">
        <v>28.999999999999996</v>
      </c>
      <c r="P137">
        <v>20.799999999999997</v>
      </c>
      <c r="Q137">
        <v>57.399999999999991</v>
      </c>
      <c r="R137" s="254">
        <v>9.2199999999999989</v>
      </c>
    </row>
    <row r="138" spans="1:18">
      <c r="A138" s="197">
        <f t="shared" si="81"/>
        <v>41030</v>
      </c>
      <c r="B138">
        <v>2012</v>
      </c>
      <c r="C138">
        <v>5</v>
      </c>
      <c r="D138">
        <v>88.799999999999983</v>
      </c>
      <c r="E138">
        <v>28.100000000000005</v>
      </c>
      <c r="F138">
        <v>50.400000000000006</v>
      </c>
      <c r="G138">
        <v>51.7</v>
      </c>
      <c r="H138">
        <v>23.3</v>
      </c>
      <c r="I138">
        <v>86.6</v>
      </c>
      <c r="J138">
        <v>6.6999999999999993</v>
      </c>
      <c r="K138">
        <v>132</v>
      </c>
      <c r="L138">
        <v>0</v>
      </c>
      <c r="M138">
        <v>187.30000000000004</v>
      </c>
      <c r="N138">
        <v>0</v>
      </c>
      <c r="O138">
        <v>249.30000000000007</v>
      </c>
      <c r="P138">
        <v>0</v>
      </c>
      <c r="Q138">
        <v>311.30000000000007</v>
      </c>
      <c r="R138" s="254">
        <v>18.041935483870965</v>
      </c>
    </row>
    <row r="139" spans="1:18">
      <c r="A139" s="197">
        <f t="shared" si="81"/>
        <v>41061</v>
      </c>
      <c r="B139">
        <v>2012</v>
      </c>
      <c r="C139">
        <v>6</v>
      </c>
      <c r="D139">
        <v>26.900000000000009</v>
      </c>
      <c r="E139">
        <v>90.300000000000011</v>
      </c>
      <c r="F139">
        <v>11.900000000000004</v>
      </c>
      <c r="G139">
        <v>135.29999999999998</v>
      </c>
      <c r="H139">
        <v>2.4000000000000004</v>
      </c>
      <c r="I139">
        <v>185.79999999999998</v>
      </c>
      <c r="J139">
        <v>0</v>
      </c>
      <c r="K139">
        <v>243.4</v>
      </c>
      <c r="L139">
        <v>0</v>
      </c>
      <c r="M139">
        <v>303.40000000000003</v>
      </c>
      <c r="N139">
        <v>0</v>
      </c>
      <c r="O139">
        <v>363.4</v>
      </c>
      <c r="P139">
        <v>0</v>
      </c>
      <c r="Q139">
        <v>423.4</v>
      </c>
      <c r="R139" s="254">
        <v>22.113333333333333</v>
      </c>
    </row>
    <row r="140" spans="1:18">
      <c r="A140" s="197">
        <f t="shared" si="81"/>
        <v>41091</v>
      </c>
      <c r="B140">
        <v>2012</v>
      </c>
      <c r="C140">
        <v>7</v>
      </c>
      <c r="D140">
        <v>0</v>
      </c>
      <c r="E140">
        <v>155.80000000000001</v>
      </c>
      <c r="F140">
        <v>0</v>
      </c>
      <c r="G140">
        <v>217.80000000000007</v>
      </c>
      <c r="H140">
        <v>0</v>
      </c>
      <c r="I140">
        <v>279.8</v>
      </c>
      <c r="J140">
        <v>0</v>
      </c>
      <c r="K140">
        <v>341.8</v>
      </c>
      <c r="L140">
        <v>0</v>
      </c>
      <c r="M140">
        <v>403.79999999999995</v>
      </c>
      <c r="N140">
        <v>0</v>
      </c>
      <c r="O140">
        <v>465.79999999999995</v>
      </c>
      <c r="P140">
        <v>0</v>
      </c>
      <c r="Q140">
        <v>527.79999999999995</v>
      </c>
      <c r="R140" s="254">
        <v>25.025806451612894</v>
      </c>
    </row>
    <row r="141" spans="1:18">
      <c r="A141" s="197">
        <f t="shared" si="81"/>
        <v>41122</v>
      </c>
      <c r="B141">
        <v>2012</v>
      </c>
      <c r="C141">
        <v>8</v>
      </c>
      <c r="D141">
        <v>6.2000000000000028</v>
      </c>
      <c r="E141">
        <v>75.399999999999991</v>
      </c>
      <c r="F141">
        <v>0.60000000000000142</v>
      </c>
      <c r="G141">
        <v>131.79999999999998</v>
      </c>
      <c r="H141">
        <v>0</v>
      </c>
      <c r="I141">
        <v>193.19999999999996</v>
      </c>
      <c r="J141">
        <v>0</v>
      </c>
      <c r="K141">
        <v>255.19999999999996</v>
      </c>
      <c r="L141">
        <v>0</v>
      </c>
      <c r="M141">
        <v>317.2</v>
      </c>
      <c r="N141">
        <v>0</v>
      </c>
      <c r="O141">
        <v>379.2</v>
      </c>
      <c r="P141">
        <v>0</v>
      </c>
      <c r="Q141">
        <v>441.19999999999993</v>
      </c>
      <c r="R141" s="254">
        <v>22.232258064516131</v>
      </c>
    </row>
    <row r="142" spans="1:18">
      <c r="A142" s="197">
        <f t="shared" si="81"/>
        <v>41153</v>
      </c>
      <c r="B142">
        <v>2012</v>
      </c>
      <c r="C142">
        <v>9</v>
      </c>
      <c r="D142">
        <v>99.100000000000023</v>
      </c>
      <c r="E142">
        <v>28.599999999999998</v>
      </c>
      <c r="F142">
        <v>59.599999999999994</v>
      </c>
      <c r="G142">
        <v>49.099999999999994</v>
      </c>
      <c r="H142">
        <v>29.999999999999993</v>
      </c>
      <c r="I142">
        <v>79.5</v>
      </c>
      <c r="J142">
        <v>12.299999999999999</v>
      </c>
      <c r="K142">
        <v>121.79999999999997</v>
      </c>
      <c r="L142">
        <v>2</v>
      </c>
      <c r="M142">
        <v>171.50000000000006</v>
      </c>
      <c r="N142">
        <v>0</v>
      </c>
      <c r="O142">
        <v>229.50000000000006</v>
      </c>
      <c r="P142">
        <v>0</v>
      </c>
      <c r="Q142">
        <v>289.50000000000011</v>
      </c>
      <c r="R142" s="254">
        <v>17.649999999999999</v>
      </c>
    </row>
    <row r="143" spans="1:18">
      <c r="A143" s="197">
        <f t="shared" si="81"/>
        <v>41183</v>
      </c>
      <c r="B143">
        <v>2012</v>
      </c>
      <c r="C143">
        <v>10</v>
      </c>
      <c r="D143">
        <v>263.80000000000007</v>
      </c>
      <c r="E143">
        <v>0</v>
      </c>
      <c r="F143">
        <v>205.90000000000003</v>
      </c>
      <c r="G143">
        <v>4.1000000000000014</v>
      </c>
      <c r="H143">
        <v>155.80000000000001</v>
      </c>
      <c r="I143">
        <v>16.000000000000004</v>
      </c>
      <c r="J143">
        <v>109.80000000000001</v>
      </c>
      <c r="K143">
        <v>32</v>
      </c>
      <c r="L143">
        <v>70.499999999999986</v>
      </c>
      <c r="M143">
        <v>54.7</v>
      </c>
      <c r="N143">
        <v>37.499999999999993</v>
      </c>
      <c r="O143">
        <v>83.7</v>
      </c>
      <c r="P143">
        <v>15.399999999999999</v>
      </c>
      <c r="Q143">
        <v>123.60000000000001</v>
      </c>
      <c r="R143" s="254">
        <v>11.490322580645161</v>
      </c>
    </row>
    <row r="144" spans="1:18">
      <c r="A144" s="197">
        <f t="shared" si="81"/>
        <v>41214</v>
      </c>
      <c r="B144">
        <v>2012</v>
      </c>
      <c r="C144">
        <v>11</v>
      </c>
      <c r="D144">
        <v>467.20000000000005</v>
      </c>
      <c r="E144">
        <v>0</v>
      </c>
      <c r="F144">
        <v>407.2</v>
      </c>
      <c r="G144">
        <v>0</v>
      </c>
      <c r="H144">
        <v>347.2</v>
      </c>
      <c r="I144">
        <v>0</v>
      </c>
      <c r="J144">
        <v>287.8</v>
      </c>
      <c r="K144">
        <v>0.59999999999999964</v>
      </c>
      <c r="L144">
        <v>229.80000000000004</v>
      </c>
      <c r="M144">
        <v>2.5999999999999996</v>
      </c>
      <c r="N144">
        <v>173.40000000000003</v>
      </c>
      <c r="O144">
        <v>6.1999999999999993</v>
      </c>
      <c r="P144">
        <v>119.89999999999999</v>
      </c>
      <c r="Q144">
        <v>12.7</v>
      </c>
      <c r="R144" s="254">
        <v>4.4266666666666659</v>
      </c>
    </row>
    <row r="145" spans="1:128">
      <c r="A145" s="197">
        <f t="shared" si="81"/>
        <v>41244</v>
      </c>
      <c r="B145">
        <v>2012</v>
      </c>
      <c r="C145">
        <v>12</v>
      </c>
      <c r="D145">
        <v>558</v>
      </c>
      <c r="E145">
        <v>0</v>
      </c>
      <c r="F145">
        <v>495.99999999999994</v>
      </c>
      <c r="G145">
        <v>0</v>
      </c>
      <c r="H145">
        <v>433.99999999999994</v>
      </c>
      <c r="I145">
        <v>0</v>
      </c>
      <c r="J145">
        <v>372</v>
      </c>
      <c r="K145">
        <v>0</v>
      </c>
      <c r="L145">
        <v>310</v>
      </c>
      <c r="M145">
        <v>0</v>
      </c>
      <c r="N145">
        <v>249.30000000000004</v>
      </c>
      <c r="O145">
        <v>1.3000000000000007</v>
      </c>
      <c r="P145">
        <v>195</v>
      </c>
      <c r="Q145">
        <v>9.0000000000000018</v>
      </c>
      <c r="R145" s="254">
        <v>1.9999999999999998</v>
      </c>
    </row>
    <row r="146" spans="1:128">
      <c r="A146" s="197">
        <f t="shared" si="81"/>
        <v>41275</v>
      </c>
      <c r="B146">
        <v>2013</v>
      </c>
      <c r="C146">
        <v>1</v>
      </c>
      <c r="D146" s="64">
        <v>675.50000000000011</v>
      </c>
      <c r="E146" s="64">
        <v>0</v>
      </c>
      <c r="F146" s="64">
        <v>613.5</v>
      </c>
      <c r="G146" s="64">
        <v>0</v>
      </c>
      <c r="H146" s="64">
        <v>551.5</v>
      </c>
      <c r="I146" s="64">
        <v>0</v>
      </c>
      <c r="J146" s="64">
        <v>489.49999999999994</v>
      </c>
      <c r="K146" s="64">
        <v>0</v>
      </c>
      <c r="L146" s="64">
        <v>427.5</v>
      </c>
      <c r="M146" s="64">
        <v>0</v>
      </c>
      <c r="N146" s="64">
        <v>366.09999999999997</v>
      </c>
      <c r="O146" s="64">
        <v>0.59999999999999964</v>
      </c>
      <c r="P146" s="64">
        <v>306.79999999999995</v>
      </c>
      <c r="Q146" s="64">
        <v>3.2999999999999989</v>
      </c>
      <c r="R146" s="254">
        <v>-1.7903225806451613</v>
      </c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DQ146" s="6">
        <f>'Monthly Data (longer 09-23)'!E50</f>
        <v>20994718.441920321</v>
      </c>
      <c r="DR146" s="6"/>
      <c r="DS146" s="6"/>
      <c r="DT146" s="6"/>
      <c r="DU146" s="16"/>
      <c r="DV146" s="16"/>
      <c r="DW146" s="16"/>
      <c r="DX146" s="16"/>
    </row>
    <row r="147" spans="1:128">
      <c r="A147" s="197">
        <f t="shared" si="81"/>
        <v>41306</v>
      </c>
      <c r="B147">
        <v>2013</v>
      </c>
      <c r="C147">
        <v>2</v>
      </c>
      <c r="D147" s="64">
        <v>646.79999999999995</v>
      </c>
      <c r="E147" s="64">
        <v>0</v>
      </c>
      <c r="F147" s="64">
        <v>590.79999999999995</v>
      </c>
      <c r="G147" s="64">
        <v>0</v>
      </c>
      <c r="H147" s="64">
        <v>534.79999999999995</v>
      </c>
      <c r="I147" s="64">
        <v>0</v>
      </c>
      <c r="J147" s="64">
        <v>478.79999999999995</v>
      </c>
      <c r="K147" s="64">
        <v>0</v>
      </c>
      <c r="L147" s="64">
        <v>422.79999999999995</v>
      </c>
      <c r="M147" s="64">
        <v>0</v>
      </c>
      <c r="N147" s="64">
        <v>366.79999999999995</v>
      </c>
      <c r="O147" s="64">
        <v>0</v>
      </c>
      <c r="P147" s="64">
        <v>310.79999999999995</v>
      </c>
      <c r="Q147" s="64">
        <v>0</v>
      </c>
      <c r="R147" s="254">
        <v>-3.1000000000000005</v>
      </c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DQ147" s="6">
        <f>'Monthly Data (longer 09-23)'!E51</f>
        <v>18459368.441920321</v>
      </c>
      <c r="DR147" s="6"/>
      <c r="DS147" s="6"/>
      <c r="DT147" s="6"/>
      <c r="DU147" s="16"/>
      <c r="DV147" s="16"/>
      <c r="DW147" s="16"/>
      <c r="DX147" s="16"/>
    </row>
    <row r="148" spans="1:128">
      <c r="A148" s="197">
        <f t="shared" si="81"/>
        <v>41334</v>
      </c>
      <c r="B148">
        <v>2013</v>
      </c>
      <c r="C148">
        <v>3</v>
      </c>
      <c r="D148" s="64">
        <v>586.20000000000005</v>
      </c>
      <c r="E148" s="64">
        <v>0</v>
      </c>
      <c r="F148" s="64">
        <v>524.20000000000016</v>
      </c>
      <c r="G148" s="64">
        <v>0</v>
      </c>
      <c r="H148" s="64">
        <v>462.20000000000005</v>
      </c>
      <c r="I148" s="64">
        <v>0</v>
      </c>
      <c r="J148" s="64">
        <v>400.20000000000005</v>
      </c>
      <c r="K148" s="64">
        <v>0</v>
      </c>
      <c r="L148" s="64">
        <v>338.20000000000005</v>
      </c>
      <c r="M148" s="64">
        <v>0</v>
      </c>
      <c r="N148" s="64">
        <v>276.2</v>
      </c>
      <c r="O148" s="64">
        <v>0</v>
      </c>
      <c r="P148" s="64">
        <v>217.3</v>
      </c>
      <c r="Q148" s="64">
        <v>3.0999999999999996</v>
      </c>
      <c r="R148" s="254">
        <v>1.0903225806451615</v>
      </c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DQ148" s="6">
        <f>'Monthly Data (longer 09-23)'!E52</f>
        <v>19022967.441920321</v>
      </c>
      <c r="DR148" s="6"/>
      <c r="DS148" s="6"/>
      <c r="DT148" s="6"/>
      <c r="DU148" s="16"/>
      <c r="DV148" s="16"/>
      <c r="DW148" s="16"/>
      <c r="DX148" s="16"/>
    </row>
    <row r="149" spans="1:128">
      <c r="A149" s="197">
        <f t="shared" si="81"/>
        <v>41365</v>
      </c>
      <c r="B149">
        <v>2013</v>
      </c>
      <c r="C149">
        <v>4</v>
      </c>
      <c r="D149" s="64">
        <v>378.29999999999995</v>
      </c>
      <c r="E149" s="64">
        <v>0</v>
      </c>
      <c r="F149" s="64">
        <v>318.29999999999995</v>
      </c>
      <c r="G149" s="64">
        <v>0</v>
      </c>
      <c r="H149" s="64">
        <v>259.09999999999997</v>
      </c>
      <c r="I149" s="64">
        <v>0.80000000000000071</v>
      </c>
      <c r="J149" s="64">
        <v>204.59999999999994</v>
      </c>
      <c r="K149" s="64">
        <v>6.3000000000000007</v>
      </c>
      <c r="L149" s="64">
        <v>151.79999999999998</v>
      </c>
      <c r="M149" s="64">
        <v>13.5</v>
      </c>
      <c r="N149" s="64">
        <v>105.1</v>
      </c>
      <c r="O149" s="64">
        <v>26.8</v>
      </c>
      <c r="P149" s="64">
        <v>66.900000000000006</v>
      </c>
      <c r="Q149" s="64">
        <v>48.600000000000009</v>
      </c>
      <c r="R149" s="254">
        <v>7.39</v>
      </c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DQ149" s="6">
        <f>'Monthly Data (longer 09-23)'!E53</f>
        <v>16896662.441920321</v>
      </c>
      <c r="DR149" s="6"/>
      <c r="DS149" s="6"/>
      <c r="DT149" s="6"/>
      <c r="DU149" s="16"/>
      <c r="DV149" s="16"/>
      <c r="DW149" s="16"/>
      <c r="DX149" s="16"/>
    </row>
    <row r="150" spans="1:128">
      <c r="A150" s="197">
        <f t="shared" si="81"/>
        <v>41395</v>
      </c>
      <c r="B150">
        <v>2013</v>
      </c>
      <c r="C150">
        <v>5</v>
      </c>
      <c r="D150" s="64">
        <v>122.69999999999999</v>
      </c>
      <c r="E150" s="64">
        <v>28.599999999999998</v>
      </c>
      <c r="F150" s="64">
        <v>83.3</v>
      </c>
      <c r="G150" s="64">
        <v>51.2</v>
      </c>
      <c r="H150" s="64">
        <v>54.8</v>
      </c>
      <c r="I150" s="64">
        <v>84.7</v>
      </c>
      <c r="J150" s="64">
        <v>34.1</v>
      </c>
      <c r="K150" s="64">
        <v>126</v>
      </c>
      <c r="L150" s="64">
        <v>19.100000000000001</v>
      </c>
      <c r="M150" s="64">
        <v>173</v>
      </c>
      <c r="N150" s="64">
        <v>9.1000000000000014</v>
      </c>
      <c r="O150" s="64">
        <v>225</v>
      </c>
      <c r="P150" s="64">
        <v>3</v>
      </c>
      <c r="Q150" s="64">
        <v>280.89999999999998</v>
      </c>
      <c r="R150" s="254">
        <v>16.964516129032255</v>
      </c>
      <c r="S150" s="294"/>
      <c r="T150" s="294"/>
      <c r="U150" s="294"/>
      <c r="V150" s="294"/>
      <c r="W150" s="294"/>
      <c r="X150" s="294"/>
      <c r="Y150" s="294"/>
      <c r="Z150" s="294"/>
      <c r="AA150" s="294"/>
      <c r="AB150" s="294"/>
      <c r="DQ150" s="6">
        <f>'Monthly Data (longer 09-23)'!E54</f>
        <v>18276817.441920321</v>
      </c>
      <c r="DR150" s="6"/>
      <c r="DS150" s="6"/>
      <c r="DT150" s="6"/>
      <c r="DU150" s="16"/>
      <c r="DV150" s="16"/>
      <c r="DW150" s="16"/>
      <c r="DX150" s="16"/>
    </row>
    <row r="151" spans="1:128">
      <c r="A151" s="197">
        <f t="shared" si="81"/>
        <v>41426</v>
      </c>
      <c r="B151">
        <v>2013</v>
      </c>
      <c r="C151">
        <v>6</v>
      </c>
      <c r="D151" s="64">
        <v>41.6</v>
      </c>
      <c r="E151" s="64">
        <v>49.099999999999994</v>
      </c>
      <c r="F151" s="64">
        <v>18.200000000000003</v>
      </c>
      <c r="G151" s="64">
        <v>85.700000000000017</v>
      </c>
      <c r="H151" s="64">
        <v>6</v>
      </c>
      <c r="I151" s="64">
        <v>133.49999999999997</v>
      </c>
      <c r="J151" s="64">
        <v>0.40000000000000036</v>
      </c>
      <c r="K151" s="64">
        <v>187.9</v>
      </c>
      <c r="L151" s="64">
        <v>0</v>
      </c>
      <c r="M151" s="64">
        <v>247.50000000000003</v>
      </c>
      <c r="N151" s="64">
        <v>0</v>
      </c>
      <c r="O151" s="64">
        <v>307.50000000000006</v>
      </c>
      <c r="P151" s="64">
        <v>0</v>
      </c>
      <c r="Q151" s="64">
        <v>367.50000000000011</v>
      </c>
      <c r="R151" s="254">
        <v>20.25</v>
      </c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DQ151" s="6">
        <f>'Monthly Data (longer 09-23)'!E55</f>
        <v>23557841.441920321</v>
      </c>
      <c r="DR151" s="6"/>
      <c r="DS151" s="6"/>
      <c r="DT151" s="6"/>
      <c r="DU151" s="16"/>
      <c r="DV151" s="16"/>
      <c r="DW151" s="16"/>
      <c r="DX151" s="16"/>
    </row>
    <row r="152" spans="1:128">
      <c r="A152" s="197">
        <f t="shared" si="81"/>
        <v>41456</v>
      </c>
      <c r="B152">
        <v>2013</v>
      </c>
      <c r="C152">
        <v>7</v>
      </c>
      <c r="D152" s="64">
        <v>14</v>
      </c>
      <c r="E152" s="64">
        <v>98.200000000000017</v>
      </c>
      <c r="F152" s="64">
        <v>2.6000000000000014</v>
      </c>
      <c r="G152" s="64">
        <v>148.79999999999995</v>
      </c>
      <c r="H152" s="64">
        <v>0</v>
      </c>
      <c r="I152" s="64">
        <v>208.19999999999993</v>
      </c>
      <c r="J152" s="64">
        <v>0</v>
      </c>
      <c r="K152" s="64">
        <v>270.2</v>
      </c>
      <c r="L152" s="64">
        <v>0</v>
      </c>
      <c r="M152" s="64">
        <v>332.20000000000005</v>
      </c>
      <c r="N152" s="64">
        <v>0</v>
      </c>
      <c r="O152" s="64">
        <v>394.2</v>
      </c>
      <c r="P152" s="64">
        <v>0</v>
      </c>
      <c r="Q152" s="64">
        <v>456.2</v>
      </c>
      <c r="R152" s="254">
        <v>22.716129032258067</v>
      </c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DQ152" s="6">
        <f>'Monthly Data (longer 09-23)'!E56</f>
        <v>28812238.441920321</v>
      </c>
      <c r="DR152" s="6"/>
      <c r="DS152" s="6"/>
      <c r="DT152" s="6"/>
      <c r="DU152" s="16"/>
      <c r="DV152" s="16"/>
      <c r="DW152" s="16"/>
      <c r="DX152" s="16"/>
    </row>
    <row r="153" spans="1:128">
      <c r="A153" s="197">
        <f t="shared" si="81"/>
        <v>41487</v>
      </c>
      <c r="B153">
        <v>2013</v>
      </c>
      <c r="C153">
        <v>8</v>
      </c>
      <c r="D153" s="64">
        <v>14.700000000000003</v>
      </c>
      <c r="E153" s="64">
        <v>64.100000000000009</v>
      </c>
      <c r="F153" s="64">
        <v>3.9000000000000021</v>
      </c>
      <c r="G153" s="64">
        <v>115.29999999999998</v>
      </c>
      <c r="H153" s="64">
        <v>0</v>
      </c>
      <c r="I153" s="64">
        <v>173.40000000000003</v>
      </c>
      <c r="J153" s="64">
        <v>0</v>
      </c>
      <c r="K153" s="64">
        <v>235.4</v>
      </c>
      <c r="L153" s="64">
        <v>0</v>
      </c>
      <c r="M153" s="64">
        <v>297.40000000000003</v>
      </c>
      <c r="N153" s="64">
        <v>0</v>
      </c>
      <c r="O153" s="64">
        <v>359.40000000000003</v>
      </c>
      <c r="P153" s="64">
        <v>0</v>
      </c>
      <c r="Q153" s="64">
        <v>421.40000000000003</v>
      </c>
      <c r="R153" s="254">
        <v>21.593548387096774</v>
      </c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DQ153" s="6">
        <f>'Monthly Data (longer 09-23)'!E57</f>
        <v>26214185.441920321</v>
      </c>
      <c r="DR153" s="6"/>
      <c r="DS153" s="6"/>
      <c r="DT153" s="6"/>
      <c r="DU153" s="16"/>
      <c r="DV153" s="16"/>
      <c r="DW153" s="16"/>
      <c r="DX153" s="16"/>
    </row>
    <row r="154" spans="1:128">
      <c r="A154" s="197">
        <f t="shared" si="81"/>
        <v>41518</v>
      </c>
      <c r="B154">
        <v>2013</v>
      </c>
      <c r="C154">
        <v>9</v>
      </c>
      <c r="D154" s="64">
        <v>93.899999999999991</v>
      </c>
      <c r="E154" s="64">
        <v>26.299999999999997</v>
      </c>
      <c r="F154" s="64">
        <v>53.7</v>
      </c>
      <c r="G154" s="64">
        <v>46.099999999999994</v>
      </c>
      <c r="H154" s="64">
        <v>25.700000000000003</v>
      </c>
      <c r="I154" s="64">
        <v>78.100000000000009</v>
      </c>
      <c r="J154" s="64">
        <v>9.1000000000000014</v>
      </c>
      <c r="K154" s="64">
        <v>121.49999999999999</v>
      </c>
      <c r="L154" s="64">
        <v>0</v>
      </c>
      <c r="M154" s="64">
        <v>172.39999999999998</v>
      </c>
      <c r="N154" s="64">
        <v>0</v>
      </c>
      <c r="O154" s="64">
        <v>232.39999999999998</v>
      </c>
      <c r="P154" s="64">
        <v>0</v>
      </c>
      <c r="Q154" s="64">
        <v>292.39999999999998</v>
      </c>
      <c r="R154" s="254">
        <v>17.74666666666667</v>
      </c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DQ154" s="6">
        <f>'Monthly Data (longer 09-23)'!E58</f>
        <v>21902500.441920321</v>
      </c>
      <c r="DR154" s="6"/>
      <c r="DS154" s="6"/>
      <c r="DT154" s="6"/>
      <c r="DU154" s="16"/>
      <c r="DV154" s="16"/>
      <c r="DW154" s="16"/>
      <c r="DX154" s="16"/>
    </row>
    <row r="155" spans="1:128">
      <c r="A155" s="197">
        <f t="shared" si="81"/>
        <v>41548</v>
      </c>
      <c r="B155">
        <v>2013</v>
      </c>
      <c r="C155">
        <v>10</v>
      </c>
      <c r="D155" s="64">
        <v>240.3</v>
      </c>
      <c r="E155" s="64">
        <v>3.8000000000000007</v>
      </c>
      <c r="F155" s="64">
        <v>187.09999999999997</v>
      </c>
      <c r="G155" s="64">
        <v>12.599999999999998</v>
      </c>
      <c r="H155" s="64">
        <v>139.1</v>
      </c>
      <c r="I155" s="64">
        <v>26.599999999999998</v>
      </c>
      <c r="J155" s="64">
        <v>96.100000000000023</v>
      </c>
      <c r="K155" s="64">
        <v>45.599999999999994</v>
      </c>
      <c r="L155" s="64">
        <v>62.2</v>
      </c>
      <c r="M155" s="64">
        <v>73.699999999999989</v>
      </c>
      <c r="N155" s="64">
        <v>36.5</v>
      </c>
      <c r="O155" s="64">
        <v>109.99999999999999</v>
      </c>
      <c r="P155" s="64">
        <v>18.2</v>
      </c>
      <c r="Q155" s="64">
        <v>153.69999999999996</v>
      </c>
      <c r="R155" s="254">
        <v>12.370967741935486</v>
      </c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DQ155" s="6">
        <f>'Monthly Data (longer 09-23)'!E59</f>
        <v>17572393.441920321</v>
      </c>
      <c r="DR155" s="6"/>
      <c r="DS155" s="6"/>
      <c r="DT155" s="6"/>
      <c r="DU155" s="16"/>
      <c r="DV155" s="16"/>
      <c r="DW155" s="16"/>
      <c r="DX155" s="16"/>
    </row>
    <row r="156" spans="1:128">
      <c r="A156" s="197">
        <f t="shared" si="81"/>
        <v>41579</v>
      </c>
      <c r="B156">
        <v>2013</v>
      </c>
      <c r="C156">
        <v>11</v>
      </c>
      <c r="D156" s="64">
        <v>502.70000000000005</v>
      </c>
      <c r="E156" s="64">
        <v>0</v>
      </c>
      <c r="F156" s="64">
        <v>442.7</v>
      </c>
      <c r="G156" s="64">
        <v>0</v>
      </c>
      <c r="H156" s="64">
        <v>382.7</v>
      </c>
      <c r="I156" s="64">
        <v>0</v>
      </c>
      <c r="J156" s="64">
        <v>322.7</v>
      </c>
      <c r="K156" s="64">
        <v>0</v>
      </c>
      <c r="L156" s="64">
        <v>264</v>
      </c>
      <c r="M156" s="64">
        <v>1.3000000000000007</v>
      </c>
      <c r="N156" s="64">
        <v>208.60000000000002</v>
      </c>
      <c r="O156" s="64">
        <v>5.9</v>
      </c>
      <c r="P156" s="64">
        <v>157.50000000000003</v>
      </c>
      <c r="Q156" s="64">
        <v>14.8</v>
      </c>
      <c r="R156" s="254">
        <v>3.2433333333333336</v>
      </c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DQ156" s="6">
        <f>'Monthly Data (longer 09-23)'!E60</f>
        <v>18408937.441920321</v>
      </c>
      <c r="DR156" s="6"/>
      <c r="DS156" s="6"/>
      <c r="DT156" s="6"/>
      <c r="DU156" s="16"/>
      <c r="DV156" s="16"/>
      <c r="DW156" s="16"/>
      <c r="DX156" s="16"/>
    </row>
    <row r="157" spans="1:128">
      <c r="A157" s="197">
        <f t="shared" si="81"/>
        <v>41609</v>
      </c>
      <c r="B157">
        <v>2013</v>
      </c>
      <c r="C157">
        <v>12</v>
      </c>
      <c r="D157" s="64">
        <v>697.8</v>
      </c>
      <c r="E157" s="64">
        <v>0</v>
      </c>
      <c r="F157" s="64">
        <v>635.79999999999995</v>
      </c>
      <c r="G157" s="64">
        <v>0</v>
      </c>
      <c r="H157" s="64">
        <v>573.79999999999995</v>
      </c>
      <c r="I157" s="64">
        <v>0</v>
      </c>
      <c r="J157" s="64">
        <v>511.7999999999999</v>
      </c>
      <c r="K157" s="64">
        <v>0</v>
      </c>
      <c r="L157" s="64">
        <v>449.7999999999999</v>
      </c>
      <c r="M157" s="64">
        <v>0</v>
      </c>
      <c r="N157" s="64">
        <v>388.09999999999997</v>
      </c>
      <c r="O157" s="64">
        <v>0.30000000000000071</v>
      </c>
      <c r="P157" s="64">
        <v>329.09999999999991</v>
      </c>
      <c r="Q157" s="64">
        <v>3.3000000000000007</v>
      </c>
      <c r="R157" s="254">
        <v>-2.5096774193548392</v>
      </c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DQ157" s="6">
        <f>'Monthly Data (longer 09-23)'!E61</f>
        <v>22009708.441920321</v>
      </c>
      <c r="DR157" s="6"/>
      <c r="DS157" s="6"/>
      <c r="DT157" s="6"/>
      <c r="DU157" s="16"/>
      <c r="DV157" s="16"/>
      <c r="DW157" s="16"/>
      <c r="DX157" s="16"/>
    </row>
    <row r="158" spans="1:128">
      <c r="A158" s="197">
        <f t="shared" si="81"/>
        <v>41640</v>
      </c>
      <c r="B158">
        <v>2014</v>
      </c>
      <c r="C158">
        <v>1</v>
      </c>
      <c r="D158" s="64">
        <v>871.69999999999993</v>
      </c>
      <c r="E158" s="64">
        <v>0</v>
      </c>
      <c r="F158" s="64">
        <v>809.69999999999993</v>
      </c>
      <c r="G158" s="64">
        <v>0</v>
      </c>
      <c r="H158" s="64">
        <v>747.69999999999982</v>
      </c>
      <c r="I158" s="64">
        <v>0</v>
      </c>
      <c r="J158" s="64">
        <v>685.69999999999982</v>
      </c>
      <c r="K158" s="64">
        <v>0</v>
      </c>
      <c r="L158" s="64">
        <v>623.69999999999993</v>
      </c>
      <c r="M158" s="64">
        <v>0</v>
      </c>
      <c r="N158" s="64">
        <v>561.70000000000005</v>
      </c>
      <c r="O158" s="64">
        <v>0</v>
      </c>
      <c r="P158" s="64">
        <v>499.7</v>
      </c>
      <c r="Q158" s="64">
        <v>0</v>
      </c>
      <c r="R158" s="254">
        <v>-8.1193548387096772</v>
      </c>
      <c r="S158" s="294"/>
      <c r="T158" s="294"/>
      <c r="U158" s="294"/>
      <c r="V158" s="294"/>
      <c r="W158" s="294"/>
      <c r="X158" s="294"/>
      <c r="DQ158" s="6">
        <f>'Monthly Data (longer 09-23)'!E62</f>
        <v>22664516.836681671</v>
      </c>
      <c r="DR158" s="6">
        <f>'Monthly Data (longer 09-23)'!I62</f>
        <v>6183064.0795246102</v>
      </c>
      <c r="DS158" s="6">
        <f>'Monthly Data (longer 09-23)'!M62</f>
        <v>14677049.996043535</v>
      </c>
      <c r="DT158" s="6">
        <f>'Monthly Data (longer 09-23)'!X62</f>
        <v>3490024</v>
      </c>
      <c r="DU158" s="16">
        <f>DQ158/'Monthly Data (longer 09-23)'!F62</f>
        <v>856.04006786076718</v>
      </c>
      <c r="DV158" s="16">
        <f>DR158/'Monthly Data (longer 09-23)'!J62</f>
        <v>3255.9579144416061</v>
      </c>
      <c r="DW158" s="16">
        <f>DS158/'Monthly Data (longer 09-23)'!O62</f>
        <v>69231.367905865729</v>
      </c>
      <c r="DX158" s="16">
        <f>DT158/'Monthly Data (longer 09-23)'!Z62</f>
        <v>581670.66666666663</v>
      </c>
    </row>
    <row r="159" spans="1:128">
      <c r="A159" s="197">
        <f t="shared" si="81"/>
        <v>41671</v>
      </c>
      <c r="B159">
        <v>2014</v>
      </c>
      <c r="C159">
        <v>2</v>
      </c>
      <c r="D159" s="64">
        <v>761.10000000000014</v>
      </c>
      <c r="E159" s="64">
        <v>0</v>
      </c>
      <c r="F159" s="64">
        <v>705.10000000000014</v>
      </c>
      <c r="G159" s="64">
        <v>0</v>
      </c>
      <c r="H159" s="64">
        <v>649.1</v>
      </c>
      <c r="I159" s="64">
        <v>0</v>
      </c>
      <c r="J159" s="64">
        <v>593.1</v>
      </c>
      <c r="K159" s="64">
        <v>0</v>
      </c>
      <c r="L159" s="64">
        <v>537.09999999999991</v>
      </c>
      <c r="M159" s="64">
        <v>0</v>
      </c>
      <c r="N159" s="64">
        <v>481.09999999999985</v>
      </c>
      <c r="O159" s="64">
        <v>0</v>
      </c>
      <c r="P159" s="64">
        <v>425.09999999999985</v>
      </c>
      <c r="Q159" s="64">
        <v>0</v>
      </c>
      <c r="R159" s="254">
        <v>-7.1821428571428569</v>
      </c>
      <c r="S159" s="294"/>
      <c r="T159" s="294"/>
      <c r="U159" s="294"/>
      <c r="V159" s="294"/>
      <c r="W159" s="294"/>
      <c r="X159" s="294"/>
      <c r="DQ159" s="6">
        <f>'Monthly Data (longer 09-23)'!E63</f>
        <v>19610979.836681671</v>
      </c>
      <c r="DR159" s="6">
        <f>'Monthly Data (longer 09-23)'!I63</f>
        <v>5606514.0795246102</v>
      </c>
      <c r="DS159" s="6">
        <f>'Monthly Data (longer 09-23)'!M63</f>
        <v>13478768.996043535</v>
      </c>
      <c r="DT159" s="6">
        <f>'Monthly Data (longer 09-23)'!X63</f>
        <v>3101238</v>
      </c>
      <c r="DU159" s="16">
        <f>DQ159/'Monthly Data (longer 09-23)'!F63</f>
        <v>742.10928012872444</v>
      </c>
      <c r="DV159" s="16">
        <f>DR159/'Monthly Data (longer 09-23)'!J63</f>
        <v>2949.2446499340399</v>
      </c>
      <c r="DW159" s="16">
        <f>DS159/'Monthly Data (longer 09-23)'!O63</f>
        <v>63880.421782196849</v>
      </c>
      <c r="DX159" s="16">
        <f>DT159/'Monthly Data (longer 09-23)'!Z63</f>
        <v>516873</v>
      </c>
    </row>
    <row r="160" spans="1:128">
      <c r="A160" s="197">
        <f t="shared" si="81"/>
        <v>41699</v>
      </c>
      <c r="B160">
        <v>2014</v>
      </c>
      <c r="C160">
        <v>3</v>
      </c>
      <c r="D160" s="64">
        <v>699.1</v>
      </c>
      <c r="E160" s="64">
        <v>0</v>
      </c>
      <c r="F160" s="64">
        <v>637.10000000000014</v>
      </c>
      <c r="G160" s="64">
        <v>0</v>
      </c>
      <c r="H160" s="64">
        <v>575.1</v>
      </c>
      <c r="I160" s="64">
        <v>0</v>
      </c>
      <c r="J160" s="64">
        <v>513.10000000000014</v>
      </c>
      <c r="K160" s="64">
        <v>0</v>
      </c>
      <c r="L160" s="64">
        <v>451.10000000000008</v>
      </c>
      <c r="M160" s="64">
        <v>0</v>
      </c>
      <c r="N160" s="64">
        <v>389.10000000000008</v>
      </c>
      <c r="O160" s="64">
        <v>0</v>
      </c>
      <c r="P160" s="64">
        <v>327.10000000000008</v>
      </c>
      <c r="Q160" s="64">
        <v>0</v>
      </c>
      <c r="R160" s="254">
        <v>-2.5516129032258057</v>
      </c>
      <c r="S160" s="294"/>
      <c r="T160" s="294"/>
      <c r="U160" s="294"/>
      <c r="V160" s="294"/>
      <c r="W160" s="294"/>
      <c r="X160" s="294"/>
      <c r="DQ160" s="6">
        <f>'Monthly Data (longer 09-23)'!E64</f>
        <v>19546615.836681671</v>
      </c>
      <c r="DR160" s="6">
        <f>'Monthly Data (longer 09-23)'!I64</f>
        <v>5787989.0795246102</v>
      </c>
      <c r="DS160" s="6">
        <f>'Monthly Data (longer 09-23)'!M64</f>
        <v>14121463.996043535</v>
      </c>
      <c r="DT160" s="6">
        <f>'Monthly Data (longer 09-23)'!X64</f>
        <v>3182338</v>
      </c>
      <c r="DU160" s="16">
        <f>DQ160/'Monthly Data (longer 09-23)'!F64</f>
        <v>737.94230733470522</v>
      </c>
      <c r="DV160" s="16">
        <f>DR160/'Monthly Data (longer 09-23)'!J64</f>
        <v>3038.3144774407401</v>
      </c>
      <c r="DW160" s="16">
        <f>DS160/'Monthly Data (longer 09-23)'!O64</f>
        <v>65988.149514222125</v>
      </c>
      <c r="DX160" s="16">
        <f>DT160/'Monthly Data (longer 09-23)'!Z64</f>
        <v>530389.66666666663</v>
      </c>
    </row>
    <row r="161" spans="1:128">
      <c r="A161" s="197">
        <f t="shared" si="81"/>
        <v>41730</v>
      </c>
      <c r="B161">
        <v>2014</v>
      </c>
      <c r="C161">
        <v>4</v>
      </c>
      <c r="D161" s="64">
        <v>343.40000000000003</v>
      </c>
      <c r="E161" s="64">
        <v>0</v>
      </c>
      <c r="F161" s="64">
        <v>283.40000000000003</v>
      </c>
      <c r="G161" s="64">
        <v>0</v>
      </c>
      <c r="H161" s="64">
        <v>223.7</v>
      </c>
      <c r="I161" s="64">
        <v>0.30000000000000071</v>
      </c>
      <c r="J161" s="64">
        <v>167.99999999999997</v>
      </c>
      <c r="K161" s="64">
        <v>4.6000000000000014</v>
      </c>
      <c r="L161" s="64">
        <v>118.2</v>
      </c>
      <c r="M161" s="64">
        <v>14.800000000000002</v>
      </c>
      <c r="N161" s="64">
        <v>74.600000000000009</v>
      </c>
      <c r="O161" s="64">
        <v>31.200000000000003</v>
      </c>
      <c r="P161" s="64">
        <v>40.4</v>
      </c>
      <c r="Q161" s="64">
        <v>57.000000000000007</v>
      </c>
      <c r="R161" s="254">
        <v>8.5533333333333346</v>
      </c>
      <c r="S161" s="294"/>
      <c r="T161" s="294"/>
      <c r="U161" s="294"/>
      <c r="V161" s="294"/>
      <c r="W161" s="294"/>
      <c r="X161" s="294"/>
      <c r="DQ161" s="6">
        <f>'Monthly Data (longer 09-23)'!E65</f>
        <v>16464081.83668167</v>
      </c>
      <c r="DR161" s="6">
        <f>'Monthly Data (longer 09-23)'!I65</f>
        <v>5070172.0795246102</v>
      </c>
      <c r="DS161" s="6">
        <f>'Monthly Data (longer 09-23)'!M65</f>
        <v>12143523.996043535</v>
      </c>
      <c r="DT161" s="6">
        <f>'Monthly Data (longer 09-23)'!X65</f>
        <v>2976481</v>
      </c>
      <c r="DU161" s="16">
        <f>DQ161/'Monthly Data (longer 09-23)'!F65</f>
        <v>621.35644928413285</v>
      </c>
      <c r="DV161" s="16">
        <f>DR161/'Monthly Data (longer 09-23)'!J65</f>
        <v>2667.1078798130511</v>
      </c>
      <c r="DW161" s="16">
        <f>DS161/'Monthly Data (longer 09-23)'!O65</f>
        <v>57280.773566243086</v>
      </c>
      <c r="DX161" s="16">
        <f>DT161/'Monthly Data (longer 09-23)'!Z65</f>
        <v>496080.16666666669</v>
      </c>
    </row>
    <row r="162" spans="1:128">
      <c r="A162" s="197">
        <f t="shared" si="81"/>
        <v>41760</v>
      </c>
      <c r="B162">
        <v>2014</v>
      </c>
      <c r="C162">
        <v>5</v>
      </c>
      <c r="D162" s="64">
        <v>149</v>
      </c>
      <c r="E162" s="64">
        <v>10.299999999999997</v>
      </c>
      <c r="F162" s="64">
        <v>103.4</v>
      </c>
      <c r="G162" s="64">
        <v>26.7</v>
      </c>
      <c r="H162" s="64">
        <v>67.800000000000011</v>
      </c>
      <c r="I162" s="64">
        <v>53.099999999999994</v>
      </c>
      <c r="J162" s="64">
        <v>41.5</v>
      </c>
      <c r="K162" s="64">
        <v>88.8</v>
      </c>
      <c r="L162" s="64">
        <v>19.400000000000002</v>
      </c>
      <c r="M162" s="64">
        <v>128.69999999999999</v>
      </c>
      <c r="N162" s="64">
        <v>5.2999999999999989</v>
      </c>
      <c r="O162" s="64">
        <v>176.6</v>
      </c>
      <c r="P162" s="64">
        <v>0.5</v>
      </c>
      <c r="Q162" s="64">
        <v>233.79999999999998</v>
      </c>
      <c r="R162" s="254">
        <v>15.525806451612905</v>
      </c>
      <c r="S162" s="294"/>
      <c r="T162" s="294"/>
      <c r="U162" s="294"/>
      <c r="V162" s="294"/>
      <c r="W162" s="294"/>
      <c r="X162" s="294"/>
      <c r="DQ162" s="6">
        <f>'Monthly Data (longer 09-23)'!E66</f>
        <v>17652679.836681671</v>
      </c>
      <c r="DR162" s="6">
        <f>'Monthly Data (longer 09-23)'!I66</f>
        <v>5364456.0795246102</v>
      </c>
      <c r="DS162" s="6">
        <f>'Monthly Data (longer 09-23)'!M66</f>
        <v>12823227.996043535</v>
      </c>
      <c r="DT162" s="6">
        <f>'Monthly Data (longer 09-23)'!X66</f>
        <v>3042348</v>
      </c>
      <c r="DU162" s="16">
        <f>DQ162/'Monthly Data (longer 09-23)'!F66</f>
        <v>663.85919433950096</v>
      </c>
      <c r="DV162" s="16">
        <f>DR162/'Monthly Data (longer 09-23)'!J66</f>
        <v>2814.5100102437618</v>
      </c>
      <c r="DW162" s="16">
        <f>DS162/'Monthly Data (longer 09-23)'!O66</f>
        <v>59921.626149736141</v>
      </c>
      <c r="DX162" s="16">
        <f>DT162/'Monthly Data (longer 09-23)'!Z66</f>
        <v>507058</v>
      </c>
    </row>
    <row r="163" spans="1:128">
      <c r="A163" s="197">
        <f t="shared" si="81"/>
        <v>41791</v>
      </c>
      <c r="B163">
        <v>2014</v>
      </c>
      <c r="C163">
        <v>6</v>
      </c>
      <c r="D163" s="64">
        <v>19.499999999999996</v>
      </c>
      <c r="E163" s="64">
        <v>59.999999999999986</v>
      </c>
      <c r="F163" s="64">
        <v>4.9999999999999964</v>
      </c>
      <c r="G163" s="64">
        <v>105.49999999999999</v>
      </c>
      <c r="H163" s="64">
        <v>0</v>
      </c>
      <c r="I163" s="64">
        <v>160.5</v>
      </c>
      <c r="J163" s="64">
        <v>0</v>
      </c>
      <c r="K163" s="64">
        <v>220.5</v>
      </c>
      <c r="L163" s="64">
        <v>0</v>
      </c>
      <c r="M163" s="64">
        <v>280.50000000000006</v>
      </c>
      <c r="N163" s="64">
        <v>0</v>
      </c>
      <c r="O163" s="64">
        <v>340.5</v>
      </c>
      <c r="P163" s="64">
        <v>0</v>
      </c>
      <c r="Q163" s="64">
        <v>400.49999999999994</v>
      </c>
      <c r="R163" s="254">
        <v>21.35</v>
      </c>
      <c r="DQ163" s="6">
        <f>'Monthly Data (longer 09-23)'!E67</f>
        <v>23455955.836681671</v>
      </c>
      <c r="DR163" s="6">
        <f>'Monthly Data (longer 09-23)'!I67</f>
        <v>5896764.0795246102</v>
      </c>
      <c r="DS163" s="6">
        <f>'Monthly Data (longer 09-23)'!M67</f>
        <v>14571574.996043535</v>
      </c>
      <c r="DT163" s="6">
        <f>'Monthly Data (longer 09-23)'!X67</f>
        <v>3409531</v>
      </c>
      <c r="DU163" s="16">
        <f>DQ163/'Monthly Data (longer 09-23)'!F67</f>
        <v>882.43316040335844</v>
      </c>
      <c r="DV163" s="16">
        <f>DR163/'Monthly Data (longer 09-23)'!J67</f>
        <v>3088.9282763355736</v>
      </c>
      <c r="DW163" s="16">
        <f>DS163/'Monthly Data (longer 09-23)'!O67</f>
        <v>67774.767423458296</v>
      </c>
      <c r="DX163" s="16">
        <f>DT163/'Monthly Data (longer 09-23)'!Z67</f>
        <v>568255.16666666663</v>
      </c>
    </row>
    <row r="164" spans="1:128">
      <c r="A164" s="197">
        <f t="shared" si="81"/>
        <v>41821</v>
      </c>
      <c r="B164">
        <v>2014</v>
      </c>
      <c r="C164">
        <v>7</v>
      </c>
      <c r="D164" s="64">
        <v>24.3</v>
      </c>
      <c r="E164" s="64">
        <v>42.400000000000006</v>
      </c>
      <c r="F164" s="64">
        <v>4.4000000000000021</v>
      </c>
      <c r="G164" s="64">
        <v>84.5</v>
      </c>
      <c r="H164" s="64">
        <v>0</v>
      </c>
      <c r="I164" s="64">
        <v>142.1</v>
      </c>
      <c r="J164" s="64">
        <v>0</v>
      </c>
      <c r="K164" s="64">
        <v>204.1</v>
      </c>
      <c r="L164" s="64">
        <v>0</v>
      </c>
      <c r="M164" s="64">
        <v>266.09999999999997</v>
      </c>
      <c r="N164" s="64">
        <v>0</v>
      </c>
      <c r="O164" s="64">
        <v>328.09999999999997</v>
      </c>
      <c r="P164" s="64">
        <v>0</v>
      </c>
      <c r="Q164" s="64">
        <v>390.09999999999997</v>
      </c>
      <c r="R164" s="254">
        <v>20.583870967741937</v>
      </c>
      <c r="DQ164" s="6">
        <f>'Monthly Data (longer 09-23)'!E68</f>
        <v>26457534.836681671</v>
      </c>
      <c r="DR164" s="6">
        <f>'Monthly Data (longer 09-23)'!I68</f>
        <v>6190188.0795246102</v>
      </c>
      <c r="DS164" s="6">
        <f>'Monthly Data (longer 09-23)'!M68</f>
        <v>14765493.996043535</v>
      </c>
      <c r="DT164" s="6">
        <f>'Monthly Data (longer 09-23)'!X68</f>
        <v>3573547</v>
      </c>
      <c r="DU164" s="16">
        <f>DQ164/'Monthly Data (longer 09-23)'!F68</f>
        <v>993.59827387267808</v>
      </c>
      <c r="DV164" s="16">
        <f>DR164/'Monthly Data (longer 09-23)'!J68</f>
        <v>3251.1492014309929</v>
      </c>
      <c r="DW164" s="16">
        <f>DS164/'Monthly Data (longer 09-23)'!O68</f>
        <v>68676.716260667599</v>
      </c>
      <c r="DX164" s="16">
        <f>DT164/'Monthly Data (longer 09-23)'!Z68</f>
        <v>595591.16666666663</v>
      </c>
    </row>
    <row r="165" spans="1:128">
      <c r="A165" s="197">
        <f t="shared" si="81"/>
        <v>41852</v>
      </c>
      <c r="B165">
        <v>2014</v>
      </c>
      <c r="C165">
        <v>8</v>
      </c>
      <c r="D165" s="64">
        <v>13.500000000000004</v>
      </c>
      <c r="E165" s="64">
        <v>43.500000000000007</v>
      </c>
      <c r="F165" s="64">
        <v>3.8000000000000007</v>
      </c>
      <c r="G165" s="64">
        <v>95.799999999999983</v>
      </c>
      <c r="H165" s="64">
        <v>0</v>
      </c>
      <c r="I165" s="64">
        <v>154</v>
      </c>
      <c r="J165" s="64">
        <v>0</v>
      </c>
      <c r="K165" s="64">
        <v>216.00000000000003</v>
      </c>
      <c r="L165" s="64">
        <v>0</v>
      </c>
      <c r="M165" s="64">
        <v>278.00000000000006</v>
      </c>
      <c r="N165" s="64">
        <v>0</v>
      </c>
      <c r="O165" s="64">
        <v>340</v>
      </c>
      <c r="P165" s="64">
        <v>0</v>
      </c>
      <c r="Q165" s="64">
        <v>401.99999999999994</v>
      </c>
      <c r="R165" s="254">
        <v>20.967741935483868</v>
      </c>
      <c r="DQ165" s="6">
        <f>'Monthly Data (longer 09-23)'!E69</f>
        <v>25904876.836681671</v>
      </c>
      <c r="DR165" s="6">
        <f>'Monthly Data (longer 09-23)'!I69</f>
        <v>6212359.0795246102</v>
      </c>
      <c r="DS165" s="6">
        <f>'Monthly Data (longer 09-23)'!M69</f>
        <v>15775286.996043535</v>
      </c>
      <c r="DT165" s="6">
        <f>'Monthly Data (longer 09-23)'!X69</f>
        <v>2693259</v>
      </c>
      <c r="DU165" s="16">
        <f>DQ165/'Monthly Data (longer 09-23)'!F69</f>
        <v>968.15326219986071</v>
      </c>
      <c r="DV165" s="16">
        <f>DR165/'Monthly Data (longer 09-23)'!J69</f>
        <v>3244.0517386551487</v>
      </c>
      <c r="DW165" s="16">
        <f>DS165/'Monthly Data (longer 09-23)'!O69</f>
        <v>73716.294374035206</v>
      </c>
      <c r="DX165" s="16">
        <f>DT165/'Monthly Data (longer 09-23)'!Z69</f>
        <v>448876.5</v>
      </c>
    </row>
    <row r="166" spans="1:128">
      <c r="A166" s="197">
        <f t="shared" si="81"/>
        <v>41883</v>
      </c>
      <c r="B166">
        <v>2014</v>
      </c>
      <c r="C166">
        <v>9</v>
      </c>
      <c r="D166" s="64">
        <v>122.29999999999998</v>
      </c>
      <c r="E166" s="64">
        <v>15.299999999999997</v>
      </c>
      <c r="F166" s="64">
        <v>76.799999999999983</v>
      </c>
      <c r="G166" s="64">
        <v>29.799999999999997</v>
      </c>
      <c r="H166" s="64">
        <v>41.7</v>
      </c>
      <c r="I166" s="64">
        <v>54.7</v>
      </c>
      <c r="J166" s="64">
        <v>19.5</v>
      </c>
      <c r="K166" s="64">
        <v>92.5</v>
      </c>
      <c r="L166" s="64">
        <v>5.6000000000000014</v>
      </c>
      <c r="M166" s="64">
        <v>138.6</v>
      </c>
      <c r="N166" s="64">
        <v>0.30000000000000071</v>
      </c>
      <c r="O166" s="64">
        <v>193.3</v>
      </c>
      <c r="P166" s="64">
        <v>0</v>
      </c>
      <c r="Q166" s="64">
        <v>252.99999999999994</v>
      </c>
      <c r="R166" s="254">
        <v>16.433333333333334</v>
      </c>
      <c r="DQ166" s="6">
        <f>'Monthly Data (longer 09-23)'!E70</f>
        <v>20673917.836681671</v>
      </c>
      <c r="DR166" s="6">
        <f>'Monthly Data (longer 09-23)'!I70</f>
        <v>5457268.0795246102</v>
      </c>
      <c r="DS166" s="6">
        <f>'Monthly Data (longer 09-23)'!M70</f>
        <v>15425559.996043535</v>
      </c>
      <c r="DT166" s="6">
        <f>'Monthly Data (longer 09-23)'!X70</f>
        <v>3111799</v>
      </c>
      <c r="DU166" s="16">
        <f>DQ166/'Monthly Data (longer 09-23)'!F70</f>
        <v>775.756766854847</v>
      </c>
      <c r="DV166" s="16">
        <f>DR166/'Monthly Data (longer 09-23)'!J70</f>
        <v>2852.7276944718296</v>
      </c>
      <c r="DW166" s="16">
        <f>DS166/'Monthly Data (longer 09-23)'!O70</f>
        <v>71746.79067927225</v>
      </c>
      <c r="DX166" s="16">
        <f>DT166/'Monthly Data (longer 09-23)'!Z70</f>
        <v>518633.16666666669</v>
      </c>
    </row>
    <row r="167" spans="1:128">
      <c r="A167" s="197">
        <f t="shared" si="81"/>
        <v>41913</v>
      </c>
      <c r="B167">
        <v>2014</v>
      </c>
      <c r="C167">
        <v>10</v>
      </c>
      <c r="D167" s="64">
        <v>281.2</v>
      </c>
      <c r="E167" s="64">
        <v>0</v>
      </c>
      <c r="F167" s="64">
        <v>219.2</v>
      </c>
      <c r="G167" s="64">
        <v>0</v>
      </c>
      <c r="H167" s="64">
        <v>159.9</v>
      </c>
      <c r="I167" s="64">
        <v>2.6999999999999993</v>
      </c>
      <c r="J167" s="64">
        <v>107.70000000000003</v>
      </c>
      <c r="K167" s="64">
        <v>12.499999999999998</v>
      </c>
      <c r="L167" s="64">
        <v>65.399999999999991</v>
      </c>
      <c r="M167" s="64">
        <v>32.199999999999996</v>
      </c>
      <c r="N167" s="64">
        <v>29.6</v>
      </c>
      <c r="O167" s="64">
        <v>58.400000000000006</v>
      </c>
      <c r="P167" s="64">
        <v>7.5</v>
      </c>
      <c r="Q167" s="64">
        <v>98.299999999999983</v>
      </c>
      <c r="R167" s="254">
        <v>10.929032258064517</v>
      </c>
      <c r="DQ167" s="6">
        <f>'Monthly Data (longer 09-23)'!E71</f>
        <v>16731629.83668167</v>
      </c>
      <c r="DR167" s="6">
        <f>'Monthly Data (longer 09-23)'!I71</f>
        <v>5117528.0795246102</v>
      </c>
      <c r="DS167" s="6">
        <f>'Monthly Data (longer 09-23)'!M71</f>
        <v>14023622.996043535</v>
      </c>
      <c r="DT167" s="6">
        <f>'Monthly Data (longer 09-23)'!X71</f>
        <v>2963385</v>
      </c>
      <c r="DU167" s="16">
        <f>DQ167/'Monthly Data (longer 09-23)'!F71</f>
        <v>626.67627389346683</v>
      </c>
      <c r="DV167" s="16">
        <f>DR167/'Monthly Data (longer 09-23)'!J71</f>
        <v>2650.1957946787211</v>
      </c>
      <c r="DW167" s="16">
        <f>DS167/'Monthly Data (longer 09-23)'!O71</f>
        <v>65226.153469969933</v>
      </c>
      <c r="DX167" s="16">
        <f>DT167/'Monthly Data (longer 09-23)'!Z71</f>
        <v>493897.5</v>
      </c>
    </row>
    <row r="168" spans="1:128">
      <c r="A168" s="197">
        <f t="shared" si="81"/>
        <v>41944</v>
      </c>
      <c r="B168">
        <v>2014</v>
      </c>
      <c r="C168">
        <v>11</v>
      </c>
      <c r="D168" s="64">
        <v>539.30000000000007</v>
      </c>
      <c r="E168" s="64">
        <v>0</v>
      </c>
      <c r="F168" s="64">
        <v>479.30000000000013</v>
      </c>
      <c r="G168" s="64">
        <v>0</v>
      </c>
      <c r="H168" s="64">
        <v>419.30000000000007</v>
      </c>
      <c r="I168" s="64">
        <v>0</v>
      </c>
      <c r="J168" s="64">
        <v>359.30000000000007</v>
      </c>
      <c r="K168" s="64">
        <v>0</v>
      </c>
      <c r="L168" s="64">
        <v>299.3</v>
      </c>
      <c r="M168" s="64">
        <v>0</v>
      </c>
      <c r="N168" s="64">
        <v>239.9</v>
      </c>
      <c r="O168" s="64">
        <v>0.59999999999999964</v>
      </c>
      <c r="P168" s="64">
        <v>189.4</v>
      </c>
      <c r="Q168" s="64">
        <v>10.099999999999998</v>
      </c>
      <c r="R168" s="254">
        <v>2.023333333333333</v>
      </c>
      <c r="DQ168" s="6">
        <f>'Monthly Data (longer 09-23)'!E72</f>
        <v>18386181.836681671</v>
      </c>
      <c r="DR168" s="6">
        <f>'Monthly Data (longer 09-23)'!I72</f>
        <v>5344942.0795246102</v>
      </c>
      <c r="DS168" s="6">
        <f>'Monthly Data (longer 09-23)'!M72</f>
        <v>14115089.996043535</v>
      </c>
      <c r="DT168" s="6">
        <f>'Monthly Data (longer 09-23)'!X72</f>
        <v>3181573</v>
      </c>
      <c r="DU168" s="16">
        <f>DQ168/'Monthly Data (longer 09-23)'!F72</f>
        <v>689.73184666998054</v>
      </c>
      <c r="DV168" s="16">
        <f>DR168/'Monthly Data (longer 09-23)'!J72</f>
        <v>2789.6357408792328</v>
      </c>
      <c r="DW168" s="16">
        <f>DS168/'Monthly Data (longer 09-23)'!O72</f>
        <v>69191.617627664382</v>
      </c>
      <c r="DX168" s="16">
        <f>DT168/'Monthly Data (longer 09-23)'!Z72</f>
        <v>530262.16666666663</v>
      </c>
    </row>
    <row r="169" spans="1:128">
      <c r="A169" s="197">
        <f t="shared" si="81"/>
        <v>41974</v>
      </c>
      <c r="B169">
        <v>2014</v>
      </c>
      <c r="C169">
        <v>12</v>
      </c>
      <c r="D169" s="64">
        <v>607.20000000000005</v>
      </c>
      <c r="E169" s="64">
        <v>0</v>
      </c>
      <c r="F169" s="64">
        <v>545.20000000000005</v>
      </c>
      <c r="G169" s="64">
        <v>0</v>
      </c>
      <c r="H169" s="64">
        <v>483.2</v>
      </c>
      <c r="I169" s="64">
        <v>0</v>
      </c>
      <c r="J169" s="64">
        <v>421.2</v>
      </c>
      <c r="K169" s="64">
        <v>0</v>
      </c>
      <c r="L169" s="64">
        <v>359.19999999999993</v>
      </c>
      <c r="M169" s="64">
        <v>0</v>
      </c>
      <c r="N169" s="64">
        <v>297.20000000000005</v>
      </c>
      <c r="O169" s="64">
        <v>0</v>
      </c>
      <c r="P169" s="64">
        <v>235.70000000000002</v>
      </c>
      <c r="Q169" s="64">
        <v>0.5</v>
      </c>
      <c r="R169" s="254">
        <v>0.41290322580645139</v>
      </c>
      <c r="DQ169" s="6">
        <f>'Monthly Data (longer 09-23)'!E73</f>
        <v>20794911.836681671</v>
      </c>
      <c r="DR169" s="6">
        <f>'Monthly Data (longer 09-23)'!I73</f>
        <v>5630353.0795246102</v>
      </c>
      <c r="DS169" s="6">
        <f>'Monthly Data (longer 09-23)'!M73</f>
        <v>14193334.996043535</v>
      </c>
      <c r="DT169" s="6">
        <f>'Monthly Data (longer 09-23)'!X73</f>
        <v>3333306</v>
      </c>
      <c r="DU169" s="16">
        <f>DQ169/'Monthly Data (longer 09-23)'!F73</f>
        <v>780.82426542060944</v>
      </c>
      <c r="DV169" s="16">
        <f>DR169/'Monthly Data (longer 09-23)'!J73</f>
        <v>2937.0647258865988</v>
      </c>
      <c r="DW169" s="16">
        <f>DS169/'Monthly Data (longer 09-23)'!O73</f>
        <v>68237.187480978537</v>
      </c>
      <c r="DX169" s="16">
        <f>DT169/'Monthly Data (longer 09-23)'!Z73</f>
        <v>555551</v>
      </c>
    </row>
    <row r="170" spans="1:128">
      <c r="A170" s="197">
        <f t="shared" si="81"/>
        <v>42005</v>
      </c>
      <c r="B170">
        <v>2015</v>
      </c>
      <c r="C170">
        <v>1</v>
      </c>
      <c r="D170" s="64">
        <v>828.90000000000009</v>
      </c>
      <c r="E170" s="64">
        <v>0</v>
      </c>
      <c r="F170" s="64">
        <v>766.90000000000009</v>
      </c>
      <c r="G170" s="64">
        <v>0</v>
      </c>
      <c r="H170" s="64">
        <v>704.90000000000009</v>
      </c>
      <c r="I170" s="64">
        <v>0</v>
      </c>
      <c r="J170" s="64">
        <v>642.9</v>
      </c>
      <c r="K170" s="64">
        <v>0</v>
      </c>
      <c r="L170" s="64">
        <v>580.89999999999986</v>
      </c>
      <c r="M170" s="64">
        <v>0</v>
      </c>
      <c r="N170" s="64">
        <v>518.9</v>
      </c>
      <c r="O170" s="64">
        <v>0</v>
      </c>
      <c r="P170" s="64">
        <v>456.9</v>
      </c>
      <c r="Q170" s="64">
        <v>0</v>
      </c>
      <c r="R170" s="254">
        <v>-6.7387096774193527</v>
      </c>
      <c r="DQ170" s="6">
        <f>'Monthly Data (longer 09-23)'!E74</f>
        <v>21479947.723403674</v>
      </c>
      <c r="DR170" s="6">
        <f>'Monthly Data (longer 09-23)'!I74</f>
        <v>6341995.2771220542</v>
      </c>
      <c r="DS170" s="6">
        <f>'Monthly Data (longer 09-23)'!M74</f>
        <v>15038637.586746912</v>
      </c>
      <c r="DT170" s="6">
        <f>'Monthly Data (longer 09-23)'!X74</f>
        <v>3747992</v>
      </c>
      <c r="DU170" s="16">
        <f>DQ170/'Monthly Data (longer 09-23)'!F74</f>
        <v>804.61296536573548</v>
      </c>
      <c r="DV170" s="16">
        <f>DR170/'Monthly Data (longer 09-23)'!J74</f>
        <v>3280.9080585214974</v>
      </c>
      <c r="DW170" s="16">
        <f>DS170/'Monthly Data (longer 09-23)'!O74</f>
        <v>71273.163918231818</v>
      </c>
      <c r="DX170" s="16">
        <f>DT170/'Monthly Data (longer 09-23)'!Z74</f>
        <v>624665.33333333337</v>
      </c>
    </row>
    <row r="171" spans="1:128">
      <c r="A171" s="197">
        <f t="shared" si="81"/>
        <v>42036</v>
      </c>
      <c r="B171">
        <v>2015</v>
      </c>
      <c r="C171">
        <v>2</v>
      </c>
      <c r="D171" s="64">
        <v>867.10000000000025</v>
      </c>
      <c r="E171" s="64">
        <v>0</v>
      </c>
      <c r="F171" s="64">
        <v>811.10000000000014</v>
      </c>
      <c r="G171" s="64">
        <v>0</v>
      </c>
      <c r="H171" s="64">
        <v>755.10000000000014</v>
      </c>
      <c r="I171" s="64">
        <v>0</v>
      </c>
      <c r="J171" s="64">
        <v>699.10000000000014</v>
      </c>
      <c r="K171" s="64">
        <v>0</v>
      </c>
      <c r="L171" s="64">
        <v>643.10000000000014</v>
      </c>
      <c r="M171" s="64">
        <v>0</v>
      </c>
      <c r="N171" s="64">
        <v>587.1</v>
      </c>
      <c r="O171" s="64">
        <v>0</v>
      </c>
      <c r="P171" s="64">
        <v>531.09999999999991</v>
      </c>
      <c r="Q171" s="64">
        <v>0</v>
      </c>
      <c r="R171" s="254">
        <v>-10.967857142857142</v>
      </c>
      <c r="DQ171" s="6">
        <f>'Monthly Data (longer 09-23)'!E75</f>
        <v>19316640.723403674</v>
      </c>
      <c r="DR171" s="6">
        <f>'Monthly Data (longer 09-23)'!I75</f>
        <v>5968288.2771220542</v>
      </c>
      <c r="DS171" s="6">
        <f>'Monthly Data (longer 09-23)'!M75</f>
        <v>13367366.586746912</v>
      </c>
      <c r="DT171" s="6">
        <f>'Monthly Data (longer 09-23)'!X75</f>
        <v>3564671</v>
      </c>
      <c r="DU171" s="16">
        <f>DQ171/'Monthly Data (longer 09-23)'!F75</f>
        <v>723.76787153522696</v>
      </c>
      <c r="DV171" s="16">
        <f>DR171/'Monthly Data (longer 09-23)'!J75</f>
        <v>3082.7935315713089</v>
      </c>
      <c r="DW171" s="16">
        <f>DS171/'Monthly Data (longer 09-23)'!O75</f>
        <v>63654.126603556724</v>
      </c>
      <c r="DX171" s="16">
        <f>DT171/'Monthly Data (longer 09-23)'!Z75</f>
        <v>594111.83333333337</v>
      </c>
    </row>
    <row r="172" spans="1:128">
      <c r="A172" s="197">
        <f t="shared" si="81"/>
        <v>42064</v>
      </c>
      <c r="B172">
        <v>2015</v>
      </c>
      <c r="C172">
        <v>3</v>
      </c>
      <c r="D172" s="64">
        <v>627.29999999999995</v>
      </c>
      <c r="E172" s="64">
        <v>0</v>
      </c>
      <c r="F172" s="64">
        <v>565.29999999999995</v>
      </c>
      <c r="G172" s="64">
        <v>0</v>
      </c>
      <c r="H172" s="64">
        <v>503.3</v>
      </c>
      <c r="I172" s="64">
        <v>0</v>
      </c>
      <c r="J172" s="64">
        <v>441.3</v>
      </c>
      <c r="K172" s="64">
        <v>0</v>
      </c>
      <c r="L172" s="64">
        <v>379.29999999999995</v>
      </c>
      <c r="M172" s="64">
        <v>0</v>
      </c>
      <c r="N172" s="64">
        <v>317.29999999999995</v>
      </c>
      <c r="O172" s="64">
        <v>0</v>
      </c>
      <c r="P172" s="64">
        <v>255.70000000000002</v>
      </c>
      <c r="Q172" s="64">
        <v>0.40000000000000036</v>
      </c>
      <c r="R172" s="254">
        <v>-0.2354838709677417</v>
      </c>
      <c r="DQ172" s="6">
        <f>'Monthly Data (longer 09-23)'!E76</f>
        <v>18803817.723403674</v>
      </c>
      <c r="DR172" s="6">
        <f>'Monthly Data (longer 09-23)'!I76</f>
        <v>6080630.2771220542</v>
      </c>
      <c r="DS172" s="6">
        <f>'Monthly Data (longer 09-23)'!M76</f>
        <v>13894219.586746912</v>
      </c>
      <c r="DT172" s="6">
        <f>'Monthly Data (longer 09-23)'!X76</f>
        <v>3449912</v>
      </c>
      <c r="DU172" s="16">
        <f>DQ172/'Monthly Data (longer 09-23)'!F76</f>
        <v>704.44752269897253</v>
      </c>
      <c r="DV172" s="16">
        <f>DR172/'Monthly Data (longer 09-23)'!J76</f>
        <v>3163.6994157763029</v>
      </c>
      <c r="DW172" s="16">
        <f>DS172/'Monthly Data (longer 09-23)'!O76</f>
        <v>66479.519553812977</v>
      </c>
      <c r="DX172" s="16">
        <f>DT172/'Monthly Data (longer 09-23)'!Z76</f>
        <v>574985.33333333337</v>
      </c>
    </row>
    <row r="173" spans="1:128">
      <c r="A173" s="197">
        <f t="shared" si="81"/>
        <v>42095</v>
      </c>
      <c r="B173">
        <v>2015</v>
      </c>
      <c r="C173">
        <v>4</v>
      </c>
      <c r="D173" s="64">
        <v>343.20000000000005</v>
      </c>
      <c r="E173" s="64">
        <v>0</v>
      </c>
      <c r="F173" s="64">
        <v>283.2</v>
      </c>
      <c r="G173" s="64">
        <v>0</v>
      </c>
      <c r="H173" s="64">
        <v>223.19999999999996</v>
      </c>
      <c r="I173" s="64">
        <v>0</v>
      </c>
      <c r="J173" s="64">
        <v>164.10000000000002</v>
      </c>
      <c r="K173" s="64">
        <v>0.90000000000000036</v>
      </c>
      <c r="L173" s="64">
        <v>110.19999999999997</v>
      </c>
      <c r="M173" s="64">
        <v>7</v>
      </c>
      <c r="N173" s="64">
        <v>62</v>
      </c>
      <c r="O173" s="64">
        <v>18.8</v>
      </c>
      <c r="P173" s="64">
        <v>29.799999999999997</v>
      </c>
      <c r="Q173" s="64">
        <v>46.599999999999994</v>
      </c>
      <c r="R173" s="254">
        <v>8.5599999999999987</v>
      </c>
      <c r="DQ173" s="6">
        <f>'Monthly Data (longer 09-23)'!E77</f>
        <v>16195044.723403674</v>
      </c>
      <c r="DR173" s="6">
        <f>'Monthly Data (longer 09-23)'!I77</f>
        <v>5459994.2771220542</v>
      </c>
      <c r="DS173" s="6">
        <f>'Monthly Data (longer 09-23)'!M77</f>
        <v>13195995.586746912</v>
      </c>
      <c r="DT173" s="6">
        <f>'Monthly Data (longer 09-23)'!X77</f>
        <v>3013821</v>
      </c>
      <c r="DU173" s="16">
        <f>DQ173/'Monthly Data (longer 09-23)'!F77</f>
        <v>606.44241615441581</v>
      </c>
      <c r="DV173" s="16">
        <f>DR173/'Monthly Data (longer 09-23)'!J77</f>
        <v>2824.6219747139444</v>
      </c>
      <c r="DW173" s="16">
        <f>DS173/'Monthly Data (longer 09-23)'!O77</f>
        <v>63138.734864817765</v>
      </c>
      <c r="DX173" s="16">
        <f>DT173/'Monthly Data (longer 09-23)'!Z77</f>
        <v>502303.5</v>
      </c>
    </row>
    <row r="174" spans="1:128">
      <c r="A174" s="197">
        <f t="shared" si="81"/>
        <v>42125</v>
      </c>
      <c r="B174">
        <v>2015</v>
      </c>
      <c r="C174">
        <v>5</v>
      </c>
      <c r="D174" s="64">
        <v>118.3</v>
      </c>
      <c r="E174" s="64">
        <v>17.799999999999997</v>
      </c>
      <c r="F174" s="64">
        <v>79.599999999999994</v>
      </c>
      <c r="G174" s="64">
        <v>41.099999999999994</v>
      </c>
      <c r="H174" s="64">
        <v>50.9</v>
      </c>
      <c r="I174" s="64">
        <v>74.399999999999991</v>
      </c>
      <c r="J174" s="64">
        <v>27.5</v>
      </c>
      <c r="K174" s="64">
        <v>112.99999999999999</v>
      </c>
      <c r="L174" s="64">
        <v>12.199999999999998</v>
      </c>
      <c r="M174" s="64">
        <v>159.69999999999999</v>
      </c>
      <c r="N174" s="64">
        <v>2.6999999999999975</v>
      </c>
      <c r="O174" s="64">
        <v>212.20000000000002</v>
      </c>
      <c r="P174" s="64">
        <v>0</v>
      </c>
      <c r="Q174" s="64">
        <v>271.5</v>
      </c>
      <c r="R174" s="254">
        <v>16.758064516129032</v>
      </c>
      <c r="DQ174" s="6">
        <f>'Monthly Data (longer 09-23)'!E78</f>
        <v>18481715.723403674</v>
      </c>
      <c r="DR174" s="6">
        <f>'Monthly Data (longer 09-23)'!I78</f>
        <v>5727225.2771220542</v>
      </c>
      <c r="DS174" s="6">
        <f>'Monthly Data (longer 09-23)'!M78</f>
        <v>13772121.586746912</v>
      </c>
      <c r="DT174" s="6">
        <f>'Monthly Data (longer 09-23)'!X78</f>
        <v>2960403</v>
      </c>
      <c r="DU174" s="16">
        <f>DQ174/'Monthly Data (longer 09-23)'!F78</f>
        <v>690.02821547952783</v>
      </c>
      <c r="DV174" s="16">
        <f>DR174/'Monthly Data (longer 09-23)'!J78</f>
        <v>2955.2246011981706</v>
      </c>
      <c r="DW174" s="16">
        <f>DS174/'Monthly Data (longer 09-23)'!O78</f>
        <v>65895.318596875179</v>
      </c>
      <c r="DX174" s="16">
        <f>DT174/'Monthly Data (longer 09-23)'!Z78</f>
        <v>493400.5</v>
      </c>
    </row>
    <row r="175" spans="1:128">
      <c r="A175" s="197">
        <f t="shared" si="81"/>
        <v>42156</v>
      </c>
      <c r="B175">
        <v>2015</v>
      </c>
      <c r="C175">
        <v>6</v>
      </c>
      <c r="D175" s="64">
        <v>41.29999999999999</v>
      </c>
      <c r="E175" s="64">
        <v>26.300000000000008</v>
      </c>
      <c r="F175" s="64">
        <v>18.900000000000002</v>
      </c>
      <c r="G175" s="64">
        <v>63.900000000000006</v>
      </c>
      <c r="H175" s="64">
        <v>7.9</v>
      </c>
      <c r="I175" s="64">
        <v>112.89999999999998</v>
      </c>
      <c r="J175" s="64">
        <v>2.7000000000000011</v>
      </c>
      <c r="K175" s="64">
        <v>167.7</v>
      </c>
      <c r="L175" s="64">
        <v>0.40000000000000036</v>
      </c>
      <c r="M175" s="64">
        <v>225.4</v>
      </c>
      <c r="N175" s="64">
        <v>0</v>
      </c>
      <c r="O175" s="64">
        <v>285</v>
      </c>
      <c r="P175" s="64">
        <v>0</v>
      </c>
      <c r="Q175" s="64">
        <v>345</v>
      </c>
      <c r="R175" s="254">
        <v>19.5</v>
      </c>
      <c r="DQ175" s="6">
        <f>'Monthly Data (longer 09-23)'!E79</f>
        <v>22013089.723403674</v>
      </c>
      <c r="DR175" s="6">
        <f>'Monthly Data (longer 09-23)'!I79</f>
        <v>6014804.2771220542</v>
      </c>
      <c r="DS175" s="6">
        <f>'Monthly Data (longer 09-23)'!M79</f>
        <v>14464785.586746912</v>
      </c>
      <c r="DT175" s="6">
        <f>'Monthly Data (longer 09-23)'!X79</f>
        <v>3221522</v>
      </c>
      <c r="DU175" s="16">
        <f>DQ175/'Monthly Data (longer 09-23)'!F79</f>
        <v>819.94597993830496</v>
      </c>
      <c r="DV175" s="16">
        <f>DR175/'Monthly Data (longer 09-23)'!J79</f>
        <v>3108.4259830088135</v>
      </c>
      <c r="DW175" s="16">
        <f>DS175/'Monthly Data (longer 09-23)'!O79</f>
        <v>68879.931365461482</v>
      </c>
      <c r="DX175" s="16">
        <f>DT175/'Monthly Data (longer 09-23)'!Z79</f>
        <v>536920.33333333337</v>
      </c>
    </row>
    <row r="176" spans="1:128">
      <c r="A176" s="197">
        <f t="shared" si="81"/>
        <v>42186</v>
      </c>
      <c r="B176">
        <v>2015</v>
      </c>
      <c r="C176">
        <v>7</v>
      </c>
      <c r="D176" s="64">
        <v>15.199999999999996</v>
      </c>
      <c r="E176" s="64">
        <v>70.799999999999983</v>
      </c>
      <c r="F176" s="64">
        <v>2.8999999999999986</v>
      </c>
      <c r="G176" s="64">
        <v>120.49999999999997</v>
      </c>
      <c r="H176" s="64">
        <v>0.19999999999999929</v>
      </c>
      <c r="I176" s="64">
        <v>179.79999999999998</v>
      </c>
      <c r="J176" s="64">
        <v>0</v>
      </c>
      <c r="K176" s="64">
        <v>241.60000000000002</v>
      </c>
      <c r="L176" s="64">
        <v>0</v>
      </c>
      <c r="M176" s="64">
        <v>303.60000000000002</v>
      </c>
      <c r="N176" s="64">
        <v>0</v>
      </c>
      <c r="O176" s="64">
        <v>365.59999999999997</v>
      </c>
      <c r="P176" s="64">
        <v>0</v>
      </c>
      <c r="Q176" s="64">
        <v>427.59999999999997</v>
      </c>
      <c r="R176" s="254">
        <v>21.793548387096774</v>
      </c>
      <c r="DQ176" s="6">
        <f>'Monthly Data (longer 09-23)'!E80</f>
        <v>27823012.723403674</v>
      </c>
      <c r="DR176" s="6">
        <f>'Monthly Data (longer 09-23)'!I80</f>
        <v>6767750.2771220542</v>
      </c>
      <c r="DS176" s="6">
        <f>'Monthly Data (longer 09-23)'!M80</f>
        <v>16809253.586746912</v>
      </c>
      <c r="DT176" s="6">
        <f>'Monthly Data (longer 09-23)'!X80</f>
        <v>4072605</v>
      </c>
      <c r="DU176" s="16">
        <f>DQ176/'Monthly Data (longer 09-23)'!F80</f>
        <v>1035.4675371568171</v>
      </c>
      <c r="DV176" s="16">
        <f>DR176/'Monthly Data (longer 09-23)'!J80</f>
        <v>3467.085182951872</v>
      </c>
      <c r="DW176" s="16">
        <f>DS176/'Monthly Data (longer 09-23)'!O80</f>
        <v>79664.708941928489</v>
      </c>
      <c r="DX176" s="16">
        <f>DT176/'Monthly Data (longer 09-23)'!Z80</f>
        <v>678767.5</v>
      </c>
    </row>
    <row r="177" spans="1:128">
      <c r="A177" s="197">
        <f t="shared" si="81"/>
        <v>42217</v>
      </c>
      <c r="B177">
        <v>2015</v>
      </c>
      <c r="C177">
        <v>8</v>
      </c>
      <c r="D177" s="64">
        <v>21.7</v>
      </c>
      <c r="E177" s="64">
        <v>54</v>
      </c>
      <c r="F177" s="64">
        <v>8.5000000000000018</v>
      </c>
      <c r="G177" s="64">
        <v>102.79999999999997</v>
      </c>
      <c r="H177" s="64">
        <v>2.0999999999999996</v>
      </c>
      <c r="I177" s="64">
        <v>158.4</v>
      </c>
      <c r="J177" s="64">
        <v>0</v>
      </c>
      <c r="K177" s="64">
        <v>218.3</v>
      </c>
      <c r="L177" s="64">
        <v>0</v>
      </c>
      <c r="M177" s="64">
        <v>280.3</v>
      </c>
      <c r="N177" s="64">
        <v>0</v>
      </c>
      <c r="O177" s="64">
        <v>342.30000000000007</v>
      </c>
      <c r="P177" s="64">
        <v>0</v>
      </c>
      <c r="Q177" s="64">
        <v>404.30000000000007</v>
      </c>
      <c r="R177" s="254">
        <v>21.041935483870965</v>
      </c>
      <c r="DQ177" s="6">
        <f>'Monthly Data (longer 09-23)'!E81</f>
        <v>28533565.723403674</v>
      </c>
      <c r="DR177" s="6">
        <f>'Monthly Data (longer 09-23)'!I81</f>
        <v>6819987.2771220542</v>
      </c>
      <c r="DS177" s="6">
        <f>'Monthly Data (longer 09-23)'!M81</f>
        <v>16862835.586746912</v>
      </c>
      <c r="DT177" s="6">
        <f>'Monthly Data (longer 09-23)'!X81</f>
        <v>3555685</v>
      </c>
      <c r="DU177" s="16">
        <f>DQ177/'Monthly Data (longer 09-23)'!F81</f>
        <v>1062.1092768808364</v>
      </c>
      <c r="DV177" s="16">
        <f>DR177/'Monthly Data (longer 09-23)'!J81</f>
        <v>3539.1734702242106</v>
      </c>
      <c r="DW177" s="16">
        <f>DS177/'Monthly Data (longer 09-23)'!O81</f>
        <v>79168.242191300058</v>
      </c>
      <c r="DX177" s="16">
        <f>DT177/'Monthly Data (longer 09-23)'!Z81</f>
        <v>592614.16666666663</v>
      </c>
    </row>
    <row r="178" spans="1:128">
      <c r="A178" s="197">
        <f t="shared" si="81"/>
        <v>42248</v>
      </c>
      <c r="B178">
        <v>2015</v>
      </c>
      <c r="C178">
        <v>9</v>
      </c>
      <c r="D178" s="64">
        <v>51.3</v>
      </c>
      <c r="E178" s="64">
        <v>38.599999999999994</v>
      </c>
      <c r="F178" s="64">
        <v>23.099999999999998</v>
      </c>
      <c r="G178" s="64">
        <v>70.400000000000006</v>
      </c>
      <c r="H178" s="64">
        <v>7.2999999999999972</v>
      </c>
      <c r="I178" s="64">
        <v>114.6</v>
      </c>
      <c r="J178" s="64">
        <v>0.19999999999999929</v>
      </c>
      <c r="K178" s="64">
        <v>167.50000000000003</v>
      </c>
      <c r="L178" s="64">
        <v>0</v>
      </c>
      <c r="M178" s="64">
        <v>227.30000000000007</v>
      </c>
      <c r="N178" s="64">
        <v>0</v>
      </c>
      <c r="O178" s="64">
        <v>287.30000000000007</v>
      </c>
      <c r="P178" s="64">
        <v>0</v>
      </c>
      <c r="Q178" s="64">
        <v>347.30000000000013</v>
      </c>
      <c r="R178" s="254">
        <v>19.576666666666668</v>
      </c>
      <c r="DQ178" s="6">
        <f>'Monthly Data (longer 09-23)'!E82</f>
        <v>22645412.723403674</v>
      </c>
      <c r="DR178" s="6">
        <f>'Monthly Data (longer 09-23)'!I82</f>
        <v>6180848.2771220542</v>
      </c>
      <c r="DS178" s="6">
        <f>'Monthly Data (longer 09-23)'!M82</f>
        <v>17464483.586746912</v>
      </c>
      <c r="DT178" s="6">
        <f>'Monthly Data (longer 09-23)'!X82</f>
        <v>3226818</v>
      </c>
      <c r="DU178" s="16">
        <f>DQ178/'Monthly Data (longer 09-23)'!F82</f>
        <v>841.77431876454068</v>
      </c>
      <c r="DV178" s="16">
        <f>DR178/'Monthly Data (longer 09-23)'!J82</f>
        <v>3187.6473837658868</v>
      </c>
      <c r="DW178" s="16">
        <f>DS178/'Monthly Data (longer 09-23)'!O82</f>
        <v>79024.812609714543</v>
      </c>
      <c r="DX178" s="16">
        <f>DT178/'Monthly Data (longer 09-23)'!Z82</f>
        <v>537803</v>
      </c>
    </row>
    <row r="179" spans="1:128">
      <c r="A179" s="197">
        <f t="shared" si="81"/>
        <v>42278</v>
      </c>
      <c r="B179">
        <v>2015</v>
      </c>
      <c r="C179">
        <v>10</v>
      </c>
      <c r="D179" s="64">
        <v>255.50000000000003</v>
      </c>
      <c r="E179" s="64">
        <v>0</v>
      </c>
      <c r="F179" s="64">
        <v>194.50000000000003</v>
      </c>
      <c r="G179" s="64">
        <v>1</v>
      </c>
      <c r="H179" s="64">
        <v>138.6</v>
      </c>
      <c r="I179" s="64">
        <v>7.0999999999999979</v>
      </c>
      <c r="J179" s="64">
        <v>92.5</v>
      </c>
      <c r="K179" s="64">
        <v>22.999999999999996</v>
      </c>
      <c r="L179" s="64">
        <v>52.9</v>
      </c>
      <c r="M179" s="64">
        <v>45.4</v>
      </c>
      <c r="N179" s="64">
        <v>23.499999999999996</v>
      </c>
      <c r="O179" s="64">
        <v>78</v>
      </c>
      <c r="P179" s="64">
        <v>8.1999999999999993</v>
      </c>
      <c r="Q179" s="64">
        <v>124.7</v>
      </c>
      <c r="R179" s="254">
        <v>11.758064516129032</v>
      </c>
      <c r="DQ179" s="6">
        <f>'Monthly Data (longer 09-23)'!E83</f>
        <v>17144608.723403674</v>
      </c>
      <c r="DR179" s="6">
        <f>'Monthly Data (longer 09-23)'!I83</f>
        <v>5577053.2771220542</v>
      </c>
      <c r="DS179" s="6">
        <f>'Monthly Data (longer 09-23)'!M83</f>
        <v>15491531.586746912</v>
      </c>
      <c r="DT179" s="6">
        <f>'Monthly Data (longer 09-23)'!X83</f>
        <v>2870641</v>
      </c>
      <c r="DU179" s="16">
        <f>DQ179/'Monthly Data (longer 09-23)'!F83</f>
        <v>634.53898084324635</v>
      </c>
      <c r="DV179" s="16">
        <f>DR179/'Monthly Data (longer 09-23)'!J83</f>
        <v>2864.4341433600689</v>
      </c>
      <c r="DW179" s="16">
        <f>DS179/'Monthly Data (longer 09-23)'!O83</f>
        <v>73073.262201636375</v>
      </c>
      <c r="DX179" s="16">
        <f>DT179/'Monthly Data (longer 09-23)'!Z83</f>
        <v>478440.16666666669</v>
      </c>
    </row>
    <row r="180" spans="1:128">
      <c r="A180" s="197">
        <f t="shared" si="81"/>
        <v>42309</v>
      </c>
      <c r="B180">
        <v>2015</v>
      </c>
      <c r="C180">
        <v>11</v>
      </c>
      <c r="D180" s="64">
        <v>385.2</v>
      </c>
      <c r="E180" s="64">
        <v>0</v>
      </c>
      <c r="F180" s="64">
        <v>325.2</v>
      </c>
      <c r="G180" s="64">
        <v>0</v>
      </c>
      <c r="H180" s="64">
        <v>266.09999999999997</v>
      </c>
      <c r="I180" s="64">
        <v>0.89999999999999858</v>
      </c>
      <c r="J180" s="64">
        <v>210.49999999999997</v>
      </c>
      <c r="K180" s="64">
        <v>5.2999999999999972</v>
      </c>
      <c r="L180" s="64">
        <v>160.4</v>
      </c>
      <c r="M180" s="64">
        <v>15.199999999999998</v>
      </c>
      <c r="N180" s="64">
        <v>114.4</v>
      </c>
      <c r="O180" s="64">
        <v>29.199999999999992</v>
      </c>
      <c r="P180" s="64">
        <v>77.900000000000006</v>
      </c>
      <c r="Q180" s="64">
        <v>52.699999999999989</v>
      </c>
      <c r="R180" s="254">
        <v>7.16</v>
      </c>
      <c r="DQ180" s="6">
        <f>'Monthly Data (longer 09-23)'!E84</f>
        <v>16846922.723403674</v>
      </c>
      <c r="DR180" s="6">
        <f>'Monthly Data (longer 09-23)'!I84</f>
        <v>5401075.2771220542</v>
      </c>
      <c r="DS180" s="6">
        <f>'Monthly Data (longer 09-23)'!M84</f>
        <v>14874900.586746912</v>
      </c>
      <c r="DT180" s="6">
        <f>'Monthly Data (longer 09-23)'!X84</f>
        <v>2607047</v>
      </c>
      <c r="DU180" s="16">
        <f>DQ180/'Monthly Data (longer 09-23)'!F84</f>
        <v>626.20981761898952</v>
      </c>
      <c r="DV180" s="16">
        <f>DR180/'Monthly Data (longer 09-23)'!J84</f>
        <v>2788.371335633482</v>
      </c>
      <c r="DW180" s="16">
        <f>DS180/'Monthly Data (longer 09-23)'!O84</f>
        <v>69508.881246480902</v>
      </c>
      <c r="DX180" s="16">
        <f>DT180/'Monthly Data (longer 09-23)'!Z84</f>
        <v>651761.75</v>
      </c>
    </row>
    <row r="181" spans="1:128">
      <c r="A181" s="197">
        <f t="shared" si="81"/>
        <v>42339</v>
      </c>
      <c r="B181">
        <v>2015</v>
      </c>
      <c r="C181">
        <v>12</v>
      </c>
      <c r="D181" s="64">
        <v>479.30000000000007</v>
      </c>
      <c r="E181" s="64">
        <v>0</v>
      </c>
      <c r="F181" s="64">
        <v>417.30000000000007</v>
      </c>
      <c r="G181" s="64">
        <v>0</v>
      </c>
      <c r="H181" s="64">
        <v>355.3</v>
      </c>
      <c r="I181" s="64">
        <v>0</v>
      </c>
      <c r="J181" s="64">
        <v>293.29999999999995</v>
      </c>
      <c r="K181" s="64">
        <v>0</v>
      </c>
      <c r="L181" s="64">
        <v>232.09999999999994</v>
      </c>
      <c r="M181" s="64">
        <v>0.80000000000000071</v>
      </c>
      <c r="N181" s="64">
        <v>174.7</v>
      </c>
      <c r="O181" s="64">
        <v>5.4</v>
      </c>
      <c r="P181" s="64">
        <v>121.69999999999999</v>
      </c>
      <c r="Q181" s="64">
        <v>14.400000000000002</v>
      </c>
      <c r="R181" s="254">
        <v>4.5387096774193552</v>
      </c>
      <c r="DQ181" s="6">
        <f>'Monthly Data (longer 09-23)'!E85</f>
        <v>19493995.723403674</v>
      </c>
      <c r="DR181" s="6">
        <f>'Monthly Data (longer 09-23)'!I85</f>
        <v>5640305.2771220542</v>
      </c>
      <c r="DS181" s="6">
        <f>'Monthly Data (longer 09-23)'!M85</f>
        <v>14010124.586746912</v>
      </c>
      <c r="DT181" s="6">
        <f>'Monthly Data (longer 09-23)'!X85</f>
        <v>2364501</v>
      </c>
      <c r="DU181" s="16">
        <f>DQ181/'Monthly Data (longer 09-23)'!F85</f>
        <v>727.17083420634413</v>
      </c>
      <c r="DV181" s="16">
        <f>DR181/'Monthly Data (longer 09-23)'!J85</f>
        <v>2923.952968959074</v>
      </c>
      <c r="DW181" s="16">
        <f>DS181/'Monthly Data (longer 09-23)'!O85</f>
        <v>64861.687901606078</v>
      </c>
      <c r="DX181" s="16">
        <f>DT181/'Monthly Data (longer 09-23)'!Z85</f>
        <v>591125.25</v>
      </c>
    </row>
    <row r="182" spans="1:128">
      <c r="A182" s="197">
        <f t="shared" si="81"/>
        <v>42370</v>
      </c>
      <c r="B182">
        <v>2016</v>
      </c>
      <c r="C182">
        <v>1</v>
      </c>
      <c r="D182" s="64">
        <v>706.9</v>
      </c>
      <c r="E182" s="64">
        <v>0</v>
      </c>
      <c r="F182" s="64">
        <v>644.9</v>
      </c>
      <c r="G182" s="64">
        <v>0</v>
      </c>
      <c r="H182" s="64">
        <v>582.9</v>
      </c>
      <c r="I182" s="64">
        <v>0</v>
      </c>
      <c r="J182" s="64">
        <v>520.9</v>
      </c>
      <c r="K182" s="64">
        <v>0</v>
      </c>
      <c r="L182" s="64">
        <v>458.89999999999992</v>
      </c>
      <c r="M182" s="64">
        <v>0</v>
      </c>
      <c r="N182" s="64">
        <v>396.9</v>
      </c>
      <c r="O182" s="64">
        <v>0</v>
      </c>
      <c r="P182" s="64">
        <v>334.9</v>
      </c>
      <c r="Q182" s="64">
        <v>0</v>
      </c>
      <c r="R182" s="254">
        <v>-2.8032258064516129</v>
      </c>
      <c r="DQ182" s="6">
        <f>'Monthly Data (longer 09-23)'!E86</f>
        <v>20444371.530323215</v>
      </c>
      <c r="DR182" s="6">
        <f>'Monthly Data (longer 09-23)'!I86</f>
        <v>6408605.2854596768</v>
      </c>
      <c r="DS182" s="6">
        <f>'Monthly Data (longer 09-23)'!M86</f>
        <v>14960104.990234362</v>
      </c>
      <c r="DT182" s="6">
        <f>'Monthly Data (longer 09-23)'!X86</f>
        <v>2580598</v>
      </c>
      <c r="DU182" s="16">
        <f>DQ182/'Monthly Data (longer 09-23)'!F86</f>
        <v>762.79275913451295</v>
      </c>
      <c r="DV182" s="16">
        <f>DR182/'Monthly Data (longer 09-23)'!J86</f>
        <v>3310.2300028200812</v>
      </c>
      <c r="DW182" s="16">
        <f>DS182/'Monthly Data (longer 09-23)'!O86</f>
        <v>57761.023128317996</v>
      </c>
      <c r="DX182" s="16">
        <f>DT182/'Monthly Data (longer 09-23)'!Z86</f>
        <v>860199.33333333337</v>
      </c>
    </row>
    <row r="183" spans="1:128">
      <c r="A183" s="197">
        <f t="shared" si="81"/>
        <v>42401</v>
      </c>
      <c r="B183">
        <v>2016</v>
      </c>
      <c r="C183">
        <v>2</v>
      </c>
      <c r="D183" s="64">
        <v>608.20000000000005</v>
      </c>
      <c r="E183" s="64">
        <v>0</v>
      </c>
      <c r="F183" s="64">
        <v>550.19999999999993</v>
      </c>
      <c r="G183" s="64">
        <v>0</v>
      </c>
      <c r="H183" s="64">
        <v>492.2</v>
      </c>
      <c r="I183" s="64">
        <v>0</v>
      </c>
      <c r="J183" s="64">
        <v>434.20000000000005</v>
      </c>
      <c r="K183" s="64">
        <v>0</v>
      </c>
      <c r="L183" s="64">
        <v>376.20000000000005</v>
      </c>
      <c r="M183" s="64">
        <v>0</v>
      </c>
      <c r="N183" s="64">
        <v>318.20000000000005</v>
      </c>
      <c r="O183" s="64">
        <v>0</v>
      </c>
      <c r="P183" s="64">
        <v>262.50000000000006</v>
      </c>
      <c r="Q183" s="64">
        <v>2.3000000000000007</v>
      </c>
      <c r="R183" s="254">
        <v>-0.97241379310344833</v>
      </c>
      <c r="DQ183" s="6">
        <f>'Monthly Data (longer 09-23)'!E87</f>
        <v>18189613.530323215</v>
      </c>
      <c r="DR183" s="6">
        <f>'Monthly Data (longer 09-23)'!I87</f>
        <v>6083562.2854596768</v>
      </c>
      <c r="DS183" s="6">
        <f>'Monthly Data (longer 09-23)'!M87</f>
        <v>14559543.990234362</v>
      </c>
      <c r="DT183" s="6">
        <f>'Monthly Data (longer 09-23)'!X87</f>
        <v>2518509</v>
      </c>
      <c r="DU183" s="16">
        <f>DQ183/'Monthly Data (longer 09-23)'!F87</f>
        <v>677.7559255653631</v>
      </c>
      <c r="DV183" s="16">
        <f>DR183/'Monthly Data (longer 09-23)'!J87</f>
        <v>3140.7136218170763</v>
      </c>
      <c r="DW183" s="16">
        <f>DS183/'Monthly Data (longer 09-23)'!O87</f>
        <v>56214.45556075043</v>
      </c>
      <c r="DX183" s="16">
        <f>DT183/'Monthly Data (longer 09-23)'!Z87</f>
        <v>839503</v>
      </c>
    </row>
    <row r="184" spans="1:128">
      <c r="A184" s="197">
        <f t="shared" si="81"/>
        <v>42430</v>
      </c>
      <c r="B184">
        <v>2016</v>
      </c>
      <c r="C184">
        <v>3</v>
      </c>
      <c r="D184" s="64">
        <v>466.4</v>
      </c>
      <c r="E184" s="64">
        <v>0</v>
      </c>
      <c r="F184" s="64">
        <v>404.4</v>
      </c>
      <c r="G184" s="64">
        <v>0</v>
      </c>
      <c r="H184" s="64">
        <v>342.4</v>
      </c>
      <c r="I184" s="64">
        <v>0</v>
      </c>
      <c r="J184" s="64">
        <v>281</v>
      </c>
      <c r="K184" s="64">
        <v>0.59999999999999964</v>
      </c>
      <c r="L184" s="64">
        <v>224.50000000000003</v>
      </c>
      <c r="M184" s="64">
        <v>6.1</v>
      </c>
      <c r="N184" s="64">
        <v>170.50000000000006</v>
      </c>
      <c r="O184" s="64">
        <v>14.1</v>
      </c>
      <c r="P184" s="64">
        <v>121.50000000000001</v>
      </c>
      <c r="Q184" s="64">
        <v>27.099999999999994</v>
      </c>
      <c r="R184" s="254">
        <v>4.9548387096774196</v>
      </c>
      <c r="DQ184" s="6">
        <f>'Monthly Data (longer 09-23)'!E88</f>
        <v>17798736.530323215</v>
      </c>
      <c r="DR184" s="6">
        <f>'Monthly Data (longer 09-23)'!I88</f>
        <v>6103345.2854596768</v>
      </c>
      <c r="DS184" s="6">
        <f>'Monthly Data (longer 09-23)'!M88</f>
        <v>14651036.990234362</v>
      </c>
      <c r="DT184" s="6">
        <f>'Monthly Data (longer 09-23)'!X88</f>
        <v>2565586</v>
      </c>
      <c r="DU184" s="16">
        <f>DQ184/'Monthly Data (longer 09-23)'!F88</f>
        <v>662.77179409135044</v>
      </c>
      <c r="DV184" s="16">
        <f>DR184/'Monthly Data (longer 09-23)'!J88</f>
        <v>3149.3009728894099</v>
      </c>
      <c r="DW184" s="16">
        <f>DS184/'Monthly Data (longer 09-23)'!O88</f>
        <v>56567.71038700526</v>
      </c>
      <c r="DX184" s="16">
        <f>DT184/'Monthly Data (longer 09-23)'!Z88</f>
        <v>855195.33333333337</v>
      </c>
    </row>
    <row r="185" spans="1:128">
      <c r="A185" s="197">
        <f t="shared" si="81"/>
        <v>42461</v>
      </c>
      <c r="B185">
        <v>2016</v>
      </c>
      <c r="C185">
        <v>4</v>
      </c>
      <c r="D185" s="64">
        <v>392.09999999999991</v>
      </c>
      <c r="E185" s="64">
        <v>0</v>
      </c>
      <c r="F185" s="64">
        <v>332.09999999999997</v>
      </c>
      <c r="G185" s="64">
        <v>0</v>
      </c>
      <c r="H185" s="64">
        <v>272.10000000000002</v>
      </c>
      <c r="I185" s="64">
        <v>0</v>
      </c>
      <c r="J185" s="64">
        <v>214.6</v>
      </c>
      <c r="K185" s="64">
        <v>2.5</v>
      </c>
      <c r="L185" s="64">
        <v>161.5</v>
      </c>
      <c r="M185" s="64">
        <v>9.4</v>
      </c>
      <c r="N185" s="64">
        <v>113.10000000000001</v>
      </c>
      <c r="O185" s="64">
        <v>21.000000000000004</v>
      </c>
      <c r="P185" s="64">
        <v>74.000000000000014</v>
      </c>
      <c r="Q185" s="64">
        <v>41.900000000000006</v>
      </c>
      <c r="R185" s="254">
        <v>6.9300000000000015</v>
      </c>
      <c r="DQ185" s="6">
        <f>'Monthly Data (longer 09-23)'!E89</f>
        <v>16235715.530323217</v>
      </c>
      <c r="DR185" s="6">
        <f>'Monthly Data (longer 09-23)'!I89</f>
        <v>5803136.2854596768</v>
      </c>
      <c r="DS185" s="6">
        <f>'Monthly Data (longer 09-23)'!M89</f>
        <v>14332331.990234362</v>
      </c>
      <c r="DT185" s="6">
        <f>'Monthly Data (longer 09-23)'!X89</f>
        <v>2289773</v>
      </c>
      <c r="DU185" s="16">
        <f>DQ185/'Monthly Data (longer 09-23)'!F89</f>
        <v>604.00727419357202</v>
      </c>
      <c r="DV185" s="16">
        <f>DR185/'Monthly Data (longer 09-23)'!J89</f>
        <v>2992.8500698605862</v>
      </c>
      <c r="DW185" s="16">
        <f>DS185/'Monthly Data (longer 09-23)'!O89</f>
        <v>55124.353808593703</v>
      </c>
      <c r="DX185" s="16">
        <f>DT185/'Monthly Data (longer 09-23)'!Z89</f>
        <v>763257.66666666663</v>
      </c>
    </row>
    <row r="186" spans="1:128">
      <c r="A186" s="197">
        <f t="shared" si="81"/>
        <v>42491</v>
      </c>
      <c r="B186">
        <v>2016</v>
      </c>
      <c r="C186">
        <v>5</v>
      </c>
      <c r="D186" s="64">
        <v>173.29999999999998</v>
      </c>
      <c r="E186" s="64">
        <v>22.100000000000005</v>
      </c>
      <c r="F186" s="64">
        <v>126.6</v>
      </c>
      <c r="G186" s="64">
        <v>37.400000000000006</v>
      </c>
      <c r="H186" s="64">
        <v>82.399999999999991</v>
      </c>
      <c r="I186" s="64">
        <v>55.2</v>
      </c>
      <c r="J186" s="64">
        <v>46.099999999999994</v>
      </c>
      <c r="K186" s="64">
        <v>80.900000000000006</v>
      </c>
      <c r="L186" s="64">
        <v>20.099999999999998</v>
      </c>
      <c r="M186" s="64">
        <v>116.89999999999998</v>
      </c>
      <c r="N186" s="64">
        <v>7.0000000000000009</v>
      </c>
      <c r="O186" s="64">
        <v>165.79999999999998</v>
      </c>
      <c r="P186" s="64">
        <v>2.8</v>
      </c>
      <c r="Q186" s="64">
        <v>223.59999999999997</v>
      </c>
      <c r="R186" s="254">
        <v>15.122580645161293</v>
      </c>
      <c r="DQ186" s="6">
        <f>'Monthly Data (longer 09-23)'!E90</f>
        <v>18754139.530323215</v>
      </c>
      <c r="DR186" s="6">
        <f>'Monthly Data (longer 09-23)'!I90</f>
        <v>6228245.2854596768</v>
      </c>
      <c r="DS186" s="6">
        <f>'Monthly Data (longer 09-23)'!M90</f>
        <v>14811955.990234362</v>
      </c>
      <c r="DT186" s="6">
        <f>'Monthly Data (longer 09-23)'!X90</f>
        <v>2326556</v>
      </c>
      <c r="DU186" s="16">
        <f>DQ186/'Monthly Data (longer 09-23)'!F90</f>
        <v>696.86903724447143</v>
      </c>
      <c r="DV186" s="16">
        <f>DR186/'Monthly Data (longer 09-23)'!J90</f>
        <v>3208.7817029673761</v>
      </c>
      <c r="DW186" s="16">
        <f>DS186/'Monthly Data (longer 09-23)'!O90</f>
        <v>56750.789234614414</v>
      </c>
      <c r="DX186" s="16">
        <f>DT186/'Monthly Data (longer 09-23)'!Z90</f>
        <v>775518.66666666663</v>
      </c>
    </row>
    <row r="187" spans="1:128">
      <c r="A187" s="197">
        <f t="shared" si="81"/>
        <v>42522</v>
      </c>
      <c r="B187">
        <v>2016</v>
      </c>
      <c r="C187">
        <v>6</v>
      </c>
      <c r="D187" s="64">
        <v>18.400000000000002</v>
      </c>
      <c r="E187" s="64">
        <v>52.900000000000006</v>
      </c>
      <c r="F187" s="64">
        <v>6.7999999999999989</v>
      </c>
      <c r="G187" s="64">
        <v>101.3</v>
      </c>
      <c r="H187" s="64">
        <v>0.90000000000000036</v>
      </c>
      <c r="I187" s="64">
        <v>155.4</v>
      </c>
      <c r="J187" s="64">
        <v>0</v>
      </c>
      <c r="K187" s="64">
        <v>214.49999999999991</v>
      </c>
      <c r="L187" s="64">
        <v>0</v>
      </c>
      <c r="M187" s="64">
        <v>274.49999999999989</v>
      </c>
      <c r="N187" s="64">
        <v>0</v>
      </c>
      <c r="O187" s="64">
        <v>334.49999999999989</v>
      </c>
      <c r="P187" s="64">
        <v>0</v>
      </c>
      <c r="Q187" s="64">
        <v>394.49999999999989</v>
      </c>
      <c r="R187" s="254">
        <v>21.150000000000002</v>
      </c>
      <c r="DQ187" s="6">
        <f>'Monthly Data (longer 09-23)'!E91</f>
        <v>25384555.530323215</v>
      </c>
      <c r="DR187" s="6">
        <f>'Monthly Data (longer 09-23)'!I91</f>
        <v>6777772.2854596768</v>
      </c>
      <c r="DS187" s="6">
        <f>'Monthly Data (longer 09-23)'!M91</f>
        <v>16542630.990234362</v>
      </c>
      <c r="DT187" s="6">
        <f>'Monthly Data (longer 09-23)'!X91</f>
        <v>2706683</v>
      </c>
      <c r="DU187" s="16">
        <f>DQ187/'Monthly Data (longer 09-23)'!F91</f>
        <v>946.86693014745845</v>
      </c>
      <c r="DV187" s="16">
        <f>DR187/'Monthly Data (longer 09-23)'!J91</f>
        <v>3520.9206677712605</v>
      </c>
      <c r="DW187" s="16">
        <f>DS187/'Monthly Data (longer 09-23)'!O91</f>
        <v>65906.89637543571</v>
      </c>
      <c r="DX187" s="16">
        <f>DT187/'Monthly Data (longer 09-23)'!Z91</f>
        <v>902227.66666666663</v>
      </c>
    </row>
    <row r="188" spans="1:128">
      <c r="A188" s="197">
        <f t="shared" si="81"/>
        <v>42552</v>
      </c>
      <c r="B188">
        <v>2016</v>
      </c>
      <c r="C188">
        <v>7</v>
      </c>
      <c r="D188" s="64">
        <v>2.6000000000000014</v>
      </c>
      <c r="E188" s="64">
        <v>118.89999999999999</v>
      </c>
      <c r="F188" s="64">
        <v>0</v>
      </c>
      <c r="G188" s="64">
        <v>178.3</v>
      </c>
      <c r="H188" s="64">
        <v>0</v>
      </c>
      <c r="I188" s="64">
        <v>240.29999999999998</v>
      </c>
      <c r="J188" s="64">
        <v>0</v>
      </c>
      <c r="K188" s="64">
        <v>302.3</v>
      </c>
      <c r="L188" s="64">
        <v>0</v>
      </c>
      <c r="M188" s="64">
        <v>364.29999999999995</v>
      </c>
      <c r="N188" s="64">
        <v>0</v>
      </c>
      <c r="O188" s="64">
        <v>426.3</v>
      </c>
      <c r="P188" s="64">
        <v>0</v>
      </c>
      <c r="Q188" s="64">
        <v>488.3</v>
      </c>
      <c r="R188" s="254">
        <v>23.751612903225805</v>
      </c>
      <c r="DQ188" s="6">
        <f>'Monthly Data (longer 09-23)'!E92</f>
        <v>32718193.530323215</v>
      </c>
      <c r="DR188" s="6">
        <f>'Monthly Data (longer 09-23)'!I92</f>
        <v>7694152.2854596768</v>
      </c>
      <c r="DS188" s="6">
        <f>'Monthly Data (longer 09-23)'!M92</f>
        <v>18510097.990234364</v>
      </c>
      <c r="DT188" s="6">
        <f>'Monthly Data (longer 09-23)'!X92</f>
        <v>3094570</v>
      </c>
      <c r="DU188" s="16">
        <f>DQ188/'Monthly Data (longer 09-23)'!F92</f>
        <v>1217.8743171532928</v>
      </c>
      <c r="DV188" s="16">
        <f>DR188/'Monthly Data (longer 09-23)'!J92</f>
        <v>3994.8869602594377</v>
      </c>
      <c r="DW188" s="16">
        <f>DS188/'Monthly Data (longer 09-23)'!O92</f>
        <v>73452.769802517316</v>
      </c>
      <c r="DX188" s="16">
        <f>DT188/'Monthly Data (longer 09-23)'!Z92</f>
        <v>1031523.3333333334</v>
      </c>
    </row>
    <row r="189" spans="1:128">
      <c r="A189" s="197">
        <f t="shared" si="81"/>
        <v>42583</v>
      </c>
      <c r="B189">
        <v>2016</v>
      </c>
      <c r="C189">
        <v>8</v>
      </c>
      <c r="D189" s="64">
        <v>1.3999999999999986</v>
      </c>
      <c r="E189" s="64">
        <v>114.29999999999998</v>
      </c>
      <c r="F189" s="64">
        <v>0</v>
      </c>
      <c r="G189" s="64">
        <v>174.90000000000006</v>
      </c>
      <c r="H189" s="64">
        <v>0</v>
      </c>
      <c r="I189" s="64">
        <v>236.90000000000003</v>
      </c>
      <c r="J189" s="64">
        <v>0</v>
      </c>
      <c r="K189" s="64">
        <v>298.89999999999992</v>
      </c>
      <c r="L189" s="64">
        <v>0</v>
      </c>
      <c r="M189" s="64">
        <v>360.9</v>
      </c>
      <c r="N189" s="64">
        <v>0</v>
      </c>
      <c r="O189" s="64">
        <v>422.90000000000003</v>
      </c>
      <c r="P189" s="64">
        <v>0</v>
      </c>
      <c r="Q189" s="64">
        <v>484.90000000000003</v>
      </c>
      <c r="R189" s="254">
        <v>23.641935483870963</v>
      </c>
      <c r="DQ189" s="6">
        <f>'Monthly Data (longer 09-23)'!E93</f>
        <v>32669359.530323215</v>
      </c>
      <c r="DR189" s="6">
        <f>'Monthly Data (longer 09-23)'!I93</f>
        <v>7705048.2854596768</v>
      </c>
      <c r="DS189" s="6">
        <f>'Monthly Data (longer 09-23)'!M93</f>
        <v>20687725.990234364</v>
      </c>
      <c r="DT189" s="6">
        <f>'Monthly Data (longer 09-23)'!X93</f>
        <v>3564597</v>
      </c>
      <c r="DU189" s="16">
        <f>DQ189/'Monthly Data (longer 09-23)'!F93</f>
        <v>1213.842592343138</v>
      </c>
      <c r="DV189" s="16">
        <f>DR189/'Monthly Data (longer 09-23)'!J93</f>
        <v>4000.5442811317116</v>
      </c>
      <c r="DW189" s="16">
        <f>DS189/'Monthly Data (longer 09-23)'!O93</f>
        <v>82421.219084599055</v>
      </c>
      <c r="DX189" s="16">
        <f>DT189/'Monthly Data (longer 09-23)'!Z93</f>
        <v>1188199</v>
      </c>
    </row>
    <row r="190" spans="1:128">
      <c r="A190" s="197">
        <f t="shared" si="81"/>
        <v>42614</v>
      </c>
      <c r="B190">
        <v>2016</v>
      </c>
      <c r="C190">
        <v>9</v>
      </c>
      <c r="D190" s="64">
        <v>48.5</v>
      </c>
      <c r="E190" s="64">
        <v>29.799999999999997</v>
      </c>
      <c r="F190" s="64">
        <v>19.399999999999995</v>
      </c>
      <c r="G190" s="64">
        <v>60.70000000000001</v>
      </c>
      <c r="H190" s="64">
        <v>3.5999999999999979</v>
      </c>
      <c r="I190" s="64">
        <v>104.9</v>
      </c>
      <c r="J190" s="64">
        <v>0.19999999999999929</v>
      </c>
      <c r="K190" s="64">
        <v>161.5</v>
      </c>
      <c r="L190" s="64">
        <v>0</v>
      </c>
      <c r="M190" s="64">
        <v>221.29999999999998</v>
      </c>
      <c r="N190" s="64">
        <v>0</v>
      </c>
      <c r="O190" s="64">
        <v>281.3</v>
      </c>
      <c r="P190" s="64">
        <v>0</v>
      </c>
      <c r="Q190" s="64">
        <v>341.29999999999995</v>
      </c>
      <c r="R190" s="254">
        <v>19.376666666666665</v>
      </c>
      <c r="DQ190" s="6">
        <f>'Monthly Data (longer 09-23)'!E94</f>
        <v>23856752.530323215</v>
      </c>
      <c r="DR190" s="6">
        <f>'Monthly Data (longer 09-23)'!I94</f>
        <v>6690629.2854596768</v>
      </c>
      <c r="DS190" s="6">
        <f>'Monthly Data (longer 09-23)'!M94</f>
        <v>19809166.990234364</v>
      </c>
      <c r="DT190" s="6">
        <f>'Monthly Data (longer 09-23)'!X94</f>
        <v>2934361</v>
      </c>
      <c r="DU190" s="16">
        <f>DQ190/'Monthly Data (longer 09-23)'!F94</f>
        <v>884.92720539794561</v>
      </c>
      <c r="DV190" s="16">
        <f>DR190/'Monthly Data (longer 09-23)'!J94</f>
        <v>3468.4444196265822</v>
      </c>
      <c r="DW190" s="16">
        <f>DS190/'Monthly Data (longer 09-23)'!O94</f>
        <v>78920.984024838108</v>
      </c>
      <c r="DX190" s="16">
        <f>DT190/'Monthly Data (longer 09-23)'!Z94</f>
        <v>978120.33333333337</v>
      </c>
    </row>
    <row r="191" spans="1:128">
      <c r="A191" s="197">
        <f t="shared" si="81"/>
        <v>42644</v>
      </c>
      <c r="B191">
        <v>2016</v>
      </c>
      <c r="C191">
        <v>10</v>
      </c>
      <c r="D191" s="64">
        <v>224.6</v>
      </c>
      <c r="E191" s="64">
        <v>3.5</v>
      </c>
      <c r="F191" s="64">
        <v>173.20000000000002</v>
      </c>
      <c r="G191" s="64">
        <v>14.099999999999998</v>
      </c>
      <c r="H191" s="64">
        <v>127</v>
      </c>
      <c r="I191" s="64">
        <v>29.9</v>
      </c>
      <c r="J191" s="64">
        <v>88.9</v>
      </c>
      <c r="K191" s="64">
        <v>53.79999999999999</v>
      </c>
      <c r="L191" s="64">
        <v>55.9</v>
      </c>
      <c r="M191" s="64">
        <v>82.799999999999983</v>
      </c>
      <c r="N191" s="64">
        <v>29.8</v>
      </c>
      <c r="O191" s="64">
        <v>118.69999999999999</v>
      </c>
      <c r="P191" s="64">
        <v>11.399999999999999</v>
      </c>
      <c r="Q191" s="64">
        <v>162.29999999999998</v>
      </c>
      <c r="R191" s="254">
        <v>12.867741935483869</v>
      </c>
      <c r="DQ191" s="6">
        <f>'Monthly Data (longer 09-23)'!E95</f>
        <v>18119212.530323215</v>
      </c>
      <c r="DR191" s="6">
        <f>'Monthly Data (longer 09-23)'!I95</f>
        <v>6031579.2854596768</v>
      </c>
      <c r="DS191" s="6">
        <f>'Monthly Data (longer 09-23)'!M95</f>
        <v>17394767.990234364</v>
      </c>
      <c r="DT191" s="6">
        <f>'Monthly Data (longer 09-23)'!X95</f>
        <v>2701535</v>
      </c>
      <c r="DU191" s="16">
        <f>DQ191/'Monthly Data (longer 09-23)'!F95</f>
        <v>670.65967836263144</v>
      </c>
      <c r="DV191" s="16">
        <f>DR191/'Monthly Data (longer 09-23)'!J95</f>
        <v>3128.4124924583384</v>
      </c>
      <c r="DW191" s="16">
        <f>DS191/'Monthly Data (longer 09-23)'!O95</f>
        <v>69301.864502925746</v>
      </c>
      <c r="DX191" s="16">
        <f>DT191/'Monthly Data (longer 09-23)'!Z95</f>
        <v>900511.66666666663</v>
      </c>
    </row>
    <row r="192" spans="1:128">
      <c r="A192" s="197">
        <f t="shared" si="81"/>
        <v>42675</v>
      </c>
      <c r="B192">
        <v>2016</v>
      </c>
      <c r="C192">
        <v>11</v>
      </c>
      <c r="D192" s="64">
        <v>375.3</v>
      </c>
      <c r="E192" s="64">
        <v>0</v>
      </c>
      <c r="F192" s="64">
        <v>315.30000000000007</v>
      </c>
      <c r="G192" s="64">
        <v>0</v>
      </c>
      <c r="H192" s="64">
        <v>255.4</v>
      </c>
      <c r="I192" s="64">
        <v>0.10000000000000142</v>
      </c>
      <c r="J192" s="64">
        <v>200.29999999999998</v>
      </c>
      <c r="K192" s="64">
        <v>5.0000000000000018</v>
      </c>
      <c r="L192" s="64">
        <v>146.9</v>
      </c>
      <c r="M192" s="64">
        <v>11.600000000000001</v>
      </c>
      <c r="N192" s="64">
        <v>98.199999999999989</v>
      </c>
      <c r="O192" s="64">
        <v>22.900000000000002</v>
      </c>
      <c r="P192" s="64">
        <v>60.900000000000006</v>
      </c>
      <c r="Q192" s="64">
        <v>45.600000000000009</v>
      </c>
      <c r="R192" s="254">
        <v>7.49</v>
      </c>
      <c r="DQ192" s="6">
        <f>'Monthly Data (longer 09-23)'!E96</f>
        <v>17041780.530323215</v>
      </c>
      <c r="DR192" s="6">
        <f>'Monthly Data (longer 09-23)'!I96</f>
        <v>5805354.2854596768</v>
      </c>
      <c r="DS192" s="6">
        <f>'Monthly Data (longer 09-23)'!M96</f>
        <v>16436231.990234362</v>
      </c>
      <c r="DT192" s="6">
        <f>'Monthly Data (longer 09-23)'!X96</f>
        <v>2668913</v>
      </c>
      <c r="DU192" s="16">
        <f>DQ192/'Monthly Data (longer 09-23)'!F96</f>
        <v>629.70773862185331</v>
      </c>
      <c r="DV192" s="16">
        <f>DR192/'Monthly Data (longer 09-23)'!J96</f>
        <v>3003.28726614572</v>
      </c>
      <c r="DW192" s="16">
        <f>DS192/'Monthly Data (longer 09-23)'!O96</f>
        <v>65482.995977029328</v>
      </c>
      <c r="DX192" s="16">
        <f>DT192/'Monthly Data (longer 09-23)'!Z96</f>
        <v>889637.66666666663</v>
      </c>
    </row>
    <row r="193" spans="1:128">
      <c r="A193" s="197">
        <f t="shared" si="81"/>
        <v>42705</v>
      </c>
      <c r="B193">
        <v>2016</v>
      </c>
      <c r="C193">
        <v>12</v>
      </c>
      <c r="D193" s="64">
        <v>685.19999999999993</v>
      </c>
      <c r="E193" s="64">
        <v>0</v>
      </c>
      <c r="F193" s="64">
        <v>623.19999999999993</v>
      </c>
      <c r="G193" s="64">
        <v>0</v>
      </c>
      <c r="H193" s="64">
        <v>561.20000000000005</v>
      </c>
      <c r="I193" s="64">
        <v>0</v>
      </c>
      <c r="J193" s="64">
        <v>499.20000000000005</v>
      </c>
      <c r="K193" s="64">
        <v>0</v>
      </c>
      <c r="L193" s="64">
        <v>437.20000000000005</v>
      </c>
      <c r="M193" s="64">
        <v>0</v>
      </c>
      <c r="N193" s="64">
        <v>375.2</v>
      </c>
      <c r="O193" s="64">
        <v>0</v>
      </c>
      <c r="P193" s="64">
        <v>313.2</v>
      </c>
      <c r="Q193" s="64">
        <v>0</v>
      </c>
      <c r="R193" s="254">
        <v>-2.1032258064516132</v>
      </c>
      <c r="DQ193" s="6">
        <f>'Monthly Data (longer 09-23)'!E97</f>
        <v>20517598.530323215</v>
      </c>
      <c r="DR193" s="6">
        <f>'Monthly Data (longer 09-23)'!I97</f>
        <v>6367639.2854596768</v>
      </c>
      <c r="DS193" s="6">
        <f>'Monthly Data (longer 09-23)'!M97</f>
        <v>16007365.990234362</v>
      </c>
      <c r="DT193" s="6">
        <f>'Monthly Data (longer 09-23)'!X97</f>
        <v>2635161</v>
      </c>
      <c r="DU193" s="16">
        <f>DQ193/'Monthly Data (longer 09-23)'!F97</f>
        <v>756.24188309768215</v>
      </c>
      <c r="DV193" s="16">
        <f>DR193/'Monthly Data (longer 09-23)'!J97</f>
        <v>3275.5346118619736</v>
      </c>
      <c r="DW193" s="16">
        <f>DS193/'Monthly Data (longer 09-23)'!O97</f>
        <v>64286.610402547638</v>
      </c>
      <c r="DX193" s="16">
        <f>DT193/'Monthly Data (longer 09-23)'!Z97</f>
        <v>878387</v>
      </c>
    </row>
    <row r="194" spans="1:128">
      <c r="A194" s="197">
        <f t="shared" si="81"/>
        <v>42736</v>
      </c>
      <c r="B194">
        <v>2017</v>
      </c>
      <c r="C194">
        <v>1</v>
      </c>
      <c r="D194" s="64">
        <v>646.20000000000005</v>
      </c>
      <c r="E194" s="64">
        <v>0</v>
      </c>
      <c r="F194" s="64">
        <v>584.19999999999993</v>
      </c>
      <c r="G194" s="64">
        <v>0</v>
      </c>
      <c r="H194" s="64">
        <v>522.19999999999993</v>
      </c>
      <c r="I194" s="64">
        <v>0</v>
      </c>
      <c r="J194" s="64">
        <v>460.19999999999993</v>
      </c>
      <c r="K194" s="64">
        <v>0</v>
      </c>
      <c r="L194" s="64">
        <v>398.19999999999993</v>
      </c>
      <c r="M194" s="64">
        <v>0</v>
      </c>
      <c r="N194" s="64">
        <v>336.2</v>
      </c>
      <c r="O194" s="64">
        <v>0</v>
      </c>
      <c r="P194" s="64">
        <v>274.2</v>
      </c>
      <c r="Q194" s="64">
        <v>0</v>
      </c>
      <c r="R194" s="254">
        <v>-0.84516129032258069</v>
      </c>
      <c r="DQ194" s="6">
        <f>'Monthly Data (longer 09-23)'!E98</f>
        <v>20681776.379516236</v>
      </c>
      <c r="DR194" s="6">
        <f>'Monthly Data (longer 09-23)'!I98</f>
        <v>6836192.372558577</v>
      </c>
      <c r="DS194" s="6">
        <f>'Monthly Data (longer 09-23)'!M98</f>
        <v>14446532.461887022</v>
      </c>
      <c r="DT194" s="6">
        <f>'Monthly Data (longer 09-23)'!X98</f>
        <v>3109978</v>
      </c>
      <c r="DU194" s="16">
        <f>DQ194/'Monthly Data (longer 09-23)'!F98</f>
        <v>762.12464087836668</v>
      </c>
      <c r="DV194" s="16">
        <f>DR194/'Monthly Data (longer 09-23)'!J98</f>
        <v>3509.3390002867436</v>
      </c>
      <c r="DW194" s="16">
        <f>DS194/'Monthly Data (longer 09-23)'!O98</f>
        <v>57786.129847548087</v>
      </c>
      <c r="DX194" s="16">
        <f>DT194/'Monthly Data (longer 09-23)'!Z98</f>
        <v>777494.5</v>
      </c>
    </row>
    <row r="195" spans="1:128">
      <c r="A195" s="197">
        <f t="shared" ref="A195:A241" si="82">DATE(B195,C195,1)</f>
        <v>42767</v>
      </c>
      <c r="B195">
        <v>2017</v>
      </c>
      <c r="C195">
        <v>2</v>
      </c>
      <c r="D195" s="64">
        <v>496.69999999999987</v>
      </c>
      <c r="E195" s="64">
        <v>0</v>
      </c>
      <c r="F195" s="64">
        <v>440.69999999999987</v>
      </c>
      <c r="G195" s="64">
        <v>0</v>
      </c>
      <c r="H195" s="64">
        <v>384.69999999999987</v>
      </c>
      <c r="I195" s="64">
        <v>0</v>
      </c>
      <c r="J195" s="64">
        <v>328.69999999999993</v>
      </c>
      <c r="K195" s="64">
        <v>0</v>
      </c>
      <c r="L195" s="64">
        <v>272.7</v>
      </c>
      <c r="M195" s="64">
        <v>0</v>
      </c>
      <c r="N195" s="64">
        <v>221.09999999999997</v>
      </c>
      <c r="O195" s="64">
        <v>4.4000000000000004</v>
      </c>
      <c r="P195" s="64">
        <v>174.9</v>
      </c>
      <c r="Q195" s="64">
        <v>14.200000000000001</v>
      </c>
      <c r="R195" s="254">
        <v>2.2607142857142857</v>
      </c>
      <c r="DQ195" s="6">
        <f>'Monthly Data (longer 09-23)'!E99</f>
        <v>17714932.379516236</v>
      </c>
      <c r="DR195" s="6">
        <f>'Monthly Data (longer 09-23)'!I99</f>
        <v>5952762.372558577</v>
      </c>
      <c r="DS195" s="6">
        <f>'Monthly Data (longer 09-23)'!M99</f>
        <v>12489324.461887022</v>
      </c>
      <c r="DT195" s="6">
        <f>'Monthly Data (longer 09-23)'!X99</f>
        <v>2736036</v>
      </c>
      <c r="DU195" s="16">
        <f>DQ195/'Monthly Data (longer 09-23)'!F99</f>
        <v>652.5317658581198</v>
      </c>
      <c r="DV195" s="16">
        <f>DR195/'Monthly Data (longer 09-23)'!J99</f>
        <v>3054.2649423081461</v>
      </c>
      <c r="DW195" s="16">
        <f>DS195/'Monthly Data (longer 09-23)'!O99</f>
        <v>49957.297847548092</v>
      </c>
      <c r="DX195" s="16">
        <f>DT195/'Monthly Data (longer 09-23)'!Z99</f>
        <v>684009</v>
      </c>
    </row>
    <row r="196" spans="1:128">
      <c r="A196" s="197">
        <f t="shared" si="82"/>
        <v>42795</v>
      </c>
      <c r="B196">
        <v>2017</v>
      </c>
      <c r="C196">
        <v>3</v>
      </c>
      <c r="D196" s="64">
        <v>569.30000000000007</v>
      </c>
      <c r="E196" s="64">
        <v>0</v>
      </c>
      <c r="F196" s="64">
        <v>507.30000000000007</v>
      </c>
      <c r="G196" s="64">
        <v>0</v>
      </c>
      <c r="H196" s="64">
        <v>445.30000000000013</v>
      </c>
      <c r="I196" s="64">
        <v>0</v>
      </c>
      <c r="J196" s="64">
        <v>383.30000000000007</v>
      </c>
      <c r="K196" s="64">
        <v>0</v>
      </c>
      <c r="L196" s="64">
        <v>322.30000000000007</v>
      </c>
      <c r="M196" s="64">
        <v>1</v>
      </c>
      <c r="N196" s="64">
        <v>264</v>
      </c>
      <c r="O196" s="64">
        <v>4.6999999999999993</v>
      </c>
      <c r="P196" s="64">
        <v>207.1</v>
      </c>
      <c r="Q196" s="64">
        <v>9.7999999999999989</v>
      </c>
      <c r="R196" s="254">
        <v>1.6354838709677419</v>
      </c>
      <c r="DQ196" s="6">
        <f>'Monthly Data (longer 09-23)'!E100</f>
        <v>17378968.379516236</v>
      </c>
      <c r="DR196" s="6">
        <f>'Monthly Data (longer 09-23)'!I100</f>
        <v>6081790.372558577</v>
      </c>
      <c r="DS196" s="6">
        <f>'Monthly Data (longer 09-23)'!M100</f>
        <v>14870617.461887022</v>
      </c>
      <c r="DT196" s="6">
        <f>'Monthly Data (longer 09-23)'!X100</f>
        <v>2956591</v>
      </c>
      <c r="DU196" s="16">
        <f>DQ196/'Monthly Data (longer 09-23)'!F100</f>
        <v>638.76827211806653</v>
      </c>
      <c r="DV196" s="16">
        <f>DR196/'Monthly Data (longer 09-23)'!J100</f>
        <v>3107.7109721811839</v>
      </c>
      <c r="DW196" s="16">
        <f>DS196/'Monthly Data (longer 09-23)'!O100</f>
        <v>59482.469847548091</v>
      </c>
      <c r="DX196" s="16">
        <f>DT196/'Monthly Data (longer 09-23)'!Z100</f>
        <v>739147.75</v>
      </c>
    </row>
    <row r="197" spans="1:128">
      <c r="A197" s="197">
        <f t="shared" si="82"/>
        <v>42826</v>
      </c>
      <c r="B197">
        <v>2017</v>
      </c>
      <c r="C197">
        <v>4</v>
      </c>
      <c r="D197" s="64">
        <v>259.50000000000006</v>
      </c>
      <c r="E197" s="64">
        <v>0</v>
      </c>
      <c r="F197" s="64">
        <v>200.50000000000003</v>
      </c>
      <c r="G197" s="64">
        <v>1</v>
      </c>
      <c r="H197" s="64">
        <v>147.39999999999995</v>
      </c>
      <c r="I197" s="64">
        <v>7.9000000000000021</v>
      </c>
      <c r="J197" s="64">
        <v>100.79999999999997</v>
      </c>
      <c r="K197" s="64">
        <v>21.300000000000004</v>
      </c>
      <c r="L197" s="64">
        <v>59.800000000000011</v>
      </c>
      <c r="M197" s="64">
        <v>40.300000000000004</v>
      </c>
      <c r="N197" s="64">
        <v>28</v>
      </c>
      <c r="O197" s="64">
        <v>68.5</v>
      </c>
      <c r="P197" s="64">
        <v>9.5</v>
      </c>
      <c r="Q197" s="64">
        <v>110.00000000000003</v>
      </c>
      <c r="R197" s="254">
        <v>11.35</v>
      </c>
      <c r="DQ197" s="6">
        <f>'Monthly Data (longer 09-23)'!E101</f>
        <v>16275550.379516236</v>
      </c>
      <c r="DR197" s="6">
        <f>'Monthly Data (longer 09-23)'!I101</f>
        <v>5859659.372558577</v>
      </c>
      <c r="DS197" s="6">
        <f>'Monthly Data (longer 09-23)'!M101</f>
        <v>12959068.461887022</v>
      </c>
      <c r="DT197" s="6">
        <f>'Monthly Data (longer 09-23)'!X101</f>
        <v>2405329</v>
      </c>
      <c r="DU197" s="16">
        <f>DQ197/'Monthly Data (longer 09-23)'!F101</f>
        <v>597.50910016947159</v>
      </c>
      <c r="DV197" s="16">
        <f>DR197/'Monthly Data (longer 09-23)'!J101</f>
        <v>2994.2050958398449</v>
      </c>
      <c r="DW197" s="16">
        <f>DS197/'Monthly Data (longer 09-23)'!O101</f>
        <v>51836.273847548087</v>
      </c>
      <c r="DX197" s="16">
        <f>DT197/'Monthly Data (longer 09-23)'!Z101</f>
        <v>601332.25</v>
      </c>
    </row>
    <row r="198" spans="1:128">
      <c r="A198" s="197">
        <f t="shared" si="82"/>
        <v>42856</v>
      </c>
      <c r="B198">
        <v>2017</v>
      </c>
      <c r="C198">
        <v>5</v>
      </c>
      <c r="D198" s="64">
        <v>187.8</v>
      </c>
      <c r="E198" s="64">
        <v>8.1999999999999993</v>
      </c>
      <c r="F198" s="64">
        <v>135.5</v>
      </c>
      <c r="G198" s="64">
        <v>17.900000000000002</v>
      </c>
      <c r="H198" s="64">
        <v>93.700000000000017</v>
      </c>
      <c r="I198" s="64">
        <v>38.100000000000009</v>
      </c>
      <c r="J198" s="64">
        <v>58.300000000000004</v>
      </c>
      <c r="K198" s="64">
        <v>64.7</v>
      </c>
      <c r="L198" s="64">
        <v>32.1</v>
      </c>
      <c r="M198" s="64">
        <v>100.50000000000001</v>
      </c>
      <c r="N198" s="64">
        <v>14.2</v>
      </c>
      <c r="O198" s="64">
        <v>144.6</v>
      </c>
      <c r="P198" s="64">
        <v>2.0000000000000009</v>
      </c>
      <c r="Q198" s="64">
        <v>194.4</v>
      </c>
      <c r="R198" s="254">
        <v>14.206451612903226</v>
      </c>
      <c r="DQ198" s="6">
        <f>'Monthly Data (longer 09-23)'!E102</f>
        <v>16926841.379516236</v>
      </c>
      <c r="DR198" s="6">
        <f>'Monthly Data (longer 09-23)'!I102</f>
        <v>6077082.372558577</v>
      </c>
      <c r="DS198" s="6">
        <f>'Monthly Data (longer 09-23)'!M102</f>
        <v>14186076.461887022</v>
      </c>
      <c r="DT198" s="6">
        <f>'Monthly Data (longer 09-23)'!X102</f>
        <v>2604156</v>
      </c>
      <c r="DU198" s="16">
        <f>DQ198/'Monthly Data (longer 09-23)'!F102</f>
        <v>620.62188822747805</v>
      </c>
      <c r="DV198" s="16">
        <f>DR198/'Monthly Data (longer 09-23)'!J102</f>
        <v>3092.6627850170876</v>
      </c>
      <c r="DW198" s="16">
        <f>DS198/'Monthly Data (longer 09-23)'!O102</f>
        <v>56744.305847548087</v>
      </c>
      <c r="DX198" s="16">
        <f>DT198/'Monthly Data (longer 09-23)'!Z102</f>
        <v>651039</v>
      </c>
    </row>
    <row r="199" spans="1:128">
      <c r="A199" s="197">
        <f t="shared" si="82"/>
        <v>42887</v>
      </c>
      <c r="B199">
        <v>2017</v>
      </c>
      <c r="C199">
        <v>6</v>
      </c>
      <c r="D199" s="64">
        <v>31.899999999999995</v>
      </c>
      <c r="E199" s="64">
        <v>65.199999999999989</v>
      </c>
      <c r="F199" s="64">
        <v>9.1999999999999957</v>
      </c>
      <c r="G199" s="64">
        <v>102.50000000000003</v>
      </c>
      <c r="H199" s="64">
        <v>0</v>
      </c>
      <c r="I199" s="64">
        <v>153.29999999999998</v>
      </c>
      <c r="J199" s="64">
        <v>0</v>
      </c>
      <c r="K199" s="64">
        <v>213.29999999999998</v>
      </c>
      <c r="L199" s="64">
        <v>0</v>
      </c>
      <c r="M199" s="64">
        <v>273.3</v>
      </c>
      <c r="N199" s="64">
        <v>0</v>
      </c>
      <c r="O199" s="64">
        <v>333.30000000000007</v>
      </c>
      <c r="P199" s="64">
        <v>0</v>
      </c>
      <c r="Q199" s="64">
        <v>393.30000000000007</v>
      </c>
      <c r="R199" s="254">
        <v>21.110000000000003</v>
      </c>
      <c r="DQ199" s="6">
        <f>'Monthly Data (longer 09-23)'!E103</f>
        <v>24525329.379516236</v>
      </c>
      <c r="DR199" s="6">
        <f>'Monthly Data (longer 09-23)'!I103</f>
        <v>6771723.372558577</v>
      </c>
      <c r="DS199" s="6">
        <f>'Monthly Data (longer 09-23)'!M103</f>
        <v>15543861.461887022</v>
      </c>
      <c r="DT199" s="6">
        <f>'Monthly Data (longer 09-23)'!X103</f>
        <v>2874524</v>
      </c>
      <c r="DU199" s="16">
        <f>DQ199/'Monthly Data (longer 09-23)'!F103</f>
        <v>898.29790416512481</v>
      </c>
      <c r="DV199" s="16">
        <f>DR199/'Monthly Data (longer 09-23)'!J103</f>
        <v>3444.4167713929692</v>
      </c>
      <c r="DW199" s="16">
        <f>DS199/'Monthly Data (longer 09-23)'!O103</f>
        <v>62175.445847548093</v>
      </c>
      <c r="DX199" s="16">
        <f>DT199/'Monthly Data (longer 09-23)'!Z103</f>
        <v>718631</v>
      </c>
    </row>
    <row r="200" spans="1:128">
      <c r="A200" s="197">
        <f t="shared" si="82"/>
        <v>42917</v>
      </c>
      <c r="B200">
        <v>2017</v>
      </c>
      <c r="C200">
        <v>7</v>
      </c>
      <c r="D200" s="64">
        <v>1</v>
      </c>
      <c r="E200" s="64">
        <v>76</v>
      </c>
      <c r="F200" s="64">
        <v>0</v>
      </c>
      <c r="G200" s="64">
        <v>137.00000000000003</v>
      </c>
      <c r="H200" s="64">
        <v>0</v>
      </c>
      <c r="I200" s="64">
        <v>198.99999999999997</v>
      </c>
      <c r="J200" s="64">
        <v>0</v>
      </c>
      <c r="K200" s="64">
        <v>260.99999999999994</v>
      </c>
      <c r="L200" s="64">
        <v>0</v>
      </c>
      <c r="M200" s="64">
        <v>323</v>
      </c>
      <c r="N200" s="64">
        <v>0</v>
      </c>
      <c r="O200" s="64">
        <v>385</v>
      </c>
      <c r="P200" s="64">
        <v>0</v>
      </c>
      <c r="Q200" s="64">
        <v>447</v>
      </c>
      <c r="R200" s="254">
        <v>22.41935483870968</v>
      </c>
      <c r="DQ200" s="6">
        <f>'Monthly Data (longer 09-23)'!E104</f>
        <v>29775102.379516236</v>
      </c>
      <c r="DR200" s="6">
        <f>'Monthly Data (longer 09-23)'!I104</f>
        <v>7412106.372558577</v>
      </c>
      <c r="DS200" s="6">
        <f>'Monthly Data (longer 09-23)'!M104</f>
        <v>17365234.461887024</v>
      </c>
      <c r="DT200" s="6">
        <f>'Monthly Data (longer 09-23)'!X104</f>
        <v>2922427</v>
      </c>
      <c r="DU200" s="16">
        <f>DQ200/'Monthly Data (longer 09-23)'!F104</f>
        <v>1089.824764083168</v>
      </c>
      <c r="DV200" s="16">
        <f>DR200/'Monthly Data (longer 09-23)'!J104</f>
        <v>3766.3142136984638</v>
      </c>
      <c r="DW200" s="16">
        <f>DS200/'Monthly Data (longer 09-23)'!O104</f>
        <v>69460.937847548092</v>
      </c>
      <c r="DX200" s="16">
        <f>DT200/'Monthly Data (longer 09-23)'!Z104</f>
        <v>730606.75</v>
      </c>
    </row>
    <row r="201" spans="1:128">
      <c r="A201" s="197">
        <f t="shared" si="82"/>
        <v>42948</v>
      </c>
      <c r="B201">
        <v>2017</v>
      </c>
      <c r="C201">
        <v>8</v>
      </c>
      <c r="D201" s="64">
        <v>22.899999999999995</v>
      </c>
      <c r="E201" s="64">
        <v>34.800000000000011</v>
      </c>
      <c r="F201" s="64">
        <v>6.6999999999999957</v>
      </c>
      <c r="G201" s="64">
        <v>80.600000000000009</v>
      </c>
      <c r="H201" s="64">
        <v>0.5</v>
      </c>
      <c r="I201" s="64">
        <v>136.4</v>
      </c>
      <c r="J201" s="64">
        <v>0</v>
      </c>
      <c r="K201" s="64">
        <v>197.89999999999998</v>
      </c>
      <c r="L201" s="64">
        <v>0</v>
      </c>
      <c r="M201" s="64">
        <v>259.89999999999998</v>
      </c>
      <c r="N201" s="64">
        <v>0</v>
      </c>
      <c r="O201" s="64">
        <v>321.90000000000009</v>
      </c>
      <c r="P201" s="64">
        <v>0</v>
      </c>
      <c r="Q201" s="64">
        <v>383.90000000000015</v>
      </c>
      <c r="R201" s="254">
        <v>20.383870967741935</v>
      </c>
      <c r="DQ201" s="6">
        <f>'Monthly Data (longer 09-23)'!E105</f>
        <v>27308050.379516236</v>
      </c>
      <c r="DR201" s="6">
        <f>'Monthly Data (longer 09-23)'!I105</f>
        <v>7040296.372558577</v>
      </c>
      <c r="DS201" s="6">
        <f>'Monthly Data (longer 09-23)'!M105</f>
        <v>16941793.461887024</v>
      </c>
      <c r="DT201" s="6">
        <f>'Monthly Data (longer 09-23)'!X105</f>
        <v>3048623</v>
      </c>
      <c r="DU201" s="16">
        <f>DQ201/'Monthly Data (longer 09-23)'!F105</f>
        <v>997.48147640414345</v>
      </c>
      <c r="DV201" s="16">
        <f>DR201/'Monthly Data (longer 09-23)'!J105</f>
        <v>3568.3205132075909</v>
      </c>
      <c r="DW201" s="16">
        <f>DS201/'Monthly Data (longer 09-23)'!O105</f>
        <v>67767.173847548096</v>
      </c>
      <c r="DX201" s="16">
        <f>DT201/'Monthly Data (longer 09-23)'!Z105</f>
        <v>762155.75</v>
      </c>
    </row>
    <row r="202" spans="1:128">
      <c r="A202" s="197">
        <f t="shared" si="82"/>
        <v>42979</v>
      </c>
      <c r="B202">
        <v>2017</v>
      </c>
      <c r="C202">
        <v>9</v>
      </c>
      <c r="D202" s="64">
        <v>79.399999999999991</v>
      </c>
      <c r="E202" s="64">
        <v>28.3</v>
      </c>
      <c r="F202" s="64">
        <v>47.5</v>
      </c>
      <c r="G202" s="64">
        <v>56.400000000000006</v>
      </c>
      <c r="H202" s="64">
        <v>22.1</v>
      </c>
      <c r="I202" s="64">
        <v>90.999999999999986</v>
      </c>
      <c r="J202" s="64">
        <v>4.8000000000000007</v>
      </c>
      <c r="K202" s="64">
        <v>133.70000000000002</v>
      </c>
      <c r="L202" s="64">
        <v>0.59999999999999964</v>
      </c>
      <c r="M202" s="64">
        <v>189.50000000000003</v>
      </c>
      <c r="N202" s="64">
        <v>0</v>
      </c>
      <c r="O202" s="64">
        <v>248.90000000000003</v>
      </c>
      <c r="P202" s="64">
        <v>0</v>
      </c>
      <c r="Q202" s="64">
        <v>308.89999999999992</v>
      </c>
      <c r="R202" s="254">
        <v>18.296666666666667</v>
      </c>
      <c r="DQ202" s="6">
        <f>'Monthly Data (longer 09-23)'!E106</f>
        <v>22403228.379516236</v>
      </c>
      <c r="DR202" s="6">
        <f>'Monthly Data (longer 09-23)'!I106</f>
        <v>6606889.372558577</v>
      </c>
      <c r="DS202" s="6">
        <f>'Monthly Data (longer 09-23)'!M106</f>
        <v>17044512.461887024</v>
      </c>
      <c r="DT202" s="6">
        <f>'Monthly Data (longer 09-23)'!X106</f>
        <v>2734668</v>
      </c>
      <c r="DU202" s="16">
        <f>DQ202/'Monthly Data (longer 09-23)'!F106</f>
        <v>817.30795591245248</v>
      </c>
      <c r="DV202" s="16">
        <f>DR202/'Monthly Data (longer 09-23)'!J106</f>
        <v>3346.9551026132608</v>
      </c>
      <c r="DW202" s="16">
        <f>DS202/'Monthly Data (longer 09-23)'!O106</f>
        <v>68178.0498475481</v>
      </c>
      <c r="DX202" s="16">
        <f>DT202/'Monthly Data (longer 09-23)'!Z106</f>
        <v>683667</v>
      </c>
    </row>
    <row r="203" spans="1:128">
      <c r="A203" s="197">
        <f t="shared" si="82"/>
        <v>43009</v>
      </c>
      <c r="B203">
        <v>2017</v>
      </c>
      <c r="C203">
        <v>10</v>
      </c>
      <c r="D203" s="64">
        <v>206</v>
      </c>
      <c r="E203" s="64">
        <v>4.4000000000000021</v>
      </c>
      <c r="F203" s="64">
        <v>151.59999999999997</v>
      </c>
      <c r="G203" s="64">
        <v>12.000000000000004</v>
      </c>
      <c r="H203" s="64">
        <v>105.10000000000001</v>
      </c>
      <c r="I203" s="64">
        <v>27.5</v>
      </c>
      <c r="J203" s="64">
        <v>71</v>
      </c>
      <c r="K203" s="64">
        <v>55.4</v>
      </c>
      <c r="L203" s="64">
        <v>45</v>
      </c>
      <c r="M203" s="64">
        <v>91.399999999999991</v>
      </c>
      <c r="N203" s="64">
        <v>27.4</v>
      </c>
      <c r="O203" s="64">
        <v>135.79999999999998</v>
      </c>
      <c r="P203" s="64">
        <v>15.099999999999998</v>
      </c>
      <c r="Q203" s="64">
        <v>185.49999999999997</v>
      </c>
      <c r="R203" s="254">
        <v>13.496774193548386</v>
      </c>
      <c r="DQ203" s="6">
        <f>'Monthly Data (longer 09-23)'!E107</f>
        <v>19127092.379516236</v>
      </c>
      <c r="DR203" s="6">
        <f>'Monthly Data (longer 09-23)'!I107</f>
        <v>6052502.372558577</v>
      </c>
      <c r="DS203" s="6">
        <f>'Monthly Data (longer 09-23)'!M107</f>
        <v>15614935.461887022</v>
      </c>
      <c r="DT203" s="6">
        <f>'Monthly Data (longer 09-23)'!X107</f>
        <v>2665747</v>
      </c>
      <c r="DU203" s="16">
        <f>DQ203/'Monthly Data (longer 09-23)'!F107</f>
        <v>697.30559167029662</v>
      </c>
      <c r="DV203" s="16">
        <f>DR203/'Monthly Data (longer 09-23)'!J107</f>
        <v>3063.0072735620329</v>
      </c>
      <c r="DW203" s="16">
        <f>DS203/'Monthly Data (longer 09-23)'!O107</f>
        <v>62459.741847548088</v>
      </c>
      <c r="DX203" s="16">
        <f>DT203/'Monthly Data (longer 09-23)'!Z107</f>
        <v>666436.75</v>
      </c>
    </row>
    <row r="204" spans="1:128">
      <c r="A204" s="197">
        <f t="shared" si="82"/>
        <v>43040</v>
      </c>
      <c r="B204">
        <v>2017</v>
      </c>
      <c r="C204">
        <v>11</v>
      </c>
      <c r="D204" s="64">
        <v>474.93552299140981</v>
      </c>
      <c r="E204" s="64">
        <v>0</v>
      </c>
      <c r="F204" s="64">
        <v>414.93552299140981</v>
      </c>
      <c r="G204" s="64">
        <v>0</v>
      </c>
      <c r="H204" s="64">
        <v>354.93552299140981</v>
      </c>
      <c r="I204" s="64">
        <v>0</v>
      </c>
      <c r="J204" s="64">
        <v>294.93552299140987</v>
      </c>
      <c r="K204" s="64">
        <v>0</v>
      </c>
      <c r="L204" s="64">
        <v>235.33552299140985</v>
      </c>
      <c r="M204" s="64">
        <v>0.40000000000000036</v>
      </c>
      <c r="N204" s="64">
        <v>179.03552299140983</v>
      </c>
      <c r="O204" s="64">
        <v>4.1000000000000014</v>
      </c>
      <c r="P204" s="64">
        <v>125.03552299140979</v>
      </c>
      <c r="Q204" s="64">
        <v>10.100000000000001</v>
      </c>
      <c r="R204" s="254">
        <v>4.1688159002863392</v>
      </c>
      <c r="DQ204" s="6">
        <f>'Monthly Data (longer 09-23)'!E108</f>
        <v>18138322.379516236</v>
      </c>
      <c r="DR204" s="6">
        <f>'Monthly Data (longer 09-23)'!I108</f>
        <v>5976394.372558577</v>
      </c>
      <c r="DS204" s="6">
        <f>'Monthly Data (longer 09-23)'!M108</f>
        <v>14960151.461887022</v>
      </c>
      <c r="DT204" s="6">
        <f>'Monthly Data (longer 09-23)'!X108</f>
        <v>2738878</v>
      </c>
      <c r="DU204" s="16">
        <f>DQ204/'Monthly Data (longer 09-23)'!F108</f>
        <v>660.07941990306188</v>
      </c>
      <c r="DV204" s="16">
        <f>DR204/'Monthly Data (longer 09-23)'!J108</f>
        <v>3022.9612405455623</v>
      </c>
      <c r="DW204" s="16">
        <f>DS204/'Monthly Data (longer 09-23)'!O108</f>
        <v>59840.60584754809</v>
      </c>
      <c r="DX204" s="16">
        <f>DT204/'Monthly Data (longer 09-23)'!Z108</f>
        <v>684719.5</v>
      </c>
    </row>
    <row r="205" spans="1:128">
      <c r="A205" s="197">
        <f t="shared" si="82"/>
        <v>43070</v>
      </c>
      <c r="B205">
        <v>2017</v>
      </c>
      <c r="C205">
        <v>12</v>
      </c>
      <c r="D205" s="64">
        <v>734.00000000000011</v>
      </c>
      <c r="E205" s="64">
        <v>0</v>
      </c>
      <c r="F205" s="64">
        <v>672.00000000000011</v>
      </c>
      <c r="G205" s="64">
        <v>0</v>
      </c>
      <c r="H205" s="64">
        <v>610.00000000000011</v>
      </c>
      <c r="I205" s="64">
        <v>0</v>
      </c>
      <c r="J205" s="64">
        <v>548.00000000000011</v>
      </c>
      <c r="K205" s="64">
        <v>0</v>
      </c>
      <c r="L205" s="64">
        <v>486.00000000000006</v>
      </c>
      <c r="M205" s="64">
        <v>0</v>
      </c>
      <c r="N205" s="64">
        <v>424.00000000000006</v>
      </c>
      <c r="O205" s="64">
        <v>0</v>
      </c>
      <c r="P205" s="64">
        <v>362.00000000000006</v>
      </c>
      <c r="Q205" s="64">
        <v>0</v>
      </c>
      <c r="R205" s="254">
        <v>-3.6774193548387095</v>
      </c>
      <c r="DQ205" s="6">
        <f>'Monthly Data (longer 09-23)'!E109</f>
        <v>21160329.379516236</v>
      </c>
      <c r="DR205" s="6">
        <f>'Monthly Data (longer 09-23)'!I109</f>
        <v>6548924.372558577</v>
      </c>
      <c r="DS205" s="6">
        <f>'Monthly Data (longer 09-23)'!M109</f>
        <v>13081358.461887022</v>
      </c>
      <c r="DT205" s="6">
        <f>'Monthly Data (longer 09-23)'!X109</f>
        <v>2623050</v>
      </c>
      <c r="DU205" s="16">
        <f>DQ205/'Monthly Data (longer 09-23)'!F109</f>
        <v>768.82350686757388</v>
      </c>
      <c r="DV205" s="16">
        <f>DR205/'Monthly Data (longer 09-23)'!J109</f>
        <v>3310.8818870366922</v>
      </c>
      <c r="DW205" s="16">
        <f>DS205/'Monthly Data (longer 09-23)'!O109</f>
        <v>52325.433847548091</v>
      </c>
      <c r="DX205" s="16">
        <f>DT205/'Monthly Data (longer 09-23)'!Z109</f>
        <v>524610</v>
      </c>
    </row>
    <row r="206" spans="1:128">
      <c r="A206" s="197">
        <f t="shared" si="82"/>
        <v>43101</v>
      </c>
      <c r="B206">
        <v>2018</v>
      </c>
      <c r="C206">
        <v>1</v>
      </c>
      <c r="D206" s="64">
        <v>767.60000000000014</v>
      </c>
      <c r="E206" s="64">
        <v>0</v>
      </c>
      <c r="F206" s="64">
        <v>705.60000000000014</v>
      </c>
      <c r="G206" s="64">
        <v>0</v>
      </c>
      <c r="H206" s="64">
        <v>643.6</v>
      </c>
      <c r="I206" s="64">
        <v>0</v>
      </c>
      <c r="J206" s="64">
        <v>581.6</v>
      </c>
      <c r="K206" s="64">
        <v>0</v>
      </c>
      <c r="L206" s="64">
        <v>519.59999999999991</v>
      </c>
      <c r="M206" s="64">
        <v>0</v>
      </c>
      <c r="N206" s="64">
        <v>457.59999999999985</v>
      </c>
      <c r="O206" s="64">
        <v>0</v>
      </c>
      <c r="P206" s="64">
        <v>396.89999999999986</v>
      </c>
      <c r="Q206" s="64">
        <v>1.3000000000000007</v>
      </c>
      <c r="R206" s="254">
        <v>-4.7612903225806438</v>
      </c>
      <c r="DQ206" s="6">
        <f>'Monthly Data (longer 09-23)'!E110</f>
        <v>22336162.245851178</v>
      </c>
      <c r="DR206" s="6">
        <f>'Monthly Data (longer 09-23)'!I110</f>
        <v>6961673.0655590976</v>
      </c>
      <c r="DS206" s="6">
        <f>'Monthly Data (longer 09-23)'!M110</f>
        <v>15580080.174657103</v>
      </c>
      <c r="DT206" s="6">
        <f>'Monthly Data (longer 09-23)'!X110</f>
        <v>2945901</v>
      </c>
      <c r="DU206" s="16">
        <f>DQ206/'Monthly Data (longer 09-23)'!F110</f>
        <v>810.80885167167048</v>
      </c>
      <c r="DV206" s="16">
        <f>DR206/'Monthly Data (longer 09-23)'!J110</f>
        <v>3519.5516003837702</v>
      </c>
      <c r="DW206" s="16">
        <f>DS206/'Monthly Data (longer 09-23)'!O110</f>
        <v>62320.320698628413</v>
      </c>
      <c r="DX206" s="16">
        <f>DT206/'Monthly Data (longer 09-23)'!Z110</f>
        <v>589180.19999999995</v>
      </c>
    </row>
    <row r="207" spans="1:128">
      <c r="A207" s="197">
        <f t="shared" si="82"/>
        <v>43132</v>
      </c>
      <c r="B207">
        <v>2018</v>
      </c>
      <c r="C207">
        <v>2</v>
      </c>
      <c r="D207" s="64">
        <v>600.5</v>
      </c>
      <c r="E207" s="64">
        <v>0</v>
      </c>
      <c r="F207" s="64">
        <v>544.49999999999989</v>
      </c>
      <c r="G207" s="64">
        <v>0</v>
      </c>
      <c r="H207" s="64">
        <v>488.49999999999994</v>
      </c>
      <c r="I207" s="64">
        <v>0</v>
      </c>
      <c r="J207" s="64">
        <v>432.49999999999994</v>
      </c>
      <c r="K207" s="64">
        <v>0</v>
      </c>
      <c r="L207" s="64">
        <v>377.5</v>
      </c>
      <c r="M207" s="64">
        <v>1</v>
      </c>
      <c r="N207" s="64">
        <v>323.5</v>
      </c>
      <c r="O207" s="64">
        <v>3</v>
      </c>
      <c r="P207" s="64">
        <v>270.39999999999998</v>
      </c>
      <c r="Q207" s="64">
        <v>5.9</v>
      </c>
      <c r="R207" s="254">
        <v>-1.4464285714285716</v>
      </c>
      <c r="DQ207" s="6">
        <f>'Monthly Data (longer 09-23)'!E111</f>
        <v>19216319.245851178</v>
      </c>
      <c r="DR207" s="6">
        <f>'Monthly Data (longer 09-23)'!I111</f>
        <v>6369392.0655590976</v>
      </c>
      <c r="DS207" s="6">
        <f>'Monthly Data (longer 09-23)'!M111</f>
        <v>11579961.174657103</v>
      </c>
      <c r="DT207" s="6">
        <f>'Monthly Data (longer 09-23)'!X111</f>
        <v>2641888</v>
      </c>
      <c r="DU207" s="16">
        <f>DQ207/'Monthly Data (longer 09-23)'!F111</f>
        <v>696.9505021707231</v>
      </c>
      <c r="DV207" s="16">
        <f>DR207/'Monthly Data (longer 09-23)'!J111</f>
        <v>3226.6423837685397</v>
      </c>
      <c r="DW207" s="16">
        <f>DS207/'Monthly Data (longer 09-23)'!O111</f>
        <v>46505.868171313668</v>
      </c>
      <c r="DX207" s="16">
        <f>DT207/'Monthly Data (longer 09-23)'!Z111</f>
        <v>528377.59999999998</v>
      </c>
    </row>
    <row r="208" spans="1:128">
      <c r="A208" s="197">
        <f t="shared" si="82"/>
        <v>43160</v>
      </c>
      <c r="B208">
        <v>2018</v>
      </c>
      <c r="C208">
        <v>3</v>
      </c>
      <c r="D208" s="64">
        <v>596.4</v>
      </c>
      <c r="E208" s="64">
        <v>0</v>
      </c>
      <c r="F208" s="64">
        <v>534.40000000000009</v>
      </c>
      <c r="G208" s="64">
        <v>0</v>
      </c>
      <c r="H208" s="64">
        <v>472.40000000000003</v>
      </c>
      <c r="I208" s="64">
        <v>0</v>
      </c>
      <c r="J208" s="64">
        <v>410.40000000000009</v>
      </c>
      <c r="K208" s="64">
        <v>0</v>
      </c>
      <c r="L208" s="64">
        <v>348.40000000000009</v>
      </c>
      <c r="M208" s="64">
        <v>0</v>
      </c>
      <c r="N208" s="64">
        <v>286.40000000000003</v>
      </c>
      <c r="O208" s="64">
        <v>0</v>
      </c>
      <c r="P208" s="64">
        <v>224.4</v>
      </c>
      <c r="Q208" s="64">
        <v>0</v>
      </c>
      <c r="R208" s="254">
        <v>0.76129032258064511</v>
      </c>
      <c r="DQ208" s="6">
        <f>'Monthly Data (longer 09-23)'!E112</f>
        <v>18321227.245851178</v>
      </c>
      <c r="DR208" s="6">
        <f>'Monthly Data (longer 09-23)'!I112</f>
        <v>6287610.0655590976</v>
      </c>
      <c r="DS208" s="6">
        <f>'Monthly Data (longer 09-23)'!M112</f>
        <v>14641672.174657103</v>
      </c>
      <c r="DT208" s="6">
        <f>'Monthly Data (longer 09-23)'!X112</f>
        <v>2707092</v>
      </c>
      <c r="DU208" s="16">
        <f>DQ208/'Monthly Data (longer 09-23)'!F112</f>
        <v>664.31804075025116</v>
      </c>
      <c r="DV208" s="16">
        <f>DR208/'Monthly Data (longer 09-23)'!J112</f>
        <v>3185.2127991687425</v>
      </c>
      <c r="DW208" s="16">
        <f>DS208/'Monthly Data (longer 09-23)'!O112</f>
        <v>58801.896283763468</v>
      </c>
      <c r="DX208" s="16">
        <f>DT208/'Monthly Data (longer 09-23)'!Z112</f>
        <v>541418.4</v>
      </c>
    </row>
    <row r="209" spans="1:128">
      <c r="A209" s="197">
        <f t="shared" si="82"/>
        <v>43191</v>
      </c>
      <c r="B209">
        <v>2018</v>
      </c>
      <c r="C209">
        <v>4</v>
      </c>
      <c r="D209" s="64">
        <v>455.59999999999997</v>
      </c>
      <c r="E209" s="64">
        <v>0</v>
      </c>
      <c r="F209" s="64">
        <v>395.6</v>
      </c>
      <c r="G209" s="64">
        <v>0</v>
      </c>
      <c r="H209" s="64">
        <v>335.59999999999997</v>
      </c>
      <c r="I209" s="64">
        <v>0</v>
      </c>
      <c r="J209" s="64">
        <v>275.70000000000005</v>
      </c>
      <c r="K209" s="64">
        <v>9.9999999999999645E-2</v>
      </c>
      <c r="L209" s="64">
        <v>217.89999999999998</v>
      </c>
      <c r="M209" s="64">
        <v>2.2999999999999989</v>
      </c>
      <c r="N209" s="64">
        <v>165</v>
      </c>
      <c r="O209" s="64">
        <v>9.4</v>
      </c>
      <c r="P209" s="64">
        <v>116.89999999999999</v>
      </c>
      <c r="Q209" s="64">
        <v>21.3</v>
      </c>
      <c r="R209" s="254">
        <v>4.8133333333333344</v>
      </c>
      <c r="DQ209" s="6">
        <f>'Monthly Data (longer 09-23)'!E113</f>
        <v>17447768.245851178</v>
      </c>
      <c r="DR209" s="6">
        <f>'Monthly Data (longer 09-23)'!I113</f>
        <v>5925059.0655590976</v>
      </c>
      <c r="DS209" s="6">
        <f>'Monthly Data (longer 09-23)'!M113</f>
        <v>13663498.174657103</v>
      </c>
      <c r="DT209" s="6">
        <f>'Monthly Data (longer 09-23)'!X113</f>
        <v>2546244</v>
      </c>
      <c r="DU209" s="16">
        <f>DQ209/'Monthly Data (longer 09-23)'!F113</f>
        <v>632.0052249737812</v>
      </c>
      <c r="DV209" s="16">
        <f>DR209/'Monthly Data (longer 09-23)'!J113</f>
        <v>3003.0709911602116</v>
      </c>
      <c r="DW209" s="16">
        <f>DS209/'Monthly Data (longer 09-23)'!O113</f>
        <v>54873.486645209246</v>
      </c>
      <c r="DX209" s="16">
        <f>DT209/'Monthly Data (longer 09-23)'!Z113</f>
        <v>509248.8</v>
      </c>
    </row>
    <row r="210" spans="1:128">
      <c r="A210" s="197">
        <f t="shared" si="82"/>
        <v>43221</v>
      </c>
      <c r="B210">
        <v>2018</v>
      </c>
      <c r="C210">
        <v>5</v>
      </c>
      <c r="D210" s="64">
        <v>105.4</v>
      </c>
      <c r="E210" s="64">
        <v>30.400000000000006</v>
      </c>
      <c r="F210" s="64">
        <v>62.900000000000006</v>
      </c>
      <c r="G210" s="64">
        <v>49.900000000000006</v>
      </c>
      <c r="H210" s="64">
        <v>33.099999999999994</v>
      </c>
      <c r="I210" s="64">
        <v>82.1</v>
      </c>
      <c r="J210" s="64">
        <v>16.699999999999996</v>
      </c>
      <c r="K210" s="64">
        <v>127.69999999999999</v>
      </c>
      <c r="L210" s="64">
        <v>9.1</v>
      </c>
      <c r="M210" s="64">
        <v>182.1</v>
      </c>
      <c r="N210" s="64">
        <v>4.7</v>
      </c>
      <c r="O210" s="64">
        <v>239.70000000000002</v>
      </c>
      <c r="P210" s="64">
        <v>1.2000000000000002</v>
      </c>
      <c r="Q210" s="64">
        <v>298.20000000000005</v>
      </c>
      <c r="R210" s="254">
        <v>17.580645161290327</v>
      </c>
      <c r="DQ210" s="6">
        <f>'Monthly Data (longer 09-23)'!E114</f>
        <v>20454320.245851178</v>
      </c>
      <c r="DR210" s="6">
        <f>'Monthly Data (longer 09-23)'!I114</f>
        <v>6527889.0655590976</v>
      </c>
      <c r="DS210" s="6">
        <f>'Monthly Data (longer 09-23)'!M114</f>
        <v>14444843.174657103</v>
      </c>
      <c r="DT210" s="6">
        <f>'Monthly Data (longer 09-23)'!X114</f>
        <v>2646635</v>
      </c>
      <c r="DU210" s="16">
        <f>DQ210/'Monthly Data (longer 09-23)'!F114</f>
        <v>740.66918619101887</v>
      </c>
      <c r="DV210" s="16">
        <f>DR210/'Monthly Data (longer 09-23)'!J114</f>
        <v>3308.6107782864156</v>
      </c>
      <c r="DW210" s="16">
        <f>DS210/'Monthly Data (longer 09-23)'!O114</f>
        <v>58011.418372116881</v>
      </c>
      <c r="DX210" s="16">
        <f>DT210/'Monthly Data (longer 09-23)'!Z114</f>
        <v>529327</v>
      </c>
    </row>
    <row r="211" spans="1:128">
      <c r="A211" s="197">
        <f t="shared" si="82"/>
        <v>43252</v>
      </c>
      <c r="B211">
        <v>2018</v>
      </c>
      <c r="C211">
        <v>6</v>
      </c>
      <c r="D211" s="64">
        <v>25.500000000000004</v>
      </c>
      <c r="E211" s="64">
        <v>51.8</v>
      </c>
      <c r="F211" s="64">
        <v>7.6000000000000014</v>
      </c>
      <c r="G211" s="64">
        <v>93.9</v>
      </c>
      <c r="H211" s="64">
        <v>2.5</v>
      </c>
      <c r="I211" s="64">
        <v>148.80000000000001</v>
      </c>
      <c r="J211" s="64">
        <v>0</v>
      </c>
      <c r="K211" s="64">
        <v>206.29999999999998</v>
      </c>
      <c r="L211" s="64">
        <v>0</v>
      </c>
      <c r="M211" s="64">
        <v>266.29999999999995</v>
      </c>
      <c r="N211" s="64">
        <v>0</v>
      </c>
      <c r="O211" s="64">
        <v>326.29999999999995</v>
      </c>
      <c r="P211" s="64">
        <v>0</v>
      </c>
      <c r="Q211" s="64">
        <v>386.29999999999995</v>
      </c>
      <c r="R211" s="254">
        <v>20.876666666666669</v>
      </c>
      <c r="DQ211" s="6">
        <f>'Monthly Data (longer 09-23)'!E115</f>
        <v>25949584.245851178</v>
      </c>
      <c r="DR211" s="6">
        <f>'Monthly Data (longer 09-23)'!I115</f>
        <v>6961182.0655590976</v>
      </c>
      <c r="DS211" s="6">
        <f>'Monthly Data (longer 09-23)'!M115</f>
        <v>15625564.174657103</v>
      </c>
      <c r="DT211" s="6">
        <f>'Monthly Data (longer 09-23)'!X115</f>
        <v>2755014</v>
      </c>
      <c r="DU211" s="16">
        <f>DQ211/'Monthly Data (longer 09-23)'!F115</f>
        <v>939.5895519534788</v>
      </c>
      <c r="DV211" s="16">
        <f>DR211/'Monthly Data (longer 09-23)'!J115</f>
        <v>3506.8927282413588</v>
      </c>
      <c r="DW211" s="16">
        <f>DS211/'Monthly Data (longer 09-23)'!O115</f>
        <v>64039.19743711927</v>
      </c>
      <c r="DX211" s="16">
        <f>DT211/'Monthly Data (longer 09-23)'!Z115</f>
        <v>551002.80000000005</v>
      </c>
    </row>
    <row r="212" spans="1:128">
      <c r="A212" s="197">
        <f t="shared" si="82"/>
        <v>43282</v>
      </c>
      <c r="B212">
        <v>2018</v>
      </c>
      <c r="C212">
        <v>7</v>
      </c>
      <c r="D212" s="64">
        <v>2.5</v>
      </c>
      <c r="E212" s="64">
        <v>103.60000000000002</v>
      </c>
      <c r="F212" s="64">
        <v>0.19999999999999929</v>
      </c>
      <c r="G212" s="64">
        <v>163.30000000000001</v>
      </c>
      <c r="H212" s="64">
        <v>0</v>
      </c>
      <c r="I212" s="64">
        <v>225.1</v>
      </c>
      <c r="J212" s="64">
        <v>0</v>
      </c>
      <c r="K212" s="64">
        <v>287.10000000000008</v>
      </c>
      <c r="L212" s="64">
        <v>0</v>
      </c>
      <c r="M212" s="64">
        <v>349.10000000000008</v>
      </c>
      <c r="N212" s="64">
        <v>0</v>
      </c>
      <c r="O212" s="64">
        <v>411.10000000000014</v>
      </c>
      <c r="P212" s="64">
        <v>0</v>
      </c>
      <c r="Q212" s="64">
        <v>473.10000000000014</v>
      </c>
      <c r="R212" s="254">
        <v>23.261290322580646</v>
      </c>
      <c r="DQ212" s="6">
        <f>'Monthly Data (longer 09-23)'!E116</f>
        <v>33050239.245851178</v>
      </c>
      <c r="DR212" s="6">
        <f>'Monthly Data (longer 09-23)'!I116</f>
        <v>7850728.0655590976</v>
      </c>
      <c r="DS212" s="6">
        <f>'Monthly Data (longer 09-23)'!M116</f>
        <v>17089508.174657103</v>
      </c>
      <c r="DT212" s="6">
        <f>'Monthly Data (longer 09-23)'!X116</f>
        <v>2895706</v>
      </c>
      <c r="DU212" s="16">
        <f>DQ212/'Monthly Data (longer 09-23)'!F116</f>
        <v>1196.5186896622683</v>
      </c>
      <c r="DV212" s="16">
        <f>DR212/'Monthly Data (longer 09-23)'!J116</f>
        <v>3947.0729339160871</v>
      </c>
      <c r="DW212" s="16">
        <f>DS212/'Monthly Data (longer 09-23)'!O116</f>
        <v>71206.284061071259</v>
      </c>
      <c r="DX212" s="16">
        <f>DT212/'Monthly Data (longer 09-23)'!Z116</f>
        <v>579141.19999999995</v>
      </c>
    </row>
    <row r="213" spans="1:128">
      <c r="A213" s="197">
        <f t="shared" si="82"/>
        <v>43313</v>
      </c>
      <c r="B213">
        <v>2018</v>
      </c>
      <c r="C213">
        <v>8</v>
      </c>
      <c r="D213" s="64">
        <v>2.8999999999999986</v>
      </c>
      <c r="E213" s="64">
        <v>100.7</v>
      </c>
      <c r="F213" s="64">
        <v>0</v>
      </c>
      <c r="G213" s="64">
        <v>159.80000000000001</v>
      </c>
      <c r="H213" s="64">
        <v>0</v>
      </c>
      <c r="I213" s="64">
        <v>221.79999999999995</v>
      </c>
      <c r="J213" s="64">
        <v>0</v>
      </c>
      <c r="K213" s="64">
        <v>283.79999999999995</v>
      </c>
      <c r="L213" s="64">
        <v>0</v>
      </c>
      <c r="M213" s="64">
        <v>345.79999999999995</v>
      </c>
      <c r="N213" s="64">
        <v>0</v>
      </c>
      <c r="O213" s="64">
        <v>407.8</v>
      </c>
      <c r="P213" s="64">
        <v>0</v>
      </c>
      <c r="Q213" s="64">
        <v>469.8</v>
      </c>
      <c r="R213" s="254">
        <v>23.154838709677417</v>
      </c>
      <c r="DQ213" s="6">
        <f>'Monthly Data (longer 09-23)'!E117</f>
        <v>32860565.245851178</v>
      </c>
      <c r="DR213" s="6">
        <f>'Monthly Data (longer 09-23)'!I117</f>
        <v>7800585.0655590976</v>
      </c>
      <c r="DS213" s="6">
        <f>'Monthly Data (longer 09-23)'!M117</f>
        <v>17969716.174657103</v>
      </c>
      <c r="DT213" s="6">
        <f>'Monthly Data (longer 09-23)'!X117</f>
        <v>2972667</v>
      </c>
      <c r="DU213" s="16">
        <f>DQ213/'Monthly Data (longer 09-23)'!F117</f>
        <v>1188.2323357747669</v>
      </c>
      <c r="DV213" s="16">
        <f>DR213/'Monthly Data (longer 09-23)'!J117</f>
        <v>3921.8627780588727</v>
      </c>
      <c r="DW213" s="16">
        <f>DS213/'Monthly Data (longer 09-23)'!O117</f>
        <v>75187.096965092482</v>
      </c>
      <c r="DX213" s="16">
        <f>DT213/'Monthly Data (longer 09-23)'!Z117</f>
        <v>594533.4</v>
      </c>
    </row>
    <row r="214" spans="1:128">
      <c r="A214" s="197">
        <f t="shared" si="82"/>
        <v>43344</v>
      </c>
      <c r="B214">
        <v>2018</v>
      </c>
      <c r="C214">
        <v>9</v>
      </c>
      <c r="D214" s="64">
        <v>69.3</v>
      </c>
      <c r="E214" s="64">
        <v>53.199999999999996</v>
      </c>
      <c r="F214" s="64">
        <v>41.400000000000006</v>
      </c>
      <c r="G214" s="64">
        <v>85.300000000000011</v>
      </c>
      <c r="H214" s="64">
        <v>21.2</v>
      </c>
      <c r="I214" s="64">
        <v>125.1</v>
      </c>
      <c r="J214" s="64">
        <v>7.4000000000000021</v>
      </c>
      <c r="K214" s="64">
        <v>171.29999999999995</v>
      </c>
      <c r="L214" s="64">
        <v>0.30000000000000071</v>
      </c>
      <c r="M214" s="64">
        <v>224.19999999999996</v>
      </c>
      <c r="N214" s="64">
        <v>0</v>
      </c>
      <c r="O214" s="64">
        <v>283.89999999999992</v>
      </c>
      <c r="P214" s="64">
        <v>0</v>
      </c>
      <c r="Q214" s="64">
        <v>343.9</v>
      </c>
      <c r="R214" s="254">
        <v>19.463333333333335</v>
      </c>
      <c r="DQ214" s="6">
        <f>'Monthly Data (longer 09-23)'!E118</f>
        <v>24883110.245851178</v>
      </c>
      <c r="DR214" s="6">
        <f>'Monthly Data (longer 09-23)'!I118</f>
        <v>6842448.0655590976</v>
      </c>
      <c r="DS214" s="6">
        <f>'Monthly Data (longer 09-23)'!M118</f>
        <v>18103668.174657103</v>
      </c>
      <c r="DT214" s="6">
        <f>'Monthly Data (longer 09-23)'!X118</f>
        <v>2476319</v>
      </c>
      <c r="DU214" s="16">
        <f>DQ214/'Monthly Data (longer 09-23)'!F118</f>
        <v>899.3461849736583</v>
      </c>
      <c r="DV214" s="16">
        <f>DR214/'Monthly Data (longer 09-23)'!J118</f>
        <v>3459.2760695445386</v>
      </c>
      <c r="DW214" s="16">
        <f>DS214/'Monthly Data (longer 09-23)'!O118</f>
        <v>75431.950727737931</v>
      </c>
      <c r="DX214" s="16">
        <f>DT214/'Monthly Data (longer 09-23)'!Z118</f>
        <v>495263.8</v>
      </c>
    </row>
    <row r="215" spans="1:128">
      <c r="A215" s="197">
        <f t="shared" si="82"/>
        <v>43374</v>
      </c>
      <c r="B215">
        <v>2018</v>
      </c>
      <c r="C215">
        <v>10</v>
      </c>
      <c r="D215" s="64">
        <v>294.60000000000002</v>
      </c>
      <c r="E215" s="64">
        <v>9.8999999999999986</v>
      </c>
      <c r="F215" s="64">
        <v>242.29999999999998</v>
      </c>
      <c r="G215" s="64">
        <v>19.600000000000001</v>
      </c>
      <c r="H215" s="64">
        <v>192.49999999999997</v>
      </c>
      <c r="I215" s="64">
        <v>31.8</v>
      </c>
      <c r="J215" s="64">
        <v>145.99999999999997</v>
      </c>
      <c r="K215" s="64">
        <v>47.3</v>
      </c>
      <c r="L215" s="64">
        <v>104.00000000000001</v>
      </c>
      <c r="M215" s="64">
        <v>67.3</v>
      </c>
      <c r="N215" s="64">
        <v>64</v>
      </c>
      <c r="O215" s="64">
        <v>89.3</v>
      </c>
      <c r="P215" s="64">
        <v>29.499999999999996</v>
      </c>
      <c r="Q215" s="64">
        <v>116.79999999999998</v>
      </c>
      <c r="R215" s="254">
        <v>10.816129032258065</v>
      </c>
      <c r="DQ215" s="6">
        <f>'Monthly Data (longer 09-23)'!E119</f>
        <v>18771880.245851178</v>
      </c>
      <c r="DR215" s="6">
        <f>'Monthly Data (longer 09-23)'!I119</f>
        <v>5904622.0655590976</v>
      </c>
      <c r="DS215" s="6">
        <f>'Monthly Data (longer 09-23)'!M119</f>
        <v>16238325.174657103</v>
      </c>
      <c r="DT215" s="6">
        <f>'Monthly Data (longer 09-23)'!X119</f>
        <v>2237779</v>
      </c>
      <c r="DU215" s="16">
        <f>DQ215/'Monthly Data (longer 09-23)'!F119</f>
        <v>677.44064402205618</v>
      </c>
      <c r="DV215" s="16">
        <f>DR215/'Monthly Data (longer 09-23)'!J119</f>
        <v>2997.2700840401512</v>
      </c>
      <c r="DW215" s="16">
        <f>DS215/'Monthly Data (longer 09-23)'!O119</f>
        <v>62696.236195587269</v>
      </c>
      <c r="DX215" s="16">
        <f>DT215/'Monthly Data (longer 09-23)'!Z119</f>
        <v>559444.75</v>
      </c>
    </row>
    <row r="216" spans="1:128">
      <c r="A216" s="197">
        <f t="shared" si="82"/>
        <v>43405</v>
      </c>
      <c r="B216">
        <v>2018</v>
      </c>
      <c r="C216">
        <v>11</v>
      </c>
      <c r="D216" s="64">
        <v>545.73552299140988</v>
      </c>
      <c r="E216" s="64">
        <v>0</v>
      </c>
      <c r="F216" s="64">
        <v>485.73552299140988</v>
      </c>
      <c r="G216" s="64">
        <v>0</v>
      </c>
      <c r="H216" s="64">
        <v>425.73552299140994</v>
      </c>
      <c r="I216" s="64">
        <v>0</v>
      </c>
      <c r="J216" s="64">
        <v>365.73552299140988</v>
      </c>
      <c r="K216" s="64">
        <v>0</v>
      </c>
      <c r="L216" s="64">
        <v>305.73552299140982</v>
      </c>
      <c r="M216" s="64">
        <v>0</v>
      </c>
      <c r="N216" s="64">
        <v>246.23552299140979</v>
      </c>
      <c r="O216" s="64">
        <v>0.5</v>
      </c>
      <c r="P216" s="64">
        <v>190.23552299140979</v>
      </c>
      <c r="Q216" s="64">
        <v>4.5</v>
      </c>
      <c r="R216" s="254">
        <v>1.80881590028634</v>
      </c>
      <c r="DQ216" s="6">
        <f>'Monthly Data (longer 09-23)'!E120</f>
        <v>18982383.245851178</v>
      </c>
      <c r="DR216" s="6">
        <f>'Monthly Data (longer 09-23)'!I120</f>
        <v>6010558.0655590976</v>
      </c>
      <c r="DS216" s="6">
        <f>'Monthly Data (longer 09-23)'!M120</f>
        <v>15711352.174657103</v>
      </c>
      <c r="DT216" s="6">
        <f>'Monthly Data (longer 09-23)'!X120</f>
        <v>2748670</v>
      </c>
      <c r="DU216" s="16">
        <f>DQ216/'Monthly Data (longer 09-23)'!F120</f>
        <v>684.44448135325513</v>
      </c>
      <c r="DV216" s="16">
        <f>DR216/'Monthly Data (longer 09-23)'!J120</f>
        <v>3052.5942435546458</v>
      </c>
      <c r="DW216" s="16">
        <f>DS216/'Monthly Data (longer 09-23)'!O120</f>
        <v>60196.751627038706</v>
      </c>
      <c r="DX216" s="16">
        <f>DT216/'Monthly Data (longer 09-23)'!Z120</f>
        <v>687167.5</v>
      </c>
    </row>
    <row r="217" spans="1:128">
      <c r="A217" s="197">
        <f t="shared" si="82"/>
        <v>43435</v>
      </c>
      <c r="B217">
        <v>2018</v>
      </c>
      <c r="C217">
        <v>12</v>
      </c>
      <c r="D217" s="64">
        <v>595.80000000000007</v>
      </c>
      <c r="E217" s="64">
        <v>0</v>
      </c>
      <c r="F217" s="64">
        <v>533.80000000000007</v>
      </c>
      <c r="G217" s="64">
        <v>0</v>
      </c>
      <c r="H217" s="64">
        <v>471.79999999999995</v>
      </c>
      <c r="I217" s="64">
        <v>0</v>
      </c>
      <c r="J217" s="64">
        <v>409.79999999999995</v>
      </c>
      <c r="K217" s="64">
        <v>0</v>
      </c>
      <c r="L217" s="64">
        <v>347.7999999999999</v>
      </c>
      <c r="M217" s="64">
        <v>0</v>
      </c>
      <c r="N217" s="64">
        <v>285.8</v>
      </c>
      <c r="O217" s="64">
        <v>0</v>
      </c>
      <c r="P217" s="64">
        <v>225.20000000000002</v>
      </c>
      <c r="Q217" s="64">
        <v>1.4000000000000004</v>
      </c>
      <c r="R217" s="254">
        <v>0.78064516129032258</v>
      </c>
      <c r="DQ217" s="6">
        <f>'Monthly Data (longer 09-23)'!E121</f>
        <v>21382567.245851178</v>
      </c>
      <c r="DR217" s="6">
        <f>'Monthly Data (longer 09-23)'!I121</f>
        <v>6187164.0655590976</v>
      </c>
      <c r="DS217" s="6">
        <f>'Monthly Data (longer 09-23)'!M121</f>
        <v>14656942.174657103</v>
      </c>
      <c r="DT217" s="6">
        <f>'Monthly Data (longer 09-23)'!X121</f>
        <v>2349326</v>
      </c>
      <c r="DU217" s="16">
        <f>DQ217/'Monthly Data (longer 09-23)'!F121</f>
        <v>770.37639594506334</v>
      </c>
      <c r="DV217" s="16">
        <f>DR217/'Monthly Data (longer 09-23)'!J121</f>
        <v>3102.8907048942315</v>
      </c>
      <c r="DW217" s="16">
        <f>DS217/'Monthly Data (longer 09-23)'!O121</f>
        <v>55942.527384187415</v>
      </c>
      <c r="DX217" s="16">
        <f>DT217/'Monthly Data (longer 09-23)'!Z121</f>
        <v>587331.5</v>
      </c>
    </row>
    <row r="218" spans="1:128">
      <c r="A218" s="197">
        <f t="shared" si="82"/>
        <v>43466</v>
      </c>
      <c r="B218">
        <v>2019</v>
      </c>
      <c r="C218">
        <v>1</v>
      </c>
      <c r="D218" s="64">
        <v>773.8</v>
      </c>
      <c r="E218" s="64">
        <v>0</v>
      </c>
      <c r="F218" s="64">
        <v>711.8</v>
      </c>
      <c r="G218" s="64">
        <v>0</v>
      </c>
      <c r="H218" s="64">
        <v>649.79999999999995</v>
      </c>
      <c r="I218" s="64">
        <v>0</v>
      </c>
      <c r="J218" s="64">
        <v>587.79999999999995</v>
      </c>
      <c r="K218" s="64">
        <v>0</v>
      </c>
      <c r="L218" s="64">
        <v>525.79999999999995</v>
      </c>
      <c r="M218" s="64">
        <v>0</v>
      </c>
      <c r="N218" s="64">
        <v>463.8</v>
      </c>
      <c r="O218" s="64">
        <v>0</v>
      </c>
      <c r="P218" s="64">
        <v>401.8</v>
      </c>
      <c r="Q218" s="64">
        <v>0</v>
      </c>
      <c r="R218" s="254">
        <v>-4.9612903225806457</v>
      </c>
      <c r="DQ218" s="6">
        <f>'Monthly Data (longer 09-23)'!E122</f>
        <v>21716101.81829688</v>
      </c>
      <c r="DR218" s="6">
        <f>'Monthly Data (longer 09-23)'!I122</f>
        <v>6704950.0149666099</v>
      </c>
      <c r="DS218" s="6">
        <f>'Monthly Data (longer 09-23)'!M122</f>
        <v>16080001.374472635</v>
      </c>
      <c r="DT218" s="6">
        <f>'Monthly Data (longer 09-23)'!X122</f>
        <v>2994820</v>
      </c>
      <c r="DU218" s="16">
        <f>DQ218/'Monthly Data (longer 09-23)'!F122</f>
        <v>781.68898953590144</v>
      </c>
      <c r="DV218" s="16">
        <f>DR218/'Monthly Data (longer 09-23)'!J122</f>
        <v>3360.8772004845164</v>
      </c>
      <c r="DW218" s="16">
        <f>DS218/'Monthly Data (longer 09-23)'!O122</f>
        <v>61374.051047605477</v>
      </c>
      <c r="DX218" s="16">
        <f>DT218/'Monthly Data (longer 09-23)'!Z122</f>
        <v>748705</v>
      </c>
    </row>
    <row r="219" spans="1:128">
      <c r="A219" s="197">
        <f t="shared" si="82"/>
        <v>43497</v>
      </c>
      <c r="B219">
        <v>2019</v>
      </c>
      <c r="C219">
        <v>2</v>
      </c>
      <c r="D219" s="64">
        <v>636.9000000000002</v>
      </c>
      <c r="E219" s="64">
        <v>0</v>
      </c>
      <c r="F219" s="64">
        <v>580.90000000000009</v>
      </c>
      <c r="G219" s="64">
        <v>0</v>
      </c>
      <c r="H219" s="64">
        <v>524.90000000000009</v>
      </c>
      <c r="I219" s="64">
        <v>0</v>
      </c>
      <c r="J219" s="64">
        <v>468.9</v>
      </c>
      <c r="K219" s="64">
        <v>0</v>
      </c>
      <c r="L219" s="64">
        <v>412.90000000000003</v>
      </c>
      <c r="M219" s="64">
        <v>0</v>
      </c>
      <c r="N219" s="64">
        <v>356.90000000000003</v>
      </c>
      <c r="O219" s="64">
        <v>0</v>
      </c>
      <c r="P219" s="64">
        <v>300.90000000000003</v>
      </c>
      <c r="Q219" s="64">
        <v>0</v>
      </c>
      <c r="R219" s="254">
        <v>-2.7464285714285714</v>
      </c>
      <c r="DQ219" s="6">
        <f>'Monthly Data (longer 09-23)'!E123</f>
        <v>19213803.81829688</v>
      </c>
      <c r="DR219" s="6">
        <f>'Monthly Data (longer 09-23)'!I123</f>
        <v>6155541.0149666099</v>
      </c>
      <c r="DS219" s="6">
        <f>'Monthly Data (longer 09-23)'!M123</f>
        <v>14838000.374472635</v>
      </c>
      <c r="DT219" s="6">
        <f>'Monthly Data (longer 09-23)'!X123</f>
        <v>2804290</v>
      </c>
      <c r="DU219" s="16">
        <f>DQ219/'Monthly Data (longer 09-23)'!F123</f>
        <v>690.34937547775507</v>
      </c>
      <c r="DV219" s="16">
        <f>DR219/'Monthly Data (longer 09-23)'!J123</f>
        <v>3085.4842180283758</v>
      </c>
      <c r="DW219" s="16">
        <f>DS219/'Monthly Data (longer 09-23)'!O123</f>
        <v>56633.589215544409</v>
      </c>
      <c r="DX219" s="16">
        <f>DT219/'Monthly Data (longer 09-23)'!Z123</f>
        <v>701072.5</v>
      </c>
    </row>
    <row r="220" spans="1:128">
      <c r="A220" s="197">
        <f t="shared" si="82"/>
        <v>43525</v>
      </c>
      <c r="B220">
        <v>2019</v>
      </c>
      <c r="C220">
        <v>3</v>
      </c>
      <c r="D220" s="64">
        <v>611.39999999999986</v>
      </c>
      <c r="E220" s="64">
        <v>0</v>
      </c>
      <c r="F220" s="64">
        <v>549.4</v>
      </c>
      <c r="G220" s="64">
        <v>0</v>
      </c>
      <c r="H220" s="64">
        <v>487.4</v>
      </c>
      <c r="I220" s="64">
        <v>0</v>
      </c>
      <c r="J220" s="64">
        <v>425.39999999999992</v>
      </c>
      <c r="K220" s="64">
        <v>0</v>
      </c>
      <c r="L220" s="64">
        <v>363.4</v>
      </c>
      <c r="M220" s="64">
        <v>0</v>
      </c>
      <c r="N220" s="64">
        <v>302.7</v>
      </c>
      <c r="O220" s="64">
        <v>1.3000000000000007</v>
      </c>
      <c r="P220" s="64">
        <v>244.70000000000002</v>
      </c>
      <c r="Q220" s="64">
        <v>5.3000000000000007</v>
      </c>
      <c r="R220" s="254">
        <v>0.27741935483871</v>
      </c>
      <c r="DQ220" s="6">
        <f>'Monthly Data (longer 09-23)'!E124</f>
        <v>19623814.81829688</v>
      </c>
      <c r="DR220" s="6">
        <f>'Monthly Data (longer 09-23)'!I124</f>
        <v>6397986.0149666099</v>
      </c>
      <c r="DS220" s="6">
        <f>'Monthly Data (longer 09-23)'!M124</f>
        <v>15694211.374472635</v>
      </c>
      <c r="DT220" s="6">
        <f>'Monthly Data (longer 09-23)'!X124</f>
        <v>2876384</v>
      </c>
      <c r="DU220" s="16">
        <f>DQ220/'Monthly Data (longer 09-23)'!F124</f>
        <v>704.67591275125244</v>
      </c>
      <c r="DV220" s="16">
        <f>DR220/'Monthly Data (longer 09-23)'!J124</f>
        <v>3207.0105338178496</v>
      </c>
      <c r="DW220" s="16">
        <f>DS220/'Monthly Data (longer 09-23)'!O124</f>
        <v>59901.570131574939</v>
      </c>
      <c r="DX220" s="16">
        <f>DT220/'Monthly Data (longer 09-23)'!Z124</f>
        <v>719096</v>
      </c>
    </row>
    <row r="221" spans="1:128">
      <c r="A221" s="197">
        <f t="shared" si="82"/>
        <v>43556</v>
      </c>
      <c r="B221">
        <v>2019</v>
      </c>
      <c r="C221">
        <v>4</v>
      </c>
      <c r="D221" s="64">
        <v>338.39999999999992</v>
      </c>
      <c r="E221" s="64">
        <v>0</v>
      </c>
      <c r="F221" s="64">
        <v>278.40000000000003</v>
      </c>
      <c r="G221" s="64">
        <v>0</v>
      </c>
      <c r="H221" s="64">
        <v>218.8</v>
      </c>
      <c r="I221" s="64">
        <v>0.39999999999999858</v>
      </c>
      <c r="J221" s="64">
        <v>162.30000000000001</v>
      </c>
      <c r="K221" s="64">
        <v>3.8999999999999986</v>
      </c>
      <c r="L221" s="64">
        <v>109.80000000000001</v>
      </c>
      <c r="M221" s="64">
        <v>11.399999999999999</v>
      </c>
      <c r="N221" s="64">
        <v>69.2</v>
      </c>
      <c r="O221" s="64">
        <v>30.799999999999997</v>
      </c>
      <c r="P221" s="64">
        <v>38.5</v>
      </c>
      <c r="Q221" s="64">
        <v>60.100000000000009</v>
      </c>
      <c r="R221" s="254">
        <v>8.7199999999999989</v>
      </c>
      <c r="DQ221" s="6">
        <f>'Monthly Data (longer 09-23)'!E125</f>
        <v>16928351.81829688</v>
      </c>
      <c r="DR221" s="6">
        <f>'Monthly Data (longer 09-23)'!I125</f>
        <v>5860082.0149666099</v>
      </c>
      <c r="DS221" s="6">
        <f>'Monthly Data (longer 09-23)'!M125</f>
        <v>14423362.374472635</v>
      </c>
      <c r="DT221" s="6">
        <f>'Monthly Data (longer 09-23)'!X125</f>
        <v>2696906</v>
      </c>
      <c r="DU221" s="16">
        <f>DQ221/'Monthly Data (longer 09-23)'!F125</f>
        <v>607.57848748463425</v>
      </c>
      <c r="DV221" s="16">
        <f>DR221/'Monthly Data (longer 09-23)'!J125</f>
        <v>2935.912833149604</v>
      </c>
      <c r="DW221" s="16">
        <f>DS221/'Monthly Data (longer 09-23)'!O125</f>
        <v>55051.001429284865</v>
      </c>
      <c r="DX221" s="16">
        <f>DT221/'Monthly Data (longer 09-23)'!Z125</f>
        <v>674226.5</v>
      </c>
    </row>
    <row r="222" spans="1:128">
      <c r="A222" s="197">
        <f t="shared" si="82"/>
        <v>43586</v>
      </c>
      <c r="B222">
        <v>2019</v>
      </c>
      <c r="C222">
        <v>5</v>
      </c>
      <c r="D222" s="64">
        <v>194.20000000000002</v>
      </c>
      <c r="E222" s="64">
        <v>3.1000000000000014</v>
      </c>
      <c r="F222" s="64">
        <v>139.50000000000006</v>
      </c>
      <c r="G222" s="64">
        <v>10.400000000000002</v>
      </c>
      <c r="H222" s="64">
        <v>89.4</v>
      </c>
      <c r="I222" s="64">
        <v>22.3</v>
      </c>
      <c r="J222" s="64">
        <v>52.599999999999994</v>
      </c>
      <c r="K222" s="64">
        <v>47.5</v>
      </c>
      <c r="L222" s="64">
        <v>26.499999999999996</v>
      </c>
      <c r="M222" s="64">
        <v>83.399999999999991</v>
      </c>
      <c r="N222" s="64">
        <v>9.5</v>
      </c>
      <c r="O222" s="64">
        <v>128.39999999999998</v>
      </c>
      <c r="P222" s="64">
        <v>1.6000000000000005</v>
      </c>
      <c r="Q222" s="64">
        <v>182.50000000000003</v>
      </c>
      <c r="R222" s="254">
        <v>13.835483870967741</v>
      </c>
      <c r="DQ222" s="6">
        <f>'Monthly Data (longer 09-23)'!E126</f>
        <v>17835562.81829688</v>
      </c>
      <c r="DR222" s="6">
        <f>'Monthly Data (longer 09-23)'!I126</f>
        <v>6045338.0149666099</v>
      </c>
      <c r="DS222" s="6">
        <f>'Monthly Data (longer 09-23)'!M126</f>
        <v>14808434.374472635</v>
      </c>
      <c r="DT222" s="6">
        <f>'Monthly Data (longer 09-23)'!X126</f>
        <v>2767778</v>
      </c>
      <c r="DU222" s="16">
        <f>DQ222/'Monthly Data (longer 09-23)'!F126</f>
        <v>639.86377334781082</v>
      </c>
      <c r="DV222" s="16">
        <f>DR222/'Monthly Data (longer 09-23)'!J126</f>
        <v>3028.7264604041134</v>
      </c>
      <c r="DW222" s="16">
        <f>DS222/'Monthly Data (longer 09-23)'!O126</f>
        <v>56520.74188730013</v>
      </c>
      <c r="DX222" s="16">
        <f>DT222/'Monthly Data (longer 09-23)'!Z126</f>
        <v>691944.5</v>
      </c>
    </row>
    <row r="223" spans="1:128">
      <c r="A223" s="197">
        <f t="shared" si="82"/>
        <v>43617</v>
      </c>
      <c r="B223">
        <v>2019</v>
      </c>
      <c r="C223">
        <v>6</v>
      </c>
      <c r="D223" s="64">
        <v>56.1</v>
      </c>
      <c r="E223" s="64">
        <v>32.099999999999994</v>
      </c>
      <c r="F223" s="64">
        <v>23.9</v>
      </c>
      <c r="G223" s="64">
        <v>59.899999999999991</v>
      </c>
      <c r="H223" s="64">
        <v>7.1</v>
      </c>
      <c r="I223" s="64">
        <v>103.1</v>
      </c>
      <c r="J223" s="64">
        <v>1.4000000000000004</v>
      </c>
      <c r="K223" s="64">
        <v>157.4</v>
      </c>
      <c r="L223" s="64">
        <v>0</v>
      </c>
      <c r="M223" s="64">
        <v>216.00000000000003</v>
      </c>
      <c r="N223" s="64">
        <v>0</v>
      </c>
      <c r="O223" s="64">
        <v>275.99999999999994</v>
      </c>
      <c r="P223" s="64">
        <v>0</v>
      </c>
      <c r="Q223" s="64">
        <v>335.99999999999989</v>
      </c>
      <c r="R223" s="254">
        <v>19.200000000000003</v>
      </c>
      <c r="DQ223" s="6">
        <f>'Monthly Data (longer 09-23)'!E127</f>
        <v>23514118.81829688</v>
      </c>
      <c r="DR223" s="6">
        <f>'Monthly Data (longer 09-23)'!I127</f>
        <v>6608458.0149666099</v>
      </c>
      <c r="DS223" s="6">
        <f>'Monthly Data (longer 09-23)'!M127</f>
        <v>15415733.374472635</v>
      </c>
      <c r="DT223" s="6">
        <f>'Monthly Data (longer 09-23)'!X127</f>
        <v>2804829</v>
      </c>
      <c r="DU223" s="16">
        <f>DQ223/'Monthly Data (longer 09-23)'!F127</f>
        <v>842.70934373712078</v>
      </c>
      <c r="DV223" s="16">
        <f>DR223/'Monthly Data (longer 09-23)'!J127</f>
        <v>3310.8507089011073</v>
      </c>
      <c r="DW223" s="16">
        <f>DS223/'Monthly Data (longer 09-23)'!O127</f>
        <v>58838.677001803953</v>
      </c>
      <c r="DX223" s="16">
        <f>DT223/'Monthly Data (longer 09-23)'!Z127</f>
        <v>701207.25</v>
      </c>
    </row>
    <row r="224" spans="1:128">
      <c r="A224" s="197">
        <f t="shared" si="82"/>
        <v>43647</v>
      </c>
      <c r="B224">
        <v>2019</v>
      </c>
      <c r="C224">
        <v>7</v>
      </c>
      <c r="D224" s="64">
        <v>0</v>
      </c>
      <c r="E224" s="64">
        <v>128.46447700859017</v>
      </c>
      <c r="F224" s="64">
        <v>0</v>
      </c>
      <c r="G224" s="64">
        <v>190.46447700859019</v>
      </c>
      <c r="H224" s="64">
        <v>0</v>
      </c>
      <c r="I224" s="64">
        <v>252.46447700859022</v>
      </c>
      <c r="J224" s="64">
        <v>0</v>
      </c>
      <c r="K224" s="64">
        <v>314.46447700859017</v>
      </c>
      <c r="L224" s="64">
        <v>0</v>
      </c>
      <c r="M224" s="64">
        <v>376.46447700859022</v>
      </c>
      <c r="N224" s="64">
        <v>0</v>
      </c>
      <c r="O224" s="64">
        <v>438.46447700859022</v>
      </c>
      <c r="P224" s="64">
        <v>0</v>
      </c>
      <c r="Q224" s="64">
        <v>500.46447700859022</v>
      </c>
      <c r="R224" s="254">
        <v>24.144015387373877</v>
      </c>
      <c r="DQ224" s="6">
        <f>'Monthly Data (longer 09-23)'!E128</f>
        <v>34879844.81829688</v>
      </c>
      <c r="DR224" s="6">
        <f>'Monthly Data (longer 09-23)'!I128</f>
        <v>7890313.0149666099</v>
      </c>
      <c r="DS224" s="6">
        <f>'Monthly Data (longer 09-23)'!M128</f>
        <v>18581661.374472633</v>
      </c>
      <c r="DT224" s="6">
        <f>'Monthly Data (longer 09-23)'!X128</f>
        <v>3303632</v>
      </c>
      <c r="DU224" s="16">
        <f>DQ224/'Monthly Data (longer 09-23)'!F128</f>
        <v>1249.5466367520555</v>
      </c>
      <c r="DV224" s="16">
        <f>DR224/'Monthly Data (longer 09-23)'!J128</f>
        <v>3951.0831321815772</v>
      </c>
      <c r="DW224" s="16">
        <f>DS224/'Monthly Data (longer 09-23)'!O128</f>
        <v>71194.104883036911</v>
      </c>
      <c r="DX224" s="16">
        <f>DT224/'Monthly Data (longer 09-23)'!Z128</f>
        <v>825908</v>
      </c>
    </row>
    <row r="225" spans="1:128">
      <c r="A225" s="197">
        <f t="shared" si="82"/>
        <v>43678</v>
      </c>
      <c r="B225">
        <v>2019</v>
      </c>
      <c r="C225">
        <v>8</v>
      </c>
      <c r="D225" s="64">
        <v>8.0999999999999979</v>
      </c>
      <c r="E225" s="64">
        <v>70.064477008590202</v>
      </c>
      <c r="F225" s="64">
        <v>0.39999999999999858</v>
      </c>
      <c r="G225" s="64">
        <v>124.36447700859021</v>
      </c>
      <c r="H225" s="64">
        <v>0</v>
      </c>
      <c r="I225" s="64">
        <v>185.96447700859014</v>
      </c>
      <c r="J225" s="64">
        <v>0</v>
      </c>
      <c r="K225" s="64">
        <v>247.96447700859014</v>
      </c>
      <c r="L225" s="64">
        <v>0</v>
      </c>
      <c r="M225" s="64">
        <v>309.96447700859011</v>
      </c>
      <c r="N225" s="64">
        <v>0</v>
      </c>
      <c r="O225" s="64">
        <v>371.96447700859017</v>
      </c>
      <c r="P225" s="64">
        <v>0</v>
      </c>
      <c r="Q225" s="64">
        <v>433.96447700859011</v>
      </c>
      <c r="R225" s="254">
        <v>21.998854097051296</v>
      </c>
      <c r="DQ225" s="6">
        <f>'Monthly Data (longer 09-23)'!E129</f>
        <v>30755784.81829688</v>
      </c>
      <c r="DR225" s="6">
        <f>'Monthly Data (longer 09-23)'!I129</f>
        <v>7517234.0149666099</v>
      </c>
      <c r="DS225" s="6">
        <f>'Monthly Data (longer 09-23)'!M129</f>
        <v>18671585.374472633</v>
      </c>
      <c r="DT225" s="6">
        <f>'Monthly Data (longer 09-23)'!X129</f>
        <v>3098231</v>
      </c>
      <c r="DU225" s="16">
        <f>DQ225/'Monthly Data (longer 09-23)'!F129</f>
        <v>1100.1103415351031</v>
      </c>
      <c r="DV225" s="16">
        <f>DR225/'Monthly Data (longer 09-23)'!J129</f>
        <v>3764.2634025871857</v>
      </c>
      <c r="DW225" s="16">
        <f>DS225/'Monthly Data (longer 09-23)'!O129</f>
        <v>71538.641281504344</v>
      </c>
      <c r="DX225" s="16">
        <f>DT225/'Monthly Data (longer 09-23)'!Z129</f>
        <v>774557.75</v>
      </c>
    </row>
    <row r="226" spans="1:128">
      <c r="A226" s="197">
        <f t="shared" si="82"/>
        <v>43709</v>
      </c>
      <c r="B226">
        <v>2019</v>
      </c>
      <c r="C226">
        <v>9</v>
      </c>
      <c r="D226" s="64">
        <v>46.099999999999994</v>
      </c>
      <c r="E226" s="64">
        <v>22.3</v>
      </c>
      <c r="F226" s="64">
        <v>14.699999999999998</v>
      </c>
      <c r="G226" s="64">
        <v>50.9</v>
      </c>
      <c r="H226" s="64">
        <v>2.0999999999999996</v>
      </c>
      <c r="I226" s="64">
        <v>98.300000000000011</v>
      </c>
      <c r="J226" s="64">
        <v>0</v>
      </c>
      <c r="K226" s="64">
        <v>156.19999999999999</v>
      </c>
      <c r="L226" s="64">
        <v>0</v>
      </c>
      <c r="M226" s="64">
        <v>216.19999999999996</v>
      </c>
      <c r="N226" s="64">
        <v>0</v>
      </c>
      <c r="O226" s="64">
        <v>276.2</v>
      </c>
      <c r="P226" s="64">
        <v>0</v>
      </c>
      <c r="Q226" s="64">
        <v>336.20000000000005</v>
      </c>
      <c r="R226" s="254">
        <v>19.206666666666667</v>
      </c>
      <c r="DQ226" s="6">
        <f>'Monthly Data (longer 09-23)'!E130</f>
        <v>23830627.81829688</v>
      </c>
      <c r="DR226" s="6">
        <f>'Monthly Data (longer 09-23)'!I130</f>
        <v>6658916.0149666099</v>
      </c>
      <c r="DS226" s="6">
        <f>'Monthly Data (longer 09-23)'!M130</f>
        <v>18603631.374472633</v>
      </c>
      <c r="DT226" s="6">
        <f>'Monthly Data (longer 09-23)'!X130</f>
        <v>2896036</v>
      </c>
      <c r="DU226" s="16">
        <f>DQ226/'Monthly Data (longer 09-23)'!F130</f>
        <v>852.09810913923127</v>
      </c>
      <c r="DV226" s="16">
        <f>DR226/'Monthly Data (longer 09-23)'!J130</f>
        <v>3334.459697028848</v>
      </c>
      <c r="DW226" s="16">
        <f>DS226/'Monthly Data (longer 09-23)'!O130</f>
        <v>71278.281128247632</v>
      </c>
      <c r="DX226" s="16">
        <f>DT226/'Monthly Data (longer 09-23)'!Z130</f>
        <v>724009</v>
      </c>
    </row>
    <row r="227" spans="1:128">
      <c r="A227" s="197">
        <f t="shared" si="82"/>
        <v>43739</v>
      </c>
      <c r="B227">
        <v>2019</v>
      </c>
      <c r="C227">
        <v>10</v>
      </c>
      <c r="D227" s="64">
        <v>263.40000000000003</v>
      </c>
      <c r="E227" s="64">
        <v>5</v>
      </c>
      <c r="F227" s="64">
        <v>204.10000000000002</v>
      </c>
      <c r="G227" s="64">
        <v>7.6999999999999993</v>
      </c>
      <c r="H227" s="64">
        <v>147.70000000000002</v>
      </c>
      <c r="I227" s="64">
        <v>13.3</v>
      </c>
      <c r="J227" s="64">
        <v>96.199999999999989</v>
      </c>
      <c r="K227" s="64">
        <v>23.799999999999997</v>
      </c>
      <c r="L227" s="64">
        <v>55.199999999999989</v>
      </c>
      <c r="M227" s="64">
        <v>44.8</v>
      </c>
      <c r="N227" s="64">
        <v>26.900000000000006</v>
      </c>
      <c r="O227" s="64">
        <v>78.499999999999986</v>
      </c>
      <c r="P227" s="64">
        <v>10.199999999999999</v>
      </c>
      <c r="Q227" s="64">
        <v>123.79999999999998</v>
      </c>
      <c r="R227" s="254">
        <v>11.664516129032259</v>
      </c>
      <c r="DQ227" s="6">
        <f>'Monthly Data (longer 09-23)'!E131</f>
        <v>18077838.81829688</v>
      </c>
      <c r="DR227" s="6">
        <f>'Monthly Data (longer 09-23)'!I131</f>
        <v>6052514.0149666099</v>
      </c>
      <c r="DS227" s="6">
        <f>'Monthly Data (longer 09-23)'!M131</f>
        <v>16969281.374472633</v>
      </c>
      <c r="DT227" s="6">
        <f>'Monthly Data (longer 09-23)'!X131</f>
        <v>2797177</v>
      </c>
      <c r="DU227" s="16">
        <f>DQ227/'Monthly Data (longer 09-23)'!F131</f>
        <v>645.06115319524997</v>
      </c>
      <c r="DV227" s="16">
        <f>DR227/'Monthly Data (longer 09-23)'!J131</f>
        <v>3030.8032123017574</v>
      </c>
      <c r="DW227" s="16">
        <f>DS227/'Monthly Data (longer 09-23)'!O131</f>
        <v>65016.403733611623</v>
      </c>
      <c r="DX227" s="16">
        <f>DT227/'Monthly Data (longer 09-23)'!Z131</f>
        <v>699294.25</v>
      </c>
    </row>
    <row r="228" spans="1:128">
      <c r="A228" s="197">
        <f t="shared" si="82"/>
        <v>43770</v>
      </c>
      <c r="B228">
        <v>2019</v>
      </c>
      <c r="C228">
        <v>11</v>
      </c>
      <c r="D228" s="64">
        <v>555.19999999999982</v>
      </c>
      <c r="E228" s="64">
        <v>0</v>
      </c>
      <c r="F228" s="64">
        <v>495.19999999999993</v>
      </c>
      <c r="G228" s="64">
        <v>0</v>
      </c>
      <c r="H228" s="64">
        <v>435.2</v>
      </c>
      <c r="I228" s="64">
        <v>0</v>
      </c>
      <c r="J228" s="64">
        <v>375.2</v>
      </c>
      <c r="K228" s="64">
        <v>0</v>
      </c>
      <c r="L228" s="64">
        <v>315.20000000000005</v>
      </c>
      <c r="M228" s="64">
        <v>0</v>
      </c>
      <c r="N228" s="64">
        <v>255.20000000000007</v>
      </c>
      <c r="O228" s="64">
        <v>0</v>
      </c>
      <c r="P228" s="64">
        <v>195.80000000000007</v>
      </c>
      <c r="Q228" s="64">
        <v>0.59999999999999964</v>
      </c>
      <c r="R228" s="254">
        <v>1.4933333333333334</v>
      </c>
      <c r="DQ228" s="6">
        <f>'Monthly Data (longer 09-23)'!E132</f>
        <v>19283634.81829688</v>
      </c>
      <c r="DR228" s="6">
        <f>'Monthly Data (longer 09-23)'!I132</f>
        <v>6307866.0149666099</v>
      </c>
      <c r="DS228" s="6">
        <f>'Monthly Data (longer 09-23)'!M132</f>
        <v>16215950.374472635</v>
      </c>
      <c r="DT228" s="6">
        <f>'Monthly Data (longer 09-23)'!X132</f>
        <v>2901691</v>
      </c>
      <c r="DU228" s="16">
        <f>DQ228/'Monthly Data (longer 09-23)'!F132</f>
        <v>686.61687086689972</v>
      </c>
      <c r="DV228" s="16">
        <f>DR228/'Monthly Data (longer 09-23)'!J132</f>
        <v>3158.6710140043115</v>
      </c>
      <c r="DW228" s="16">
        <f>DS228/'Monthly Data (longer 09-23)'!O132</f>
        <v>62130.078063113542</v>
      </c>
      <c r="DX228" s="16">
        <f>DT228/'Monthly Data (longer 09-23)'!Z132</f>
        <v>725422.75</v>
      </c>
    </row>
    <row r="229" spans="1:128">
      <c r="A229" s="197">
        <f t="shared" si="82"/>
        <v>43800</v>
      </c>
      <c r="B229">
        <v>2019</v>
      </c>
      <c r="C229">
        <v>12</v>
      </c>
      <c r="D229" s="64">
        <v>589.90000000000009</v>
      </c>
      <c r="E229" s="64">
        <v>0</v>
      </c>
      <c r="F229" s="64">
        <v>527.90000000000009</v>
      </c>
      <c r="G229" s="64">
        <v>0</v>
      </c>
      <c r="H229" s="64">
        <v>465.90000000000009</v>
      </c>
      <c r="I229" s="64">
        <v>0</v>
      </c>
      <c r="J229" s="64">
        <v>403.90000000000009</v>
      </c>
      <c r="K229" s="64">
        <v>0</v>
      </c>
      <c r="L229" s="64">
        <v>341.90000000000009</v>
      </c>
      <c r="M229" s="64">
        <v>0</v>
      </c>
      <c r="N229" s="64">
        <v>279.90000000000009</v>
      </c>
      <c r="O229" s="64">
        <v>0</v>
      </c>
      <c r="P229" s="64">
        <v>218.60000000000002</v>
      </c>
      <c r="Q229" s="64">
        <v>0.69999999999999929</v>
      </c>
      <c r="R229" s="254">
        <v>0.97096774193548374</v>
      </c>
      <c r="DQ229" s="6">
        <f>'Monthly Data (longer 09-23)'!E133</f>
        <v>21585918.81829688</v>
      </c>
      <c r="DR229" s="6">
        <f>'Monthly Data (longer 09-23)'!I133</f>
        <v>6513521.0149666099</v>
      </c>
      <c r="DS229" s="6">
        <f>'Monthly Data (longer 09-23)'!M133</f>
        <v>15098518.374472635</v>
      </c>
      <c r="DT229" s="6">
        <f>'Monthly Data (longer 09-23)'!X133</f>
        <v>2584611</v>
      </c>
      <c r="DU229" s="16">
        <f>DQ229/'Monthly Data (longer 09-23)'!F133</f>
        <v>767.25381454101375</v>
      </c>
      <c r="DV229" s="16">
        <f>DR229/'Monthly Data (longer 09-23)'!J133</f>
        <v>3261.6529869637507</v>
      </c>
      <c r="DW229" s="16">
        <f>DS229/'Monthly Data (longer 09-23)'!O133</f>
        <v>57848.729404109712</v>
      </c>
      <c r="DX229" s="16">
        <f>DT229/'Monthly Data (longer 09-23)'!Z133</f>
        <v>646152.75</v>
      </c>
    </row>
    <row r="230" spans="1:128">
      <c r="A230" s="197">
        <f t="shared" si="82"/>
        <v>43831</v>
      </c>
      <c r="B230">
        <v>2020</v>
      </c>
      <c r="C230">
        <v>1</v>
      </c>
      <c r="D230" s="64">
        <v>623.20000000000016</v>
      </c>
      <c r="E230" s="64">
        <v>0</v>
      </c>
      <c r="F230" s="64">
        <v>561.20000000000016</v>
      </c>
      <c r="G230" s="64">
        <v>0</v>
      </c>
      <c r="H230" s="64">
        <v>499.2000000000001</v>
      </c>
      <c r="I230" s="64">
        <v>0</v>
      </c>
      <c r="J230" s="64">
        <v>437.2000000000001</v>
      </c>
      <c r="K230" s="64">
        <v>0</v>
      </c>
      <c r="L230" s="64">
        <v>375.2000000000001</v>
      </c>
      <c r="M230" s="64">
        <v>0</v>
      </c>
      <c r="N230" s="64">
        <v>313.2000000000001</v>
      </c>
      <c r="O230" s="64">
        <v>0</v>
      </c>
      <c r="P230" s="64">
        <v>251.2</v>
      </c>
      <c r="Q230" s="64">
        <v>0</v>
      </c>
      <c r="R230" s="254">
        <v>-0.1032258064516129</v>
      </c>
      <c r="DQ230" s="6">
        <f>'Monthly Data (longer 09-23)'!E134</f>
        <v>20814897.730626732</v>
      </c>
      <c r="DR230" s="6">
        <f>'Monthly Data (longer 09-23)'!I134</f>
        <v>6672503.2109814025</v>
      </c>
      <c r="DS230" s="6">
        <f>'Monthly Data (longer 09-23)'!M134</f>
        <v>15271808.375952736</v>
      </c>
      <c r="DT230" s="6">
        <f>'Monthly Data (longer 09-23)'!X134</f>
        <v>2683483</v>
      </c>
      <c r="DU230" s="16">
        <f>DQ230/'Monthly Data (longer 09-23)'!F134</f>
        <v>739.42798332599409</v>
      </c>
      <c r="DV230" s="16">
        <f>DR230/'Monthly Data (longer 09-23)'!J134</f>
        <v>3341.2635007418139</v>
      </c>
      <c r="DW230" s="16">
        <f>DS230/'Monthly Data (longer 09-23)'!O134</f>
        <v>58512.675769933856</v>
      </c>
      <c r="DX230" s="16">
        <f>DT230/'Monthly Data (longer 09-23)'!Z134</f>
        <v>670870.75</v>
      </c>
    </row>
    <row r="231" spans="1:128">
      <c r="A231" s="197">
        <f t="shared" si="82"/>
        <v>43862</v>
      </c>
      <c r="B231">
        <v>2020</v>
      </c>
      <c r="C231">
        <v>2</v>
      </c>
      <c r="D231" s="64">
        <v>627.29999999999973</v>
      </c>
      <c r="E231" s="64">
        <v>0</v>
      </c>
      <c r="F231" s="64">
        <v>569.29999999999984</v>
      </c>
      <c r="G231" s="64">
        <v>0</v>
      </c>
      <c r="H231" s="64">
        <v>511.29999999999995</v>
      </c>
      <c r="I231" s="64">
        <v>0</v>
      </c>
      <c r="J231" s="64">
        <v>453.29999999999995</v>
      </c>
      <c r="K231" s="64">
        <v>0</v>
      </c>
      <c r="L231" s="64">
        <v>395.3</v>
      </c>
      <c r="M231" s="64">
        <v>0</v>
      </c>
      <c r="N231" s="64">
        <v>337.30000000000007</v>
      </c>
      <c r="O231" s="64">
        <v>0</v>
      </c>
      <c r="P231" s="64">
        <v>279.3</v>
      </c>
      <c r="Q231" s="64">
        <v>0</v>
      </c>
      <c r="R231" s="254">
        <v>-1.6310344827586205</v>
      </c>
      <c r="DQ231" s="6">
        <f>'Monthly Data (longer 09-23)'!E135</f>
        <v>19314397.730626732</v>
      </c>
      <c r="DR231" s="6">
        <f>'Monthly Data (longer 09-23)'!I135</f>
        <v>6362184.2109814025</v>
      </c>
      <c r="DS231" s="6">
        <f>'Monthly Data (longer 09-23)'!M135</f>
        <v>14811034.375952736</v>
      </c>
      <c r="DT231" s="6">
        <f>'Monthly Data (longer 09-23)'!X135</f>
        <v>2439682</v>
      </c>
      <c r="DU231" s="16">
        <f>DQ231/'Monthly Data (longer 09-23)'!F135</f>
        <v>685.53977889638429</v>
      </c>
      <c r="DV231" s="16">
        <f>DR231/'Monthly Data (longer 09-23)'!J135</f>
        <v>3184.2763818725739</v>
      </c>
      <c r="DW231" s="16">
        <f>DS231/'Monthly Data (longer 09-23)'!O135</f>
        <v>56747.258145412779</v>
      </c>
      <c r="DX231" s="16">
        <f>DT231/'Monthly Data (longer 09-23)'!Z135</f>
        <v>609920.5</v>
      </c>
    </row>
    <row r="232" spans="1:128">
      <c r="A232" s="197">
        <f t="shared" si="82"/>
        <v>43891</v>
      </c>
      <c r="B232">
        <v>2020</v>
      </c>
      <c r="C232">
        <v>3</v>
      </c>
      <c r="D232" s="64">
        <v>484.19999999999993</v>
      </c>
      <c r="E232" s="64">
        <v>0</v>
      </c>
      <c r="F232" s="64">
        <v>422.2</v>
      </c>
      <c r="G232" s="64">
        <v>0</v>
      </c>
      <c r="H232" s="64">
        <v>360.20000000000005</v>
      </c>
      <c r="I232" s="64">
        <v>0</v>
      </c>
      <c r="J232" s="64">
        <v>298.20000000000005</v>
      </c>
      <c r="K232" s="64">
        <v>0</v>
      </c>
      <c r="L232" s="64">
        <v>236.9</v>
      </c>
      <c r="M232" s="64">
        <v>0.69999999999999929</v>
      </c>
      <c r="N232" s="64">
        <v>178.3</v>
      </c>
      <c r="O232" s="64">
        <v>4.0999999999999996</v>
      </c>
      <c r="P232" s="64">
        <v>122.70000000000002</v>
      </c>
      <c r="Q232" s="64">
        <v>10.5</v>
      </c>
      <c r="R232" s="254">
        <v>4.3806451612903219</v>
      </c>
      <c r="DQ232" s="6">
        <f>'Monthly Data (longer 09-23)'!E136</f>
        <v>19587303.730626732</v>
      </c>
      <c r="DR232" s="6">
        <f>'Monthly Data (longer 09-23)'!I136</f>
        <v>6097155.2109814025</v>
      </c>
      <c r="DS232" s="6">
        <f>'Monthly Data (longer 09-23)'!M136</f>
        <v>14069415.375952736</v>
      </c>
      <c r="DT232" s="6">
        <f>'Monthly Data (longer 09-23)'!X136</f>
        <v>2394362</v>
      </c>
      <c r="DU232" s="16">
        <f>DQ232/'Monthly Data (longer 09-23)'!F136</f>
        <v>694.60987023038876</v>
      </c>
      <c r="DV232" s="16">
        <f>DR232/'Monthly Data (longer 09-23)'!J136</f>
        <v>3034.9204634053772</v>
      </c>
      <c r="DW232" s="16">
        <f>DS232/'Monthly Data (longer 09-23)'!O136</f>
        <v>55391.399117924157</v>
      </c>
      <c r="DX232" s="16">
        <f>DT232/'Monthly Data (longer 09-23)'!Z136</f>
        <v>598590.5</v>
      </c>
    </row>
    <row r="233" spans="1:128">
      <c r="A233" s="197">
        <f t="shared" si="82"/>
        <v>43922</v>
      </c>
      <c r="B233">
        <v>2020</v>
      </c>
      <c r="C233">
        <v>4</v>
      </c>
      <c r="D233" s="64">
        <v>396.50000000000006</v>
      </c>
      <c r="E233" s="64">
        <v>0</v>
      </c>
      <c r="F233" s="64">
        <v>336.5</v>
      </c>
      <c r="G233" s="64">
        <v>0</v>
      </c>
      <c r="H233" s="64">
        <v>276.5</v>
      </c>
      <c r="I233" s="64">
        <v>0</v>
      </c>
      <c r="J233" s="64">
        <v>219.2</v>
      </c>
      <c r="K233" s="64">
        <v>2.7000000000000011</v>
      </c>
      <c r="L233" s="64">
        <v>165.9</v>
      </c>
      <c r="M233" s="64">
        <v>9.4000000000000021</v>
      </c>
      <c r="N233" s="64">
        <v>115.30000000000001</v>
      </c>
      <c r="O233" s="64">
        <v>18.800000000000004</v>
      </c>
      <c r="P233" s="64">
        <v>68.500000000000014</v>
      </c>
      <c r="Q233" s="64">
        <v>31.999999999999996</v>
      </c>
      <c r="R233" s="254">
        <v>6.7833333333333332</v>
      </c>
      <c r="DQ233" s="6">
        <f>'Monthly Data (longer 09-23)'!E137</f>
        <v>18859222.730626732</v>
      </c>
      <c r="DR233" s="6">
        <f>'Monthly Data (longer 09-23)'!I137</f>
        <v>5171692.2109814025</v>
      </c>
      <c r="DS233" s="6">
        <f>'Monthly Data (longer 09-23)'!M137</f>
        <v>12021064.375952736</v>
      </c>
      <c r="DT233" s="6">
        <f>'Monthly Data (longer 09-23)'!X137</f>
        <v>1877577</v>
      </c>
      <c r="DU233" s="16">
        <f>DQ233/'Monthly Data (longer 09-23)'!F137</f>
        <v>668.31647934465195</v>
      </c>
      <c r="DV233" s="16">
        <f>DR233/'Monthly Data (longer 09-23)'!J137</f>
        <v>2567.8710084316795</v>
      </c>
      <c r="DW233" s="16">
        <f>DS233/'Monthly Data (longer 09-23)'!O137</f>
        <v>47141.428925304848</v>
      </c>
      <c r="DX233" s="16">
        <f>DT233/'Monthly Data (longer 09-23)'!Z137</f>
        <v>469394.25</v>
      </c>
    </row>
    <row r="234" spans="1:128">
      <c r="A234" s="197">
        <f t="shared" si="82"/>
        <v>43952</v>
      </c>
      <c r="B234">
        <v>2020</v>
      </c>
      <c r="C234">
        <v>5</v>
      </c>
      <c r="D234" s="64">
        <v>211</v>
      </c>
      <c r="E234" s="64">
        <v>15</v>
      </c>
      <c r="F234" s="64">
        <v>160.50000000000003</v>
      </c>
      <c r="G234" s="64">
        <v>26.5</v>
      </c>
      <c r="H234" s="64">
        <v>115.20000000000002</v>
      </c>
      <c r="I234" s="64">
        <v>43.2</v>
      </c>
      <c r="J234" s="64">
        <v>79.800000000000011</v>
      </c>
      <c r="K234" s="64">
        <v>69.8</v>
      </c>
      <c r="L234" s="64">
        <v>52.2</v>
      </c>
      <c r="M234" s="64">
        <v>104.19999999999999</v>
      </c>
      <c r="N234" s="64">
        <v>31.799999999999997</v>
      </c>
      <c r="O234" s="64">
        <v>145.79999999999998</v>
      </c>
      <c r="P234" s="64">
        <v>14.8</v>
      </c>
      <c r="Q234" s="64">
        <v>190.79999999999998</v>
      </c>
      <c r="R234" s="254">
        <v>13.677419354838712</v>
      </c>
      <c r="DQ234" s="6">
        <f>'Monthly Data (longer 09-23)'!E138</f>
        <v>21309027.730626732</v>
      </c>
      <c r="DR234" s="6">
        <f>'Monthly Data (longer 09-23)'!I138</f>
        <v>5319220.2109814025</v>
      </c>
      <c r="DS234" s="6">
        <f>'Monthly Data (longer 09-23)'!M138</f>
        <v>12781316.375952736</v>
      </c>
      <c r="DT234" s="6">
        <f>'Monthly Data (longer 09-23)'!X138</f>
        <v>2179756</v>
      </c>
      <c r="DU234" s="16">
        <f>DQ234/'Monthly Data (longer 09-23)'!F138</f>
        <v>754.5422517129964</v>
      </c>
      <c r="DV234" s="16">
        <f>DR234/'Monthly Data (longer 09-23)'!J138</f>
        <v>2638.5020887804576</v>
      </c>
      <c r="DW234" s="16">
        <f>DS234/'Monthly Data (longer 09-23)'!O138</f>
        <v>49927.017093565373</v>
      </c>
      <c r="DX234" s="16">
        <f>DT234/'Monthly Data (longer 09-23)'!Z138</f>
        <v>544939</v>
      </c>
    </row>
    <row r="235" spans="1:128">
      <c r="A235" s="197">
        <f t="shared" si="82"/>
        <v>43983</v>
      </c>
      <c r="B235">
        <v>2020</v>
      </c>
      <c r="C235">
        <v>6</v>
      </c>
      <c r="D235" s="64">
        <v>24.199999999999996</v>
      </c>
      <c r="E235" s="64">
        <v>64.7</v>
      </c>
      <c r="F235" s="64">
        <v>10.799999999999999</v>
      </c>
      <c r="G235" s="64">
        <v>111.3</v>
      </c>
      <c r="H235" s="64">
        <v>4.4000000000000004</v>
      </c>
      <c r="I235" s="64">
        <v>164.9</v>
      </c>
      <c r="J235" s="64">
        <v>0</v>
      </c>
      <c r="K235" s="64">
        <v>220.5</v>
      </c>
      <c r="L235" s="64">
        <v>0</v>
      </c>
      <c r="M235" s="64">
        <v>280.5</v>
      </c>
      <c r="N235" s="64">
        <v>0</v>
      </c>
      <c r="O235" s="64">
        <v>340.5</v>
      </c>
      <c r="P235" s="64">
        <v>0</v>
      </c>
      <c r="Q235" s="64">
        <v>400.5</v>
      </c>
      <c r="R235" s="254">
        <v>21.35</v>
      </c>
      <c r="DQ235" s="6">
        <f>'Monthly Data (longer 09-23)'!E139</f>
        <v>29738196.730626732</v>
      </c>
      <c r="DR235" s="6">
        <f>'Monthly Data (longer 09-23)'!I139</f>
        <v>6239078.2109814025</v>
      </c>
      <c r="DS235" s="6">
        <f>'Monthly Data (longer 09-23)'!M139</f>
        <v>15526321.375952736</v>
      </c>
      <c r="DT235" s="6">
        <f>'Monthly Data (longer 09-23)'!X139</f>
        <v>2539378</v>
      </c>
      <c r="DU235" s="16">
        <f>DQ235/'Monthly Data (longer 09-23)'!F139</f>
        <v>1052.3070322231681</v>
      </c>
      <c r="DV235" s="16">
        <f>DR235/'Monthly Data (longer 09-23)'!J139</f>
        <v>3087.124300337161</v>
      </c>
      <c r="DW235" s="16">
        <f>DS235/'Monthly Data (longer 09-23)'!O139</f>
        <v>60887.534807657787</v>
      </c>
      <c r="DX235" s="16">
        <f>DT235/'Monthly Data (longer 09-23)'!Z139</f>
        <v>634844.5</v>
      </c>
    </row>
    <row r="236" spans="1:128">
      <c r="A236" s="197">
        <f t="shared" si="82"/>
        <v>44013</v>
      </c>
      <c r="B236">
        <v>2020</v>
      </c>
      <c r="C236">
        <v>7</v>
      </c>
      <c r="D236" s="64">
        <v>0</v>
      </c>
      <c r="E236" s="64">
        <v>143.69999999999999</v>
      </c>
      <c r="F236" s="64">
        <v>0</v>
      </c>
      <c r="G236" s="64">
        <v>205.7</v>
      </c>
      <c r="H236" s="64">
        <v>0</v>
      </c>
      <c r="I236" s="64">
        <v>267.70000000000005</v>
      </c>
      <c r="J236" s="64">
        <v>0</v>
      </c>
      <c r="K236" s="64">
        <v>329.7</v>
      </c>
      <c r="L236" s="64">
        <v>0</v>
      </c>
      <c r="M236" s="64">
        <v>391.69999999999993</v>
      </c>
      <c r="N236" s="64">
        <v>0</v>
      </c>
      <c r="O236" s="64">
        <v>453.7</v>
      </c>
      <c r="P236" s="64">
        <v>0</v>
      </c>
      <c r="Q236" s="64">
        <v>515.69999999999993</v>
      </c>
      <c r="R236" s="254">
        <v>24.635483870967743</v>
      </c>
      <c r="DQ236" s="6">
        <f>'Monthly Data (longer 09-23)'!E140</f>
        <v>39172531.730626732</v>
      </c>
      <c r="DR236" s="6">
        <f>'Monthly Data (longer 09-23)'!I140</f>
        <v>7576613.2109814025</v>
      </c>
      <c r="DS236" s="6">
        <f>'Monthly Data (longer 09-23)'!M140</f>
        <v>18470477.375952736</v>
      </c>
      <c r="DT236" s="6">
        <f>'Monthly Data (longer 09-23)'!X140</f>
        <v>2920232</v>
      </c>
      <c r="DU236" s="16">
        <f>DQ236/'Monthly Data (longer 09-23)'!F140</f>
        <v>1385.1673172074516</v>
      </c>
      <c r="DV236" s="16">
        <f>DR236/'Monthly Data (longer 09-23)'!J140</f>
        <v>3741.5373881389642</v>
      </c>
      <c r="DW236" s="16">
        <f>DS236/'Monthly Data (longer 09-23)'!O140</f>
        <v>72433.244611579357</v>
      </c>
      <c r="DX236" s="16">
        <f>DT236/'Monthly Data (longer 09-23)'!Z140</f>
        <v>730058</v>
      </c>
    </row>
    <row r="237" spans="1:128">
      <c r="A237" s="197">
        <f t="shared" si="82"/>
        <v>44044</v>
      </c>
      <c r="B237">
        <v>2020</v>
      </c>
      <c r="C237">
        <v>8</v>
      </c>
      <c r="D237" s="64">
        <v>7.9420919656392321</v>
      </c>
      <c r="E237" s="64">
        <v>66</v>
      </c>
      <c r="F237" s="64">
        <v>0</v>
      </c>
      <c r="G237" s="64">
        <v>120.05790803436078</v>
      </c>
      <c r="H237" s="64">
        <v>0</v>
      </c>
      <c r="I237" s="64">
        <v>182.05790803436074</v>
      </c>
      <c r="J237" s="64">
        <v>0</v>
      </c>
      <c r="K237" s="64">
        <v>244.05790803436074</v>
      </c>
      <c r="L237" s="64">
        <v>0</v>
      </c>
      <c r="M237" s="64">
        <v>306.05790803436071</v>
      </c>
      <c r="N237" s="64">
        <v>0</v>
      </c>
      <c r="O237" s="64">
        <v>368.05790803436071</v>
      </c>
      <c r="P237" s="64">
        <v>0</v>
      </c>
      <c r="Q237" s="64">
        <v>430.05790803436076</v>
      </c>
      <c r="R237" s="254">
        <v>21.8728357430439</v>
      </c>
      <c r="DQ237" s="6">
        <f>'Monthly Data (longer 09-23)'!E141</f>
        <v>33842332.730626732</v>
      </c>
      <c r="DR237" s="6">
        <f>'Monthly Data (longer 09-23)'!I141</f>
        <v>7200130.2109814025</v>
      </c>
      <c r="DS237" s="6">
        <f>'Monthly Data (longer 09-23)'!M141</f>
        <v>18218385.375952736</v>
      </c>
      <c r="DT237" s="6">
        <f>'Monthly Data (longer 09-23)'!X141</f>
        <v>2655205</v>
      </c>
      <c r="DU237" s="16">
        <f>DQ237/'Monthly Data (longer 09-23)'!F141</f>
        <v>1196.0534628247651</v>
      </c>
      <c r="DV237" s="16">
        <f>DR237/'Monthly Data (longer 09-23)'!J141</f>
        <v>3555.6198572747667</v>
      </c>
      <c r="DW237" s="16">
        <f>DS237/'Monthly Data (longer 09-23)'!O141</f>
        <v>71444.648533147978</v>
      </c>
      <c r="DX237" s="16">
        <f>DT237/'Monthly Data (longer 09-23)'!Z141</f>
        <v>663801.25</v>
      </c>
    </row>
    <row r="238" spans="1:128">
      <c r="A238" s="197">
        <f t="shared" si="82"/>
        <v>44075</v>
      </c>
      <c r="B238">
        <v>2020</v>
      </c>
      <c r="C238">
        <v>9</v>
      </c>
      <c r="D238" s="64">
        <v>106.33552299140982</v>
      </c>
      <c r="E238" s="64">
        <v>10.564477008590192</v>
      </c>
      <c r="F238" s="64">
        <v>62.1355229914098</v>
      </c>
      <c r="G238" s="64">
        <v>26.364477008590192</v>
      </c>
      <c r="H238" s="64">
        <v>31.4</v>
      </c>
      <c r="I238" s="64">
        <v>55.628954017180384</v>
      </c>
      <c r="J238" s="64">
        <v>12.100000000000001</v>
      </c>
      <c r="K238" s="64">
        <v>96.328954017180365</v>
      </c>
      <c r="L238" s="64">
        <v>2.9000000000000004</v>
      </c>
      <c r="M238" s="64">
        <v>147.12895401718038</v>
      </c>
      <c r="N238" s="64">
        <v>0</v>
      </c>
      <c r="O238" s="64">
        <v>204.2289540171804</v>
      </c>
      <c r="P238" s="64">
        <v>0</v>
      </c>
      <c r="Q238" s="64">
        <v>264.22895401718034</v>
      </c>
      <c r="R238" s="254">
        <v>16.807631800572679</v>
      </c>
      <c r="DQ238" s="6">
        <f>'Monthly Data (longer 09-23)'!E142</f>
        <v>22476560.730626732</v>
      </c>
      <c r="DR238" s="6">
        <f>'Monthly Data (longer 09-23)'!I142</f>
        <v>6081058.2109814025</v>
      </c>
      <c r="DS238" s="6">
        <f>'Monthly Data (longer 09-23)'!M142</f>
        <v>17753847.375952736</v>
      </c>
      <c r="DT238" s="6">
        <f>'Monthly Data (longer 09-23)'!X142</f>
        <v>2348776</v>
      </c>
      <c r="DU238" s="16">
        <f>DQ238/'Monthly Data (longer 09-23)'!F142</f>
        <v>794.25282627042407</v>
      </c>
      <c r="DV238" s="16">
        <f>DR238/'Monthly Data (longer 09-23)'!J142</f>
        <v>3002.9917091266184</v>
      </c>
      <c r="DW238" s="16">
        <f>DS238/'Monthly Data (longer 09-23)'!O142</f>
        <v>69350.966312315373</v>
      </c>
      <c r="DX238" s="16">
        <f>DT238/'Monthly Data (longer 09-23)'!Z142</f>
        <v>587194</v>
      </c>
    </row>
    <row r="239" spans="1:128">
      <c r="A239" s="197">
        <f t="shared" si="82"/>
        <v>44105</v>
      </c>
      <c r="B239">
        <v>2020</v>
      </c>
      <c r="C239">
        <v>10</v>
      </c>
      <c r="D239" s="64">
        <v>300.89999999999998</v>
      </c>
      <c r="E239" s="64">
        <v>0</v>
      </c>
      <c r="F239" s="64">
        <v>239.7</v>
      </c>
      <c r="G239" s="64">
        <v>0.80000000000000071</v>
      </c>
      <c r="H239" s="64">
        <v>181.8</v>
      </c>
      <c r="I239" s="64">
        <v>4.9000000000000021</v>
      </c>
      <c r="J239" s="64">
        <v>129.4</v>
      </c>
      <c r="K239" s="64">
        <v>14.500000000000002</v>
      </c>
      <c r="L239" s="64">
        <v>83.899999999999991</v>
      </c>
      <c r="M239" s="64">
        <v>31.000000000000004</v>
      </c>
      <c r="N239" s="64">
        <v>48.6</v>
      </c>
      <c r="O239" s="64">
        <v>57.7</v>
      </c>
      <c r="P239" s="64">
        <v>22.499999999999996</v>
      </c>
      <c r="Q239" s="64">
        <v>93.59999999999998</v>
      </c>
      <c r="R239" s="254">
        <v>10.293548387096777</v>
      </c>
      <c r="DQ239" s="6">
        <f>'Monthly Data (longer 09-23)'!E143</f>
        <v>18710830.730626732</v>
      </c>
      <c r="DR239" s="6">
        <f>'Monthly Data (longer 09-23)'!I143</f>
        <v>5728973.2109814025</v>
      </c>
      <c r="DS239" s="6">
        <f>'Monthly Data (longer 09-23)'!M143</f>
        <v>16343960.375952736</v>
      </c>
      <c r="DT239" s="6">
        <f>'Monthly Data (longer 09-23)'!X143</f>
        <v>2222132</v>
      </c>
      <c r="DU239" s="16">
        <f>DQ239/'Monthly Data (longer 09-23)'!F143</f>
        <v>660.36672304040133</v>
      </c>
      <c r="DV239" s="16">
        <f>DR239/'Monthly Data (longer 09-23)'!J143</f>
        <v>2826.3311351659609</v>
      </c>
      <c r="DW239" s="16">
        <f>DS239/'Monthly Data (longer 09-23)'!O143</f>
        <v>63843.595218565373</v>
      </c>
      <c r="DX239" s="16">
        <f>DT239/'Monthly Data (longer 09-23)'!Z143</f>
        <v>555533</v>
      </c>
    </row>
    <row r="240" spans="1:128">
      <c r="A240" s="197">
        <f t="shared" si="82"/>
        <v>44136</v>
      </c>
      <c r="B240">
        <v>2020</v>
      </c>
      <c r="C240">
        <v>11</v>
      </c>
      <c r="D240" s="64">
        <v>389.23552299140982</v>
      </c>
      <c r="E240" s="64">
        <v>0</v>
      </c>
      <c r="F240" s="64">
        <v>330.63552299140986</v>
      </c>
      <c r="G240" s="64">
        <v>1.3999999999999986</v>
      </c>
      <c r="H240" s="64">
        <v>272.63552299140974</v>
      </c>
      <c r="I240" s="64">
        <v>3.3999999999999986</v>
      </c>
      <c r="J240" s="64">
        <v>215.63552299140977</v>
      </c>
      <c r="K240" s="64">
        <v>6.3999999999999986</v>
      </c>
      <c r="L240" s="64">
        <v>167.43552299140978</v>
      </c>
      <c r="M240" s="64">
        <v>18.199999999999996</v>
      </c>
      <c r="N240" s="64">
        <v>124.23552299140978</v>
      </c>
      <c r="O240" s="64">
        <v>34.999999999999993</v>
      </c>
      <c r="P240" s="64">
        <v>85.035522991409792</v>
      </c>
      <c r="Q240" s="64">
        <v>55.8</v>
      </c>
      <c r="R240" s="254">
        <v>7.0254825669530083</v>
      </c>
      <c r="DQ240" s="6">
        <f>'Monthly Data (longer 09-23)'!E144</f>
        <v>19119222.730626732</v>
      </c>
      <c r="DR240" s="6">
        <f>'Monthly Data (longer 09-23)'!I144</f>
        <v>5802395.2109814025</v>
      </c>
      <c r="DS240" s="6">
        <f>'Monthly Data (longer 09-23)'!M144</f>
        <v>15290197.375952736</v>
      </c>
      <c r="DT240" s="6">
        <f>'Monthly Data (longer 09-23)'!X144</f>
        <v>2529849</v>
      </c>
      <c r="DU240" s="16">
        <f>DQ240/'Monthly Data (longer 09-23)'!F144</f>
        <v>674.23291358841664</v>
      </c>
      <c r="DV240" s="16">
        <f>DR240/'Monthly Data (longer 09-23)'!J144</f>
        <v>2862.5531381260002</v>
      </c>
      <c r="DW240" s="16">
        <f>DS240/'Monthly Data (longer 09-23)'!O144</f>
        <v>59727.333499815373</v>
      </c>
      <c r="DX240" s="16">
        <f>DT240/'Monthly Data (longer 09-23)'!Z144</f>
        <v>632462.25</v>
      </c>
    </row>
    <row r="241" spans="1:128">
      <c r="A241" s="197">
        <f t="shared" si="82"/>
        <v>44166</v>
      </c>
      <c r="B241">
        <v>2020</v>
      </c>
      <c r="C241">
        <v>12</v>
      </c>
      <c r="D241" s="64">
        <v>609.4</v>
      </c>
      <c r="E241" s="64">
        <v>0</v>
      </c>
      <c r="F241" s="64">
        <v>547.4</v>
      </c>
      <c r="G241" s="64">
        <v>0</v>
      </c>
      <c r="H241" s="64">
        <v>485.40000000000003</v>
      </c>
      <c r="I241" s="64">
        <v>0</v>
      </c>
      <c r="J241" s="64">
        <v>423.40000000000003</v>
      </c>
      <c r="K241" s="64">
        <v>0</v>
      </c>
      <c r="L241" s="64">
        <v>361.4</v>
      </c>
      <c r="M241" s="64">
        <v>0</v>
      </c>
      <c r="N241" s="64">
        <v>299.40000000000009</v>
      </c>
      <c r="O241" s="64">
        <v>0</v>
      </c>
      <c r="P241" s="64">
        <v>237.40000000000006</v>
      </c>
      <c r="Q241" s="64">
        <v>0</v>
      </c>
      <c r="R241" s="254">
        <v>0.34193548387096778</v>
      </c>
      <c r="DQ241" s="6">
        <f>'Monthly Data (longer 09-23)'!E145</f>
        <v>23161092.730626732</v>
      </c>
      <c r="DR241" s="6">
        <f>'Monthly Data (longer 09-23)'!I145</f>
        <v>6153468.2109814025</v>
      </c>
      <c r="DS241" s="6">
        <f>'Monthly Data (longer 09-23)'!M145</f>
        <v>15350534.375952736</v>
      </c>
      <c r="DT241" s="6">
        <f>'Monthly Data (longer 09-23)'!X145</f>
        <v>2398255</v>
      </c>
      <c r="DU241" s="16">
        <f>DQ241/'Monthly Data (longer 09-23)'!F145</f>
        <v>816.22119857015548</v>
      </c>
      <c r="DV241" s="16">
        <f>DR241/'Monthly Data (longer 09-23)'!J145</f>
        <v>3032.7590985615589</v>
      </c>
      <c r="DW241" s="16">
        <f>DS241/'Monthly Data (longer 09-23)'!O145</f>
        <v>59963.024906065373</v>
      </c>
      <c r="DX241" s="16">
        <f>DT241/'Monthly Data (longer 09-23)'!Z145</f>
        <v>599563.75</v>
      </c>
    </row>
    <row r="242" spans="1:128">
      <c r="A242" s="197">
        <f>DATE(B242,C242,1)</f>
        <v>44197</v>
      </c>
      <c r="B242">
        <f>B230+1</f>
        <v>2021</v>
      </c>
      <c r="C242">
        <f>C230</f>
        <v>1</v>
      </c>
      <c r="D242" s="64">
        <v>672.79999999999984</v>
      </c>
      <c r="E242" s="64">
        <v>0</v>
      </c>
      <c r="F242" s="64">
        <v>610.79999999999995</v>
      </c>
      <c r="G242" s="64">
        <v>0</v>
      </c>
      <c r="H242" s="64">
        <v>548.79999999999995</v>
      </c>
      <c r="I242" s="64">
        <v>0</v>
      </c>
      <c r="J242" s="64">
        <v>486.8</v>
      </c>
      <c r="K242" s="64">
        <v>0</v>
      </c>
      <c r="L242" s="64">
        <v>424.80000000000007</v>
      </c>
      <c r="M242" s="64">
        <v>0</v>
      </c>
      <c r="N242" s="64">
        <v>362.8</v>
      </c>
      <c r="O242" s="64">
        <v>0</v>
      </c>
      <c r="P242" s="64">
        <v>300.8</v>
      </c>
      <c r="Q242" s="64">
        <v>0</v>
      </c>
      <c r="R242" s="254">
        <v>-1.7032258064516126</v>
      </c>
      <c r="DQ242" s="6">
        <f>'Monthly Data (longer 09-23)'!E146</f>
        <v>22785374.314028163</v>
      </c>
      <c r="DR242" s="6">
        <f>'Monthly Data (longer 09-23)'!I146</f>
        <v>6115554.9338399861</v>
      </c>
      <c r="DS242" s="6">
        <f>'Monthly Data (longer 09-23)'!M146</f>
        <v>14829539.657323709</v>
      </c>
      <c r="DT242" s="6">
        <f>'Monthly Data (longer 09-23)'!X146</f>
        <v>2476889</v>
      </c>
      <c r="DU242" s="16">
        <f>DQ242/'Monthly Data (longer 09-23)'!F146</f>
        <v>802.58451264628968</v>
      </c>
      <c r="DV242" s="16">
        <f>DR242/'Monthly Data (longer 09-23)'!J146</f>
        <v>3014.0734025825464</v>
      </c>
      <c r="DW242" s="16">
        <f>DS242/'Monthly Data (longer 09-23)'!O146</f>
        <v>57927.889286420737</v>
      </c>
      <c r="DX242" s="16">
        <f>DT242/'Monthly Data (longer 09-23)'!Z146</f>
        <v>619222.25</v>
      </c>
    </row>
    <row r="243" spans="1:128">
      <c r="A243" s="197">
        <f t="shared" ref="A243:A274" si="83">DATE(B243,C243,1)</f>
        <v>44228</v>
      </c>
      <c r="B243">
        <f t="shared" ref="B243:B277" si="84">B231+1</f>
        <v>2021</v>
      </c>
      <c r="C243">
        <f t="shared" ref="C243:C277" si="85">C231</f>
        <v>2</v>
      </c>
      <c r="D243" s="64">
        <v>710.80000000000007</v>
      </c>
      <c r="E243" s="64">
        <v>0</v>
      </c>
      <c r="F243" s="64">
        <v>654.80000000000018</v>
      </c>
      <c r="G243" s="64">
        <v>0</v>
      </c>
      <c r="H243" s="64">
        <v>598.80000000000018</v>
      </c>
      <c r="I243" s="64">
        <v>0</v>
      </c>
      <c r="J243" s="64">
        <v>542.80000000000018</v>
      </c>
      <c r="K243" s="64">
        <v>0</v>
      </c>
      <c r="L243" s="64">
        <v>486.80000000000013</v>
      </c>
      <c r="M243" s="64">
        <v>0</v>
      </c>
      <c r="N243" s="64">
        <v>430.80000000000007</v>
      </c>
      <c r="O243" s="64">
        <v>0</v>
      </c>
      <c r="P243" s="64">
        <v>374.80000000000007</v>
      </c>
      <c r="Q243" s="64">
        <v>0</v>
      </c>
      <c r="R243" s="254">
        <v>-5.3857142857142852</v>
      </c>
      <c r="DQ243" s="6">
        <f>'Monthly Data (longer 09-23)'!E147</f>
        <v>21023404.314028163</v>
      </c>
      <c r="DR243" s="6">
        <f>'Monthly Data (longer 09-23)'!I147</f>
        <v>5910651.9338399861</v>
      </c>
      <c r="DS243" s="6">
        <f>'Monthly Data (longer 09-23)'!M147</f>
        <v>14463352.657323709</v>
      </c>
      <c r="DT243" s="6">
        <f>'Monthly Data (longer 09-23)'!X147</f>
        <v>2421447</v>
      </c>
      <c r="DU243" s="16">
        <f>DQ243/'Monthly Data (longer 09-23)'!F147</f>
        <v>740.23465068230564</v>
      </c>
      <c r="DV243" s="16">
        <f>DR243/'Monthly Data (longer 09-23)'!J147</f>
        <v>2913.0862167767305</v>
      </c>
      <c r="DW243" s="16">
        <f>DS243/'Monthly Data (longer 09-23)'!O147</f>
        <v>56497.471317670737</v>
      </c>
      <c r="DX243" s="16">
        <f>DT243/'Monthly Data (longer 09-23)'!Z147</f>
        <v>605361.75</v>
      </c>
    </row>
    <row r="244" spans="1:128">
      <c r="A244" s="197">
        <f t="shared" si="83"/>
        <v>44256</v>
      </c>
      <c r="B244">
        <f t="shared" si="84"/>
        <v>2021</v>
      </c>
      <c r="C244">
        <f t="shared" si="85"/>
        <v>3</v>
      </c>
      <c r="D244" s="64">
        <v>460.49999999999994</v>
      </c>
      <c r="E244" s="64">
        <v>0</v>
      </c>
      <c r="F244" s="64">
        <v>398.49999999999994</v>
      </c>
      <c r="G244" s="64">
        <v>0</v>
      </c>
      <c r="H244" s="64">
        <v>336.49999999999994</v>
      </c>
      <c r="I244" s="64">
        <v>0</v>
      </c>
      <c r="J244" s="64">
        <v>275.60000000000008</v>
      </c>
      <c r="K244" s="64">
        <v>1.0999999999999996</v>
      </c>
      <c r="L244" s="64">
        <v>217.30000000000004</v>
      </c>
      <c r="M244" s="64">
        <v>4.7999999999999989</v>
      </c>
      <c r="N244" s="64">
        <v>164.20000000000002</v>
      </c>
      <c r="O244" s="64">
        <v>13.699999999999998</v>
      </c>
      <c r="P244" s="64">
        <v>117.4</v>
      </c>
      <c r="Q244" s="64">
        <v>28.9</v>
      </c>
      <c r="R244" s="254">
        <v>5.1451612903225801</v>
      </c>
      <c r="DQ244" s="6">
        <f>'Monthly Data (longer 09-23)'!E148</f>
        <v>19528691.314028163</v>
      </c>
      <c r="DR244" s="6">
        <f>'Monthly Data (longer 09-23)'!I148</f>
        <v>6044444.9338399861</v>
      </c>
      <c r="DS244" s="6">
        <f>'Monthly Data (longer 09-23)'!M148</f>
        <v>14987614.657323709</v>
      </c>
      <c r="DT244" s="6">
        <f>'Monthly Data (longer 09-23)'!X148</f>
        <v>1798087</v>
      </c>
      <c r="DU244" s="16">
        <f>DQ244/'Monthly Data (longer 09-23)'!F148</f>
        <v>686.51801005512766</v>
      </c>
      <c r="DV244" s="16">
        <f>DR244/'Monthly Data (longer 09-23)'!J148</f>
        <v>2973.1652404525262</v>
      </c>
      <c r="DW244" s="16">
        <f>DS244/'Monthly Data (longer 09-23)'!O148</f>
        <v>58545.369755170737</v>
      </c>
      <c r="DX244" s="16">
        <f>DT244/'Monthly Data (longer 09-23)'!Z148</f>
        <v>449521.75</v>
      </c>
    </row>
    <row r="245" spans="1:128">
      <c r="A245" s="197">
        <f t="shared" si="83"/>
        <v>44287</v>
      </c>
      <c r="B245">
        <f t="shared" si="84"/>
        <v>2021</v>
      </c>
      <c r="C245">
        <f t="shared" si="85"/>
        <v>4</v>
      </c>
      <c r="D245" s="64">
        <v>314.5</v>
      </c>
      <c r="E245" s="64">
        <v>0</v>
      </c>
      <c r="F245" s="64">
        <v>254.90000000000003</v>
      </c>
      <c r="G245" s="64">
        <v>0.39999999999999858</v>
      </c>
      <c r="H245" s="64">
        <v>201.20000000000002</v>
      </c>
      <c r="I245" s="64">
        <v>6.6999999999999957</v>
      </c>
      <c r="J245" s="64">
        <v>153.5</v>
      </c>
      <c r="K245" s="64">
        <v>18.999999999999993</v>
      </c>
      <c r="L245" s="64">
        <v>108.00000000000003</v>
      </c>
      <c r="M245" s="64">
        <v>33.499999999999993</v>
      </c>
      <c r="N245" s="64">
        <v>69.000000000000014</v>
      </c>
      <c r="O245" s="64">
        <v>54.499999999999986</v>
      </c>
      <c r="P245" s="64">
        <v>39.200000000000003</v>
      </c>
      <c r="Q245" s="64">
        <v>84.699999999999989</v>
      </c>
      <c r="R245" s="254">
        <v>9.5166666666666693</v>
      </c>
      <c r="DQ245" s="6">
        <f>'Monthly Data (longer 09-23)'!E149</f>
        <v>18206323.314028163</v>
      </c>
      <c r="DR245" s="6">
        <f>'Monthly Data (longer 09-23)'!I149</f>
        <v>5428045.9338399861</v>
      </c>
      <c r="DS245" s="6">
        <f>'Monthly Data (longer 09-23)'!M149</f>
        <v>13569451.657323709</v>
      </c>
      <c r="DT245" s="6">
        <f>'Monthly Data (longer 09-23)'!X149</f>
        <v>1779970</v>
      </c>
      <c r="DU245" s="16">
        <f>DQ245/'Monthly Data (longer 09-23)'!F149</f>
        <v>639.53643789616979</v>
      </c>
      <c r="DV245" s="16">
        <f>DR245/'Monthly Data (longer 09-23)'!J149</f>
        <v>2666.034348644394</v>
      </c>
      <c r="DW245" s="16">
        <f>DS245/'Monthly Data (longer 09-23)'!O149</f>
        <v>53005.670536420737</v>
      </c>
      <c r="DX245" s="16">
        <f>DT245/'Monthly Data (longer 09-23)'!Z149</f>
        <v>444992.5</v>
      </c>
    </row>
    <row r="246" spans="1:128">
      <c r="A246" s="197">
        <f t="shared" si="83"/>
        <v>44317</v>
      </c>
      <c r="B246">
        <f t="shared" si="84"/>
        <v>2021</v>
      </c>
      <c r="C246">
        <f t="shared" si="85"/>
        <v>5</v>
      </c>
      <c r="D246" s="64">
        <v>192.73552299140982</v>
      </c>
      <c r="E246" s="64">
        <v>23.564477008590192</v>
      </c>
      <c r="F246" s="64">
        <v>145.83552299140982</v>
      </c>
      <c r="G246" s="64">
        <v>38.664477008590197</v>
      </c>
      <c r="H246" s="64">
        <v>103.23552299140981</v>
      </c>
      <c r="I246" s="64">
        <v>58.064477008590188</v>
      </c>
      <c r="J246" s="64">
        <v>68.935522991409798</v>
      </c>
      <c r="K246" s="64">
        <v>85.764477008590191</v>
      </c>
      <c r="L246" s="64">
        <v>40.700000000000003</v>
      </c>
      <c r="M246" s="64">
        <v>119.5289540171804</v>
      </c>
      <c r="N246" s="64">
        <v>19.899999999999999</v>
      </c>
      <c r="O246" s="64">
        <v>160.7289540171804</v>
      </c>
      <c r="P246" s="64">
        <v>3.9000000000000004</v>
      </c>
      <c r="Q246" s="64">
        <v>206.72895401718043</v>
      </c>
      <c r="R246" s="254">
        <v>14.542869484425172</v>
      </c>
      <c r="DQ246" s="6">
        <f>'Monthly Data (longer 09-23)'!E150</f>
        <v>21868557.314028163</v>
      </c>
      <c r="DR246" s="6">
        <f>'Monthly Data (longer 09-23)'!I150</f>
        <v>5680903.9338399861</v>
      </c>
      <c r="DS246" s="6">
        <f>'Monthly Data (longer 09-23)'!M150</f>
        <v>14542473.657323709</v>
      </c>
      <c r="DT246" s="6">
        <f>'Monthly Data (longer 09-23)'!X150</f>
        <v>2156240</v>
      </c>
      <c r="DU246" s="16">
        <f>DQ246/'Monthly Data (longer 09-23)'!F150</f>
        <v>768.15333569946824</v>
      </c>
      <c r="DV246" s="16">
        <f>DR246/'Monthly Data (longer 09-23)'!J150</f>
        <v>2790.2278653438048</v>
      </c>
      <c r="DW246" s="16">
        <f>DS246/'Monthly Data (longer 09-23)'!O150</f>
        <v>56148.546939473781</v>
      </c>
      <c r="DX246" s="16">
        <f>DT246/'Monthly Data (longer 09-23)'!Z150</f>
        <v>539060</v>
      </c>
    </row>
    <row r="247" spans="1:128">
      <c r="A247" s="197">
        <f t="shared" si="83"/>
        <v>44348</v>
      </c>
      <c r="B247">
        <f t="shared" si="84"/>
        <v>2021</v>
      </c>
      <c r="C247">
        <f t="shared" si="85"/>
        <v>6</v>
      </c>
      <c r="D247" s="64">
        <v>17.899999999999999</v>
      </c>
      <c r="E247" s="64">
        <v>86.000000000000014</v>
      </c>
      <c r="F247" s="64">
        <v>6.9</v>
      </c>
      <c r="G247" s="64">
        <v>135</v>
      </c>
      <c r="H247" s="64">
        <v>1.9000000000000004</v>
      </c>
      <c r="I247" s="64">
        <v>190</v>
      </c>
      <c r="J247" s="64">
        <v>0</v>
      </c>
      <c r="K247" s="64">
        <v>248.09999999999994</v>
      </c>
      <c r="L247" s="64">
        <v>0</v>
      </c>
      <c r="M247" s="64">
        <v>308.09999999999997</v>
      </c>
      <c r="N247" s="64">
        <v>0</v>
      </c>
      <c r="O247" s="64">
        <v>368.1</v>
      </c>
      <c r="P247" s="64">
        <v>0</v>
      </c>
      <c r="Q247" s="64">
        <v>428.10000000000008</v>
      </c>
      <c r="R247" s="254">
        <v>22.270000000000003</v>
      </c>
      <c r="DQ247" s="6">
        <f>'Monthly Data (longer 09-23)'!E151</f>
        <v>30617187.314028163</v>
      </c>
      <c r="DR247" s="6">
        <f>'Monthly Data (longer 09-23)'!I151</f>
        <v>6714011.9338399861</v>
      </c>
      <c r="DS247" s="6">
        <f>'Monthly Data (longer 09-23)'!M151</f>
        <v>16882499.657323711</v>
      </c>
      <c r="DT247" s="6">
        <f>'Monthly Data (longer 09-23)'!X151</f>
        <v>2661577</v>
      </c>
      <c r="DU247" s="16">
        <f>DQ247/'Monthly Data (longer 09-23)'!F151</f>
        <v>1073.7221572515575</v>
      </c>
      <c r="DV247" s="16">
        <f>DR247/'Monthly Data (longer 09-23)'!J151</f>
        <v>3296.0294226018586</v>
      </c>
      <c r="DW247" s="16">
        <f>DS247/'Monthly Data (longer 09-23)'!O151</f>
        <v>76391.401164360679</v>
      </c>
      <c r="DX247" s="16">
        <f>DT247/'Monthly Data (longer 09-23)'!Z151</f>
        <v>665394.25</v>
      </c>
    </row>
    <row r="248" spans="1:128">
      <c r="A248" s="197">
        <f t="shared" si="83"/>
        <v>44378</v>
      </c>
      <c r="B248">
        <f t="shared" si="84"/>
        <v>2021</v>
      </c>
      <c r="C248">
        <f t="shared" si="85"/>
        <v>7</v>
      </c>
      <c r="D248" s="64">
        <v>10.5</v>
      </c>
      <c r="E248" s="64">
        <v>78.900000000000006</v>
      </c>
      <c r="F248" s="64">
        <v>0</v>
      </c>
      <c r="G248" s="64">
        <v>130.4</v>
      </c>
      <c r="H248" s="64">
        <v>0</v>
      </c>
      <c r="I248" s="64">
        <v>192.39999999999998</v>
      </c>
      <c r="J248" s="64">
        <v>0</v>
      </c>
      <c r="K248" s="64">
        <v>254.40000000000003</v>
      </c>
      <c r="L248" s="64">
        <v>0</v>
      </c>
      <c r="M248" s="64">
        <v>316.40000000000003</v>
      </c>
      <c r="N248" s="64">
        <v>0</v>
      </c>
      <c r="O248" s="64">
        <v>378.4</v>
      </c>
      <c r="P248" s="64">
        <v>0</v>
      </c>
      <c r="Q248" s="64">
        <v>440.39999999999992</v>
      </c>
      <c r="R248" s="254">
        <v>22.20645161290323</v>
      </c>
      <c r="DQ248" s="6">
        <f>'Monthly Data (longer 09-23)'!E152</f>
        <v>33247959.314028163</v>
      </c>
      <c r="DR248" s="6">
        <f>'Monthly Data (longer 09-23)'!I152</f>
        <v>7218985.9338399861</v>
      </c>
      <c r="DS248" s="6">
        <f>'Monthly Data (longer 09-23)'!M152</f>
        <v>17823956.657323711</v>
      </c>
      <c r="DT248" s="6">
        <f>'Monthly Data (longer 09-23)'!X152</f>
        <v>2641727</v>
      </c>
      <c r="DU248" s="16">
        <f>DQ248/'Monthly Data (longer 09-23)'!F152</f>
        <v>1165.6543601314083</v>
      </c>
      <c r="DV248" s="16">
        <f>DR248/'Monthly Data (longer 09-23)'!J152</f>
        <v>3540.4541117410427</v>
      </c>
      <c r="DW248" s="16">
        <f>DS248/'Monthly Data (longer 09-23)'!O152</f>
        <v>80651.387589700054</v>
      </c>
      <c r="DX248" s="16">
        <f>DT248/'Monthly Data (longer 09-23)'!Z152</f>
        <v>660431.75</v>
      </c>
    </row>
    <row r="249" spans="1:128">
      <c r="A249" s="197">
        <f t="shared" si="83"/>
        <v>44409</v>
      </c>
      <c r="B249">
        <f t="shared" si="84"/>
        <v>2021</v>
      </c>
      <c r="C249">
        <f t="shared" si="85"/>
        <v>8</v>
      </c>
      <c r="D249" s="64">
        <v>4.9000000000000021</v>
      </c>
      <c r="E249" s="64">
        <v>105.19343102577058</v>
      </c>
      <c r="F249" s="64">
        <v>0</v>
      </c>
      <c r="G249" s="64">
        <v>162.29343102577059</v>
      </c>
      <c r="H249" s="64">
        <v>0</v>
      </c>
      <c r="I249" s="64">
        <v>224.29343102577059</v>
      </c>
      <c r="J249" s="64">
        <v>0</v>
      </c>
      <c r="K249" s="64">
        <v>286.29343102577059</v>
      </c>
      <c r="L249" s="64">
        <v>0</v>
      </c>
      <c r="M249" s="64">
        <v>348.29343102577053</v>
      </c>
      <c r="N249" s="64">
        <v>0</v>
      </c>
      <c r="O249" s="64">
        <v>410.29343102577059</v>
      </c>
      <c r="P249" s="64">
        <v>0</v>
      </c>
      <c r="Q249" s="64">
        <v>472.29343102577064</v>
      </c>
      <c r="R249" s="254">
        <v>23.235271968573244</v>
      </c>
      <c r="DQ249" s="6">
        <f>'Monthly Data (longer 09-23)'!E153</f>
        <v>36175514.314028166</v>
      </c>
      <c r="DR249" s="6">
        <f>'Monthly Data (longer 09-23)'!I153</f>
        <v>7769864.9338399861</v>
      </c>
      <c r="DS249" s="6">
        <f>'Monthly Data (longer 09-23)'!M153</f>
        <v>20016862.657323711</v>
      </c>
      <c r="DT249" s="6">
        <f>'Monthly Data (longer 09-23)'!X153</f>
        <v>2810916</v>
      </c>
      <c r="DU249" s="16">
        <f>DQ249/'Monthly Data (longer 09-23)'!F153</f>
        <v>1267.8926929071977</v>
      </c>
      <c r="DV249" s="16">
        <f>DR249/'Monthly Data (longer 09-23)'!J153</f>
        <v>3810.6252740755203</v>
      </c>
      <c r="DW249" s="16">
        <f>DS249/'Monthly Data (longer 09-23)'!O153</f>
        <v>90574.039173410449</v>
      </c>
      <c r="DX249" s="16">
        <f>DT249/'Monthly Data (longer 09-23)'!Z153</f>
        <v>702729</v>
      </c>
    </row>
    <row r="250" spans="1:128">
      <c r="A250" s="197">
        <f t="shared" si="83"/>
        <v>44440</v>
      </c>
      <c r="B250">
        <f t="shared" si="84"/>
        <v>2021</v>
      </c>
      <c r="C250">
        <f t="shared" si="85"/>
        <v>9</v>
      </c>
      <c r="D250" s="64">
        <v>61.099999999999994</v>
      </c>
      <c r="E250" s="64">
        <v>18.600000000000001</v>
      </c>
      <c r="F250" s="64">
        <v>33.400000000000006</v>
      </c>
      <c r="G250" s="64">
        <v>50.900000000000006</v>
      </c>
      <c r="H250" s="64">
        <v>13.3</v>
      </c>
      <c r="I250" s="64">
        <v>90.800000000000011</v>
      </c>
      <c r="J250" s="64">
        <v>3.9000000000000004</v>
      </c>
      <c r="K250" s="64">
        <v>141.39999999999998</v>
      </c>
      <c r="L250" s="64">
        <v>0.59999999999999964</v>
      </c>
      <c r="M250" s="64">
        <v>198.1</v>
      </c>
      <c r="N250" s="64">
        <v>0</v>
      </c>
      <c r="O250" s="64">
        <v>257.5</v>
      </c>
      <c r="P250" s="64">
        <v>0</v>
      </c>
      <c r="Q250" s="64">
        <v>317.49999999999994</v>
      </c>
      <c r="R250" s="254">
        <v>18.583333333333332</v>
      </c>
      <c r="DQ250" s="6">
        <f>'Monthly Data (longer 09-23)'!E154</f>
        <v>25045935.314028163</v>
      </c>
      <c r="DR250" s="6">
        <f>'Monthly Data (longer 09-23)'!I154</f>
        <v>6525829.9338399861</v>
      </c>
      <c r="DS250" s="6">
        <f>'Monthly Data (longer 09-23)'!M154</f>
        <v>18514000.657323711</v>
      </c>
      <c r="DT250" s="6">
        <f>'Monthly Data (longer 09-23)'!X154</f>
        <v>2370134</v>
      </c>
      <c r="DU250" s="16">
        <f>DQ250/'Monthly Data (longer 09-23)'!F154</f>
        <v>877.29641367572117</v>
      </c>
      <c r="DV250" s="16">
        <f>DR250/'Monthly Data (longer 09-23)'!J154</f>
        <v>3198.9362420784246</v>
      </c>
      <c r="DW250" s="16">
        <f>DS250/'Monthly Data (longer 09-23)'!O154</f>
        <v>83773.758630424025</v>
      </c>
      <c r="DX250" s="16">
        <f>DT250/'Monthly Data (longer 09-23)'!Z154</f>
        <v>592533.5</v>
      </c>
    </row>
    <row r="251" spans="1:128">
      <c r="A251" s="197">
        <f t="shared" si="83"/>
        <v>44470</v>
      </c>
      <c r="B251">
        <f t="shared" si="84"/>
        <v>2021</v>
      </c>
      <c r="C251">
        <f t="shared" si="85"/>
        <v>10</v>
      </c>
      <c r="D251" s="64">
        <v>166.30000000000004</v>
      </c>
      <c r="E251" s="64">
        <v>7.5000000000000036</v>
      </c>
      <c r="F251" s="64">
        <v>123.80000000000001</v>
      </c>
      <c r="G251" s="64">
        <v>27</v>
      </c>
      <c r="H251" s="64">
        <v>86.1</v>
      </c>
      <c r="I251" s="64">
        <v>51.300000000000011</v>
      </c>
      <c r="J251" s="64">
        <v>53.599999999999994</v>
      </c>
      <c r="K251" s="64">
        <v>80.799999999999983</v>
      </c>
      <c r="L251" s="64">
        <v>28.000000000000007</v>
      </c>
      <c r="M251" s="64">
        <v>117.19999999999999</v>
      </c>
      <c r="N251" s="64">
        <v>11.4</v>
      </c>
      <c r="O251" s="64">
        <v>162.6</v>
      </c>
      <c r="P251" s="64">
        <v>2.0999999999999996</v>
      </c>
      <c r="Q251" s="64">
        <v>215.29999999999998</v>
      </c>
      <c r="R251" s="254">
        <v>14.877419354838711</v>
      </c>
      <c r="DQ251" s="6">
        <f>'Monthly Data (longer 09-23)'!E155</f>
        <v>20811938.314028163</v>
      </c>
      <c r="DR251" s="6">
        <f>'Monthly Data (longer 09-23)'!I155</f>
        <v>5883672.9338399861</v>
      </c>
      <c r="DS251" s="6">
        <f>'Monthly Data (longer 09-23)'!M155</f>
        <v>16453533.657323709</v>
      </c>
      <c r="DT251" s="6">
        <f>'Monthly Data (longer 09-23)'!X155</f>
        <v>2288392</v>
      </c>
      <c r="DU251" s="16">
        <f>DQ251/'Monthly Data (longer 09-23)'!F155</f>
        <v>727.76648998245139</v>
      </c>
      <c r="DV251" s="16">
        <f>DR251/'Monthly Data (longer 09-23)'!J155</f>
        <v>2882.7402909554071</v>
      </c>
      <c r="DW251" s="16">
        <f>DS251/'Monthly Data (longer 09-23)'!O155</f>
        <v>74450.378539926285</v>
      </c>
      <c r="DX251" s="16">
        <f>DT251/'Monthly Data (longer 09-23)'!Z155</f>
        <v>572098</v>
      </c>
    </row>
    <row r="252" spans="1:128">
      <c r="A252" s="197">
        <f t="shared" si="83"/>
        <v>44501</v>
      </c>
      <c r="B252">
        <f t="shared" si="84"/>
        <v>2021</v>
      </c>
      <c r="C252">
        <f t="shared" si="85"/>
        <v>11</v>
      </c>
      <c r="D252" s="64">
        <v>482.90000000000009</v>
      </c>
      <c r="E252" s="64">
        <v>0</v>
      </c>
      <c r="F252" s="64">
        <v>422.90000000000003</v>
      </c>
      <c r="G252" s="64">
        <v>0</v>
      </c>
      <c r="H252" s="64">
        <v>362.90000000000003</v>
      </c>
      <c r="I252" s="64">
        <v>0</v>
      </c>
      <c r="J252" s="64">
        <v>302.90000000000003</v>
      </c>
      <c r="K252" s="64">
        <v>0</v>
      </c>
      <c r="L252" s="64">
        <v>244.00000000000003</v>
      </c>
      <c r="M252" s="64">
        <v>1.0999999999999996</v>
      </c>
      <c r="N252" s="64">
        <v>188.5</v>
      </c>
      <c r="O252" s="64">
        <v>5.6</v>
      </c>
      <c r="P252" s="64">
        <v>137.1</v>
      </c>
      <c r="Q252" s="64">
        <v>14.2</v>
      </c>
      <c r="R252" s="254">
        <v>3.9033333333333342</v>
      </c>
      <c r="DQ252" s="6">
        <f>'Monthly Data (longer 09-23)'!E156</f>
        <v>19647364.314028163</v>
      </c>
      <c r="DR252" s="6">
        <f>'Monthly Data (longer 09-23)'!I156</f>
        <v>5929416.9338399861</v>
      </c>
      <c r="DS252" s="6">
        <f>'Monthly Data (longer 09-23)'!M156</f>
        <v>16096655.657323709</v>
      </c>
      <c r="DT252" s="6">
        <f>'Monthly Data (longer 09-23)'!X156</f>
        <v>2388052</v>
      </c>
      <c r="DU252" s="16">
        <f>DQ252/'Monthly Data (longer 09-23)'!F156</f>
        <v>686.58667577677397</v>
      </c>
      <c r="DV252" s="16">
        <f>DR252/'Monthly Data (longer 09-23)'!J156</f>
        <v>2890.9882661335864</v>
      </c>
      <c r="DW252" s="16">
        <f>DS252/'Monthly Data (longer 09-23)'!O156</f>
        <v>72835.545960740768</v>
      </c>
      <c r="DX252" s="16">
        <f>DT252/'Monthly Data (longer 09-23)'!Z156</f>
        <v>597013</v>
      </c>
    </row>
    <row r="253" spans="1:128">
      <c r="A253" s="197">
        <f t="shared" si="83"/>
        <v>44531</v>
      </c>
      <c r="B253">
        <f t="shared" si="84"/>
        <v>2021</v>
      </c>
      <c r="C253">
        <f t="shared" si="85"/>
        <v>12</v>
      </c>
      <c r="D253" s="64">
        <v>545.4</v>
      </c>
      <c r="E253" s="64">
        <v>0</v>
      </c>
      <c r="F253" s="64">
        <v>483.4</v>
      </c>
      <c r="G253" s="64">
        <v>0</v>
      </c>
      <c r="H253" s="64">
        <v>421.4</v>
      </c>
      <c r="I253" s="64">
        <v>0</v>
      </c>
      <c r="J253" s="64">
        <v>359.4</v>
      </c>
      <c r="K253" s="64">
        <v>0</v>
      </c>
      <c r="L253" s="64">
        <v>297.40000000000003</v>
      </c>
      <c r="M253" s="64">
        <v>0</v>
      </c>
      <c r="N253" s="64">
        <v>235.40000000000006</v>
      </c>
      <c r="O253" s="64">
        <v>0</v>
      </c>
      <c r="P253" s="64">
        <v>175.60000000000002</v>
      </c>
      <c r="Q253" s="64">
        <v>2.1999999999999993</v>
      </c>
      <c r="R253" s="254">
        <v>2.4064516129032261</v>
      </c>
      <c r="DQ253" s="6">
        <f>'Monthly Data (longer 09-23)'!E157</f>
        <v>22395464.314028163</v>
      </c>
      <c r="DR253" s="6">
        <f>'Monthly Data (longer 09-23)'!I157</f>
        <v>6454484.9338399861</v>
      </c>
      <c r="DS253" s="6">
        <f>'Monthly Data (longer 09-23)'!M157</f>
        <v>15063042.657323709</v>
      </c>
      <c r="DT253" s="6">
        <f>'Monthly Data (longer 09-23)'!X157</f>
        <v>2282252</v>
      </c>
      <c r="DU253" s="16">
        <f>DQ253/'Monthly Data (longer 09-23)'!F157</f>
        <v>782.04645437818772</v>
      </c>
      <c r="DV253" s="16">
        <f>DR253/'Monthly Data (longer 09-23)'!J157</f>
        <v>3125.658563602899</v>
      </c>
      <c r="DW253" s="16">
        <f>DS253/'Monthly Data (longer 09-23)'!O157</f>
        <v>74569.518105562922</v>
      </c>
      <c r="DX253" s="16">
        <f>DT253/'Monthly Data (longer 09-23)'!Z157</f>
        <v>570563</v>
      </c>
    </row>
    <row r="254" spans="1:128">
      <c r="A254" s="197">
        <f t="shared" si="83"/>
        <v>44562</v>
      </c>
      <c r="B254">
        <f t="shared" si="84"/>
        <v>2022</v>
      </c>
      <c r="C254">
        <f t="shared" si="85"/>
        <v>1</v>
      </c>
      <c r="D254" s="64">
        <v>828.20000000000016</v>
      </c>
      <c r="E254" s="64">
        <v>0</v>
      </c>
      <c r="F254" s="64">
        <v>766.2</v>
      </c>
      <c r="G254" s="64">
        <v>0</v>
      </c>
      <c r="H254" s="64">
        <v>704.2</v>
      </c>
      <c r="I254" s="64">
        <v>0</v>
      </c>
      <c r="J254" s="64">
        <v>642.20000000000005</v>
      </c>
      <c r="K254" s="64">
        <v>0</v>
      </c>
      <c r="L254" s="64">
        <v>580.19999999999993</v>
      </c>
      <c r="M254" s="64">
        <v>0</v>
      </c>
      <c r="N254" s="64">
        <v>518.19999999999993</v>
      </c>
      <c r="O254" s="64">
        <v>0</v>
      </c>
      <c r="P254" s="64">
        <v>456.2</v>
      </c>
      <c r="Q254" s="64">
        <v>0</v>
      </c>
      <c r="R254" s="254">
        <v>-6.7161290322580642</v>
      </c>
      <c r="DQ254" s="6">
        <f>'Monthly Data (longer 09-23)'!E158</f>
        <v>24029016.395077039</v>
      </c>
      <c r="DR254" s="6">
        <f>'Monthly Data (longer 09-23)'!I158</f>
        <v>6893379.3523487775</v>
      </c>
      <c r="DS254" s="6">
        <f>'Monthly Data (longer 09-23)'!M158</f>
        <v>15923178.882654494</v>
      </c>
      <c r="DT254" s="6">
        <f>'Monthly Data (longer 09-23)'!X158</f>
        <v>2458213</v>
      </c>
      <c r="DU254" s="16">
        <f>DQ254/'Monthly Data (longer 09-23)'!F158</f>
        <v>838.62130998768157</v>
      </c>
      <c r="DV254" s="16">
        <f>DR254/'Monthly Data (longer 09-23)'!J158</f>
        <v>3338.198233582943</v>
      </c>
      <c r="DW254" s="16">
        <f>DS254/'Monthly Data (longer 09-23)'!O158</f>
        <v>78439.304840662531</v>
      </c>
      <c r="DX254" s="16">
        <f>DT254/'Monthly Data (longer 09-23)'!Z158</f>
        <v>614553.25</v>
      </c>
    </row>
    <row r="255" spans="1:128">
      <c r="A255" s="197">
        <f t="shared" si="83"/>
        <v>44593</v>
      </c>
      <c r="B255">
        <f t="shared" si="84"/>
        <v>2022</v>
      </c>
      <c r="C255">
        <f t="shared" si="85"/>
        <v>2</v>
      </c>
      <c r="D255" s="64">
        <v>663.30000000000007</v>
      </c>
      <c r="E255" s="64">
        <v>0</v>
      </c>
      <c r="F255" s="64">
        <v>607.30000000000018</v>
      </c>
      <c r="G255" s="64">
        <v>0</v>
      </c>
      <c r="H255" s="64">
        <v>551.30000000000007</v>
      </c>
      <c r="I255" s="64">
        <v>0</v>
      </c>
      <c r="J255" s="64">
        <v>495.30000000000007</v>
      </c>
      <c r="K255" s="64">
        <v>0</v>
      </c>
      <c r="L255" s="64">
        <v>439.3</v>
      </c>
      <c r="M255" s="64">
        <v>0</v>
      </c>
      <c r="N255" s="64">
        <v>383.29999999999995</v>
      </c>
      <c r="O255" s="64">
        <v>0</v>
      </c>
      <c r="P255" s="64">
        <v>327.29999999999995</v>
      </c>
      <c r="Q255" s="64">
        <v>0</v>
      </c>
      <c r="R255" s="254">
        <v>-3.6892857142857136</v>
      </c>
      <c r="DQ255" s="6">
        <f>'Monthly Data (longer 09-23)'!E159</f>
        <v>20773941.395077039</v>
      </c>
      <c r="DR255" s="6">
        <f>'Monthly Data (longer 09-23)'!I159</f>
        <v>6371811.3523487775</v>
      </c>
      <c r="DS255" s="6">
        <f>'Monthly Data (longer 09-23)'!M159</f>
        <v>14626504.882654494</v>
      </c>
      <c r="DT255" s="6">
        <f>'Monthly Data (longer 09-23)'!X159</f>
        <v>2115178</v>
      </c>
      <c r="DU255" s="16">
        <f>DQ255/'Monthly Data (longer 09-23)'!F159</f>
        <v>724.7650767566912</v>
      </c>
      <c r="DV255" s="16">
        <f>DR255/'Monthly Data (longer 09-23)'!J159</f>
        <v>3085.6229309195051</v>
      </c>
      <c r="DW255" s="16">
        <f>DS255/'Monthly Data (longer 09-23)'!O159</f>
        <v>72051.748190416227</v>
      </c>
      <c r="DX255" s="16">
        <f>DT255/'Monthly Data (longer 09-23)'!Z159</f>
        <v>528794.5</v>
      </c>
    </row>
    <row r="256" spans="1:128">
      <c r="A256" s="197">
        <f t="shared" si="83"/>
        <v>44621</v>
      </c>
      <c r="B256">
        <f t="shared" si="84"/>
        <v>2022</v>
      </c>
      <c r="C256">
        <f t="shared" si="85"/>
        <v>3</v>
      </c>
      <c r="D256" s="64">
        <v>527.93552299140981</v>
      </c>
      <c r="E256" s="64">
        <v>0</v>
      </c>
      <c r="F256" s="64">
        <v>465.93552299140975</v>
      </c>
      <c r="G256" s="64">
        <v>0</v>
      </c>
      <c r="H256" s="64">
        <v>403.93552299140981</v>
      </c>
      <c r="I256" s="64">
        <v>0</v>
      </c>
      <c r="J256" s="64">
        <v>341.93552299140981</v>
      </c>
      <c r="K256" s="64">
        <v>0</v>
      </c>
      <c r="L256" s="64">
        <v>279.93552299140987</v>
      </c>
      <c r="M256" s="64">
        <v>0</v>
      </c>
      <c r="N256" s="64">
        <v>218.83552299140982</v>
      </c>
      <c r="O256" s="64">
        <v>0.90000000000000036</v>
      </c>
      <c r="P256" s="64">
        <v>161.23552299140979</v>
      </c>
      <c r="Q256" s="64">
        <v>5.2999999999999989</v>
      </c>
      <c r="R256" s="254">
        <v>2.9698218389867801</v>
      </c>
      <c r="DQ256" s="6">
        <f>'Monthly Data (longer 09-23)'!E160</f>
        <v>20336375.395077039</v>
      </c>
      <c r="DR256" s="6">
        <f>'Monthly Data (longer 09-23)'!I160</f>
        <v>6579535.3523487775</v>
      </c>
      <c r="DS256" s="6">
        <f>'Monthly Data (longer 09-23)'!M160</f>
        <v>15391912.882654494</v>
      </c>
      <c r="DT256" s="6">
        <f>'Monthly Data (longer 09-23)'!X160</f>
        <v>2122133</v>
      </c>
      <c r="DU256" s="16">
        <f>DQ256/'Monthly Data (longer 09-23)'!F160</f>
        <v>708.23902608751962</v>
      </c>
      <c r="DV256" s="16">
        <f>DR256/'Monthly Data (longer 09-23)'!J160</f>
        <v>3190.8512862991161</v>
      </c>
      <c r="DW256" s="16">
        <f>DS256/'Monthly Data (longer 09-23)'!O160</f>
        <v>75450.55334634555</v>
      </c>
      <c r="DX256" s="16">
        <f>DT256/'Monthly Data (longer 09-23)'!Z160</f>
        <v>530533.25</v>
      </c>
    </row>
    <row r="257" spans="1:128">
      <c r="A257" s="197">
        <f t="shared" si="83"/>
        <v>44652</v>
      </c>
      <c r="B257">
        <f t="shared" si="84"/>
        <v>2022</v>
      </c>
      <c r="C257">
        <f t="shared" si="85"/>
        <v>4</v>
      </c>
      <c r="D257" s="64">
        <v>392.50000000000006</v>
      </c>
      <c r="E257" s="64">
        <v>0</v>
      </c>
      <c r="F257" s="64">
        <v>333.80000000000007</v>
      </c>
      <c r="G257" s="64">
        <v>1.3000000000000007</v>
      </c>
      <c r="H257" s="64">
        <v>275.80000000000007</v>
      </c>
      <c r="I257" s="64">
        <v>3.3000000000000007</v>
      </c>
      <c r="J257" s="64">
        <v>220.60000000000005</v>
      </c>
      <c r="K257" s="64">
        <v>8.1</v>
      </c>
      <c r="L257" s="64">
        <v>168.70000000000002</v>
      </c>
      <c r="M257" s="64">
        <v>16.2</v>
      </c>
      <c r="N257" s="64">
        <v>121.39999999999999</v>
      </c>
      <c r="O257" s="64">
        <v>28.9</v>
      </c>
      <c r="P257" s="64">
        <v>79.599999999999994</v>
      </c>
      <c r="Q257" s="64">
        <v>47.099999999999994</v>
      </c>
      <c r="R257" s="254">
        <v>6.916666666666667</v>
      </c>
      <c r="DQ257" s="6">
        <f>'Monthly Data (longer 09-23)'!E161</f>
        <v>18574452.395077039</v>
      </c>
      <c r="DR257" s="6">
        <f>'Monthly Data (longer 09-23)'!I161</f>
        <v>6070000.3523487775</v>
      </c>
      <c r="DS257" s="6">
        <f>'Monthly Data (longer 09-23)'!M161</f>
        <v>14498959.882654494</v>
      </c>
      <c r="DT257" s="6">
        <f>'Monthly Data (longer 09-23)'!X161</f>
        <v>2129088</v>
      </c>
      <c r="DU257" s="16">
        <f>DQ257/'Monthly Data (longer 09-23)'!F161</f>
        <v>646.63019652139383</v>
      </c>
      <c r="DV257" s="16">
        <f>DR257/'Monthly Data (longer 09-23)'!J161</f>
        <v>2945.1724174423957</v>
      </c>
      <c r="DW257" s="16">
        <f>DS257/'Monthly Data (longer 09-23)'!O161</f>
        <v>71073.332758110264</v>
      </c>
      <c r="DX257" s="16">
        <f>DT257/'Monthly Data (longer 09-23)'!Z161</f>
        <v>532272</v>
      </c>
    </row>
    <row r="258" spans="1:128">
      <c r="A258" s="197">
        <f t="shared" si="83"/>
        <v>44682</v>
      </c>
      <c r="B258">
        <f t="shared" si="84"/>
        <v>2022</v>
      </c>
      <c r="C258">
        <f t="shared" si="85"/>
        <v>5</v>
      </c>
      <c r="D258" s="64">
        <v>131.5</v>
      </c>
      <c r="E258" s="64">
        <v>19.099999999999994</v>
      </c>
      <c r="F258" s="64">
        <v>92.700000000000031</v>
      </c>
      <c r="G258" s="64">
        <v>42.29999999999999</v>
      </c>
      <c r="H258" s="64">
        <v>60.899999999999991</v>
      </c>
      <c r="I258" s="64">
        <v>72.5</v>
      </c>
      <c r="J258" s="64">
        <v>33</v>
      </c>
      <c r="K258" s="64">
        <v>106.6</v>
      </c>
      <c r="L258" s="64">
        <v>12.999999999999998</v>
      </c>
      <c r="M258" s="64">
        <v>148.6</v>
      </c>
      <c r="N258" s="64">
        <v>1.5999999999999996</v>
      </c>
      <c r="O258" s="64">
        <v>199.2</v>
      </c>
      <c r="P258" s="64">
        <v>0</v>
      </c>
      <c r="Q258" s="64">
        <v>259.60000000000002</v>
      </c>
      <c r="R258" s="254">
        <v>16.374193548387094</v>
      </c>
      <c r="DQ258" s="6">
        <f>'Monthly Data (longer 09-23)'!E162</f>
        <v>21615955.395077039</v>
      </c>
      <c r="DR258" s="6">
        <f>'Monthly Data (longer 09-23)'!I162</f>
        <v>6515619.3523487775</v>
      </c>
      <c r="DS258" s="6">
        <f>'Monthly Data (longer 09-23)'!M162</f>
        <v>15865841.882654494</v>
      </c>
      <c r="DT258" s="6">
        <f>'Monthly Data (longer 09-23)'!X162</f>
        <v>2149513</v>
      </c>
      <c r="DU258" s="16">
        <f>DQ258/'Monthly Data (longer 09-23)'!F162</f>
        <v>752.30415880962789</v>
      </c>
      <c r="DV258" s="16">
        <f>DR258/'Monthly Data (longer 09-23)'!J162</f>
        <v>3155.2636088856066</v>
      </c>
      <c r="DW258" s="16">
        <f>DS258/'Monthly Data (longer 09-23)'!O162</f>
        <v>77018.649915798509</v>
      </c>
      <c r="DX258" s="16">
        <f>DT258/'Monthly Data (longer 09-23)'!Z162</f>
        <v>537378.25</v>
      </c>
    </row>
    <row r="259" spans="1:128">
      <c r="A259" s="197">
        <f t="shared" si="83"/>
        <v>44713</v>
      </c>
      <c r="B259">
        <f t="shared" si="84"/>
        <v>2022</v>
      </c>
      <c r="C259">
        <f t="shared" si="85"/>
        <v>6</v>
      </c>
      <c r="D259" s="64">
        <v>27.335522991409807</v>
      </c>
      <c r="E259" s="64">
        <v>54.699999999999996</v>
      </c>
      <c r="F259" s="64">
        <v>6.5355229914098061</v>
      </c>
      <c r="G259" s="64">
        <v>93.9</v>
      </c>
      <c r="H259" s="64">
        <v>0.33552299140980679</v>
      </c>
      <c r="I259" s="64">
        <v>147.70000000000002</v>
      </c>
      <c r="J259" s="64">
        <v>0</v>
      </c>
      <c r="K259" s="64">
        <v>207.3644770085902</v>
      </c>
      <c r="L259" s="64">
        <v>0</v>
      </c>
      <c r="M259" s="64">
        <v>267.3644770085902</v>
      </c>
      <c r="N259" s="64">
        <v>0</v>
      </c>
      <c r="O259" s="64">
        <v>327.36447700859014</v>
      </c>
      <c r="P259" s="64">
        <v>0</v>
      </c>
      <c r="Q259" s="64">
        <v>387.36447700859009</v>
      </c>
      <c r="R259" s="254">
        <v>20.912149233619672</v>
      </c>
      <c r="DQ259" s="6">
        <f>'Monthly Data (longer 09-23)'!E163</f>
        <v>28777042.395077039</v>
      </c>
      <c r="DR259" s="6">
        <f>'Monthly Data (longer 09-23)'!I163</f>
        <v>7534710.3523487775</v>
      </c>
      <c r="DS259" s="6">
        <f>'Monthly Data (longer 09-23)'!M163</f>
        <v>17673474.882654496</v>
      </c>
      <c r="DT259" s="6">
        <f>'Monthly Data (longer 09-23)'!X163</f>
        <v>2446520</v>
      </c>
      <c r="DU259" s="16">
        <f>DQ259/'Monthly Data (longer 09-23)'!F163</f>
        <v>1001.4282570669905</v>
      </c>
      <c r="DV259" s="16">
        <f>DR259/'Monthly Data (longer 09-23)'!J163</f>
        <v>3647.004042763203</v>
      </c>
      <c r="DW259" s="16">
        <f>DS259/'Monthly Data (longer 09-23)'!O163</f>
        <v>85793.567391526682</v>
      </c>
      <c r="DX259" s="16">
        <f>DT259/'Monthly Data (longer 09-23)'!Z163</f>
        <v>611630</v>
      </c>
    </row>
    <row r="260" spans="1:128">
      <c r="A260" s="197">
        <f t="shared" si="83"/>
        <v>44743</v>
      </c>
      <c r="B260">
        <f t="shared" si="84"/>
        <v>2022</v>
      </c>
      <c r="C260">
        <f t="shared" si="85"/>
        <v>7</v>
      </c>
      <c r="D260" s="64">
        <v>0.5</v>
      </c>
      <c r="E260" s="64">
        <v>95.09999999999998</v>
      </c>
      <c r="F260" s="64">
        <v>0</v>
      </c>
      <c r="G260" s="64">
        <v>156.60000000000002</v>
      </c>
      <c r="H260" s="64">
        <v>0</v>
      </c>
      <c r="I260" s="64">
        <v>218.60000000000002</v>
      </c>
      <c r="J260" s="64">
        <v>0</v>
      </c>
      <c r="K260" s="64">
        <v>280.60000000000002</v>
      </c>
      <c r="L260" s="64">
        <v>0</v>
      </c>
      <c r="M260" s="64">
        <v>342.59999999999997</v>
      </c>
      <c r="N260" s="64">
        <v>0</v>
      </c>
      <c r="O260" s="64">
        <v>404.59999999999991</v>
      </c>
      <c r="P260" s="64">
        <v>0</v>
      </c>
      <c r="Q260" s="64">
        <v>466.59999999999991</v>
      </c>
      <c r="R260" s="254">
        <v>23.051612903225802</v>
      </c>
      <c r="DQ260" s="6">
        <f>'Monthly Data (longer 09-23)'!E164</f>
        <v>34236495.395077035</v>
      </c>
      <c r="DR260" s="6">
        <f>'Monthly Data (longer 09-23)'!I164</f>
        <v>7972148.3523487775</v>
      </c>
      <c r="DS260" s="6">
        <f>'Monthly Data (longer 09-23)'!M164</f>
        <v>18461407.882654496</v>
      </c>
      <c r="DT260" s="6">
        <f>'Monthly Data (longer 09-23)'!X164</f>
        <v>2691240</v>
      </c>
      <c r="DU260" s="16">
        <f>DQ260/'Monthly Data (longer 09-23)'!F164</f>
        <v>1191.331874002263</v>
      </c>
      <c r="DV260" s="16">
        <f>DR260/'Monthly Data (longer 09-23)'!J164</f>
        <v>3856.869062578025</v>
      </c>
      <c r="DW260" s="16">
        <f>DS260/'Monthly Data (longer 09-23)'!O164</f>
        <v>88756.768666608157</v>
      </c>
      <c r="DX260" s="16">
        <f>DT260/'Monthly Data (longer 09-23)'!Z164</f>
        <v>672810</v>
      </c>
    </row>
    <row r="261" spans="1:128">
      <c r="A261" s="197">
        <f t="shared" si="83"/>
        <v>44774</v>
      </c>
      <c r="B261">
        <f t="shared" si="84"/>
        <v>2022</v>
      </c>
      <c r="C261">
        <f t="shared" si="85"/>
        <v>8</v>
      </c>
      <c r="D261" s="64">
        <v>2.9000000000000021</v>
      </c>
      <c r="E261" s="64">
        <v>77.828954017180394</v>
      </c>
      <c r="F261" s="64">
        <v>0</v>
      </c>
      <c r="G261" s="64">
        <v>136.92895401718036</v>
      </c>
      <c r="H261" s="64">
        <v>0</v>
      </c>
      <c r="I261" s="64">
        <v>198.92895401718039</v>
      </c>
      <c r="J261" s="64">
        <v>0</v>
      </c>
      <c r="K261" s="64">
        <v>260.92895401718039</v>
      </c>
      <c r="L261" s="64">
        <v>0</v>
      </c>
      <c r="M261" s="64">
        <v>322.92895401718039</v>
      </c>
      <c r="N261" s="64">
        <v>0</v>
      </c>
      <c r="O261" s="64">
        <v>384.92895401718044</v>
      </c>
      <c r="P261" s="64">
        <v>0</v>
      </c>
      <c r="Q261" s="64">
        <v>446.92895401718044</v>
      </c>
      <c r="R261" s="254">
        <v>22.417063032812273</v>
      </c>
      <c r="DQ261" s="6">
        <f>'Monthly Data (longer 09-23)'!E165</f>
        <v>32874209.395077039</v>
      </c>
      <c r="DR261" s="6">
        <f>'Monthly Data (longer 09-23)'!I165</f>
        <v>7910079.3523487775</v>
      </c>
      <c r="DS261" s="6">
        <f>'Monthly Data (longer 09-23)'!M165</f>
        <v>19870185.882654496</v>
      </c>
      <c r="DT261" s="6">
        <f>'Monthly Data (longer 09-23)'!X165</f>
        <v>2769504</v>
      </c>
      <c r="DU261" s="16">
        <f>DQ261/'Monthly Data (longer 09-23)'!F165</f>
        <v>1143.8884232254788</v>
      </c>
      <c r="DV261" s="16">
        <f>DR261/'Monthly Data (longer 09-23)'!J165</f>
        <v>3821.2943731153514</v>
      </c>
      <c r="DW261" s="16">
        <f>DS261/'Monthly Data (longer 09-23)'!O165</f>
        <v>95529.739820454299</v>
      </c>
      <c r="DX261" s="16">
        <f>DT261/'Monthly Data (longer 09-23)'!Z165</f>
        <v>692376</v>
      </c>
    </row>
    <row r="262" spans="1:128">
      <c r="A262" s="197">
        <f t="shared" si="83"/>
        <v>44805</v>
      </c>
      <c r="B262">
        <f t="shared" si="84"/>
        <v>2022</v>
      </c>
      <c r="C262">
        <f t="shared" si="85"/>
        <v>9</v>
      </c>
      <c r="D262" s="64">
        <v>76.099999999999994</v>
      </c>
      <c r="E262" s="64">
        <v>26.6</v>
      </c>
      <c r="F262" s="64">
        <v>47.400000000000006</v>
      </c>
      <c r="G262" s="64">
        <v>57.899999999999991</v>
      </c>
      <c r="H262" s="64">
        <v>27.5</v>
      </c>
      <c r="I262" s="64">
        <v>97.999999999999986</v>
      </c>
      <c r="J262" s="64">
        <v>10.600000000000001</v>
      </c>
      <c r="K262" s="64">
        <v>141.1</v>
      </c>
      <c r="L262" s="64">
        <v>2.5</v>
      </c>
      <c r="M262" s="64">
        <v>193.00000000000003</v>
      </c>
      <c r="N262" s="64">
        <v>0</v>
      </c>
      <c r="O262" s="64">
        <v>250.50000000000006</v>
      </c>
      <c r="P262" s="64">
        <v>0</v>
      </c>
      <c r="Q262" s="64">
        <v>310.50000000000011</v>
      </c>
      <c r="R262" s="254">
        <v>18.350000000000005</v>
      </c>
      <c r="DQ262" s="6">
        <f>'Monthly Data (longer 09-23)'!E166</f>
        <v>25053426.395077039</v>
      </c>
      <c r="DR262" s="6">
        <f>'Monthly Data (longer 09-23)'!I166</f>
        <v>6898117.3523487775</v>
      </c>
      <c r="DS262" s="6">
        <f>'Monthly Data (longer 09-23)'!M166</f>
        <v>18388065.882654496</v>
      </c>
      <c r="DT262" s="6">
        <f>'Monthly Data (longer 09-23)'!X166</f>
        <v>2440616</v>
      </c>
      <c r="DU262" s="16">
        <f>DQ262/'Monthly Data (longer 09-23)'!F166</f>
        <v>871.45383822313954</v>
      </c>
      <c r="DV262" s="16">
        <f>DR262/'Monthly Data (longer 09-23)'!J166</f>
        <v>3335.6466887566621</v>
      </c>
      <c r="DW262" s="16">
        <f>DS262/'Monthly Data (longer 09-23)'!O166</f>
        <v>87147.231671348316</v>
      </c>
      <c r="DX262" s="16">
        <f>DT262/'Monthly Data (longer 09-23)'!Z166</f>
        <v>610154</v>
      </c>
    </row>
    <row r="263" spans="1:128">
      <c r="A263" s="197">
        <f t="shared" si="83"/>
        <v>44835</v>
      </c>
      <c r="B263">
        <f t="shared" si="84"/>
        <v>2022</v>
      </c>
      <c r="C263">
        <f t="shared" si="85"/>
        <v>10</v>
      </c>
      <c r="D263" s="64">
        <v>271.5420919656392</v>
      </c>
      <c r="E263" s="64">
        <v>0</v>
      </c>
      <c r="F263" s="64">
        <v>209.6420919656392</v>
      </c>
      <c r="G263" s="64">
        <v>0.10000000000000142</v>
      </c>
      <c r="H263" s="64">
        <v>155.24209196563922</v>
      </c>
      <c r="I263" s="64">
        <v>7.7000000000000028</v>
      </c>
      <c r="J263" s="64">
        <v>109.40656897422942</v>
      </c>
      <c r="K263" s="64">
        <v>23.8644770085902</v>
      </c>
      <c r="L263" s="64">
        <v>70.871045982819609</v>
      </c>
      <c r="M263" s="64">
        <v>47.328954017180394</v>
      </c>
      <c r="N263" s="64">
        <v>40.135522991409808</v>
      </c>
      <c r="O263" s="64">
        <v>78.59343102577057</v>
      </c>
      <c r="P263" s="64">
        <v>18.535522991409803</v>
      </c>
      <c r="Q263" s="64">
        <v>118.9934310257706</v>
      </c>
      <c r="R263" s="254">
        <v>11.240577678527769</v>
      </c>
      <c r="DQ263" s="6">
        <f>'Monthly Data (longer 09-23)'!E167</f>
        <v>18291228.395077039</v>
      </c>
      <c r="DR263" s="6">
        <f>'Monthly Data (longer 09-23)'!I167</f>
        <v>6096244.3523487775</v>
      </c>
      <c r="DS263" s="6">
        <f>'Monthly Data (longer 09-23)'!M167</f>
        <v>16579131.882654494</v>
      </c>
      <c r="DT263" s="6">
        <f>'Monthly Data (longer 09-23)'!X167</f>
        <v>2187893</v>
      </c>
      <c r="DU263" s="16">
        <f>DQ263/'Monthly Data (longer 09-23)'!F167</f>
        <v>634.95776703846423</v>
      </c>
      <c r="DV263" s="16">
        <f>DR263/'Monthly Data (longer 09-23)'!J167</f>
        <v>2953.6067598589038</v>
      </c>
      <c r="DW263" s="16">
        <f>DS263/'Monthly Data (longer 09-23)'!O167</f>
        <v>75018.696301604039</v>
      </c>
      <c r="DX263" s="16">
        <f>DT263/'Monthly Data (longer 09-23)'!Z167</f>
        <v>546973.25</v>
      </c>
    </row>
    <row r="264" spans="1:128">
      <c r="A264" s="197">
        <f t="shared" si="83"/>
        <v>44866</v>
      </c>
      <c r="B264">
        <f t="shared" si="84"/>
        <v>2022</v>
      </c>
      <c r="C264">
        <f t="shared" si="85"/>
        <v>11</v>
      </c>
      <c r="D264" s="64">
        <v>428.6</v>
      </c>
      <c r="E264" s="64">
        <v>0</v>
      </c>
      <c r="F264" s="64">
        <v>368.6</v>
      </c>
      <c r="G264" s="64">
        <v>0</v>
      </c>
      <c r="H264" s="64">
        <v>310.89999999999998</v>
      </c>
      <c r="I264" s="64">
        <v>2.2999999999999972</v>
      </c>
      <c r="J264" s="64">
        <v>256.09999999999997</v>
      </c>
      <c r="K264" s="64">
        <v>7.4999999999999964</v>
      </c>
      <c r="L264" s="64">
        <v>203.69999999999996</v>
      </c>
      <c r="M264" s="64">
        <v>15.099999999999996</v>
      </c>
      <c r="N264" s="64">
        <v>155.89999999999995</v>
      </c>
      <c r="O264" s="64">
        <v>27.299999999999994</v>
      </c>
      <c r="P264" s="64">
        <v>114.3</v>
      </c>
      <c r="Q264" s="64">
        <v>45.7</v>
      </c>
      <c r="R264" s="254">
        <v>5.7133333333333329</v>
      </c>
      <c r="DQ264" s="6">
        <f>'Monthly Data (longer 09-23)'!E168</f>
        <v>19004520.395077039</v>
      </c>
      <c r="DR264" s="6">
        <f>'Monthly Data (longer 09-23)'!I168</f>
        <v>6165537.3523487775</v>
      </c>
      <c r="DS264" s="6">
        <f>'Monthly Data (longer 09-23)'!M168</f>
        <v>16193570.882654494</v>
      </c>
      <c r="DT264" s="6">
        <f>'Monthly Data (longer 09-23)'!X168</f>
        <v>2451162</v>
      </c>
      <c r="DU264" s="16">
        <f>DQ264/'Monthly Data (longer 09-23)'!F168</f>
        <v>658.96395267257412</v>
      </c>
      <c r="DV264" s="16">
        <f>DR264/'Monthly Data (longer 09-23)'!J168</f>
        <v>2987.1789497813843</v>
      </c>
      <c r="DW264" s="16">
        <f>DS264/'Monthly Data (longer 09-23)'!O168</f>
        <v>72616.909787688317</v>
      </c>
      <c r="DX264" s="16">
        <f>DT264/'Monthly Data (longer 09-23)'!Z168</f>
        <v>612790.5</v>
      </c>
    </row>
    <row r="265" spans="1:128">
      <c r="A265" s="197">
        <f t="shared" si="83"/>
        <v>44896</v>
      </c>
      <c r="B265">
        <f t="shared" si="84"/>
        <v>2022</v>
      </c>
      <c r="C265">
        <f t="shared" si="85"/>
        <v>12</v>
      </c>
      <c r="D265" s="64">
        <v>618.1</v>
      </c>
      <c r="E265" s="64">
        <v>0</v>
      </c>
      <c r="F265" s="64">
        <v>556.1</v>
      </c>
      <c r="G265" s="64">
        <v>0</v>
      </c>
      <c r="H265" s="64">
        <v>494.09999999999997</v>
      </c>
      <c r="I265" s="64">
        <v>0</v>
      </c>
      <c r="J265" s="64">
        <v>432.09999999999997</v>
      </c>
      <c r="K265" s="64">
        <v>0</v>
      </c>
      <c r="L265" s="64">
        <v>370.1</v>
      </c>
      <c r="M265" s="64">
        <v>0</v>
      </c>
      <c r="N265" s="64">
        <v>308.3</v>
      </c>
      <c r="O265" s="64">
        <v>0.19999999999999929</v>
      </c>
      <c r="P265" s="64">
        <v>248.29999999999998</v>
      </c>
      <c r="Q265" s="64">
        <v>2.1999999999999993</v>
      </c>
      <c r="R265" s="254">
        <v>6.1290322580645144E-2</v>
      </c>
      <c r="DQ265" s="6">
        <f>'Monthly Data (longer 09-23)'!E169</f>
        <v>23067827.395077039</v>
      </c>
      <c r="DR265" s="6">
        <f>'Monthly Data (longer 09-23)'!I169</f>
        <v>6634550.3523487775</v>
      </c>
      <c r="DS265" s="6">
        <f>'Monthly Data (longer 09-23)'!M169</f>
        <v>15808158.882654494</v>
      </c>
      <c r="DT265" s="6">
        <f>'Monthly Data (longer 09-23)'!X169</f>
        <v>2831510</v>
      </c>
      <c r="DU265" s="16">
        <f>DQ265/'Monthly Data (longer 09-23)'!F169</f>
        <v>799.66122630003258</v>
      </c>
      <c r="DV265" s="16">
        <f>DR265/'Monthly Data (longer 09-23)'!J169</f>
        <v>3214.4139304015393</v>
      </c>
      <c r="DW265" s="16">
        <f>DS265/'Monthly Data (longer 09-23)'!O169</f>
        <v>70572.137868993275</v>
      </c>
      <c r="DX265" s="16">
        <f>DT265/'Monthly Data (longer 09-23)'!Z169</f>
        <v>707877.5</v>
      </c>
    </row>
    <row r="266" spans="1:128">
      <c r="A266" s="197">
        <f t="shared" si="83"/>
        <v>44927</v>
      </c>
      <c r="B266">
        <f t="shared" si="84"/>
        <v>2023</v>
      </c>
      <c r="C266">
        <f t="shared" si="85"/>
        <v>1</v>
      </c>
      <c r="D266" s="64">
        <v>610.70000000000005</v>
      </c>
      <c r="E266" s="64">
        <v>0</v>
      </c>
      <c r="F266" s="64">
        <v>548.70000000000005</v>
      </c>
      <c r="G266" s="64">
        <v>0</v>
      </c>
      <c r="H266" s="64">
        <v>486.7000000000001</v>
      </c>
      <c r="I266" s="64">
        <v>0</v>
      </c>
      <c r="J266" s="64">
        <v>424.7000000000001</v>
      </c>
      <c r="K266" s="64">
        <v>0</v>
      </c>
      <c r="L266" s="64">
        <v>362.7000000000001</v>
      </c>
      <c r="M266" s="64">
        <v>0</v>
      </c>
      <c r="N266" s="64">
        <v>300.70000000000005</v>
      </c>
      <c r="O266" s="64">
        <v>0</v>
      </c>
      <c r="P266" s="64">
        <v>239.3</v>
      </c>
      <c r="Q266" s="64">
        <v>0.59999999999999964</v>
      </c>
      <c r="R266" s="254">
        <v>0.29999999999999949</v>
      </c>
      <c r="DQ266" s="6">
        <f>'Monthly Data (longer 09-23)'!E170</f>
        <v>21739653.020592146</v>
      </c>
      <c r="DR266" s="6">
        <f>'Monthly Data (longer 09-23)'!I170</f>
        <v>6632556.9823921332</v>
      </c>
      <c r="DS266" s="6">
        <f>'Monthly Data (longer 09-23)'!M170</f>
        <v>15830251.327624639</v>
      </c>
      <c r="DT266" s="6">
        <f>'Monthly Data (longer 09-23)'!X170</f>
        <v>3051532.49</v>
      </c>
      <c r="DU266" s="16">
        <f>DQ266/'Monthly Data (longer 09-23)'!F170</f>
        <v>753.41025890113133</v>
      </c>
      <c r="DV266" s="16">
        <f>DR266/'Monthly Data (longer 09-23)'!J170</f>
        <v>3215.0058082366131</v>
      </c>
      <c r="DW266" s="16">
        <f>DS266/'Monthly Data (longer 09-23)'!O170</f>
        <v>70356.672567220623</v>
      </c>
      <c r="DX266" s="16">
        <f>DT266/'Monthly Data (longer 09-23)'!Z170</f>
        <v>762883.12250000006</v>
      </c>
    </row>
    <row r="267" spans="1:128">
      <c r="A267" s="197">
        <f t="shared" si="83"/>
        <v>44958</v>
      </c>
      <c r="B267">
        <f t="shared" si="84"/>
        <v>2023</v>
      </c>
      <c r="C267">
        <f t="shared" si="85"/>
        <v>2</v>
      </c>
      <c r="D267" s="64">
        <v>547.23552299140999</v>
      </c>
      <c r="E267" s="64">
        <v>0</v>
      </c>
      <c r="F267" s="64">
        <v>491.23552299140994</v>
      </c>
      <c r="G267" s="64">
        <v>0</v>
      </c>
      <c r="H267" s="64">
        <v>435.23552299140994</v>
      </c>
      <c r="I267" s="64">
        <v>0</v>
      </c>
      <c r="J267" s="64">
        <v>379.23552299140988</v>
      </c>
      <c r="K267" s="64">
        <v>0</v>
      </c>
      <c r="L267" s="64">
        <v>323.23552299140982</v>
      </c>
      <c r="M267" s="64">
        <v>0</v>
      </c>
      <c r="N267" s="64">
        <v>267.23552299140982</v>
      </c>
      <c r="O267" s="64">
        <v>0</v>
      </c>
      <c r="P267" s="64">
        <v>213.03552299140983</v>
      </c>
      <c r="Q267" s="64">
        <v>1.8000000000000007</v>
      </c>
      <c r="R267" s="254">
        <v>0.45587417887822124</v>
      </c>
      <c r="DQ267" s="6">
        <f>'Monthly Data (longer 09-23)'!E171</f>
        <v>19325500.364851363</v>
      </c>
      <c r="DR267" s="6">
        <f>'Monthly Data (longer 09-23)'!I171</f>
        <v>6092001.2530621132</v>
      </c>
      <c r="DS267" s="6">
        <f>'Monthly Data (longer 09-23)'!M171</f>
        <v>14554219.660621656</v>
      </c>
      <c r="DT267" s="6">
        <f>'Monthly Data (longer 09-23)'!X171</f>
        <v>2758376.97</v>
      </c>
      <c r="DU267" s="16">
        <f>DQ267/'Monthly Data (longer 09-23)'!F171</f>
        <v>669.44368729566861</v>
      </c>
      <c r="DV267" s="16">
        <f>DR267/'Monthly Data (longer 09-23)'!J171</f>
        <v>2952.9817028900211</v>
      </c>
      <c r="DW267" s="16">
        <f>DS267/'Monthly Data (longer 09-23)'!O171</f>
        <v>64685.420713874024</v>
      </c>
      <c r="DX267" s="16">
        <f>DT267/'Monthly Data (longer 09-23)'!Z171</f>
        <v>689594.24250000005</v>
      </c>
    </row>
    <row r="268" spans="1:128">
      <c r="A268" s="197">
        <f t="shared" si="83"/>
        <v>44986</v>
      </c>
      <c r="B268">
        <f t="shared" si="84"/>
        <v>2023</v>
      </c>
      <c r="C268">
        <f t="shared" si="85"/>
        <v>3</v>
      </c>
      <c r="D268" s="64">
        <v>542.1</v>
      </c>
      <c r="E268" s="64">
        <v>0</v>
      </c>
      <c r="F268" s="64">
        <v>480.09999999999997</v>
      </c>
      <c r="G268" s="64">
        <v>0</v>
      </c>
      <c r="H268" s="64">
        <v>418.09999999999997</v>
      </c>
      <c r="I268" s="64">
        <v>0</v>
      </c>
      <c r="J268" s="64">
        <v>356.09999999999997</v>
      </c>
      <c r="K268" s="64">
        <v>0</v>
      </c>
      <c r="L268" s="64">
        <v>294.10000000000002</v>
      </c>
      <c r="M268" s="64">
        <v>0</v>
      </c>
      <c r="N268" s="64">
        <v>232.10000000000008</v>
      </c>
      <c r="O268" s="64">
        <v>0</v>
      </c>
      <c r="P268" s="64">
        <v>170.10000000000008</v>
      </c>
      <c r="Q268" s="64">
        <v>0</v>
      </c>
      <c r="R268" s="254">
        <v>2.5129032258064519</v>
      </c>
      <c r="DQ268" s="6">
        <f>'Monthly Data (longer 09-23)'!E172</f>
        <v>20403192.423943333</v>
      </c>
      <c r="DR268" s="6">
        <f>'Monthly Data (longer 09-23)'!I172</f>
        <v>6511113.9685091265</v>
      </c>
      <c r="DS268" s="6">
        <f>'Monthly Data (longer 09-23)'!M172</f>
        <v>15953101.46062164</v>
      </c>
      <c r="DT268" s="6">
        <f>'Monthly Data (longer 09-23)'!X172</f>
        <v>2464136.4899999998</v>
      </c>
      <c r="DU268" s="16">
        <f>DQ268/'Monthly Data (longer 09-23)'!F172</f>
        <v>706.70196473774149</v>
      </c>
      <c r="DV268" s="16">
        <f>DR268/'Monthly Data (longer 09-23)'!J172</f>
        <v>3159.2013432843892</v>
      </c>
      <c r="DW268" s="16">
        <f>DS268/'Monthly Data (longer 09-23)'!O172</f>
        <v>70902.673158318401</v>
      </c>
      <c r="DX268" s="16">
        <f>DT268/'Monthly Data (longer 09-23)'!Z172</f>
        <v>616034.12249999994</v>
      </c>
    </row>
    <row r="269" spans="1:128">
      <c r="A269" s="197">
        <f t="shared" si="83"/>
        <v>45017</v>
      </c>
      <c r="B269">
        <f t="shared" si="84"/>
        <v>2023</v>
      </c>
      <c r="C269">
        <f t="shared" si="85"/>
        <v>4</v>
      </c>
      <c r="D269" s="64">
        <v>319.59999999999997</v>
      </c>
      <c r="E269" s="64">
        <v>0</v>
      </c>
      <c r="F269" s="64">
        <v>263.89999999999998</v>
      </c>
      <c r="G269" s="64">
        <v>4.2999999999999972</v>
      </c>
      <c r="H269" s="64">
        <v>211.8</v>
      </c>
      <c r="I269" s="64">
        <v>12.2</v>
      </c>
      <c r="J269" s="64">
        <v>164.3</v>
      </c>
      <c r="K269" s="64">
        <v>24.699999999999996</v>
      </c>
      <c r="L269" s="64">
        <v>118.80000000000001</v>
      </c>
      <c r="M269" s="64">
        <v>39.199999999999996</v>
      </c>
      <c r="N269" s="64">
        <v>78.7</v>
      </c>
      <c r="O269" s="64">
        <v>59.099999999999994</v>
      </c>
      <c r="P269" s="64">
        <v>44.4</v>
      </c>
      <c r="Q269" s="64">
        <v>84.800000000000011</v>
      </c>
      <c r="R269" s="254">
        <v>9.3466666666666676</v>
      </c>
      <c r="DQ269" s="6">
        <f>'Monthly Data (longer 09-23)'!E173</f>
        <v>18268877.853255227</v>
      </c>
      <c r="DR269" s="6">
        <f>'Monthly Data (longer 09-23)'!I173</f>
        <v>5983004.3456301186</v>
      </c>
      <c r="DS269" s="6">
        <f>'Monthly Data (longer 09-23)'!M173</f>
        <v>14624468.130621644</v>
      </c>
      <c r="DT269" s="6">
        <f>'Monthly Data (longer 09-23)'!X173</f>
        <v>2549361.0900000003</v>
      </c>
      <c r="DU269" s="16">
        <f>DQ269/'Monthly Data (longer 09-23)'!F173</f>
        <v>632.75415119337856</v>
      </c>
      <c r="DV269" s="16">
        <f>DR269/'Monthly Data (longer 09-23)'!J173</f>
        <v>2905.7816151676147</v>
      </c>
      <c r="DW269" s="16">
        <f>DS269/'Monthly Data (longer 09-23)'!O173</f>
        <v>64997.636136096196</v>
      </c>
      <c r="DX269" s="16">
        <f>DT269/'Monthly Data (longer 09-23)'!Z173</f>
        <v>637340.27250000008</v>
      </c>
    </row>
    <row r="270" spans="1:128">
      <c r="A270" s="197">
        <f t="shared" si="83"/>
        <v>45047</v>
      </c>
      <c r="B270">
        <f t="shared" si="84"/>
        <v>2023</v>
      </c>
      <c r="C270">
        <f t="shared" si="85"/>
        <v>5</v>
      </c>
      <c r="D270" s="64">
        <v>176.7</v>
      </c>
      <c r="E270" s="64">
        <v>6.2999999999999972</v>
      </c>
      <c r="F270" s="64">
        <v>122.5</v>
      </c>
      <c r="G270" s="64">
        <v>14.099999999999998</v>
      </c>
      <c r="H270" s="64">
        <v>80.299999999999983</v>
      </c>
      <c r="I270" s="64">
        <v>33.9</v>
      </c>
      <c r="J270" s="64">
        <v>46.400000000000006</v>
      </c>
      <c r="K270" s="64">
        <v>62.000000000000007</v>
      </c>
      <c r="L270" s="64">
        <v>27</v>
      </c>
      <c r="M270" s="64">
        <v>104.60000000000002</v>
      </c>
      <c r="N270" s="64">
        <v>14.5</v>
      </c>
      <c r="O270" s="64">
        <v>154.1</v>
      </c>
      <c r="P270" s="64">
        <v>6.0000000000000009</v>
      </c>
      <c r="Q270" s="64">
        <v>207.59999999999997</v>
      </c>
      <c r="R270" s="254">
        <v>14.503225806451612</v>
      </c>
      <c r="DQ270" s="6">
        <f>'Monthly Data (longer 09-23)'!E174</f>
        <v>19695117.745425321</v>
      </c>
      <c r="DR270" s="6">
        <f>'Monthly Data (longer 09-23)'!I174</f>
        <v>6178583.7201271262</v>
      </c>
      <c r="DS270" s="6">
        <f>'Monthly Data (longer 09-23)'!M174</f>
        <v>15802234.27025165</v>
      </c>
      <c r="DT270" s="6">
        <f>'Monthly Data (longer 09-23)'!X174</f>
        <v>2835930.8300000005</v>
      </c>
      <c r="DU270" s="16">
        <f>DQ270/'Monthly Data (longer 09-23)'!F174</f>
        <v>682.152872867322</v>
      </c>
      <c r="DV270" s="16">
        <f>DR270/'Monthly Data (longer 09-23)'!J174</f>
        <v>3013.9432781107935</v>
      </c>
      <c r="DW270" s="16">
        <f>DS270/'Monthly Data (longer 09-23)'!O174</f>
        <v>68113.0787510847</v>
      </c>
      <c r="DX270" s="16">
        <f>DT270/'Monthly Data (longer 09-23)'!Z174</f>
        <v>708982.70750000014</v>
      </c>
    </row>
    <row r="271" spans="1:128">
      <c r="A271" s="197">
        <f t="shared" si="83"/>
        <v>45078</v>
      </c>
      <c r="B271">
        <f t="shared" si="84"/>
        <v>2023</v>
      </c>
      <c r="C271">
        <f t="shared" si="85"/>
        <v>6</v>
      </c>
      <c r="D271" s="64">
        <v>40.699999999999996</v>
      </c>
      <c r="E271" s="64">
        <v>31.299999999999997</v>
      </c>
      <c r="F271" s="64">
        <v>14.600000000000001</v>
      </c>
      <c r="G271" s="64">
        <v>65.2</v>
      </c>
      <c r="H271" s="64">
        <v>3.5</v>
      </c>
      <c r="I271" s="64">
        <v>114.10000000000001</v>
      </c>
      <c r="J271" s="64">
        <v>9.9999999999999645E-2</v>
      </c>
      <c r="K271" s="64">
        <v>170.69999999999996</v>
      </c>
      <c r="L271" s="64">
        <v>0</v>
      </c>
      <c r="M271" s="64">
        <v>230.59999999999994</v>
      </c>
      <c r="N271" s="64">
        <v>0</v>
      </c>
      <c r="O271" s="64">
        <v>290.59999999999997</v>
      </c>
      <c r="P271" s="64">
        <v>0</v>
      </c>
      <c r="Q271" s="64">
        <v>350.59999999999997</v>
      </c>
      <c r="R271" s="254">
        <v>19.686666666666667</v>
      </c>
      <c r="DQ271" s="6">
        <f>'Monthly Data (longer 09-23)'!E175</f>
        <v>25536410.654737167</v>
      </c>
      <c r="DR271" s="6">
        <f>'Monthly Data (longer 09-23)'!I175</f>
        <v>6628058.2686011204</v>
      </c>
      <c r="DS271" s="6">
        <f>'Monthly Data (longer 09-23)'!M175</f>
        <v>17314216.540621646</v>
      </c>
      <c r="DT271" s="6">
        <f>'Monthly Data (longer 09-23)'!X175</f>
        <v>3027700.49</v>
      </c>
      <c r="DU271" s="16">
        <f>DQ271/'Monthly Data (longer 09-23)'!F175</f>
        <v>884.43911802504647</v>
      </c>
      <c r="DV271" s="16">
        <f>DR271/'Monthly Data (longer 09-23)'!J175</f>
        <v>3230.0478891818325</v>
      </c>
      <c r="DW271" s="16">
        <f>DS271/'Monthly Data (longer 09-23)'!O175</f>
        <v>74630.243709576054</v>
      </c>
      <c r="DX271" s="16">
        <f>DT271/'Monthly Data (longer 09-23)'!Z175</f>
        <v>756925.12250000006</v>
      </c>
    </row>
    <row r="272" spans="1:128">
      <c r="A272" s="197">
        <f t="shared" si="83"/>
        <v>45108</v>
      </c>
      <c r="B272">
        <f t="shared" si="84"/>
        <v>2023</v>
      </c>
      <c r="C272">
        <f t="shared" si="85"/>
        <v>7</v>
      </c>
      <c r="D272" s="64">
        <v>0.39999999999999858</v>
      </c>
      <c r="E272" s="64">
        <v>71.264477008590177</v>
      </c>
      <c r="F272" s="64">
        <v>0</v>
      </c>
      <c r="G272" s="64">
        <v>132.86447700859017</v>
      </c>
      <c r="H272" s="64">
        <v>0</v>
      </c>
      <c r="I272" s="64">
        <v>194.8644770085902</v>
      </c>
      <c r="J272" s="64">
        <v>0</v>
      </c>
      <c r="K272" s="64">
        <v>256.86447700859026</v>
      </c>
      <c r="L272" s="64">
        <v>0</v>
      </c>
      <c r="M272" s="64">
        <v>318.86447700859026</v>
      </c>
      <c r="N272" s="64">
        <v>0</v>
      </c>
      <c r="O272" s="64">
        <v>380.8644770085902</v>
      </c>
      <c r="P272" s="64">
        <v>0</v>
      </c>
      <c r="Q272" s="64">
        <v>442.8644770085902</v>
      </c>
      <c r="R272" s="254">
        <v>22.285950871244843</v>
      </c>
      <c r="DQ272" s="6">
        <f>'Monthly Data (longer 09-23)'!E176</f>
        <v>33012016.936593421</v>
      </c>
      <c r="DR272" s="6">
        <f>'Monthly Data (longer 09-23)'!I176</f>
        <v>7467103.0032031108</v>
      </c>
      <c r="DS272" s="6">
        <f>'Monthly Data (longer 09-23)'!M176</f>
        <v>20499379.560621645</v>
      </c>
      <c r="DT272" s="6">
        <f>'Monthly Data (longer 09-23)'!X176</f>
        <v>3284416.84</v>
      </c>
      <c r="DU272" s="16">
        <f>DQ272/'Monthly Data (longer 09-23)'!F176</f>
        <v>1142.6401625625081</v>
      </c>
      <c r="DV272" s="16">
        <f>DR272/'Monthly Data (longer 09-23)'!J176</f>
        <v>3631.8594373555984</v>
      </c>
      <c r="DW272" s="16">
        <f>DS272/'Monthly Data (longer 09-23)'!O176</f>
        <v>88359.394657851924</v>
      </c>
      <c r="DX272" s="16">
        <f>DT272/'Monthly Data (longer 09-23)'!Z176</f>
        <v>821104.21</v>
      </c>
    </row>
    <row r="273" spans="1:128">
      <c r="A273" s="197">
        <f t="shared" si="83"/>
        <v>45139</v>
      </c>
      <c r="B273">
        <f t="shared" si="84"/>
        <v>2023</v>
      </c>
      <c r="C273">
        <f t="shared" si="85"/>
        <v>8</v>
      </c>
      <c r="D273" s="64">
        <v>25.371045982819613</v>
      </c>
      <c r="E273" s="64">
        <v>38.986862051541152</v>
      </c>
      <c r="F273" s="64">
        <v>8.5710459828196122</v>
      </c>
      <c r="G273" s="64">
        <v>84.186862051541155</v>
      </c>
      <c r="H273" s="64">
        <v>2.3999999999999986</v>
      </c>
      <c r="I273" s="64">
        <v>140.01581606872151</v>
      </c>
      <c r="J273" s="64">
        <v>0</v>
      </c>
      <c r="K273" s="64">
        <v>199.61581606872156</v>
      </c>
      <c r="L273" s="64">
        <v>0</v>
      </c>
      <c r="M273" s="64">
        <v>261.61581606872153</v>
      </c>
      <c r="N273" s="64">
        <v>0</v>
      </c>
      <c r="O273" s="64">
        <v>323.6158160687217</v>
      </c>
      <c r="P273" s="64">
        <v>0</v>
      </c>
      <c r="Q273" s="64">
        <v>385.6158160687217</v>
      </c>
      <c r="R273" s="254">
        <v>20.439219873184562</v>
      </c>
      <c r="DQ273" s="6">
        <f>'Monthly Data (longer 09-23)'!E177</f>
        <v>29791544.592128277</v>
      </c>
      <c r="DR273" s="6">
        <f>'Monthly Data (longer 09-23)'!I177</f>
        <v>7241241.0790991215</v>
      </c>
      <c r="DS273" s="6">
        <f>'Monthly Data (longer 09-23)'!M177</f>
        <v>19294498.600621633</v>
      </c>
      <c r="DT273" s="6">
        <f>'Monthly Data (longer 09-23)'!X177</f>
        <v>3286746.61</v>
      </c>
      <c r="DU273" s="16">
        <f>DQ273/'Monthly Data (longer 09-23)'!F177</f>
        <v>1031.0633554415544</v>
      </c>
      <c r="DV273" s="16">
        <f>DR273/'Monthly Data (longer 09-23)'!J177</f>
        <v>3518.5816710880085</v>
      </c>
      <c r="DW273" s="16">
        <f>DS273/'Monthly Data (longer 09-23)'!O177</f>
        <v>83165.942244058766</v>
      </c>
      <c r="DX273" s="16">
        <f>DT273/'Monthly Data (longer 09-23)'!Z177</f>
        <v>821686.65249999997</v>
      </c>
    </row>
    <row r="274" spans="1:128">
      <c r="A274" s="197">
        <f t="shared" si="83"/>
        <v>45170</v>
      </c>
      <c r="B274">
        <f>B262+1</f>
        <v>2023</v>
      </c>
      <c r="C274">
        <f>C262</f>
        <v>9</v>
      </c>
      <c r="D274" s="64">
        <v>69.071045982819612</v>
      </c>
      <c r="E274" s="64">
        <v>17.7</v>
      </c>
      <c r="F274" s="64">
        <v>26.171045982819621</v>
      </c>
      <c r="G274" s="64">
        <v>34.799999999999997</v>
      </c>
      <c r="H274" s="64">
        <v>5.4355229914098082</v>
      </c>
      <c r="I274" s="64">
        <v>74.064477008590188</v>
      </c>
      <c r="J274" s="64">
        <v>0</v>
      </c>
      <c r="K274" s="64">
        <v>128.6289540171804</v>
      </c>
      <c r="L274" s="64">
        <v>0</v>
      </c>
      <c r="M274" s="64">
        <v>188.62895401718038</v>
      </c>
      <c r="N274" s="64">
        <v>0</v>
      </c>
      <c r="O274" s="64">
        <v>248.62895401718038</v>
      </c>
      <c r="P274" s="64">
        <v>0</v>
      </c>
      <c r="Q274" s="64">
        <v>308.62895401718038</v>
      </c>
      <c r="R274" s="254">
        <v>18.287631800572683</v>
      </c>
      <c r="DQ274" s="6">
        <f>'Monthly Data (longer 09-23)'!E178</f>
        <v>24279616.849699214</v>
      </c>
      <c r="DR274" s="6">
        <f>'Monthly Data (longer 09-23)'!I178</f>
        <v>6559154.6408421202</v>
      </c>
      <c r="DS274" s="6">
        <f>'Monthly Data (longer 09-23)'!M178</f>
        <v>18423022.120621648</v>
      </c>
      <c r="DT274" s="6">
        <f>'Monthly Data (longer 09-23)'!X178</f>
        <v>2966546.81</v>
      </c>
      <c r="DU274" s="16">
        <f>DQ274/'Monthly Data (longer 09-23)'!F178</f>
        <v>839.92170926416486</v>
      </c>
      <c r="DV274" s="16">
        <f>DR274/'Monthly Data (longer 09-23)'!J178</f>
        <v>3185.6020596610588</v>
      </c>
      <c r="DW274" s="16">
        <f>DS274/'Monthly Data (longer 09-23)'!O178</f>
        <v>79068.764466187335</v>
      </c>
      <c r="DX274" s="16">
        <f>DT274/'Monthly Data (longer 09-23)'!Z178</f>
        <v>741636.70250000001</v>
      </c>
    </row>
    <row r="275" spans="1:128">
      <c r="A275" s="197">
        <f>DATE(B275,C275,1)</f>
        <v>45200</v>
      </c>
      <c r="B275">
        <f t="shared" si="84"/>
        <v>2023</v>
      </c>
      <c r="C275">
        <f t="shared" si="85"/>
        <v>10</v>
      </c>
      <c r="D275" s="64">
        <v>243</v>
      </c>
      <c r="E275" s="64">
        <v>3.3999999999999986</v>
      </c>
      <c r="F275" s="64">
        <v>191.00000000000003</v>
      </c>
      <c r="G275" s="64">
        <v>13.399999999999995</v>
      </c>
      <c r="H275" s="64">
        <v>144.19999999999999</v>
      </c>
      <c r="I275" s="64">
        <v>28.599999999999994</v>
      </c>
      <c r="J275" s="64">
        <v>100.29999999999998</v>
      </c>
      <c r="K275" s="64">
        <v>46.699999999999996</v>
      </c>
      <c r="L275" s="64">
        <v>60.400000000000006</v>
      </c>
      <c r="M275" s="64">
        <v>68.799999999999983</v>
      </c>
      <c r="N275" s="64">
        <v>31</v>
      </c>
      <c r="O275" s="64">
        <v>101.4</v>
      </c>
      <c r="P275" s="64">
        <v>16</v>
      </c>
      <c r="Q275" s="64">
        <v>148.4</v>
      </c>
      <c r="R275" s="254">
        <v>12.270967741935481</v>
      </c>
      <c r="DQ275" s="6">
        <f>'Monthly Data (longer 09-23)'!E179</f>
        <v>19662271.76550518</v>
      </c>
      <c r="DR275" s="6">
        <f>'Monthly Data (longer 09-23)'!I179</f>
        <v>6056406.6039701235</v>
      </c>
      <c r="DS275" s="6">
        <f>'Monthly Data (longer 09-23)'!M179</f>
        <v>17248949.170621652</v>
      </c>
      <c r="DT275" s="6">
        <f>'Monthly Data (longer 09-23)'!X179</f>
        <v>2745572.4499999997</v>
      </c>
      <c r="DU275" s="16">
        <f>DQ275/'Monthly Data (longer 09-23)'!F179</f>
        <v>678.47728659438167</v>
      </c>
      <c r="DV275" s="16">
        <f>DR275/'Monthly Data (longer 09-23)'!J179</f>
        <v>2937.1516023133481</v>
      </c>
      <c r="DW275" s="16">
        <f>DS275/'Monthly Data (longer 09-23)'!O179</f>
        <v>73713.457994109631</v>
      </c>
      <c r="DX275" s="16">
        <f>DT275/'Monthly Data (longer 09-23)'!Z179</f>
        <v>686393.11249999993</v>
      </c>
    </row>
    <row r="276" spans="1:128">
      <c r="A276" s="197">
        <f>DATE(B276,C276,1)</f>
        <v>45231</v>
      </c>
      <c r="B276">
        <f t="shared" si="84"/>
        <v>2023</v>
      </c>
      <c r="C276">
        <f t="shared" si="85"/>
        <v>11</v>
      </c>
      <c r="D276" s="64">
        <v>462.39999999999992</v>
      </c>
      <c r="E276" s="64">
        <v>0</v>
      </c>
      <c r="F276" s="64">
        <v>402.39999999999992</v>
      </c>
      <c r="G276" s="64">
        <v>0</v>
      </c>
      <c r="H276" s="64">
        <v>342.39999999999992</v>
      </c>
      <c r="I276" s="64">
        <v>0</v>
      </c>
      <c r="J276" s="64">
        <v>282.40000000000003</v>
      </c>
      <c r="K276" s="64">
        <v>0</v>
      </c>
      <c r="L276" s="64">
        <v>222.40000000000003</v>
      </c>
      <c r="M276" s="64">
        <v>0</v>
      </c>
      <c r="N276" s="64">
        <v>164.3</v>
      </c>
      <c r="O276" s="64">
        <v>1.9000000000000004</v>
      </c>
      <c r="P276" s="64">
        <v>113.20000000000002</v>
      </c>
      <c r="Q276" s="64">
        <v>10.8</v>
      </c>
      <c r="R276" s="254">
        <v>4.5866666666666642</v>
      </c>
      <c r="DQ276" s="6">
        <f>'Monthly Data (longer 09-23)'!E180</f>
        <v>19498370.0278183</v>
      </c>
      <c r="DR276" s="6">
        <f>'Monthly Data (longer 09-23)'!I180</f>
        <v>6059588.0768571198</v>
      </c>
      <c r="DS276" s="6">
        <f>'Monthly Data (longer 09-23)'!M180</f>
        <v>16474136.860621652</v>
      </c>
      <c r="DT276" s="6">
        <f>'Monthly Data (longer 09-23)'!X180</f>
        <v>2746667.53</v>
      </c>
      <c r="DU276" s="16">
        <f>DQ276/'Monthly Data (longer 09-23)'!F180</f>
        <v>671.77846779735739</v>
      </c>
      <c r="DV276" s="16">
        <f>DR276/'Monthly Data (longer 09-23)'!J180</f>
        <v>2913.2634984890001</v>
      </c>
      <c r="DW276" s="16">
        <f>DS276/'Monthly Data (longer 09-23)'!O180</f>
        <v>70402.294276160901</v>
      </c>
      <c r="DX276" s="16">
        <f>DT276/'Monthly Data (longer 09-23)'!Z180</f>
        <v>686666.88249999995</v>
      </c>
    </row>
    <row r="277" spans="1:128">
      <c r="A277" s="197">
        <f>DATE(B277,C277,1)</f>
        <v>45261</v>
      </c>
      <c r="B277">
        <f t="shared" si="84"/>
        <v>2023</v>
      </c>
      <c r="C277">
        <f t="shared" si="85"/>
        <v>12</v>
      </c>
      <c r="D277" s="64">
        <v>493.4</v>
      </c>
      <c r="E277" s="64">
        <v>0</v>
      </c>
      <c r="F277" s="64">
        <v>431.4</v>
      </c>
      <c r="G277" s="64">
        <v>0</v>
      </c>
      <c r="H277" s="64">
        <v>369.40000000000003</v>
      </c>
      <c r="I277" s="64">
        <v>0</v>
      </c>
      <c r="J277" s="64">
        <v>307.40000000000009</v>
      </c>
      <c r="K277" s="64">
        <v>0</v>
      </c>
      <c r="L277" s="64">
        <v>245.40000000000006</v>
      </c>
      <c r="M277" s="64">
        <v>0</v>
      </c>
      <c r="N277" s="64">
        <v>183.90000000000006</v>
      </c>
      <c r="O277" s="64">
        <v>0.5</v>
      </c>
      <c r="P277" s="64">
        <v>126.10000000000001</v>
      </c>
      <c r="Q277" s="64">
        <v>4.6999999999999993</v>
      </c>
      <c r="R277" s="254">
        <v>4.0838709677419356</v>
      </c>
      <c r="DQ277" s="6">
        <f>'Monthly Data (longer 09-23)'!E181</f>
        <v>21949733.195365354</v>
      </c>
      <c r="DR277" s="6">
        <f>'Monthly Data (longer 09-23)'!I181</f>
        <v>6250104.4957341198</v>
      </c>
      <c r="DS277" s="6">
        <f>'Monthly Data (longer 09-23)'!M181</f>
        <v>15393750.390621644</v>
      </c>
      <c r="DT277" s="6">
        <f>'Monthly Data (longer 09-23)'!X181</f>
        <v>2567239.4</v>
      </c>
      <c r="DU277" s="16">
        <f>DQ277/'Monthly Data (longer 09-23)'!F181</f>
        <v>756.10517379832424</v>
      </c>
      <c r="DV277" s="16">
        <f>DR277/'Monthly Data (longer 09-23)'!J181</f>
        <v>2999.0904490086946</v>
      </c>
      <c r="DW277" s="16">
        <f>DS277/'Monthly Data (longer 09-23)'!O181</f>
        <v>65505.320811155929</v>
      </c>
      <c r="DX277" s="16">
        <f>DT277/'Monthly Data (longer 09-23)'!Z181</f>
        <v>641809.85</v>
      </c>
    </row>
    <row r="278" spans="1:128">
      <c r="A278" s="197"/>
      <c r="DQ278" s="6"/>
      <c r="DR278" s="6"/>
      <c r="DS278" s="6"/>
      <c r="DT278" s="6"/>
      <c r="DU278" s="16"/>
      <c r="DV278" s="16"/>
      <c r="DW278" s="16"/>
      <c r="DX278" s="16"/>
    </row>
    <row r="279" spans="1:128">
      <c r="A279" s="197"/>
      <c r="DQ279" s="6"/>
      <c r="DR279" s="6"/>
      <c r="DS279" s="6"/>
      <c r="DT279" s="6"/>
      <c r="DU279" s="16"/>
      <c r="DV279" s="16"/>
      <c r="DW279" s="16"/>
      <c r="DX279" s="16"/>
    </row>
    <row r="280" spans="1:128">
      <c r="A280" s="197"/>
      <c r="DQ280" s="6"/>
      <c r="DR280" s="6"/>
      <c r="DS280" s="6"/>
      <c r="DT280" s="6"/>
      <c r="DU280" s="16"/>
      <c r="DV280" s="16"/>
      <c r="DW280" s="16"/>
      <c r="DX280" s="16"/>
    </row>
    <row r="281" spans="1:128">
      <c r="A281" s="197"/>
      <c r="DQ281" s="6"/>
      <c r="DR281" s="6"/>
      <c r="DS281" s="6"/>
      <c r="DT281" s="6"/>
      <c r="DU281" s="16"/>
      <c r="DV281" s="16"/>
      <c r="DW281" s="16"/>
      <c r="DX281" s="16"/>
    </row>
    <row r="282" spans="1:128">
      <c r="A282" s="197"/>
      <c r="DQ282" s="6"/>
      <c r="DR282" s="6"/>
      <c r="DS282" s="6"/>
      <c r="DT282" s="6"/>
      <c r="DU282" s="16"/>
      <c r="DV282" s="16"/>
      <c r="DW282" s="16"/>
      <c r="DX282" s="16"/>
    </row>
    <row r="283" spans="1:128">
      <c r="A283" s="197"/>
    </row>
  </sheetData>
  <pageMargins left="0.7" right="0.7" top="0.75" bottom="0.75" header="0.3" footer="0.3"/>
  <ignoredErrors>
    <ignoredError sqref="DU273:DW277" evalError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A3A9-8FA6-4063-899D-4A67504FFC1D}">
  <sheetPr codeName="Sheet8">
    <tabColor theme="2" tint="-9.9978637043366805E-2"/>
  </sheetPr>
  <dimension ref="A1:AD200"/>
  <sheetViews>
    <sheetView topLeftCell="A144" workbookViewId="0">
      <selection activeCell="F148" sqref="F148"/>
    </sheetView>
  </sheetViews>
  <sheetFormatPr defaultRowHeight="14.45"/>
  <cols>
    <col min="1" max="1" width="10.5703125" bestFit="1" customWidth="1"/>
    <col min="2" max="2" width="10.5703125" customWidth="1"/>
    <col min="3" max="3" width="3.42578125" customWidth="1"/>
    <col min="4" max="4" width="19.5703125" bestFit="1" customWidth="1"/>
    <col min="5" max="5" width="16.140625" bestFit="1" customWidth="1"/>
    <col min="6" max="7" width="13.85546875" customWidth="1"/>
    <col min="8" max="8" width="17" style="230" customWidth="1"/>
    <col min="9" max="9" width="11.5703125" style="230" bestFit="1" customWidth="1"/>
    <col min="10" max="10" width="10.7109375" style="230" bestFit="1" customWidth="1"/>
    <col min="11" max="11" width="10.5703125" style="230" bestFit="1" customWidth="1"/>
    <col min="12" max="13" width="13.85546875" style="230" customWidth="1"/>
    <col min="14" max="14" width="10.5703125" style="230" bestFit="1" customWidth="1"/>
    <col min="15" max="16" width="9.7109375" style="230" bestFit="1" customWidth="1"/>
    <col min="17" max="17" width="15.42578125" style="230" customWidth="1"/>
    <col min="18" max="18" width="11.5703125" style="230" customWidth="1"/>
    <col min="19" max="19" width="10.5703125" style="230" customWidth="1"/>
    <col min="20" max="20" width="13.5703125" style="230" customWidth="1"/>
    <col min="21" max="25" width="14.85546875" customWidth="1"/>
    <col min="26" max="26" width="9.7109375" bestFit="1" customWidth="1"/>
    <col min="27" max="27" width="10" bestFit="1" customWidth="1"/>
  </cols>
  <sheetData>
    <row r="1" spans="1:30">
      <c r="D1" s="514" t="s">
        <v>166</v>
      </c>
      <c r="E1" s="514"/>
      <c r="F1" s="514" t="s">
        <v>167</v>
      </c>
      <c r="G1" s="514"/>
      <c r="H1" s="513" t="s">
        <v>168</v>
      </c>
      <c r="I1" s="513"/>
      <c r="J1" s="513"/>
      <c r="K1" s="513"/>
      <c r="L1" s="513"/>
      <c r="M1" s="513"/>
      <c r="N1" s="513"/>
      <c r="O1" s="513"/>
      <c r="P1" s="513"/>
      <c r="Q1" s="513" t="s">
        <v>169</v>
      </c>
      <c r="R1" s="513"/>
      <c r="S1" s="513"/>
      <c r="T1" s="513"/>
    </row>
    <row r="2" spans="1:30">
      <c r="D2" t="s">
        <v>170</v>
      </c>
      <c r="E2" t="s">
        <v>171</v>
      </c>
      <c r="F2" t="s">
        <v>170</v>
      </c>
      <c r="G2" t="s">
        <v>171</v>
      </c>
      <c r="H2" s="230" t="s">
        <v>172</v>
      </c>
      <c r="I2" s="230" t="s">
        <v>173</v>
      </c>
      <c r="J2" s="230" t="s">
        <v>174</v>
      </c>
      <c r="K2" s="230" t="s">
        <v>175</v>
      </c>
      <c r="L2" s="230" t="s">
        <v>176</v>
      </c>
      <c r="M2" s="230" t="s">
        <v>177</v>
      </c>
      <c r="N2" s="230" t="s">
        <v>178</v>
      </c>
      <c r="O2" s="230" t="s">
        <v>179</v>
      </c>
      <c r="P2" s="230" t="s">
        <v>180</v>
      </c>
      <c r="Q2" s="230" t="s">
        <v>181</v>
      </c>
      <c r="R2" s="230" t="s">
        <v>182</v>
      </c>
      <c r="S2" s="230" t="s">
        <v>183</v>
      </c>
      <c r="T2" s="230" t="s">
        <v>184</v>
      </c>
    </row>
    <row r="3" spans="1:30" ht="15.6">
      <c r="D3" s="515" t="s">
        <v>185</v>
      </c>
      <c r="E3" s="515"/>
      <c r="F3" s="515"/>
      <c r="G3" s="515"/>
      <c r="H3" s="516" t="s">
        <v>186</v>
      </c>
      <c r="I3" s="516"/>
      <c r="J3" s="516"/>
      <c r="K3" s="516"/>
      <c r="L3" s="516"/>
      <c r="M3" s="516"/>
      <c r="N3" s="516"/>
      <c r="O3" s="516"/>
      <c r="P3" s="516"/>
      <c r="Q3" s="513" t="s">
        <v>187</v>
      </c>
      <c r="R3" s="513"/>
      <c r="S3" s="513"/>
      <c r="T3" s="308"/>
    </row>
    <row r="4" spans="1:30" ht="15.6">
      <c r="A4" s="3">
        <v>40909</v>
      </c>
      <c r="B4">
        <f t="shared" ref="B4:B24" si="0">YEAR(A4)</f>
        <v>2012</v>
      </c>
      <c r="C4" s="3" t="s">
        <v>188</v>
      </c>
      <c r="D4" s="113">
        <v>6662.5</v>
      </c>
      <c r="E4" s="113">
        <v>6626</v>
      </c>
      <c r="F4" s="113">
        <v>149</v>
      </c>
      <c r="G4" s="113">
        <v>148.6</v>
      </c>
      <c r="H4" s="230">
        <v>682023.2</v>
      </c>
      <c r="I4" s="230">
        <v>6116.3</v>
      </c>
      <c r="J4" s="230">
        <v>5057.7</v>
      </c>
      <c r="K4" s="230">
        <v>3672.7</v>
      </c>
      <c r="L4" s="230">
        <v>801.1</v>
      </c>
      <c r="M4" s="230">
        <v>309.3</v>
      </c>
      <c r="N4" s="230">
        <v>7653.4</v>
      </c>
      <c r="O4" s="230">
        <v>16.600000000000001</v>
      </c>
      <c r="P4" s="230">
        <v>355.9</v>
      </c>
      <c r="Q4" s="6">
        <v>681365</v>
      </c>
      <c r="R4" s="230">
        <v>6071</v>
      </c>
      <c r="S4" s="230">
        <v>3890</v>
      </c>
      <c r="T4" s="230">
        <v>12590</v>
      </c>
      <c r="U4" s="66"/>
      <c r="V4" s="66"/>
    </row>
    <row r="5" spans="1:30" ht="15.6">
      <c r="A5" s="3">
        <v>40940</v>
      </c>
      <c r="B5">
        <f t="shared" si="0"/>
        <v>2012</v>
      </c>
      <c r="C5" s="3" t="s">
        <v>188</v>
      </c>
      <c r="D5" s="113">
        <v>6656.6</v>
      </c>
      <c r="E5" s="113">
        <v>6581.8</v>
      </c>
      <c r="F5" s="113">
        <v>149.5</v>
      </c>
      <c r="G5" s="113">
        <v>147.4</v>
      </c>
      <c r="H5" s="230">
        <v>682023.2</v>
      </c>
      <c r="I5" s="230">
        <v>6116.3</v>
      </c>
      <c r="J5" s="230">
        <v>5057.7</v>
      </c>
      <c r="K5" s="230">
        <v>3672.7</v>
      </c>
      <c r="L5" s="230">
        <v>801.1</v>
      </c>
      <c r="M5" s="230">
        <v>309.3</v>
      </c>
      <c r="N5" s="230">
        <v>7653.4</v>
      </c>
      <c r="O5" s="230">
        <v>16.600000000000001</v>
      </c>
      <c r="P5" s="230">
        <v>355.9</v>
      </c>
      <c r="Q5" s="6">
        <v>681365</v>
      </c>
      <c r="R5" s="230">
        <v>6071</v>
      </c>
      <c r="S5" s="230">
        <v>3890</v>
      </c>
      <c r="T5" s="230">
        <v>12590</v>
      </c>
      <c r="U5" s="66"/>
      <c r="V5" s="66"/>
    </row>
    <row r="6" spans="1:30">
      <c r="A6" s="3">
        <v>40969</v>
      </c>
      <c r="B6">
        <f t="shared" si="0"/>
        <v>2012</v>
      </c>
      <c r="C6" s="3" t="s">
        <v>188</v>
      </c>
      <c r="D6" s="113">
        <v>6667.9</v>
      </c>
      <c r="E6" s="113">
        <v>6559.2</v>
      </c>
      <c r="F6" s="113">
        <v>151</v>
      </c>
      <c r="G6" s="113">
        <v>147.30000000000001</v>
      </c>
      <c r="H6" s="230">
        <v>682023.2</v>
      </c>
      <c r="I6" s="230">
        <v>6116.3</v>
      </c>
      <c r="J6" s="230">
        <v>5057.7</v>
      </c>
      <c r="K6" s="230">
        <v>3672.7</v>
      </c>
      <c r="L6" s="230">
        <v>801.1</v>
      </c>
      <c r="M6" s="230">
        <v>309.3</v>
      </c>
      <c r="N6" s="230">
        <v>7653.4</v>
      </c>
      <c r="O6" s="230">
        <v>16.600000000000001</v>
      </c>
      <c r="P6" s="230">
        <v>355.9</v>
      </c>
      <c r="Q6" s="6">
        <v>681365</v>
      </c>
      <c r="R6" s="230">
        <v>6071</v>
      </c>
      <c r="S6" s="230">
        <v>3890</v>
      </c>
      <c r="T6" s="230">
        <v>12590</v>
      </c>
      <c r="X6" t="s">
        <v>189</v>
      </c>
    </row>
    <row r="7" spans="1:30">
      <c r="A7" s="3">
        <v>41000</v>
      </c>
      <c r="B7">
        <f t="shared" si="0"/>
        <v>2012</v>
      </c>
      <c r="C7" s="3" t="s">
        <v>190</v>
      </c>
      <c r="D7" s="113">
        <v>6681</v>
      </c>
      <c r="E7" s="113">
        <v>6594.3</v>
      </c>
      <c r="F7" s="113">
        <v>150.80000000000001</v>
      </c>
      <c r="G7" s="113">
        <v>149.19999999999999</v>
      </c>
      <c r="H7" s="230">
        <v>682023.2</v>
      </c>
      <c r="I7" s="230">
        <v>6116.3</v>
      </c>
      <c r="J7" s="230">
        <v>5057.7</v>
      </c>
      <c r="K7" s="230">
        <v>3672.7</v>
      </c>
      <c r="L7" s="230">
        <v>801.1</v>
      </c>
      <c r="M7" s="230">
        <v>309.3</v>
      </c>
      <c r="N7" s="230">
        <v>7653.4</v>
      </c>
      <c r="O7" s="230">
        <v>16.600000000000001</v>
      </c>
      <c r="P7" s="230">
        <v>355.9</v>
      </c>
      <c r="Q7" s="6">
        <v>682343</v>
      </c>
      <c r="R7" s="230">
        <v>6194</v>
      </c>
      <c r="S7" s="230">
        <v>3938</v>
      </c>
      <c r="T7" s="230">
        <v>12714</v>
      </c>
      <c r="AD7" s="184"/>
    </row>
    <row r="8" spans="1:30">
      <c r="A8" s="3">
        <v>41030</v>
      </c>
      <c r="B8">
        <f t="shared" si="0"/>
        <v>2012</v>
      </c>
      <c r="C8" s="3" t="s">
        <v>190</v>
      </c>
      <c r="D8" s="113">
        <v>6690.2</v>
      </c>
      <c r="E8" s="113">
        <v>6657.6</v>
      </c>
      <c r="F8" s="113">
        <v>150.6</v>
      </c>
      <c r="G8" s="113">
        <v>149.4</v>
      </c>
      <c r="H8" s="230">
        <v>682023.2</v>
      </c>
      <c r="I8" s="230">
        <v>6116.3</v>
      </c>
      <c r="J8" s="230">
        <v>5057.7</v>
      </c>
      <c r="K8" s="230">
        <v>3672.7</v>
      </c>
      <c r="L8" s="230">
        <v>801.1</v>
      </c>
      <c r="M8" s="230">
        <v>309.3</v>
      </c>
      <c r="N8" s="230">
        <v>7653.4</v>
      </c>
      <c r="O8" s="230">
        <v>16.600000000000001</v>
      </c>
      <c r="P8" s="230">
        <v>355.9</v>
      </c>
      <c r="Q8" s="6">
        <v>682343</v>
      </c>
      <c r="R8" s="230">
        <v>6194</v>
      </c>
      <c r="S8" s="230">
        <v>3938</v>
      </c>
      <c r="T8" s="230">
        <v>12714</v>
      </c>
      <c r="X8" s="186" t="s">
        <v>191</v>
      </c>
      <c r="Y8" s="78" t="s">
        <v>192</v>
      </c>
      <c r="Z8" s="78" t="s">
        <v>193</v>
      </c>
      <c r="AA8" s="78" t="s">
        <v>194</v>
      </c>
      <c r="AB8" s="187"/>
      <c r="AC8" t="s">
        <v>195</v>
      </c>
      <c r="AD8" s="8" t="s">
        <v>196</v>
      </c>
    </row>
    <row r="9" spans="1:30">
      <c r="A9" s="3">
        <v>41061</v>
      </c>
      <c r="B9">
        <f t="shared" si="0"/>
        <v>2012</v>
      </c>
      <c r="C9" s="3" t="s">
        <v>190</v>
      </c>
      <c r="D9" s="113">
        <v>6685.4</v>
      </c>
      <c r="E9" s="113">
        <v>6727.5</v>
      </c>
      <c r="F9" s="113">
        <v>149.9</v>
      </c>
      <c r="G9" s="113">
        <v>150</v>
      </c>
      <c r="H9" s="230">
        <v>682023.2</v>
      </c>
      <c r="I9" s="230">
        <v>6116.3</v>
      </c>
      <c r="J9" s="230">
        <v>5057.7</v>
      </c>
      <c r="K9" s="230">
        <v>3672.7</v>
      </c>
      <c r="L9" s="230">
        <v>801.1</v>
      </c>
      <c r="M9" s="230">
        <v>309.3</v>
      </c>
      <c r="N9" s="230">
        <v>7653.4</v>
      </c>
      <c r="O9" s="230">
        <v>16.600000000000001</v>
      </c>
      <c r="P9" s="230">
        <v>355.9</v>
      </c>
      <c r="Q9" s="6">
        <v>682343</v>
      </c>
      <c r="R9" s="230">
        <v>6194</v>
      </c>
      <c r="S9" s="230">
        <v>3938</v>
      </c>
      <c r="T9" s="230">
        <v>12714</v>
      </c>
      <c r="X9" s="188">
        <v>45279</v>
      </c>
      <c r="Y9" s="188">
        <v>45359</v>
      </c>
      <c r="Z9" s="188">
        <v>45328</v>
      </c>
      <c r="AA9" s="188">
        <v>45272</v>
      </c>
      <c r="AB9" s="185"/>
    </row>
    <row r="10" spans="1:30">
      <c r="A10" s="3">
        <v>41091</v>
      </c>
      <c r="B10">
        <f t="shared" si="0"/>
        <v>2012</v>
      </c>
      <c r="C10" s="3" t="s">
        <v>197</v>
      </c>
      <c r="D10" s="113">
        <v>6687.7</v>
      </c>
      <c r="E10" s="113">
        <v>6772.9</v>
      </c>
      <c r="F10" s="113">
        <v>151.6</v>
      </c>
      <c r="G10" s="113">
        <v>151.5</v>
      </c>
      <c r="H10" s="230">
        <v>682023.2</v>
      </c>
      <c r="I10" s="230">
        <v>6116.3</v>
      </c>
      <c r="J10" s="230">
        <v>5057.7</v>
      </c>
      <c r="K10" s="230">
        <v>3672.7</v>
      </c>
      <c r="L10" s="230">
        <v>801.1</v>
      </c>
      <c r="M10" s="230">
        <v>309.3</v>
      </c>
      <c r="N10" s="230">
        <v>7653.4</v>
      </c>
      <c r="O10" s="230">
        <v>16.600000000000001</v>
      </c>
      <c r="P10" s="230">
        <v>355.9</v>
      </c>
      <c r="Q10" s="6">
        <v>682199</v>
      </c>
      <c r="R10" s="230">
        <v>6103</v>
      </c>
      <c r="S10" s="230">
        <v>3987</v>
      </c>
      <c r="T10" s="230">
        <v>12349</v>
      </c>
      <c r="V10" s="8"/>
      <c r="W10">
        <v>2023</v>
      </c>
      <c r="X10" s="15">
        <v>1.0999999999999999E-2</v>
      </c>
      <c r="Y10" s="15">
        <v>1.2999999999999999E-2</v>
      </c>
      <c r="Z10" s="15">
        <v>1.2999999999999999E-2</v>
      </c>
      <c r="AA10" s="15">
        <v>1.0999999999999999E-2</v>
      </c>
      <c r="AB10" s="15"/>
      <c r="AC10" s="74">
        <f>AVERAGE(X10:AA10)</f>
        <v>1.2E-2</v>
      </c>
      <c r="AD10" s="74">
        <f>AVERAGE(X10:AA10)</f>
        <v>1.2E-2</v>
      </c>
    </row>
    <row r="11" spans="1:30">
      <c r="A11" s="3">
        <v>41122</v>
      </c>
      <c r="B11">
        <f t="shared" si="0"/>
        <v>2012</v>
      </c>
      <c r="C11" s="3" t="s">
        <v>197</v>
      </c>
      <c r="D11" s="113">
        <v>6696.7</v>
      </c>
      <c r="E11" s="113">
        <v>6792.8</v>
      </c>
      <c r="F11" s="113">
        <v>152.9</v>
      </c>
      <c r="G11" s="113">
        <v>153.69999999999999</v>
      </c>
      <c r="H11" s="230">
        <v>682023.2</v>
      </c>
      <c r="I11" s="230">
        <v>6116.3</v>
      </c>
      <c r="J11" s="230">
        <v>5057.7</v>
      </c>
      <c r="K11" s="230">
        <v>3672.7</v>
      </c>
      <c r="L11" s="230">
        <v>801.1</v>
      </c>
      <c r="M11" s="230">
        <v>309.3</v>
      </c>
      <c r="N11" s="230">
        <v>7653.4</v>
      </c>
      <c r="O11" s="230">
        <v>16.600000000000001</v>
      </c>
      <c r="P11" s="230">
        <v>355.9</v>
      </c>
      <c r="Q11" s="6">
        <v>682199</v>
      </c>
      <c r="R11" s="230">
        <v>6103</v>
      </c>
      <c r="S11" s="230">
        <v>3987</v>
      </c>
      <c r="T11" s="230">
        <v>12349</v>
      </c>
      <c r="V11" s="391" t="s">
        <v>198</v>
      </c>
      <c r="W11" s="189">
        <v>2024</v>
      </c>
      <c r="X11" s="15">
        <v>3.0000000000000001E-3</v>
      </c>
      <c r="Y11" s="15">
        <v>0.01</v>
      </c>
      <c r="Z11" s="15">
        <v>8.9999999999999993E-3</v>
      </c>
      <c r="AA11" s="15">
        <v>2E-3</v>
      </c>
      <c r="AB11" s="15"/>
      <c r="AC11" s="74">
        <f>AVERAGE(X11:AA11)</f>
        <v>6.0000000000000001E-3</v>
      </c>
      <c r="AD11" s="74">
        <f>AVERAGE(X11:AA11)</f>
        <v>6.0000000000000001E-3</v>
      </c>
    </row>
    <row r="12" spans="1:30">
      <c r="A12" s="3">
        <v>41153</v>
      </c>
      <c r="B12">
        <f t="shared" si="0"/>
        <v>2012</v>
      </c>
      <c r="C12" s="3" t="s">
        <v>197</v>
      </c>
      <c r="D12" s="113">
        <v>6714.6</v>
      </c>
      <c r="E12" s="113">
        <v>6769.1</v>
      </c>
      <c r="F12" s="113">
        <v>155</v>
      </c>
      <c r="G12" s="113">
        <v>156.1</v>
      </c>
      <c r="H12" s="230">
        <v>682023.2</v>
      </c>
      <c r="I12" s="230">
        <v>6116.3</v>
      </c>
      <c r="J12" s="230">
        <v>5057.7</v>
      </c>
      <c r="K12" s="230">
        <v>3672.7</v>
      </c>
      <c r="L12" s="230">
        <v>801.1</v>
      </c>
      <c r="M12" s="230">
        <v>309.3</v>
      </c>
      <c r="N12" s="230">
        <v>7653.4</v>
      </c>
      <c r="O12" s="230">
        <v>16.600000000000001</v>
      </c>
      <c r="P12" s="230">
        <v>355.9</v>
      </c>
      <c r="Q12" s="6">
        <v>682199</v>
      </c>
      <c r="R12" s="230">
        <v>6103</v>
      </c>
      <c r="S12" s="230">
        <v>3987</v>
      </c>
      <c r="T12" s="230">
        <v>12349</v>
      </c>
      <c r="V12" s="8"/>
      <c r="W12">
        <v>2025</v>
      </c>
      <c r="X12" s="14">
        <v>1.4999999999999999E-2</v>
      </c>
      <c r="Y12" s="14">
        <v>2.3E-2</v>
      </c>
      <c r="Z12" s="14">
        <v>2.1000000000000001E-2</v>
      </c>
      <c r="AA12" s="14">
        <v>2.3E-2</v>
      </c>
      <c r="AC12" s="74">
        <f>AVERAGE(X12:AA12)</f>
        <v>2.0499999999999997E-2</v>
      </c>
      <c r="AD12" s="74">
        <f>AVERAGE(X12:AA12)</f>
        <v>2.0499999999999997E-2</v>
      </c>
    </row>
    <row r="13" spans="1:30">
      <c r="A13" s="3">
        <v>41183</v>
      </c>
      <c r="B13">
        <f t="shared" si="0"/>
        <v>2012</v>
      </c>
      <c r="C13" s="3" t="s">
        <v>199</v>
      </c>
      <c r="D13" s="113">
        <v>6719.1</v>
      </c>
      <c r="E13" s="113">
        <v>6748.7</v>
      </c>
      <c r="F13" s="113">
        <v>154.69999999999999</v>
      </c>
      <c r="G13" s="113">
        <v>157.19999999999999</v>
      </c>
      <c r="H13" s="230">
        <v>682023.2</v>
      </c>
      <c r="I13" s="230">
        <v>6116.3</v>
      </c>
      <c r="J13" s="230">
        <v>5057.7</v>
      </c>
      <c r="K13" s="230">
        <v>3672.7</v>
      </c>
      <c r="L13" s="230">
        <v>801.1</v>
      </c>
      <c r="M13" s="230">
        <v>309.3</v>
      </c>
      <c r="N13" s="230">
        <v>7653.4</v>
      </c>
      <c r="O13" s="230">
        <v>16.600000000000001</v>
      </c>
      <c r="P13" s="230">
        <v>355.9</v>
      </c>
      <c r="Q13" s="6">
        <v>682186</v>
      </c>
      <c r="R13" s="230">
        <v>6097</v>
      </c>
      <c r="S13" s="230">
        <v>3866</v>
      </c>
      <c r="T13" s="230">
        <v>12337</v>
      </c>
      <c r="V13" s="8"/>
      <c r="AD13" s="74"/>
    </row>
    <row r="14" spans="1:30">
      <c r="A14" s="3">
        <v>41214</v>
      </c>
      <c r="B14">
        <f t="shared" si="0"/>
        <v>2012</v>
      </c>
      <c r="C14" s="3" t="s">
        <v>199</v>
      </c>
      <c r="D14" s="113">
        <v>6733</v>
      </c>
      <c r="E14" s="113">
        <v>6736.2</v>
      </c>
      <c r="F14" s="113">
        <v>153.9</v>
      </c>
      <c r="G14" s="113">
        <v>157.19999999999999</v>
      </c>
      <c r="H14" s="230">
        <v>682023.2</v>
      </c>
      <c r="I14" s="230">
        <v>6116.3</v>
      </c>
      <c r="J14" s="230">
        <v>5057.7</v>
      </c>
      <c r="K14" s="230">
        <v>3672.7</v>
      </c>
      <c r="L14" s="230">
        <v>801.1</v>
      </c>
      <c r="M14" s="230">
        <v>309.3</v>
      </c>
      <c r="N14" s="230">
        <v>7653.4</v>
      </c>
      <c r="O14" s="230">
        <v>16.600000000000001</v>
      </c>
      <c r="P14" s="230">
        <v>355.9</v>
      </c>
      <c r="Q14" s="6">
        <v>682186</v>
      </c>
      <c r="R14" s="230">
        <v>6097</v>
      </c>
      <c r="S14" s="230">
        <v>3866</v>
      </c>
      <c r="T14" s="230">
        <v>12337</v>
      </c>
      <c r="V14" s="8"/>
      <c r="X14" s="188">
        <v>45279</v>
      </c>
      <c r="Y14" s="188">
        <v>45359</v>
      </c>
      <c r="Z14" s="188">
        <v>45328</v>
      </c>
      <c r="AA14" s="188">
        <v>45272</v>
      </c>
      <c r="AB14" s="185"/>
      <c r="AD14" s="74"/>
    </row>
    <row r="15" spans="1:30">
      <c r="A15" s="3">
        <v>41244</v>
      </c>
      <c r="B15">
        <f t="shared" si="0"/>
        <v>2012</v>
      </c>
      <c r="C15" s="3" t="s">
        <v>199</v>
      </c>
      <c r="D15" s="113">
        <v>6750</v>
      </c>
      <c r="E15" s="113">
        <v>6755.9</v>
      </c>
      <c r="F15" s="113">
        <v>152.30000000000001</v>
      </c>
      <c r="G15" s="113">
        <v>155.5</v>
      </c>
      <c r="H15" s="230">
        <v>682023.2</v>
      </c>
      <c r="I15" s="230">
        <v>6116.3</v>
      </c>
      <c r="J15" s="230">
        <v>5057.7</v>
      </c>
      <c r="K15" s="230">
        <v>3672.7</v>
      </c>
      <c r="L15" s="230">
        <v>801.1</v>
      </c>
      <c r="M15" s="230">
        <v>309.3</v>
      </c>
      <c r="N15" s="230">
        <v>7653.4</v>
      </c>
      <c r="O15" s="230">
        <v>16.600000000000001</v>
      </c>
      <c r="P15" s="230">
        <v>355.9</v>
      </c>
      <c r="Q15" s="6">
        <v>682186</v>
      </c>
      <c r="R15" s="230">
        <v>6097</v>
      </c>
      <c r="S15" s="230">
        <v>3866</v>
      </c>
      <c r="T15" s="230">
        <v>12337</v>
      </c>
      <c r="V15" s="8"/>
      <c r="W15">
        <v>2023</v>
      </c>
      <c r="X15" s="15">
        <v>2.5000000000000001E-2</v>
      </c>
      <c r="Y15" s="15">
        <v>2.4E-2</v>
      </c>
      <c r="Z15" s="15">
        <v>2.4E-2</v>
      </c>
      <c r="AA15" s="15">
        <v>2.4E-2</v>
      </c>
      <c r="AB15" s="15"/>
      <c r="AC15" s="74">
        <f>AVERAGE(X15:AA15)</f>
        <v>2.4250000000000001E-2</v>
      </c>
      <c r="AD15" s="74">
        <f>AVERAGE(X15:AA15)</f>
        <v>2.4250000000000001E-2</v>
      </c>
    </row>
    <row r="16" spans="1:30">
      <c r="A16" s="3">
        <v>41275</v>
      </c>
      <c r="B16">
        <f t="shared" si="0"/>
        <v>2013</v>
      </c>
      <c r="C16" s="3" t="s">
        <v>188</v>
      </c>
      <c r="D16" s="113">
        <v>6764.2</v>
      </c>
      <c r="E16" s="113">
        <v>6730.2</v>
      </c>
      <c r="F16" s="113">
        <v>150.1</v>
      </c>
      <c r="G16" s="113">
        <v>150.5</v>
      </c>
      <c r="H16" s="230">
        <v>691682.6</v>
      </c>
      <c r="I16" s="230">
        <v>6617.6</v>
      </c>
      <c r="J16" s="230">
        <v>5553.6</v>
      </c>
      <c r="K16" s="230">
        <v>4143.5</v>
      </c>
      <c r="L16" s="230">
        <v>903.8</v>
      </c>
      <c r="M16" s="230">
        <v>371.8</v>
      </c>
      <c r="N16" s="230">
        <v>8329.1</v>
      </c>
      <c r="O16" s="230">
        <v>12</v>
      </c>
      <c r="P16" s="230">
        <v>327.2</v>
      </c>
      <c r="Q16" s="6">
        <v>684155</v>
      </c>
      <c r="R16" s="230">
        <v>6233</v>
      </c>
      <c r="S16" s="230">
        <v>3912</v>
      </c>
      <c r="T16" s="230">
        <v>12420</v>
      </c>
      <c r="V16" s="391" t="s">
        <v>200</v>
      </c>
      <c r="W16" s="189">
        <v>2024</v>
      </c>
      <c r="X16" s="15">
        <v>3.0000000000000001E-3</v>
      </c>
      <c r="Y16" s="15">
        <v>1.2E-2</v>
      </c>
      <c r="Z16" s="15">
        <v>1.4999999999999999E-2</v>
      </c>
      <c r="AA16" s="15">
        <v>8.0000000000000002E-3</v>
      </c>
      <c r="AB16" s="190"/>
      <c r="AC16" s="74">
        <f>AVERAGE(X16:AA16)</f>
        <v>9.4999999999999998E-3</v>
      </c>
      <c r="AD16" s="74">
        <f>AVERAGE(X16:AA16)</f>
        <v>9.4999999999999998E-3</v>
      </c>
    </row>
    <row r="17" spans="1:30">
      <c r="A17" s="3">
        <v>41306</v>
      </c>
      <c r="B17">
        <f t="shared" si="0"/>
        <v>2013</v>
      </c>
      <c r="C17" s="3" t="s">
        <v>188</v>
      </c>
      <c r="D17" s="113">
        <v>6786.9</v>
      </c>
      <c r="E17" s="113">
        <v>6713.2</v>
      </c>
      <c r="F17" s="113">
        <v>151.19999999999999</v>
      </c>
      <c r="G17" s="113">
        <v>149.9</v>
      </c>
      <c r="H17" s="230">
        <v>691682.6</v>
      </c>
      <c r="I17" s="230">
        <v>6617.6</v>
      </c>
      <c r="J17" s="230">
        <v>5553.6</v>
      </c>
      <c r="K17" s="230">
        <v>4143.5</v>
      </c>
      <c r="L17" s="230">
        <v>903.8</v>
      </c>
      <c r="M17" s="230">
        <v>371.8</v>
      </c>
      <c r="N17" s="230">
        <v>8329.1</v>
      </c>
      <c r="O17" s="230">
        <v>12</v>
      </c>
      <c r="P17" s="230">
        <v>327.2</v>
      </c>
      <c r="Q17" s="6">
        <v>684155</v>
      </c>
      <c r="R17" s="230">
        <v>6233</v>
      </c>
      <c r="S17" s="230">
        <v>3912</v>
      </c>
      <c r="T17" s="230">
        <v>12420</v>
      </c>
      <c r="V17" s="8"/>
      <c r="W17">
        <v>2025</v>
      </c>
      <c r="X17" s="14">
        <v>1.0999999999999999E-2</v>
      </c>
      <c r="Y17" s="14">
        <v>2.1000000000000001E-2</v>
      </c>
      <c r="Z17" s="14">
        <v>1.7000000000000001E-2</v>
      </c>
      <c r="AA17" s="14">
        <v>1.7999999999999999E-2</v>
      </c>
      <c r="AC17" s="74">
        <f>AVERAGE(X17:AA17)</f>
        <v>1.6750000000000001E-2</v>
      </c>
      <c r="AD17" s="74">
        <f>AVERAGE(X17:AA17)</f>
        <v>1.6750000000000001E-2</v>
      </c>
    </row>
    <row r="18" spans="1:30">
      <c r="A18" s="3">
        <v>41334</v>
      </c>
      <c r="B18">
        <f t="shared" si="0"/>
        <v>2013</v>
      </c>
      <c r="C18" s="3" t="s">
        <v>188</v>
      </c>
      <c r="D18" s="113">
        <v>6786.1</v>
      </c>
      <c r="E18" s="113">
        <v>6677.7</v>
      </c>
      <c r="F18" s="113">
        <v>151.9</v>
      </c>
      <c r="G18" s="113">
        <v>149</v>
      </c>
      <c r="H18" s="230">
        <v>691682.6</v>
      </c>
      <c r="I18" s="230">
        <v>6617.6</v>
      </c>
      <c r="J18" s="230">
        <v>5553.6</v>
      </c>
      <c r="K18" s="230">
        <v>4143.5</v>
      </c>
      <c r="L18" s="230">
        <v>903.8</v>
      </c>
      <c r="M18" s="230">
        <v>371.8</v>
      </c>
      <c r="N18" s="230">
        <v>8329.1</v>
      </c>
      <c r="O18" s="230">
        <v>12</v>
      </c>
      <c r="P18" s="230">
        <v>327.2</v>
      </c>
      <c r="Q18" s="6">
        <v>684155</v>
      </c>
      <c r="R18" s="230">
        <v>6233</v>
      </c>
      <c r="S18" s="230">
        <v>3912</v>
      </c>
      <c r="T18" s="230">
        <v>12420</v>
      </c>
    </row>
    <row r="19" spans="1:30">
      <c r="A19" s="3">
        <v>41365</v>
      </c>
      <c r="B19">
        <f t="shared" si="0"/>
        <v>2013</v>
      </c>
      <c r="C19" s="3" t="s">
        <v>190</v>
      </c>
      <c r="D19" s="113">
        <v>6794.3</v>
      </c>
      <c r="E19" s="113">
        <v>6706.3</v>
      </c>
      <c r="F19" s="113">
        <v>154.4</v>
      </c>
      <c r="G19" s="113">
        <v>152.6</v>
      </c>
      <c r="H19" s="230">
        <v>691682.6</v>
      </c>
      <c r="I19" s="230">
        <v>6617.6</v>
      </c>
      <c r="J19" s="230">
        <v>5553.6</v>
      </c>
      <c r="K19" s="230">
        <v>4143.5</v>
      </c>
      <c r="L19" s="230">
        <v>903.8</v>
      </c>
      <c r="M19" s="230">
        <v>371.8</v>
      </c>
      <c r="N19" s="230">
        <v>8329.1</v>
      </c>
      <c r="O19" s="230">
        <v>12</v>
      </c>
      <c r="P19" s="230">
        <v>327.2</v>
      </c>
      <c r="Q19" s="6">
        <v>689512</v>
      </c>
      <c r="R19" s="230">
        <v>6626</v>
      </c>
      <c r="S19" s="230">
        <v>3653</v>
      </c>
      <c r="T19" s="230">
        <v>12726</v>
      </c>
    </row>
    <row r="20" spans="1:30" ht="15.6">
      <c r="A20" s="3">
        <v>41395</v>
      </c>
      <c r="B20">
        <f t="shared" si="0"/>
        <v>2013</v>
      </c>
      <c r="C20" s="3" t="s">
        <v>190</v>
      </c>
      <c r="D20" s="113">
        <v>6795.3</v>
      </c>
      <c r="E20" s="113">
        <v>6764.2</v>
      </c>
      <c r="F20" s="113">
        <v>155</v>
      </c>
      <c r="G20" s="113">
        <v>153.69999999999999</v>
      </c>
      <c r="H20" s="230">
        <v>691682.6</v>
      </c>
      <c r="I20" s="230">
        <v>6617.6</v>
      </c>
      <c r="J20" s="230">
        <v>5553.6</v>
      </c>
      <c r="K20" s="230">
        <v>4143.5</v>
      </c>
      <c r="L20" s="230">
        <v>903.8</v>
      </c>
      <c r="M20" s="230">
        <v>371.8</v>
      </c>
      <c r="N20" s="230">
        <v>8329.1</v>
      </c>
      <c r="O20" s="230">
        <v>12</v>
      </c>
      <c r="P20" s="230">
        <v>327.2</v>
      </c>
      <c r="Q20" s="6">
        <v>689512</v>
      </c>
      <c r="R20" s="230">
        <v>6626</v>
      </c>
      <c r="S20" s="230">
        <v>3653</v>
      </c>
      <c r="T20" s="230">
        <v>12726</v>
      </c>
      <c r="U20" s="66"/>
      <c r="V20" s="66"/>
    </row>
    <row r="21" spans="1:30" ht="15.6">
      <c r="A21" s="3">
        <v>41426</v>
      </c>
      <c r="B21">
        <f t="shared" si="0"/>
        <v>2013</v>
      </c>
      <c r="C21" s="3" t="s">
        <v>190</v>
      </c>
      <c r="D21" s="113">
        <v>6807.1</v>
      </c>
      <c r="E21" s="113">
        <v>6849.6</v>
      </c>
      <c r="F21" s="113">
        <v>156</v>
      </c>
      <c r="G21" s="113">
        <v>156.30000000000001</v>
      </c>
      <c r="H21" s="230">
        <v>691682.6</v>
      </c>
      <c r="I21" s="230">
        <v>6617.6</v>
      </c>
      <c r="J21" s="230">
        <v>5553.6</v>
      </c>
      <c r="K21" s="230">
        <v>4143.5</v>
      </c>
      <c r="L21" s="230">
        <v>903.8</v>
      </c>
      <c r="M21" s="230">
        <v>371.8</v>
      </c>
      <c r="N21" s="230">
        <v>8329.1</v>
      </c>
      <c r="O21" s="230">
        <v>12</v>
      </c>
      <c r="P21" s="230">
        <v>327.2</v>
      </c>
      <c r="Q21" s="6">
        <v>689512</v>
      </c>
      <c r="R21" s="230">
        <v>6626</v>
      </c>
      <c r="S21" s="230">
        <v>3653</v>
      </c>
      <c r="T21" s="230">
        <v>12726</v>
      </c>
      <c r="U21" s="66"/>
      <c r="V21" s="66"/>
    </row>
    <row r="22" spans="1:30" ht="15.6">
      <c r="A22" s="3">
        <v>41456</v>
      </c>
      <c r="B22">
        <f t="shared" si="0"/>
        <v>2013</v>
      </c>
      <c r="C22" s="3" t="s">
        <v>197</v>
      </c>
      <c r="D22" s="113">
        <v>6810.7</v>
      </c>
      <c r="E22" s="113">
        <v>6898</v>
      </c>
      <c r="F22" s="113">
        <v>156</v>
      </c>
      <c r="G22" s="113">
        <v>157</v>
      </c>
      <c r="H22" s="230">
        <v>691682.6</v>
      </c>
      <c r="I22" s="230">
        <v>6617.6</v>
      </c>
      <c r="J22" s="230">
        <v>5553.6</v>
      </c>
      <c r="K22" s="230">
        <v>4143.5</v>
      </c>
      <c r="L22" s="230">
        <v>903.8</v>
      </c>
      <c r="M22" s="230">
        <v>371.8</v>
      </c>
      <c r="N22" s="230">
        <v>8329.1</v>
      </c>
      <c r="O22" s="230">
        <v>12</v>
      </c>
      <c r="P22" s="230">
        <v>327.2</v>
      </c>
      <c r="Q22" s="6">
        <v>694293</v>
      </c>
      <c r="R22" s="230">
        <v>6842</v>
      </c>
      <c r="S22" s="230">
        <v>3555</v>
      </c>
      <c r="T22" s="230">
        <v>12735</v>
      </c>
      <c r="U22" s="66"/>
      <c r="V22" s="66"/>
    </row>
    <row r="23" spans="1:30" ht="15.6">
      <c r="A23" s="3">
        <v>41487</v>
      </c>
      <c r="B23">
        <f t="shared" si="0"/>
        <v>2013</v>
      </c>
      <c r="C23" s="3" t="s">
        <v>197</v>
      </c>
      <c r="D23" s="113">
        <v>6812.5</v>
      </c>
      <c r="E23" s="113">
        <v>6910.2</v>
      </c>
      <c r="F23" s="113">
        <v>156.30000000000001</v>
      </c>
      <c r="G23" s="113">
        <v>157.69999999999999</v>
      </c>
      <c r="H23" s="230">
        <v>691682.6</v>
      </c>
      <c r="I23" s="230">
        <v>6617.6</v>
      </c>
      <c r="J23" s="230">
        <v>5553.6</v>
      </c>
      <c r="K23" s="230">
        <v>4143.5</v>
      </c>
      <c r="L23" s="230">
        <v>903.8</v>
      </c>
      <c r="M23" s="230">
        <v>371.8</v>
      </c>
      <c r="N23" s="230">
        <v>8329.1</v>
      </c>
      <c r="O23" s="230">
        <v>12</v>
      </c>
      <c r="P23" s="230">
        <v>327.2</v>
      </c>
      <c r="Q23" s="6">
        <v>694293</v>
      </c>
      <c r="R23" s="230">
        <v>6842</v>
      </c>
      <c r="S23" s="230">
        <v>3555</v>
      </c>
      <c r="T23" s="230">
        <v>12735</v>
      </c>
      <c r="U23" s="66"/>
      <c r="V23" s="66"/>
    </row>
    <row r="24" spans="1:30" ht="15.6">
      <c r="A24" s="3">
        <v>41518</v>
      </c>
      <c r="B24">
        <f t="shared" si="0"/>
        <v>2013</v>
      </c>
      <c r="C24" s="3" t="s">
        <v>197</v>
      </c>
      <c r="D24" s="113">
        <v>6813.6</v>
      </c>
      <c r="E24" s="113">
        <v>6881.2</v>
      </c>
      <c r="F24" s="113">
        <v>155.5</v>
      </c>
      <c r="G24" s="113">
        <v>156</v>
      </c>
      <c r="H24" s="230">
        <v>691682.6</v>
      </c>
      <c r="I24" s="230">
        <v>6617.6</v>
      </c>
      <c r="J24" s="230">
        <v>5553.6</v>
      </c>
      <c r="K24" s="230">
        <v>4143.5</v>
      </c>
      <c r="L24" s="230">
        <v>903.8</v>
      </c>
      <c r="M24" s="230">
        <v>371.8</v>
      </c>
      <c r="N24" s="230">
        <v>8329.1</v>
      </c>
      <c r="O24" s="230">
        <v>12</v>
      </c>
      <c r="P24" s="230">
        <v>327.2</v>
      </c>
      <c r="Q24" s="6">
        <v>694293</v>
      </c>
      <c r="R24" s="230">
        <v>6842</v>
      </c>
      <c r="S24" s="230">
        <v>3555</v>
      </c>
      <c r="T24" s="230">
        <v>12735</v>
      </c>
      <c r="U24" s="66"/>
      <c r="V24" s="66"/>
    </row>
    <row r="25" spans="1:30" ht="15.6">
      <c r="A25" s="3">
        <v>41548</v>
      </c>
      <c r="B25">
        <f t="shared" ref="B25:B88" si="1">YEAR(A25)</f>
        <v>2013</v>
      </c>
      <c r="C25" s="3" t="s">
        <v>199</v>
      </c>
      <c r="D25" s="113">
        <v>6820.5</v>
      </c>
      <c r="E25" s="113">
        <v>6866.5</v>
      </c>
      <c r="F25" s="113">
        <v>156.19999999999999</v>
      </c>
      <c r="G25" s="113">
        <v>157.69999999999999</v>
      </c>
      <c r="H25" s="230">
        <v>691682.6</v>
      </c>
      <c r="I25" s="230">
        <v>6617.6</v>
      </c>
      <c r="J25" s="230">
        <v>5553.6</v>
      </c>
      <c r="K25" s="230">
        <v>4143.5</v>
      </c>
      <c r="L25" s="230">
        <v>903.8</v>
      </c>
      <c r="M25" s="230">
        <v>371.8</v>
      </c>
      <c r="N25" s="230">
        <v>8329.1</v>
      </c>
      <c r="O25" s="230">
        <v>12</v>
      </c>
      <c r="P25" s="230">
        <v>327.2</v>
      </c>
      <c r="Q25" s="6">
        <v>698770</v>
      </c>
      <c r="R25" s="230">
        <v>6769</v>
      </c>
      <c r="S25" s="230">
        <v>3554</v>
      </c>
      <c r="T25" s="230">
        <v>12995</v>
      </c>
      <c r="U25" s="66"/>
      <c r="V25" s="66"/>
    </row>
    <row r="26" spans="1:30" ht="15.6">
      <c r="A26" s="3">
        <v>41579</v>
      </c>
      <c r="B26">
        <f t="shared" si="1"/>
        <v>2013</v>
      </c>
      <c r="C26" s="3" t="s">
        <v>199</v>
      </c>
      <c r="D26" s="113">
        <v>6822</v>
      </c>
      <c r="E26" s="113">
        <v>6838.5</v>
      </c>
      <c r="F26" s="113">
        <v>156.80000000000001</v>
      </c>
      <c r="G26" s="113">
        <v>158</v>
      </c>
      <c r="H26" s="230">
        <v>691682.6</v>
      </c>
      <c r="I26" s="230">
        <v>6617.6</v>
      </c>
      <c r="J26" s="230">
        <v>5553.6</v>
      </c>
      <c r="K26" s="230">
        <v>4143.5</v>
      </c>
      <c r="L26" s="230">
        <v>903.8</v>
      </c>
      <c r="M26" s="230">
        <v>371.8</v>
      </c>
      <c r="N26" s="230">
        <v>8329.1</v>
      </c>
      <c r="O26" s="230">
        <v>12</v>
      </c>
      <c r="P26" s="230">
        <v>327.2</v>
      </c>
      <c r="Q26" s="6">
        <v>698770</v>
      </c>
      <c r="R26" s="230">
        <v>6769</v>
      </c>
      <c r="S26" s="230">
        <v>3554</v>
      </c>
      <c r="T26" s="230">
        <v>12995</v>
      </c>
      <c r="U26" s="66"/>
      <c r="V26" s="66"/>
    </row>
    <row r="27" spans="1:30" ht="15.6">
      <c r="A27" s="3">
        <v>41609</v>
      </c>
      <c r="B27">
        <f t="shared" si="1"/>
        <v>2013</v>
      </c>
      <c r="C27" s="3" t="s">
        <v>199</v>
      </c>
      <c r="D27" s="113">
        <v>6816.6</v>
      </c>
      <c r="E27" s="113">
        <v>6818.9</v>
      </c>
      <c r="F27" s="113">
        <v>158.5</v>
      </c>
      <c r="G27" s="113">
        <v>160.30000000000001</v>
      </c>
      <c r="H27" s="230">
        <v>691682.6</v>
      </c>
      <c r="I27" s="230">
        <v>6617.6</v>
      </c>
      <c r="J27" s="230">
        <v>5553.6</v>
      </c>
      <c r="K27" s="230">
        <v>4143.5</v>
      </c>
      <c r="L27" s="230">
        <v>903.8</v>
      </c>
      <c r="M27" s="230">
        <v>371.8</v>
      </c>
      <c r="N27" s="230">
        <v>8329.1</v>
      </c>
      <c r="O27" s="230">
        <v>12</v>
      </c>
      <c r="P27" s="230">
        <v>327.2</v>
      </c>
      <c r="Q27" s="6">
        <v>698770</v>
      </c>
      <c r="R27" s="230">
        <v>6769</v>
      </c>
      <c r="S27" s="230">
        <v>3554</v>
      </c>
      <c r="T27" s="230">
        <v>12995</v>
      </c>
      <c r="U27" s="66"/>
      <c r="V27" s="66"/>
    </row>
    <row r="28" spans="1:30" ht="15.6">
      <c r="A28" s="3">
        <v>41640</v>
      </c>
      <c r="B28">
        <f t="shared" si="1"/>
        <v>2014</v>
      </c>
      <c r="C28" s="3" t="s">
        <v>188</v>
      </c>
      <c r="D28" s="113">
        <v>6812.5</v>
      </c>
      <c r="E28" s="113">
        <v>6770.4</v>
      </c>
      <c r="F28" s="113">
        <v>158.80000000000001</v>
      </c>
      <c r="G28" s="113">
        <v>157.80000000000001</v>
      </c>
      <c r="H28" s="230">
        <v>708787.6</v>
      </c>
      <c r="I28" s="230">
        <v>6474.7</v>
      </c>
      <c r="J28" s="230">
        <v>5461.8</v>
      </c>
      <c r="K28" s="230">
        <v>4020.9</v>
      </c>
      <c r="L28" s="230">
        <v>912.8</v>
      </c>
      <c r="M28" s="230">
        <v>444.1</v>
      </c>
      <c r="N28" s="230">
        <v>8082.4</v>
      </c>
      <c r="O28" s="230">
        <v>10.8</v>
      </c>
      <c r="P28" s="230">
        <v>292</v>
      </c>
      <c r="Q28" s="6">
        <v>699057</v>
      </c>
      <c r="R28" s="230">
        <v>6558</v>
      </c>
      <c r="S28" s="230">
        <v>3966</v>
      </c>
      <c r="T28" s="230">
        <v>12346</v>
      </c>
      <c r="U28" s="66"/>
      <c r="V28" s="66"/>
    </row>
    <row r="29" spans="1:30" ht="15.6">
      <c r="A29" s="3">
        <v>41671</v>
      </c>
      <c r="B29">
        <f t="shared" si="1"/>
        <v>2014</v>
      </c>
      <c r="C29" s="3" t="s">
        <v>188</v>
      </c>
      <c r="D29" s="113">
        <v>6810.3</v>
      </c>
      <c r="E29" s="113">
        <v>6732.3</v>
      </c>
      <c r="F29" s="113">
        <v>156.6</v>
      </c>
      <c r="G29" s="113">
        <v>155</v>
      </c>
      <c r="H29" s="230">
        <v>708787.6</v>
      </c>
      <c r="I29" s="230">
        <v>6474.7</v>
      </c>
      <c r="J29" s="230">
        <v>5461.8</v>
      </c>
      <c r="K29" s="230">
        <v>4020.9</v>
      </c>
      <c r="L29" s="230">
        <v>912.8</v>
      </c>
      <c r="M29" s="230">
        <v>444.1</v>
      </c>
      <c r="N29" s="230">
        <v>8082.4</v>
      </c>
      <c r="O29" s="230">
        <v>10.8</v>
      </c>
      <c r="P29" s="230">
        <v>292</v>
      </c>
      <c r="Q29" s="6">
        <v>699057</v>
      </c>
      <c r="R29" s="230">
        <v>6558</v>
      </c>
      <c r="S29" s="230">
        <v>3966</v>
      </c>
      <c r="T29" s="230">
        <v>12346</v>
      </c>
      <c r="U29" s="66"/>
      <c r="V29" s="66"/>
    </row>
    <row r="30" spans="1:30" ht="15.6">
      <c r="A30" s="3">
        <v>41699</v>
      </c>
      <c r="B30">
        <f t="shared" si="1"/>
        <v>2014</v>
      </c>
      <c r="C30" s="3" t="s">
        <v>188</v>
      </c>
      <c r="D30" s="113">
        <v>6810.9</v>
      </c>
      <c r="E30" s="113">
        <v>6704.5</v>
      </c>
      <c r="F30" s="113">
        <v>154.80000000000001</v>
      </c>
      <c r="G30" s="113">
        <v>152.1</v>
      </c>
      <c r="H30" s="230">
        <v>708787.6</v>
      </c>
      <c r="I30" s="230">
        <v>6474.7</v>
      </c>
      <c r="J30" s="230">
        <v>5461.8</v>
      </c>
      <c r="K30" s="230">
        <v>4020.9</v>
      </c>
      <c r="L30" s="230">
        <v>912.8</v>
      </c>
      <c r="M30" s="230">
        <v>444.1</v>
      </c>
      <c r="N30" s="230">
        <v>8082.4</v>
      </c>
      <c r="O30" s="230">
        <v>10.8</v>
      </c>
      <c r="P30" s="230">
        <v>292</v>
      </c>
      <c r="Q30" s="6">
        <v>699057</v>
      </c>
      <c r="R30" s="230">
        <v>6558</v>
      </c>
      <c r="S30" s="230">
        <v>3966</v>
      </c>
      <c r="T30" s="230">
        <v>12346</v>
      </c>
      <c r="U30" s="66"/>
      <c r="V30" s="66"/>
    </row>
    <row r="31" spans="1:30" ht="15.6">
      <c r="A31" s="3">
        <v>41730</v>
      </c>
      <c r="B31">
        <f t="shared" si="1"/>
        <v>2014</v>
      </c>
      <c r="C31" s="3" t="s">
        <v>190</v>
      </c>
      <c r="D31" s="113">
        <v>6819.5</v>
      </c>
      <c r="E31" s="113">
        <v>6732.1</v>
      </c>
      <c r="F31" s="113">
        <v>152.80000000000001</v>
      </c>
      <c r="G31" s="113">
        <v>150.9</v>
      </c>
      <c r="H31" s="230">
        <v>708787.6</v>
      </c>
      <c r="I31" s="230">
        <v>6474.7</v>
      </c>
      <c r="J31" s="230">
        <v>5461.8</v>
      </c>
      <c r="K31" s="230">
        <v>4020.9</v>
      </c>
      <c r="L31" s="230">
        <v>912.8</v>
      </c>
      <c r="M31" s="230">
        <v>444.1</v>
      </c>
      <c r="N31" s="230">
        <v>8082.4</v>
      </c>
      <c r="O31" s="230">
        <v>10.8</v>
      </c>
      <c r="P31" s="230">
        <v>292</v>
      </c>
      <c r="Q31" s="6">
        <v>705966</v>
      </c>
      <c r="R31" s="230">
        <v>6382</v>
      </c>
      <c r="S31" s="230">
        <v>3945</v>
      </c>
      <c r="T31" s="230">
        <v>12894</v>
      </c>
      <c r="U31" s="66"/>
      <c r="V31" s="66"/>
    </row>
    <row r="32" spans="1:30" ht="15.6">
      <c r="A32" s="3">
        <v>41760</v>
      </c>
      <c r="B32">
        <f t="shared" si="1"/>
        <v>2014</v>
      </c>
      <c r="C32" s="3" t="s">
        <v>190</v>
      </c>
      <c r="D32" s="113">
        <v>6821.5</v>
      </c>
      <c r="E32" s="113">
        <v>6790.3</v>
      </c>
      <c r="F32" s="113">
        <v>152.30000000000001</v>
      </c>
      <c r="G32" s="113">
        <v>151.19999999999999</v>
      </c>
      <c r="H32" s="230">
        <v>708787.6</v>
      </c>
      <c r="I32" s="230">
        <v>6474.7</v>
      </c>
      <c r="J32" s="230">
        <v>5461.8</v>
      </c>
      <c r="K32" s="230">
        <v>4020.9</v>
      </c>
      <c r="L32" s="230">
        <v>912.8</v>
      </c>
      <c r="M32" s="230">
        <v>444.1</v>
      </c>
      <c r="N32" s="230">
        <v>8082.4</v>
      </c>
      <c r="O32" s="230">
        <v>10.8</v>
      </c>
      <c r="P32" s="230">
        <v>292</v>
      </c>
      <c r="Q32" s="6">
        <v>705966</v>
      </c>
      <c r="R32" s="230">
        <v>6382</v>
      </c>
      <c r="S32" s="230">
        <v>3945</v>
      </c>
      <c r="T32" s="230">
        <v>12894</v>
      </c>
      <c r="U32" s="66"/>
      <c r="V32" s="66"/>
    </row>
    <row r="33" spans="1:22" ht="15.6">
      <c r="A33" s="3">
        <v>41791</v>
      </c>
      <c r="B33">
        <f t="shared" si="1"/>
        <v>2014</v>
      </c>
      <c r="C33" s="3" t="s">
        <v>190</v>
      </c>
      <c r="D33" s="113">
        <v>6826.1</v>
      </c>
      <c r="E33" s="113">
        <v>6875.4</v>
      </c>
      <c r="F33" s="113">
        <v>150.9</v>
      </c>
      <c r="G33" s="113">
        <v>151.19999999999999</v>
      </c>
      <c r="H33" s="230">
        <v>708787.6</v>
      </c>
      <c r="I33" s="230">
        <v>6474.7</v>
      </c>
      <c r="J33" s="230">
        <v>5461.8</v>
      </c>
      <c r="K33" s="230">
        <v>4020.9</v>
      </c>
      <c r="L33" s="230">
        <v>912.8</v>
      </c>
      <c r="M33" s="230">
        <v>444.1</v>
      </c>
      <c r="N33" s="230">
        <v>8082.4</v>
      </c>
      <c r="O33" s="230">
        <v>10.8</v>
      </c>
      <c r="P33" s="230">
        <v>292</v>
      </c>
      <c r="Q33" s="6">
        <v>705966</v>
      </c>
      <c r="R33" s="230">
        <v>6382</v>
      </c>
      <c r="S33" s="230">
        <v>3945</v>
      </c>
      <c r="T33" s="230">
        <v>12894</v>
      </c>
      <c r="U33" s="66"/>
      <c r="V33" s="66"/>
    </row>
    <row r="34" spans="1:22" ht="15.6">
      <c r="A34" s="3">
        <v>41821</v>
      </c>
      <c r="B34">
        <f t="shared" si="1"/>
        <v>2014</v>
      </c>
      <c r="C34" s="3" t="s">
        <v>197</v>
      </c>
      <c r="D34" s="113">
        <v>6836.5</v>
      </c>
      <c r="E34" s="113">
        <v>6932</v>
      </c>
      <c r="F34" s="113">
        <v>152.4</v>
      </c>
      <c r="G34" s="113">
        <v>153.80000000000001</v>
      </c>
      <c r="H34" s="230">
        <v>708787.6</v>
      </c>
      <c r="I34" s="230">
        <v>6474.7</v>
      </c>
      <c r="J34" s="230">
        <v>5461.8</v>
      </c>
      <c r="K34" s="230">
        <v>4020.9</v>
      </c>
      <c r="L34" s="230">
        <v>912.8</v>
      </c>
      <c r="M34" s="230">
        <v>444.1</v>
      </c>
      <c r="N34" s="230">
        <v>8082.4</v>
      </c>
      <c r="O34" s="230">
        <v>10.8</v>
      </c>
      <c r="P34" s="230">
        <v>292</v>
      </c>
      <c r="Q34" s="6">
        <v>713152</v>
      </c>
      <c r="R34" s="230">
        <v>6336</v>
      </c>
      <c r="S34" s="230">
        <v>3749</v>
      </c>
      <c r="T34" s="230">
        <v>12636</v>
      </c>
      <c r="U34" s="66"/>
      <c r="V34" s="66"/>
    </row>
    <row r="35" spans="1:22" ht="15.6">
      <c r="A35" s="3">
        <v>41852</v>
      </c>
      <c r="B35">
        <f t="shared" si="1"/>
        <v>2014</v>
      </c>
      <c r="C35" s="3" t="s">
        <v>197</v>
      </c>
      <c r="D35" s="113">
        <v>6842.5</v>
      </c>
      <c r="E35" s="113">
        <v>6947.8</v>
      </c>
      <c r="F35" s="113">
        <v>153.9</v>
      </c>
      <c r="G35" s="113">
        <v>155.4</v>
      </c>
      <c r="H35" s="230">
        <v>708787.6</v>
      </c>
      <c r="I35" s="230">
        <v>6474.7</v>
      </c>
      <c r="J35" s="230">
        <v>5461.8</v>
      </c>
      <c r="K35" s="230">
        <v>4020.9</v>
      </c>
      <c r="L35" s="230">
        <v>912.8</v>
      </c>
      <c r="M35" s="230">
        <v>444.1</v>
      </c>
      <c r="N35" s="230">
        <v>8082.4</v>
      </c>
      <c r="O35" s="230">
        <v>10.8</v>
      </c>
      <c r="P35" s="230">
        <v>292</v>
      </c>
      <c r="Q35" s="6">
        <v>713152</v>
      </c>
      <c r="R35" s="230">
        <v>6336</v>
      </c>
      <c r="S35" s="230">
        <v>3749</v>
      </c>
      <c r="T35" s="230">
        <v>12636</v>
      </c>
      <c r="U35" s="66"/>
      <c r="V35" s="66"/>
    </row>
    <row r="36" spans="1:22" ht="15.6">
      <c r="A36" s="3">
        <v>41883</v>
      </c>
      <c r="B36">
        <f t="shared" si="1"/>
        <v>2014</v>
      </c>
      <c r="C36" s="3" t="s">
        <v>197</v>
      </c>
      <c r="D36" s="113">
        <v>6853.6</v>
      </c>
      <c r="E36" s="113">
        <v>6917.2</v>
      </c>
      <c r="F36" s="113">
        <v>157</v>
      </c>
      <c r="G36" s="113">
        <v>157.69999999999999</v>
      </c>
      <c r="H36" s="230">
        <v>708787.6</v>
      </c>
      <c r="I36" s="230">
        <v>6474.7</v>
      </c>
      <c r="J36" s="230">
        <v>5461.8</v>
      </c>
      <c r="K36" s="230">
        <v>4020.9</v>
      </c>
      <c r="L36" s="230">
        <v>912.8</v>
      </c>
      <c r="M36" s="230">
        <v>444.1</v>
      </c>
      <c r="N36" s="230">
        <v>8082.4</v>
      </c>
      <c r="O36" s="230">
        <v>10.8</v>
      </c>
      <c r="P36" s="230">
        <v>292</v>
      </c>
      <c r="Q36" s="6">
        <v>713152</v>
      </c>
      <c r="R36" s="230">
        <v>6336</v>
      </c>
      <c r="S36" s="230">
        <v>3749</v>
      </c>
      <c r="T36" s="230">
        <v>12636</v>
      </c>
      <c r="U36" s="66"/>
      <c r="V36" s="66"/>
    </row>
    <row r="37" spans="1:22" ht="15.6">
      <c r="A37" s="3">
        <v>41913</v>
      </c>
      <c r="B37">
        <f t="shared" si="1"/>
        <v>2014</v>
      </c>
      <c r="C37" s="3" t="s">
        <v>199</v>
      </c>
      <c r="D37" s="113">
        <v>6856.6</v>
      </c>
      <c r="E37" s="113">
        <v>6898.9</v>
      </c>
      <c r="F37" s="113">
        <v>158.5</v>
      </c>
      <c r="G37" s="113">
        <v>159.80000000000001</v>
      </c>
      <c r="H37" s="230">
        <v>708787.6</v>
      </c>
      <c r="I37" s="230">
        <v>6474.7</v>
      </c>
      <c r="J37" s="230">
        <v>5461.8</v>
      </c>
      <c r="K37" s="230">
        <v>4020.9</v>
      </c>
      <c r="L37" s="230">
        <v>912.8</v>
      </c>
      <c r="M37" s="230">
        <v>444.1</v>
      </c>
      <c r="N37" s="230">
        <v>8082.4</v>
      </c>
      <c r="O37" s="230">
        <v>10.8</v>
      </c>
      <c r="P37" s="230">
        <v>292</v>
      </c>
      <c r="Q37" s="6">
        <v>716976</v>
      </c>
      <c r="R37" s="230">
        <v>6623</v>
      </c>
      <c r="S37" s="230">
        <v>3934</v>
      </c>
      <c r="T37" s="230">
        <v>12096</v>
      </c>
      <c r="U37" s="66"/>
      <c r="V37" s="66"/>
    </row>
    <row r="38" spans="1:22" ht="15.6">
      <c r="A38" s="3">
        <v>41944</v>
      </c>
      <c r="B38">
        <f t="shared" si="1"/>
        <v>2014</v>
      </c>
      <c r="C38" s="3" t="s">
        <v>199</v>
      </c>
      <c r="D38" s="113">
        <v>6858.1</v>
      </c>
      <c r="E38" s="113">
        <v>6871.1</v>
      </c>
      <c r="F38" s="113">
        <v>159.69999999999999</v>
      </c>
      <c r="G38" s="113">
        <v>160.80000000000001</v>
      </c>
      <c r="H38" s="230">
        <v>708787.6</v>
      </c>
      <c r="I38" s="230">
        <v>6474.7</v>
      </c>
      <c r="J38" s="230">
        <v>5461.8</v>
      </c>
      <c r="K38" s="230">
        <v>4020.9</v>
      </c>
      <c r="L38" s="230">
        <v>912.8</v>
      </c>
      <c r="M38" s="230">
        <v>444.1</v>
      </c>
      <c r="N38" s="230">
        <v>8082.4</v>
      </c>
      <c r="O38" s="230">
        <v>10.8</v>
      </c>
      <c r="P38" s="230">
        <v>292</v>
      </c>
      <c r="Q38" s="6">
        <v>716976</v>
      </c>
      <c r="R38" s="230">
        <v>6623</v>
      </c>
      <c r="S38" s="230">
        <v>3934</v>
      </c>
      <c r="T38" s="230">
        <v>12096</v>
      </c>
      <c r="U38" s="66"/>
      <c r="V38" s="66"/>
    </row>
    <row r="39" spans="1:22" ht="15.6">
      <c r="A39" s="3">
        <v>41974</v>
      </c>
      <c r="B39">
        <f t="shared" si="1"/>
        <v>2014</v>
      </c>
      <c r="C39" s="3" t="s">
        <v>199</v>
      </c>
      <c r="D39" s="113">
        <v>6860</v>
      </c>
      <c r="E39" s="113">
        <v>6863.1</v>
      </c>
      <c r="F39" s="113">
        <v>161.4</v>
      </c>
      <c r="G39" s="113">
        <v>162.80000000000001</v>
      </c>
      <c r="H39" s="230">
        <v>708787.6</v>
      </c>
      <c r="I39" s="230">
        <v>6474.7</v>
      </c>
      <c r="J39" s="230">
        <v>5461.8</v>
      </c>
      <c r="K39" s="230">
        <v>4020.9</v>
      </c>
      <c r="L39" s="230">
        <v>912.8</v>
      </c>
      <c r="M39" s="230">
        <v>444.1</v>
      </c>
      <c r="N39" s="230">
        <v>8082.4</v>
      </c>
      <c r="O39" s="230">
        <v>10.8</v>
      </c>
      <c r="P39" s="230">
        <v>292</v>
      </c>
      <c r="Q39" s="6">
        <v>716976</v>
      </c>
      <c r="R39" s="230">
        <v>6623</v>
      </c>
      <c r="S39" s="230">
        <v>3934</v>
      </c>
      <c r="T39" s="230">
        <v>12096</v>
      </c>
      <c r="U39" s="66"/>
      <c r="V39" s="66"/>
    </row>
    <row r="40" spans="1:22" ht="15.6">
      <c r="A40" s="3">
        <v>42005</v>
      </c>
      <c r="B40">
        <f t="shared" si="1"/>
        <v>2015</v>
      </c>
      <c r="C40" s="3" t="s">
        <v>188</v>
      </c>
      <c r="D40" s="113">
        <v>6851.1</v>
      </c>
      <c r="E40" s="113">
        <v>6809.7</v>
      </c>
      <c r="F40" s="113">
        <v>162.19999999999999</v>
      </c>
      <c r="G40" s="113">
        <v>161.30000000000001</v>
      </c>
      <c r="H40" s="230">
        <v>727609.6</v>
      </c>
      <c r="I40" s="230">
        <v>6877.7</v>
      </c>
      <c r="J40" s="230">
        <v>5851.5</v>
      </c>
      <c r="K40" s="230">
        <v>4285.8999999999996</v>
      </c>
      <c r="L40" s="230">
        <v>946.1</v>
      </c>
      <c r="M40" s="230">
        <v>506</v>
      </c>
      <c r="N40" s="230">
        <v>7729.3</v>
      </c>
      <c r="O40" s="230">
        <v>10.199999999999999</v>
      </c>
      <c r="P40" s="230">
        <v>143.30000000000001</v>
      </c>
      <c r="Q40" s="6">
        <v>718587</v>
      </c>
      <c r="R40" s="230">
        <v>6731</v>
      </c>
      <c r="S40" s="230">
        <v>4016</v>
      </c>
      <c r="T40" s="230">
        <v>12895</v>
      </c>
      <c r="U40" s="66"/>
      <c r="V40" s="66"/>
    </row>
    <row r="41" spans="1:22" ht="15.6">
      <c r="A41" s="3">
        <v>42036</v>
      </c>
      <c r="B41">
        <f t="shared" si="1"/>
        <v>2015</v>
      </c>
      <c r="C41" s="3" t="s">
        <v>188</v>
      </c>
      <c r="D41" s="113">
        <v>6859.2</v>
      </c>
      <c r="E41" s="113">
        <v>6782.7</v>
      </c>
      <c r="F41" s="113">
        <v>162.80000000000001</v>
      </c>
      <c r="G41" s="113">
        <v>160.30000000000001</v>
      </c>
      <c r="H41" s="230">
        <v>727609.6</v>
      </c>
      <c r="I41" s="230">
        <v>6877.7</v>
      </c>
      <c r="J41" s="230">
        <v>5851.5</v>
      </c>
      <c r="K41" s="230">
        <v>4285.8999999999996</v>
      </c>
      <c r="L41" s="230">
        <v>946.1</v>
      </c>
      <c r="M41" s="230">
        <v>506</v>
      </c>
      <c r="N41" s="230">
        <v>7729.3</v>
      </c>
      <c r="O41" s="230">
        <v>10.199999999999999</v>
      </c>
      <c r="P41" s="230">
        <v>143.30000000000001</v>
      </c>
      <c r="Q41" s="6">
        <v>718587</v>
      </c>
      <c r="R41" s="230">
        <v>6731</v>
      </c>
      <c r="S41" s="230">
        <v>4016</v>
      </c>
      <c r="T41" s="230">
        <v>12895</v>
      </c>
      <c r="U41" s="66"/>
      <c r="V41" s="66"/>
    </row>
    <row r="42" spans="1:22" ht="15.6">
      <c r="A42" s="3">
        <v>42064</v>
      </c>
      <c r="B42">
        <f t="shared" si="1"/>
        <v>2015</v>
      </c>
      <c r="C42" s="3" t="s">
        <v>188</v>
      </c>
      <c r="D42" s="113">
        <v>6870</v>
      </c>
      <c r="E42" s="113">
        <v>6761.8</v>
      </c>
      <c r="F42" s="113">
        <v>161.30000000000001</v>
      </c>
      <c r="G42" s="113">
        <v>156.9</v>
      </c>
      <c r="H42" s="230">
        <v>727609.6</v>
      </c>
      <c r="I42" s="230">
        <v>6877.7</v>
      </c>
      <c r="J42" s="230">
        <v>5851.5</v>
      </c>
      <c r="K42" s="230">
        <v>4285.8999999999996</v>
      </c>
      <c r="L42" s="230">
        <v>946.1</v>
      </c>
      <c r="M42" s="230">
        <v>506</v>
      </c>
      <c r="N42" s="230">
        <v>7729.3</v>
      </c>
      <c r="O42" s="230">
        <v>10.199999999999999</v>
      </c>
      <c r="P42" s="230">
        <v>143.30000000000001</v>
      </c>
      <c r="Q42" s="6">
        <v>718587</v>
      </c>
      <c r="R42" s="230">
        <v>6731</v>
      </c>
      <c r="S42" s="230">
        <v>4016</v>
      </c>
      <c r="T42" s="230">
        <v>12895</v>
      </c>
      <c r="U42" s="66"/>
      <c r="V42" s="66"/>
    </row>
    <row r="43" spans="1:22" ht="15.6">
      <c r="A43" s="3">
        <v>42095</v>
      </c>
      <c r="B43">
        <f t="shared" si="1"/>
        <v>2015</v>
      </c>
      <c r="C43" s="3" t="s">
        <v>190</v>
      </c>
      <c r="D43" s="113">
        <v>6876.8</v>
      </c>
      <c r="E43" s="113">
        <v>6786.4</v>
      </c>
      <c r="F43" s="113">
        <v>160.69999999999999</v>
      </c>
      <c r="G43" s="113">
        <v>156.69999999999999</v>
      </c>
      <c r="H43" s="230">
        <v>727609.6</v>
      </c>
      <c r="I43" s="230">
        <v>6877.7</v>
      </c>
      <c r="J43" s="230">
        <v>5851.5</v>
      </c>
      <c r="K43" s="230">
        <v>4285.8999999999996</v>
      </c>
      <c r="L43" s="230">
        <v>946.1</v>
      </c>
      <c r="M43" s="230">
        <v>506</v>
      </c>
      <c r="N43" s="230">
        <v>7729.3</v>
      </c>
      <c r="O43" s="230">
        <v>10.199999999999999</v>
      </c>
      <c r="P43" s="230">
        <v>143.30000000000001</v>
      </c>
      <c r="Q43" s="6">
        <v>723726</v>
      </c>
      <c r="R43" s="230">
        <v>6925</v>
      </c>
      <c r="S43" s="230">
        <v>3621</v>
      </c>
      <c r="T43" s="230">
        <v>12835</v>
      </c>
      <c r="U43" s="66"/>
      <c r="V43" s="66"/>
    </row>
    <row r="44" spans="1:22" ht="15.6">
      <c r="A44" s="3">
        <v>42125</v>
      </c>
      <c r="B44">
        <f t="shared" si="1"/>
        <v>2015</v>
      </c>
      <c r="C44" s="3" t="s">
        <v>190</v>
      </c>
      <c r="D44" s="113">
        <v>6883.3</v>
      </c>
      <c r="E44" s="113">
        <v>6848.1</v>
      </c>
      <c r="F44" s="113">
        <v>161.19999999999999</v>
      </c>
      <c r="G44" s="113">
        <v>159.19999999999999</v>
      </c>
      <c r="H44" s="230">
        <v>727609.6</v>
      </c>
      <c r="I44" s="230">
        <v>6877.7</v>
      </c>
      <c r="J44" s="230">
        <v>5851.5</v>
      </c>
      <c r="K44" s="230">
        <v>4285.8999999999996</v>
      </c>
      <c r="L44" s="230">
        <v>946.1</v>
      </c>
      <c r="M44" s="230">
        <v>506</v>
      </c>
      <c r="N44" s="230">
        <v>7729.3</v>
      </c>
      <c r="O44" s="230">
        <v>10.199999999999999</v>
      </c>
      <c r="P44" s="230">
        <v>143.30000000000001</v>
      </c>
      <c r="Q44" s="6">
        <v>723726</v>
      </c>
      <c r="R44" s="230">
        <v>6925</v>
      </c>
      <c r="S44" s="230">
        <v>3621</v>
      </c>
      <c r="T44" s="230">
        <v>12835</v>
      </c>
      <c r="U44" s="66"/>
      <c r="V44" s="66"/>
    </row>
    <row r="45" spans="1:22" ht="15.6">
      <c r="A45" s="3">
        <v>42156</v>
      </c>
      <c r="B45">
        <f t="shared" si="1"/>
        <v>2015</v>
      </c>
      <c r="C45" s="3" t="s">
        <v>190</v>
      </c>
      <c r="D45" s="113">
        <v>6883.6</v>
      </c>
      <c r="E45" s="113">
        <v>6930.1</v>
      </c>
      <c r="F45" s="113">
        <v>162.5</v>
      </c>
      <c r="G45" s="113">
        <v>163.19999999999999</v>
      </c>
      <c r="H45" s="230">
        <v>727609.6</v>
      </c>
      <c r="I45" s="230">
        <v>6877.7</v>
      </c>
      <c r="J45" s="230">
        <v>5851.5</v>
      </c>
      <c r="K45" s="230">
        <v>4285.8999999999996</v>
      </c>
      <c r="L45" s="230">
        <v>946.1</v>
      </c>
      <c r="M45" s="230">
        <v>506</v>
      </c>
      <c r="N45" s="230">
        <v>7729.3</v>
      </c>
      <c r="O45" s="230">
        <v>10.199999999999999</v>
      </c>
      <c r="P45" s="230">
        <v>143.30000000000001</v>
      </c>
      <c r="Q45" s="6">
        <v>723726</v>
      </c>
      <c r="R45" s="230">
        <v>6925</v>
      </c>
      <c r="S45" s="230">
        <v>3621</v>
      </c>
      <c r="T45" s="230">
        <v>12835</v>
      </c>
      <c r="U45" s="66"/>
      <c r="V45" s="66"/>
    </row>
    <row r="46" spans="1:22" ht="15.6">
      <c r="A46" s="3">
        <v>42186</v>
      </c>
      <c r="B46">
        <f t="shared" si="1"/>
        <v>2015</v>
      </c>
      <c r="C46" s="3" t="s">
        <v>197</v>
      </c>
      <c r="D46" s="113">
        <v>6891.7</v>
      </c>
      <c r="E46" s="113">
        <v>6986.1</v>
      </c>
      <c r="F46" s="113">
        <v>161.6</v>
      </c>
      <c r="G46" s="113">
        <v>163.69999999999999</v>
      </c>
      <c r="H46" s="230">
        <v>727609.6</v>
      </c>
      <c r="I46" s="230">
        <v>6877.7</v>
      </c>
      <c r="J46" s="230">
        <v>5851.5</v>
      </c>
      <c r="K46" s="230">
        <v>4285.8999999999996</v>
      </c>
      <c r="L46" s="230">
        <v>946.1</v>
      </c>
      <c r="M46" s="230">
        <v>506</v>
      </c>
      <c r="N46" s="230">
        <v>7729.3</v>
      </c>
      <c r="O46" s="230">
        <v>10.199999999999999</v>
      </c>
      <c r="P46" s="230">
        <v>143.30000000000001</v>
      </c>
      <c r="Q46" s="6">
        <v>730341</v>
      </c>
      <c r="R46" s="230">
        <v>6908</v>
      </c>
      <c r="S46" s="230">
        <v>3648</v>
      </c>
      <c r="T46" s="230">
        <v>13213</v>
      </c>
      <c r="U46" s="66"/>
      <c r="V46" s="66"/>
    </row>
    <row r="47" spans="1:22" ht="15.6">
      <c r="A47" s="3">
        <v>42217</v>
      </c>
      <c r="B47">
        <f t="shared" si="1"/>
        <v>2015</v>
      </c>
      <c r="C47" s="3" t="s">
        <v>197</v>
      </c>
      <c r="D47" s="113">
        <v>6896.8</v>
      </c>
      <c r="E47" s="113">
        <v>7000.2</v>
      </c>
      <c r="F47" s="113">
        <v>158.4</v>
      </c>
      <c r="G47" s="113">
        <v>160.19999999999999</v>
      </c>
      <c r="H47" s="230">
        <v>727609.6</v>
      </c>
      <c r="I47" s="230">
        <v>6877.7</v>
      </c>
      <c r="J47" s="230">
        <v>5851.5</v>
      </c>
      <c r="K47" s="230">
        <v>4285.8999999999996</v>
      </c>
      <c r="L47" s="230">
        <v>946.1</v>
      </c>
      <c r="M47" s="230">
        <v>506</v>
      </c>
      <c r="N47" s="230">
        <v>7729.3</v>
      </c>
      <c r="O47" s="230">
        <v>10.199999999999999</v>
      </c>
      <c r="P47" s="230">
        <v>143.30000000000001</v>
      </c>
      <c r="Q47" s="6">
        <v>730341</v>
      </c>
      <c r="R47" s="230">
        <v>6908</v>
      </c>
      <c r="S47" s="230">
        <v>3648</v>
      </c>
      <c r="T47" s="230">
        <v>13213</v>
      </c>
      <c r="U47" s="66"/>
      <c r="V47" s="66"/>
    </row>
    <row r="48" spans="1:22" ht="15.6">
      <c r="A48" s="3">
        <v>42248</v>
      </c>
      <c r="B48">
        <f t="shared" si="1"/>
        <v>2015</v>
      </c>
      <c r="C48" s="3" t="s">
        <v>197</v>
      </c>
      <c r="D48" s="113">
        <v>6893.1</v>
      </c>
      <c r="E48" s="113">
        <v>6953.7</v>
      </c>
      <c r="F48" s="113">
        <v>154.69999999999999</v>
      </c>
      <c r="G48" s="113">
        <v>155.69999999999999</v>
      </c>
      <c r="H48" s="230">
        <v>727609.6</v>
      </c>
      <c r="I48" s="230">
        <v>6877.7</v>
      </c>
      <c r="J48" s="230">
        <v>5851.5</v>
      </c>
      <c r="K48" s="230">
        <v>4285.8999999999996</v>
      </c>
      <c r="L48" s="230">
        <v>946.1</v>
      </c>
      <c r="M48" s="230">
        <v>506</v>
      </c>
      <c r="N48" s="230">
        <v>7729.3</v>
      </c>
      <c r="O48" s="230">
        <v>10.199999999999999</v>
      </c>
      <c r="P48" s="230">
        <v>143.30000000000001</v>
      </c>
      <c r="Q48" s="6">
        <v>730341</v>
      </c>
      <c r="R48" s="230">
        <v>6908</v>
      </c>
      <c r="S48" s="230">
        <v>3648</v>
      </c>
      <c r="T48" s="230">
        <v>13213</v>
      </c>
      <c r="U48" s="66"/>
      <c r="V48" s="66"/>
    </row>
    <row r="49" spans="1:22" ht="15.6">
      <c r="A49" s="3">
        <v>42278</v>
      </c>
      <c r="B49">
        <f t="shared" si="1"/>
        <v>2015</v>
      </c>
      <c r="C49" s="3" t="s">
        <v>199</v>
      </c>
      <c r="D49" s="113">
        <v>6892.9</v>
      </c>
      <c r="E49" s="113">
        <v>6932.8</v>
      </c>
      <c r="F49" s="113">
        <v>153.1</v>
      </c>
      <c r="G49" s="113">
        <v>154.19999999999999</v>
      </c>
      <c r="H49" s="230">
        <v>727609.6</v>
      </c>
      <c r="I49" s="230">
        <v>6877.7</v>
      </c>
      <c r="J49" s="230">
        <v>5851.5</v>
      </c>
      <c r="K49" s="230">
        <v>4285.8999999999996</v>
      </c>
      <c r="L49" s="230">
        <v>946.1</v>
      </c>
      <c r="M49" s="230">
        <v>506</v>
      </c>
      <c r="N49" s="230">
        <v>7729.3</v>
      </c>
      <c r="O49" s="230">
        <v>10.199999999999999</v>
      </c>
      <c r="P49" s="230">
        <v>143.30000000000001</v>
      </c>
      <c r="Q49" s="6">
        <v>737784</v>
      </c>
      <c r="R49" s="230">
        <v>6947</v>
      </c>
      <c r="S49" s="230">
        <v>3381</v>
      </c>
      <c r="T49" s="230">
        <v>14040</v>
      </c>
      <c r="U49" s="66"/>
      <c r="V49" s="66"/>
    </row>
    <row r="50" spans="1:22" ht="15.6">
      <c r="A50" s="3">
        <v>42309</v>
      </c>
      <c r="B50">
        <f t="shared" si="1"/>
        <v>2015</v>
      </c>
      <c r="C50" s="3" t="s">
        <v>199</v>
      </c>
      <c r="D50" s="113">
        <v>6886.2</v>
      </c>
      <c r="E50" s="113">
        <v>6898.2</v>
      </c>
      <c r="F50" s="113">
        <v>153.4</v>
      </c>
      <c r="G50" s="113">
        <v>154.4</v>
      </c>
      <c r="H50" s="230">
        <v>727609.6</v>
      </c>
      <c r="I50" s="230">
        <v>6877.7</v>
      </c>
      <c r="J50" s="230">
        <v>5851.5</v>
      </c>
      <c r="K50" s="230">
        <v>4285.8999999999996</v>
      </c>
      <c r="L50" s="230">
        <v>946.1</v>
      </c>
      <c r="M50" s="230">
        <v>506</v>
      </c>
      <c r="N50" s="230">
        <v>7729.3</v>
      </c>
      <c r="O50" s="230">
        <v>10.199999999999999</v>
      </c>
      <c r="P50" s="230">
        <v>143.30000000000001</v>
      </c>
      <c r="Q50" s="6">
        <v>737784</v>
      </c>
      <c r="R50" s="230">
        <v>6947</v>
      </c>
      <c r="S50" s="230">
        <v>3381</v>
      </c>
      <c r="T50" s="230">
        <v>14040</v>
      </c>
      <c r="U50" s="66"/>
      <c r="V50" s="66"/>
    </row>
    <row r="51" spans="1:22" ht="15.6">
      <c r="A51" s="3">
        <v>42339</v>
      </c>
      <c r="B51">
        <f t="shared" si="1"/>
        <v>2015</v>
      </c>
      <c r="C51" s="3" t="s">
        <v>199</v>
      </c>
      <c r="D51" s="113">
        <v>6895.6</v>
      </c>
      <c r="E51" s="113">
        <v>6902.3</v>
      </c>
      <c r="F51" s="113">
        <v>153.9</v>
      </c>
      <c r="G51" s="113">
        <v>154.9</v>
      </c>
      <c r="H51" s="230">
        <v>727609.6</v>
      </c>
      <c r="I51" s="230">
        <v>6877.7</v>
      </c>
      <c r="J51" s="230">
        <v>5851.5</v>
      </c>
      <c r="K51" s="230">
        <v>4285.8999999999996</v>
      </c>
      <c r="L51" s="230">
        <v>946.1</v>
      </c>
      <c r="M51" s="230">
        <v>506</v>
      </c>
      <c r="N51" s="230">
        <v>7729.3</v>
      </c>
      <c r="O51" s="230">
        <v>10.199999999999999</v>
      </c>
      <c r="P51" s="230">
        <v>143.30000000000001</v>
      </c>
      <c r="Q51" s="6">
        <v>737784</v>
      </c>
      <c r="R51" s="230">
        <v>6947</v>
      </c>
      <c r="S51" s="230">
        <v>3381</v>
      </c>
      <c r="T51" s="230">
        <v>14040</v>
      </c>
      <c r="U51" s="66"/>
      <c r="V51" s="66"/>
    </row>
    <row r="52" spans="1:22" ht="15.6">
      <c r="A52" s="3">
        <v>42370</v>
      </c>
      <c r="B52">
        <f t="shared" si="1"/>
        <v>2016</v>
      </c>
      <c r="C52" s="3" t="s">
        <v>188</v>
      </c>
      <c r="D52" s="113">
        <v>6908.4</v>
      </c>
      <c r="E52" s="113">
        <v>6871.2</v>
      </c>
      <c r="F52" s="113">
        <v>156</v>
      </c>
      <c r="G52" s="113">
        <v>155.19999999999999</v>
      </c>
      <c r="H52" s="230">
        <v>743976.2</v>
      </c>
      <c r="I52" s="230">
        <v>6953.7</v>
      </c>
      <c r="J52" s="230">
        <v>5894.8</v>
      </c>
      <c r="K52" s="230">
        <v>4265.7</v>
      </c>
      <c r="L52" s="230">
        <v>916.6</v>
      </c>
      <c r="M52" s="230">
        <v>546.5</v>
      </c>
      <c r="N52" s="230">
        <v>7852.2</v>
      </c>
      <c r="O52" s="230">
        <v>163.80000000000001</v>
      </c>
      <c r="P52" s="230">
        <v>89.9</v>
      </c>
      <c r="Q52" s="6">
        <v>743287</v>
      </c>
      <c r="R52" s="230">
        <v>6948</v>
      </c>
      <c r="S52" s="230">
        <v>3329</v>
      </c>
      <c r="T52" s="230">
        <v>14167</v>
      </c>
      <c r="U52" s="66"/>
      <c r="V52" s="66"/>
    </row>
    <row r="53" spans="1:22" ht="15.6">
      <c r="A53" s="3">
        <v>42401</v>
      </c>
      <c r="B53">
        <f t="shared" si="1"/>
        <v>2016</v>
      </c>
      <c r="C53" s="3" t="s">
        <v>188</v>
      </c>
      <c r="D53" s="113">
        <v>6922.3</v>
      </c>
      <c r="E53" s="113">
        <v>6850.4</v>
      </c>
      <c r="F53" s="113">
        <v>158.4</v>
      </c>
      <c r="G53" s="113">
        <v>156</v>
      </c>
      <c r="H53" s="230">
        <v>743976.2</v>
      </c>
      <c r="I53" s="230">
        <v>6953.7</v>
      </c>
      <c r="J53" s="230">
        <v>5894.8</v>
      </c>
      <c r="K53" s="230">
        <v>4265.7</v>
      </c>
      <c r="L53" s="230">
        <v>916.6</v>
      </c>
      <c r="M53" s="230">
        <v>546.5</v>
      </c>
      <c r="N53" s="230">
        <v>7852.2</v>
      </c>
      <c r="O53" s="230">
        <v>163.80000000000001</v>
      </c>
      <c r="P53" s="230">
        <v>89.9</v>
      </c>
      <c r="Q53" s="6">
        <v>743287</v>
      </c>
      <c r="R53" s="230">
        <v>6948</v>
      </c>
      <c r="S53" s="230">
        <v>3329</v>
      </c>
      <c r="T53" s="230">
        <v>14167</v>
      </c>
      <c r="U53" s="66"/>
      <c r="V53" s="66"/>
    </row>
    <row r="54" spans="1:22" ht="15.6">
      <c r="A54" s="3">
        <v>42430</v>
      </c>
      <c r="B54">
        <f t="shared" si="1"/>
        <v>2016</v>
      </c>
      <c r="C54" s="3" t="s">
        <v>188</v>
      </c>
      <c r="D54" s="113">
        <v>6930.2</v>
      </c>
      <c r="E54" s="113">
        <v>6827.3</v>
      </c>
      <c r="F54" s="113">
        <v>160.69999999999999</v>
      </c>
      <c r="G54" s="113">
        <v>156.9</v>
      </c>
      <c r="H54" s="230">
        <v>743976.2</v>
      </c>
      <c r="I54" s="230">
        <v>6953.7</v>
      </c>
      <c r="J54" s="230">
        <v>5894.8</v>
      </c>
      <c r="K54" s="230">
        <v>4265.7</v>
      </c>
      <c r="L54" s="230">
        <v>916.6</v>
      </c>
      <c r="M54" s="230">
        <v>546.5</v>
      </c>
      <c r="N54" s="230">
        <v>7852.2</v>
      </c>
      <c r="O54" s="230">
        <v>163.80000000000001</v>
      </c>
      <c r="P54" s="230">
        <v>89.9</v>
      </c>
      <c r="Q54" s="6">
        <v>743287</v>
      </c>
      <c r="R54" s="230">
        <v>6948</v>
      </c>
      <c r="S54" s="230">
        <v>3329</v>
      </c>
      <c r="T54" s="230">
        <v>14167</v>
      </c>
      <c r="U54" s="66"/>
      <c r="V54" s="66"/>
    </row>
    <row r="55" spans="1:22" ht="15.6">
      <c r="A55" s="3">
        <v>42461</v>
      </c>
      <c r="B55">
        <f t="shared" si="1"/>
        <v>2016</v>
      </c>
      <c r="C55" s="3" t="s">
        <v>190</v>
      </c>
      <c r="D55" s="113">
        <v>6931.9</v>
      </c>
      <c r="E55" s="113">
        <v>6843.7</v>
      </c>
      <c r="F55" s="113">
        <v>162.6</v>
      </c>
      <c r="G55" s="113">
        <v>159</v>
      </c>
      <c r="H55" s="230">
        <v>743976.2</v>
      </c>
      <c r="I55" s="230">
        <v>6953.7</v>
      </c>
      <c r="J55" s="230">
        <v>5894.8</v>
      </c>
      <c r="K55" s="230">
        <v>4265.7</v>
      </c>
      <c r="L55" s="230">
        <v>916.6</v>
      </c>
      <c r="M55" s="230">
        <v>546.5</v>
      </c>
      <c r="N55" s="230">
        <v>7852.2</v>
      </c>
      <c r="O55" s="230">
        <v>163.80000000000001</v>
      </c>
      <c r="P55" s="230">
        <v>89.9</v>
      </c>
      <c r="Q55" s="6">
        <v>740632</v>
      </c>
      <c r="R55" s="230">
        <v>6954</v>
      </c>
      <c r="S55" s="230">
        <v>3468</v>
      </c>
      <c r="T55" s="230">
        <v>13152</v>
      </c>
      <c r="U55" s="66"/>
      <c r="V55" s="66"/>
    </row>
    <row r="56" spans="1:22" ht="15.6">
      <c r="A56" s="3">
        <v>42491</v>
      </c>
      <c r="B56">
        <f t="shared" si="1"/>
        <v>2016</v>
      </c>
      <c r="C56" s="3" t="s">
        <v>190</v>
      </c>
      <c r="D56" s="113">
        <v>6944.7</v>
      </c>
      <c r="E56" s="113">
        <v>6913.7</v>
      </c>
      <c r="F56" s="113">
        <v>164.5</v>
      </c>
      <c r="G56" s="113">
        <v>162.19999999999999</v>
      </c>
      <c r="H56" s="230">
        <v>743976.2</v>
      </c>
      <c r="I56" s="230">
        <v>6953.7</v>
      </c>
      <c r="J56" s="230">
        <v>5894.8</v>
      </c>
      <c r="K56" s="230">
        <v>4265.7</v>
      </c>
      <c r="L56" s="230">
        <v>916.6</v>
      </c>
      <c r="M56" s="230">
        <v>546.5</v>
      </c>
      <c r="N56" s="230">
        <v>7852.2</v>
      </c>
      <c r="O56" s="230">
        <v>163.80000000000001</v>
      </c>
      <c r="P56" s="230">
        <v>89.9</v>
      </c>
      <c r="Q56" s="6">
        <v>740632</v>
      </c>
      <c r="R56" s="230">
        <v>6954</v>
      </c>
      <c r="S56" s="230">
        <v>3468</v>
      </c>
      <c r="T56" s="230">
        <v>13152</v>
      </c>
      <c r="U56" s="66"/>
      <c r="V56" s="66"/>
    </row>
    <row r="57" spans="1:22" ht="15.6">
      <c r="A57" s="3">
        <v>42522</v>
      </c>
      <c r="B57">
        <f t="shared" si="1"/>
        <v>2016</v>
      </c>
      <c r="C57" s="3" t="s">
        <v>190</v>
      </c>
      <c r="D57" s="113">
        <v>6955.5</v>
      </c>
      <c r="E57" s="113">
        <v>7000.2</v>
      </c>
      <c r="F57" s="113">
        <v>166.4</v>
      </c>
      <c r="G57" s="113">
        <v>166.5</v>
      </c>
      <c r="H57" s="230">
        <v>743976.2</v>
      </c>
      <c r="I57" s="230">
        <v>6953.7</v>
      </c>
      <c r="J57" s="230">
        <v>5894.8</v>
      </c>
      <c r="K57" s="230">
        <v>4265.7</v>
      </c>
      <c r="L57" s="230">
        <v>916.6</v>
      </c>
      <c r="M57" s="230">
        <v>546.5</v>
      </c>
      <c r="N57" s="230">
        <v>7852.2</v>
      </c>
      <c r="O57" s="230">
        <v>163.80000000000001</v>
      </c>
      <c r="P57" s="230">
        <v>89.9</v>
      </c>
      <c r="Q57" s="6">
        <v>740632</v>
      </c>
      <c r="R57" s="230">
        <v>6954</v>
      </c>
      <c r="S57" s="230">
        <v>3468</v>
      </c>
      <c r="T57" s="230">
        <v>13152</v>
      </c>
      <c r="U57" s="66"/>
      <c r="V57" s="66"/>
    </row>
    <row r="58" spans="1:22" ht="15.6">
      <c r="A58" s="3">
        <v>42552</v>
      </c>
      <c r="B58">
        <f t="shared" si="1"/>
        <v>2016</v>
      </c>
      <c r="C58" s="3" t="s">
        <v>197</v>
      </c>
      <c r="D58" s="113">
        <v>6956.3</v>
      </c>
      <c r="E58" s="113">
        <v>7049.5</v>
      </c>
      <c r="F58" s="113">
        <v>167.9</v>
      </c>
      <c r="G58" s="113">
        <v>169.9</v>
      </c>
      <c r="H58" s="230">
        <v>743976.2</v>
      </c>
      <c r="I58" s="230">
        <v>6953.7</v>
      </c>
      <c r="J58" s="230">
        <v>5894.8</v>
      </c>
      <c r="K58" s="230">
        <v>4265.7</v>
      </c>
      <c r="L58" s="230">
        <v>916.6</v>
      </c>
      <c r="M58" s="230">
        <v>546.5</v>
      </c>
      <c r="N58" s="230">
        <v>7852.2</v>
      </c>
      <c r="O58" s="230">
        <v>163.80000000000001</v>
      </c>
      <c r="P58" s="230">
        <v>89.9</v>
      </c>
      <c r="Q58" s="6">
        <v>746606</v>
      </c>
      <c r="R58" s="230">
        <v>6970</v>
      </c>
      <c r="S58" s="230">
        <v>3595</v>
      </c>
      <c r="T58" s="230">
        <v>13552</v>
      </c>
      <c r="U58" s="66"/>
      <c r="V58" s="66"/>
    </row>
    <row r="59" spans="1:22" ht="15.6">
      <c r="A59" s="3">
        <v>42583</v>
      </c>
      <c r="B59">
        <f t="shared" si="1"/>
        <v>2016</v>
      </c>
      <c r="C59" s="3" t="s">
        <v>197</v>
      </c>
      <c r="D59" s="113">
        <v>6953.5</v>
      </c>
      <c r="E59" s="113">
        <v>7045.6</v>
      </c>
      <c r="F59" s="113">
        <v>167.8</v>
      </c>
      <c r="G59" s="113">
        <v>171.1</v>
      </c>
      <c r="H59" s="230">
        <v>743976.2</v>
      </c>
      <c r="I59" s="230">
        <v>6953.7</v>
      </c>
      <c r="J59" s="230">
        <v>5894.8</v>
      </c>
      <c r="K59" s="230">
        <v>4265.7</v>
      </c>
      <c r="L59" s="230">
        <v>916.6</v>
      </c>
      <c r="M59" s="230">
        <v>546.5</v>
      </c>
      <c r="N59" s="230">
        <v>7852.2</v>
      </c>
      <c r="O59" s="230">
        <v>163.80000000000001</v>
      </c>
      <c r="P59" s="230">
        <v>89.9</v>
      </c>
      <c r="Q59" s="6">
        <v>746606</v>
      </c>
      <c r="R59" s="230">
        <v>6970</v>
      </c>
      <c r="S59" s="230">
        <v>3595</v>
      </c>
      <c r="T59" s="230">
        <v>13552</v>
      </c>
      <c r="U59" s="66"/>
      <c r="V59" s="66"/>
    </row>
    <row r="60" spans="1:22" ht="15.6">
      <c r="A60" s="3">
        <v>42614</v>
      </c>
      <c r="B60">
        <f t="shared" si="1"/>
        <v>2016</v>
      </c>
      <c r="C60" s="3" t="s">
        <v>197</v>
      </c>
      <c r="D60" s="113">
        <v>6950.1</v>
      </c>
      <c r="E60" s="113">
        <v>6998.1</v>
      </c>
      <c r="F60" s="113">
        <v>167.6</v>
      </c>
      <c r="G60" s="113">
        <v>170.3</v>
      </c>
      <c r="H60" s="230">
        <v>743976.2</v>
      </c>
      <c r="I60" s="230">
        <v>6953.7</v>
      </c>
      <c r="J60" s="230">
        <v>5894.8</v>
      </c>
      <c r="K60" s="230">
        <v>4265.7</v>
      </c>
      <c r="L60" s="230">
        <v>916.6</v>
      </c>
      <c r="M60" s="230">
        <v>546.5</v>
      </c>
      <c r="N60" s="230">
        <v>7852.2</v>
      </c>
      <c r="O60" s="230">
        <v>163.80000000000001</v>
      </c>
      <c r="P60" s="230">
        <v>89.9</v>
      </c>
      <c r="Q60" s="6">
        <v>746606</v>
      </c>
      <c r="R60" s="230">
        <v>6970</v>
      </c>
      <c r="S60" s="230">
        <v>3595</v>
      </c>
      <c r="T60" s="230">
        <v>13552</v>
      </c>
      <c r="U60" s="66"/>
      <c r="V60" s="66"/>
    </row>
    <row r="61" spans="1:22" ht="15.6">
      <c r="A61" s="3">
        <v>42644</v>
      </c>
      <c r="B61">
        <f t="shared" si="1"/>
        <v>2016</v>
      </c>
      <c r="C61" s="3" t="s">
        <v>199</v>
      </c>
      <c r="D61" s="113">
        <v>6963.9</v>
      </c>
      <c r="E61" s="113">
        <v>6990.5</v>
      </c>
      <c r="F61" s="113">
        <v>166.9</v>
      </c>
      <c r="G61" s="113">
        <v>169</v>
      </c>
      <c r="H61" s="230">
        <v>743976.2</v>
      </c>
      <c r="I61" s="230">
        <v>6953.7</v>
      </c>
      <c r="J61" s="230">
        <v>5894.8</v>
      </c>
      <c r="K61" s="230">
        <v>4265.7</v>
      </c>
      <c r="L61" s="230">
        <v>916.6</v>
      </c>
      <c r="M61" s="230">
        <v>546.5</v>
      </c>
      <c r="N61" s="230">
        <v>7852.2</v>
      </c>
      <c r="O61" s="230">
        <v>163.80000000000001</v>
      </c>
      <c r="P61" s="230">
        <v>89.9</v>
      </c>
      <c r="Q61" s="6">
        <v>745380</v>
      </c>
      <c r="R61" s="230">
        <v>6943</v>
      </c>
      <c r="S61" s="230">
        <v>3625</v>
      </c>
      <c r="T61" s="230">
        <v>13028</v>
      </c>
      <c r="U61" s="66"/>
      <c r="V61" s="66"/>
    </row>
    <row r="62" spans="1:22" ht="15.6">
      <c r="A62" s="3">
        <v>42675</v>
      </c>
      <c r="B62">
        <f t="shared" si="1"/>
        <v>2016</v>
      </c>
      <c r="C62" s="3" t="s">
        <v>199</v>
      </c>
      <c r="D62" s="113">
        <v>6977.8</v>
      </c>
      <c r="E62" s="113">
        <v>6983.4</v>
      </c>
      <c r="F62" s="113">
        <v>163.80000000000001</v>
      </c>
      <c r="G62" s="113">
        <v>165.2</v>
      </c>
      <c r="H62" s="230">
        <v>743976.2</v>
      </c>
      <c r="I62" s="230">
        <v>6953.7</v>
      </c>
      <c r="J62" s="230">
        <v>5894.8</v>
      </c>
      <c r="K62" s="230">
        <v>4265.7</v>
      </c>
      <c r="L62" s="230">
        <v>916.6</v>
      </c>
      <c r="M62" s="230">
        <v>546.5</v>
      </c>
      <c r="N62" s="230">
        <v>7852.2</v>
      </c>
      <c r="O62" s="230">
        <v>163.80000000000001</v>
      </c>
      <c r="P62" s="230">
        <v>89.9</v>
      </c>
      <c r="Q62" s="6">
        <v>745380</v>
      </c>
      <c r="R62" s="230">
        <v>6943</v>
      </c>
      <c r="S62" s="230">
        <v>3625</v>
      </c>
      <c r="T62" s="230">
        <v>13028</v>
      </c>
      <c r="U62" s="66"/>
      <c r="V62" s="66"/>
    </row>
    <row r="63" spans="1:22" ht="15.6">
      <c r="A63" s="3">
        <v>42705</v>
      </c>
      <c r="B63">
        <f t="shared" si="1"/>
        <v>2016</v>
      </c>
      <c r="C63" s="3" t="s">
        <v>199</v>
      </c>
      <c r="D63" s="113">
        <v>6992.4</v>
      </c>
      <c r="E63" s="113">
        <v>6999.9</v>
      </c>
      <c r="F63" s="113">
        <v>161.19999999999999</v>
      </c>
      <c r="G63" s="113">
        <v>162.1</v>
      </c>
      <c r="H63" s="230">
        <v>743976.2</v>
      </c>
      <c r="I63" s="230">
        <v>6953.7</v>
      </c>
      <c r="J63" s="230">
        <v>5894.8</v>
      </c>
      <c r="K63" s="230">
        <v>4265.7</v>
      </c>
      <c r="L63" s="230">
        <v>916.6</v>
      </c>
      <c r="M63" s="230">
        <v>546.5</v>
      </c>
      <c r="N63" s="230">
        <v>7852.2</v>
      </c>
      <c r="O63" s="230">
        <v>163.80000000000001</v>
      </c>
      <c r="P63" s="230">
        <v>89.9</v>
      </c>
      <c r="Q63" s="6">
        <v>745380</v>
      </c>
      <c r="R63" s="230">
        <v>6943</v>
      </c>
      <c r="S63" s="230">
        <v>3625</v>
      </c>
      <c r="T63" s="230">
        <v>13028</v>
      </c>
      <c r="U63" s="66"/>
      <c r="V63" s="66"/>
    </row>
    <row r="64" spans="1:22" ht="15.6">
      <c r="A64" s="3">
        <v>42736</v>
      </c>
      <c r="B64">
        <f t="shared" si="1"/>
        <v>2017</v>
      </c>
      <c r="C64" s="3" t="s">
        <v>188</v>
      </c>
      <c r="D64" s="113">
        <v>7014.6</v>
      </c>
      <c r="E64" s="113">
        <v>6982.5</v>
      </c>
      <c r="F64" s="113">
        <v>160.5</v>
      </c>
      <c r="G64" s="113">
        <v>160.1</v>
      </c>
      <c r="H64" s="230">
        <v>764464.8</v>
      </c>
      <c r="I64" s="230">
        <v>7291.3</v>
      </c>
      <c r="J64" s="230">
        <v>6223.6</v>
      </c>
      <c r="K64" s="230">
        <v>4582</v>
      </c>
      <c r="L64" s="230">
        <v>921.1</v>
      </c>
      <c r="M64" s="230">
        <v>586.70000000000005</v>
      </c>
      <c r="N64" s="230">
        <v>7685.1</v>
      </c>
      <c r="O64" s="230">
        <v>124.8</v>
      </c>
      <c r="P64" s="230">
        <v>103.7</v>
      </c>
      <c r="Q64" s="6">
        <v>756702</v>
      </c>
      <c r="R64" s="230">
        <v>7107</v>
      </c>
      <c r="S64" s="230">
        <v>3589</v>
      </c>
      <c r="T64" s="230">
        <v>13203</v>
      </c>
      <c r="U64" s="66"/>
      <c r="V64" s="66"/>
    </row>
    <row r="65" spans="1:22" ht="15.6">
      <c r="A65" s="3">
        <v>42767</v>
      </c>
      <c r="B65">
        <f t="shared" si="1"/>
        <v>2017</v>
      </c>
      <c r="C65" s="3" t="s">
        <v>188</v>
      </c>
      <c r="D65" s="113">
        <v>7031.3</v>
      </c>
      <c r="E65" s="113">
        <v>6962.5</v>
      </c>
      <c r="F65" s="113">
        <v>160.6</v>
      </c>
      <c r="G65" s="113">
        <v>158.80000000000001</v>
      </c>
      <c r="H65" s="230">
        <v>764464.8</v>
      </c>
      <c r="I65" s="230">
        <v>7291.3</v>
      </c>
      <c r="J65" s="230">
        <v>6223.6</v>
      </c>
      <c r="K65" s="230">
        <v>4582</v>
      </c>
      <c r="L65" s="230">
        <v>921.1</v>
      </c>
      <c r="M65" s="230">
        <v>586.70000000000005</v>
      </c>
      <c r="N65" s="230">
        <v>7685.1</v>
      </c>
      <c r="O65" s="230">
        <v>124.8</v>
      </c>
      <c r="P65" s="230">
        <v>103.7</v>
      </c>
      <c r="Q65" s="6">
        <v>756702</v>
      </c>
      <c r="R65" s="230">
        <v>7107</v>
      </c>
      <c r="S65" s="230">
        <v>3589</v>
      </c>
      <c r="T65" s="230">
        <v>13203</v>
      </c>
      <c r="U65" s="66"/>
      <c r="V65" s="66"/>
    </row>
    <row r="66" spans="1:22" ht="15.6">
      <c r="A66" s="3">
        <v>42795</v>
      </c>
      <c r="B66">
        <f t="shared" si="1"/>
        <v>2017</v>
      </c>
      <c r="C66" s="3" t="s">
        <v>188</v>
      </c>
      <c r="D66" s="113">
        <v>7049</v>
      </c>
      <c r="E66" s="113">
        <v>6946</v>
      </c>
      <c r="F66" s="113">
        <v>160.69999999999999</v>
      </c>
      <c r="G66" s="113">
        <v>157.9</v>
      </c>
      <c r="H66" s="230">
        <v>764464.8</v>
      </c>
      <c r="I66" s="230">
        <v>7291.3</v>
      </c>
      <c r="J66" s="230">
        <v>6223.6</v>
      </c>
      <c r="K66" s="230">
        <v>4582</v>
      </c>
      <c r="L66" s="230">
        <v>921.1</v>
      </c>
      <c r="M66" s="230">
        <v>586.70000000000005</v>
      </c>
      <c r="N66" s="230">
        <v>7685.1</v>
      </c>
      <c r="O66" s="230">
        <v>124.8</v>
      </c>
      <c r="P66" s="230">
        <v>103.7</v>
      </c>
      <c r="Q66" s="6">
        <v>756702</v>
      </c>
      <c r="R66" s="230">
        <v>7107</v>
      </c>
      <c r="S66" s="230">
        <v>3589</v>
      </c>
      <c r="T66" s="230">
        <v>13203</v>
      </c>
      <c r="U66" s="66"/>
      <c r="V66" s="66"/>
    </row>
    <row r="67" spans="1:22" ht="15.6">
      <c r="A67" s="3">
        <v>42826</v>
      </c>
      <c r="B67">
        <f t="shared" si="1"/>
        <v>2017</v>
      </c>
      <c r="C67" s="3" t="s">
        <v>190</v>
      </c>
      <c r="D67" s="113">
        <v>7055.1</v>
      </c>
      <c r="E67" s="113">
        <v>6963.6</v>
      </c>
      <c r="F67" s="113">
        <v>159.30000000000001</v>
      </c>
      <c r="G67" s="113">
        <v>156.5</v>
      </c>
      <c r="H67" s="230">
        <v>764464.8</v>
      </c>
      <c r="I67" s="230">
        <v>7291.3</v>
      </c>
      <c r="J67" s="230">
        <v>6223.6</v>
      </c>
      <c r="K67" s="230">
        <v>4582</v>
      </c>
      <c r="L67" s="230">
        <v>921.1</v>
      </c>
      <c r="M67" s="230">
        <v>586.70000000000005</v>
      </c>
      <c r="N67" s="230">
        <v>7685.1</v>
      </c>
      <c r="O67" s="230">
        <v>124.8</v>
      </c>
      <c r="P67" s="230">
        <v>103.7</v>
      </c>
      <c r="Q67" s="6">
        <v>764644</v>
      </c>
      <c r="R67" s="230">
        <v>7237</v>
      </c>
      <c r="S67" s="230">
        <v>3572</v>
      </c>
      <c r="T67" s="230">
        <v>13312</v>
      </c>
      <c r="U67" s="66"/>
      <c r="V67" s="66"/>
    </row>
    <row r="68" spans="1:22" ht="15.6">
      <c r="A68" s="3">
        <v>42856</v>
      </c>
      <c r="B68">
        <f t="shared" si="1"/>
        <v>2017</v>
      </c>
      <c r="C68" s="3" t="s">
        <v>190</v>
      </c>
      <c r="D68" s="113">
        <v>7066.7</v>
      </c>
      <c r="E68" s="113">
        <v>7033.4</v>
      </c>
      <c r="F68" s="113">
        <v>158.5</v>
      </c>
      <c r="G68" s="113">
        <v>156.9</v>
      </c>
      <c r="H68" s="230">
        <v>764464.8</v>
      </c>
      <c r="I68" s="230">
        <v>7291.3</v>
      </c>
      <c r="J68" s="230">
        <v>6223.6</v>
      </c>
      <c r="K68" s="230">
        <v>4582</v>
      </c>
      <c r="L68" s="230">
        <v>921.1</v>
      </c>
      <c r="M68" s="230">
        <v>586.70000000000005</v>
      </c>
      <c r="N68" s="230">
        <v>7685.1</v>
      </c>
      <c r="O68" s="230">
        <v>124.8</v>
      </c>
      <c r="P68" s="230">
        <v>103.7</v>
      </c>
      <c r="Q68" s="6">
        <v>764644</v>
      </c>
      <c r="R68" s="230">
        <v>7237</v>
      </c>
      <c r="S68" s="230">
        <v>3572</v>
      </c>
      <c r="T68" s="230">
        <v>13312</v>
      </c>
      <c r="U68" s="66"/>
      <c r="V68" s="66"/>
    </row>
    <row r="69" spans="1:22" ht="15.6">
      <c r="A69" s="3">
        <v>42887</v>
      </c>
      <c r="B69">
        <f t="shared" si="1"/>
        <v>2017</v>
      </c>
      <c r="C69" s="3" t="s">
        <v>190</v>
      </c>
      <c r="D69" s="113">
        <v>7079.8</v>
      </c>
      <c r="E69" s="113">
        <v>7123</v>
      </c>
      <c r="F69" s="113">
        <v>160</v>
      </c>
      <c r="G69" s="113">
        <v>160.30000000000001</v>
      </c>
      <c r="H69" s="230">
        <v>764464.8</v>
      </c>
      <c r="I69" s="230">
        <v>7291.3</v>
      </c>
      <c r="J69" s="230">
        <v>6223.6</v>
      </c>
      <c r="K69" s="230">
        <v>4582</v>
      </c>
      <c r="L69" s="230">
        <v>921.1</v>
      </c>
      <c r="M69" s="230">
        <v>586.70000000000005</v>
      </c>
      <c r="N69" s="230">
        <v>7685.1</v>
      </c>
      <c r="O69" s="230">
        <v>124.8</v>
      </c>
      <c r="P69" s="230">
        <v>103.7</v>
      </c>
      <c r="Q69" s="6">
        <v>764644</v>
      </c>
      <c r="R69" s="230">
        <v>7237</v>
      </c>
      <c r="S69" s="230">
        <v>3572</v>
      </c>
      <c r="T69" s="230">
        <v>13312</v>
      </c>
      <c r="U69" s="66"/>
      <c r="V69" s="66"/>
    </row>
    <row r="70" spans="1:22" ht="15.6">
      <c r="A70" s="3">
        <v>42917</v>
      </c>
      <c r="B70">
        <f t="shared" si="1"/>
        <v>2017</v>
      </c>
      <c r="C70" s="3" t="s">
        <v>197</v>
      </c>
      <c r="D70" s="113">
        <v>7101.9</v>
      </c>
      <c r="E70" s="113">
        <v>7196</v>
      </c>
      <c r="F70" s="113">
        <v>161.1</v>
      </c>
      <c r="G70" s="113">
        <v>163.1</v>
      </c>
      <c r="H70" s="230">
        <v>764464.8</v>
      </c>
      <c r="I70" s="230">
        <v>7291.3</v>
      </c>
      <c r="J70" s="230">
        <v>6223.6</v>
      </c>
      <c r="K70" s="230">
        <v>4582</v>
      </c>
      <c r="L70" s="230">
        <v>921.1</v>
      </c>
      <c r="M70" s="230">
        <v>586.70000000000005</v>
      </c>
      <c r="N70" s="230">
        <v>7685.1</v>
      </c>
      <c r="O70" s="230">
        <v>124.8</v>
      </c>
      <c r="P70" s="230">
        <v>103.7</v>
      </c>
      <c r="Q70" s="6">
        <v>765060</v>
      </c>
      <c r="R70" s="230">
        <v>7358</v>
      </c>
      <c r="S70" s="230">
        <v>3557</v>
      </c>
      <c r="T70" s="230">
        <v>12831</v>
      </c>
      <c r="U70" s="66"/>
      <c r="V70" s="66"/>
    </row>
    <row r="71" spans="1:22" ht="15.6">
      <c r="A71" s="3">
        <v>42948</v>
      </c>
      <c r="B71">
        <f t="shared" si="1"/>
        <v>2017</v>
      </c>
      <c r="C71" s="3" t="s">
        <v>197</v>
      </c>
      <c r="D71" s="113">
        <v>7121.1</v>
      </c>
      <c r="E71" s="113">
        <v>7216.7</v>
      </c>
      <c r="F71" s="113">
        <v>165</v>
      </c>
      <c r="G71" s="113">
        <v>167.9</v>
      </c>
      <c r="H71" s="230">
        <v>764464.8</v>
      </c>
      <c r="I71" s="230">
        <v>7291.3</v>
      </c>
      <c r="J71" s="230">
        <v>6223.6</v>
      </c>
      <c r="K71" s="230">
        <v>4582</v>
      </c>
      <c r="L71" s="230">
        <v>921.1</v>
      </c>
      <c r="M71" s="230">
        <v>586.70000000000005</v>
      </c>
      <c r="N71" s="230">
        <v>7685.1</v>
      </c>
      <c r="O71" s="230">
        <v>124.8</v>
      </c>
      <c r="P71" s="230">
        <v>103.7</v>
      </c>
      <c r="Q71" s="6">
        <v>765060</v>
      </c>
      <c r="R71" s="230">
        <v>7358</v>
      </c>
      <c r="S71" s="230">
        <v>3557</v>
      </c>
      <c r="T71" s="230">
        <v>12831</v>
      </c>
      <c r="U71" s="66"/>
      <c r="V71" s="66"/>
    </row>
    <row r="72" spans="1:22" ht="15.6">
      <c r="A72" s="3">
        <v>42979</v>
      </c>
      <c r="B72">
        <f t="shared" si="1"/>
        <v>2017</v>
      </c>
      <c r="C72" s="3" t="s">
        <v>197</v>
      </c>
      <c r="D72" s="113">
        <v>7144.8</v>
      </c>
      <c r="E72" s="113">
        <v>7193.4</v>
      </c>
      <c r="F72" s="113">
        <v>166</v>
      </c>
      <c r="G72" s="113">
        <v>168.8</v>
      </c>
      <c r="H72" s="230">
        <v>764464.8</v>
      </c>
      <c r="I72" s="230">
        <v>7291.3</v>
      </c>
      <c r="J72" s="230">
        <v>6223.6</v>
      </c>
      <c r="K72" s="230">
        <v>4582</v>
      </c>
      <c r="L72" s="230">
        <v>921.1</v>
      </c>
      <c r="M72" s="230">
        <v>586.70000000000005</v>
      </c>
      <c r="N72" s="230">
        <v>7685.1</v>
      </c>
      <c r="O72" s="230">
        <v>124.8</v>
      </c>
      <c r="P72" s="230">
        <v>103.7</v>
      </c>
      <c r="Q72" s="6">
        <v>765060</v>
      </c>
      <c r="R72" s="230">
        <v>7358</v>
      </c>
      <c r="S72" s="230">
        <v>3557</v>
      </c>
      <c r="T72" s="230">
        <v>12831</v>
      </c>
      <c r="U72" s="66"/>
      <c r="V72" s="66"/>
    </row>
    <row r="73" spans="1:22" ht="15.6">
      <c r="A73" s="114">
        <v>43009</v>
      </c>
      <c r="B73">
        <f t="shared" si="1"/>
        <v>2017</v>
      </c>
      <c r="C73" s="3" t="s">
        <v>199</v>
      </c>
      <c r="D73" s="113">
        <v>7161</v>
      </c>
      <c r="E73" s="113">
        <v>7185.2</v>
      </c>
      <c r="F73" s="113">
        <v>164</v>
      </c>
      <c r="G73" s="113">
        <v>166.2</v>
      </c>
      <c r="H73" s="230">
        <v>764464.8</v>
      </c>
      <c r="I73" s="230">
        <v>7291.3</v>
      </c>
      <c r="J73" s="230">
        <v>6223.6</v>
      </c>
      <c r="K73" s="230">
        <v>4582</v>
      </c>
      <c r="L73" s="230">
        <v>921.1</v>
      </c>
      <c r="M73" s="230">
        <v>586.70000000000005</v>
      </c>
      <c r="N73" s="230">
        <v>7685.1</v>
      </c>
      <c r="O73" s="230">
        <v>124.8</v>
      </c>
      <c r="P73" s="230">
        <v>103.7</v>
      </c>
      <c r="Q73" s="6">
        <v>771453</v>
      </c>
      <c r="R73" s="230">
        <v>7463</v>
      </c>
      <c r="S73" s="230">
        <v>3482</v>
      </c>
      <c r="T73" s="230">
        <v>12811</v>
      </c>
      <c r="U73" s="66"/>
      <c r="V73" s="66"/>
    </row>
    <row r="74" spans="1:22" ht="15.6">
      <c r="A74" s="114">
        <v>43040</v>
      </c>
      <c r="B74">
        <f t="shared" si="1"/>
        <v>2017</v>
      </c>
      <c r="C74" s="3" t="s">
        <v>199</v>
      </c>
      <c r="D74" s="113">
        <v>7184.7</v>
      </c>
      <c r="E74" s="113">
        <v>7186</v>
      </c>
      <c r="F74" s="113">
        <v>165.3</v>
      </c>
      <c r="G74" s="113">
        <v>167.1</v>
      </c>
      <c r="H74" s="230">
        <v>764464.8</v>
      </c>
      <c r="I74" s="230">
        <v>7291.3</v>
      </c>
      <c r="J74" s="230">
        <v>6223.6</v>
      </c>
      <c r="K74" s="230">
        <v>4582</v>
      </c>
      <c r="L74" s="230">
        <v>921.1</v>
      </c>
      <c r="M74" s="230">
        <v>586.70000000000005</v>
      </c>
      <c r="N74" s="230">
        <v>7685.1</v>
      </c>
      <c r="O74" s="230">
        <v>124.8</v>
      </c>
      <c r="P74" s="230">
        <v>103.7</v>
      </c>
      <c r="Q74" s="6">
        <v>771453</v>
      </c>
      <c r="R74" s="230">
        <v>7463</v>
      </c>
      <c r="S74" s="230">
        <v>3482</v>
      </c>
      <c r="T74" s="230">
        <v>12811</v>
      </c>
      <c r="U74" s="66"/>
      <c r="V74" s="66"/>
    </row>
    <row r="75" spans="1:22" ht="15.6">
      <c r="A75" s="114">
        <v>43070</v>
      </c>
      <c r="B75">
        <f t="shared" si="1"/>
        <v>2017</v>
      </c>
      <c r="C75" s="3" t="s">
        <v>199</v>
      </c>
      <c r="D75" s="113">
        <v>7199.5</v>
      </c>
      <c r="E75" s="113">
        <v>7206.8</v>
      </c>
      <c r="F75" s="113">
        <v>165.8</v>
      </c>
      <c r="G75" s="113">
        <v>166.6</v>
      </c>
      <c r="H75" s="230">
        <v>764464.8</v>
      </c>
      <c r="I75" s="230">
        <v>7291.3</v>
      </c>
      <c r="J75" s="230">
        <v>6223.6</v>
      </c>
      <c r="K75" s="230">
        <v>4582</v>
      </c>
      <c r="L75" s="230">
        <v>921.1</v>
      </c>
      <c r="M75" s="230">
        <v>586.70000000000005</v>
      </c>
      <c r="N75" s="230">
        <v>7685.1</v>
      </c>
      <c r="O75" s="230">
        <v>124.8</v>
      </c>
      <c r="P75" s="230">
        <v>103.7</v>
      </c>
      <c r="Q75" s="6">
        <v>771453</v>
      </c>
      <c r="R75" s="230">
        <v>7463</v>
      </c>
      <c r="S75" s="230">
        <v>3482</v>
      </c>
      <c r="T75" s="230">
        <v>12811</v>
      </c>
      <c r="U75" s="66"/>
      <c r="V75" s="66"/>
    </row>
    <row r="76" spans="1:22" ht="15.6">
      <c r="A76" s="114">
        <v>43101</v>
      </c>
      <c r="B76">
        <f t="shared" si="1"/>
        <v>2018</v>
      </c>
      <c r="C76" s="3" t="s">
        <v>188</v>
      </c>
      <c r="D76" s="113">
        <v>7199.4</v>
      </c>
      <c r="E76" s="113">
        <v>7167.3</v>
      </c>
      <c r="F76" s="113">
        <v>168.3</v>
      </c>
      <c r="G76" s="113">
        <v>167.9</v>
      </c>
      <c r="H76" s="230">
        <v>789531.6</v>
      </c>
      <c r="I76" s="230">
        <v>7545.5</v>
      </c>
      <c r="J76" s="230">
        <v>6450.3</v>
      </c>
      <c r="K76" s="230">
        <v>4822.2</v>
      </c>
      <c r="L76" s="230">
        <v>975.3</v>
      </c>
      <c r="M76" s="230">
        <v>828.8</v>
      </c>
      <c r="N76" s="230">
        <v>7677.9</v>
      </c>
      <c r="O76" s="230">
        <v>120.2</v>
      </c>
      <c r="P76" s="230">
        <v>138.5</v>
      </c>
      <c r="Q76" s="6">
        <v>779459</v>
      </c>
      <c r="R76" s="230">
        <v>7503</v>
      </c>
      <c r="S76" s="230">
        <v>3689</v>
      </c>
      <c r="T76" s="230">
        <v>13681</v>
      </c>
      <c r="U76" s="66"/>
      <c r="V76" s="66"/>
    </row>
    <row r="77" spans="1:22" ht="15.6">
      <c r="A77" s="114">
        <v>43132</v>
      </c>
      <c r="B77">
        <f t="shared" si="1"/>
        <v>2018</v>
      </c>
      <c r="C77" s="3" t="s">
        <v>188</v>
      </c>
      <c r="D77" s="113">
        <v>7188.9</v>
      </c>
      <c r="E77" s="113">
        <v>7120.1</v>
      </c>
      <c r="F77" s="113">
        <v>165.4</v>
      </c>
      <c r="G77" s="113">
        <v>163.6</v>
      </c>
      <c r="H77" s="230">
        <v>789531.6</v>
      </c>
      <c r="I77" s="230">
        <v>7545.5</v>
      </c>
      <c r="J77" s="230">
        <v>6450.3</v>
      </c>
      <c r="K77" s="230">
        <v>4822.2</v>
      </c>
      <c r="L77" s="230">
        <v>975.3</v>
      </c>
      <c r="M77" s="230">
        <v>828.8</v>
      </c>
      <c r="N77" s="230">
        <v>7677.9</v>
      </c>
      <c r="O77" s="230">
        <v>120.2</v>
      </c>
      <c r="P77" s="230">
        <v>138.5</v>
      </c>
      <c r="Q77" s="6">
        <v>779459</v>
      </c>
      <c r="R77" s="230">
        <v>7503</v>
      </c>
      <c r="S77" s="230">
        <v>3689</v>
      </c>
      <c r="T77" s="230">
        <v>13681</v>
      </c>
      <c r="U77" s="66"/>
      <c r="V77" s="66"/>
    </row>
    <row r="78" spans="1:22" ht="15.6">
      <c r="A78" s="114">
        <v>43160</v>
      </c>
      <c r="B78">
        <f t="shared" si="1"/>
        <v>2018</v>
      </c>
      <c r="C78" s="3" t="s">
        <v>188</v>
      </c>
      <c r="D78" s="113">
        <v>7188.8</v>
      </c>
      <c r="E78" s="113">
        <v>7084.1</v>
      </c>
      <c r="F78" s="113">
        <v>165.6</v>
      </c>
      <c r="G78" s="113">
        <v>163.19999999999999</v>
      </c>
      <c r="H78" s="230">
        <v>789531.6</v>
      </c>
      <c r="I78" s="230">
        <v>7545.5</v>
      </c>
      <c r="J78" s="230">
        <v>6450.3</v>
      </c>
      <c r="K78" s="230">
        <v>4822.2</v>
      </c>
      <c r="L78" s="230">
        <v>975.3</v>
      </c>
      <c r="M78" s="230">
        <v>828.8</v>
      </c>
      <c r="N78" s="230">
        <v>7677.9</v>
      </c>
      <c r="O78" s="230">
        <v>120.2</v>
      </c>
      <c r="P78" s="230">
        <v>138.5</v>
      </c>
      <c r="Q78" s="6">
        <v>779459</v>
      </c>
      <c r="R78" s="230">
        <v>7503</v>
      </c>
      <c r="S78" s="230">
        <v>3689</v>
      </c>
      <c r="T78" s="230">
        <v>13681</v>
      </c>
      <c r="U78" s="66"/>
      <c r="V78" s="66"/>
    </row>
    <row r="79" spans="1:22" ht="15.6">
      <c r="A79" s="114">
        <v>43191</v>
      </c>
      <c r="B79">
        <f t="shared" si="1"/>
        <v>2018</v>
      </c>
      <c r="C79" s="3" t="s">
        <v>190</v>
      </c>
      <c r="D79" s="113">
        <v>7201.1</v>
      </c>
      <c r="E79" s="113">
        <v>7111.6</v>
      </c>
      <c r="F79" s="113">
        <v>166</v>
      </c>
      <c r="G79" s="113">
        <v>165.1</v>
      </c>
      <c r="H79" s="230">
        <v>789531.6</v>
      </c>
      <c r="I79" s="230">
        <v>7545.5</v>
      </c>
      <c r="J79" s="230">
        <v>6450.3</v>
      </c>
      <c r="K79" s="230">
        <v>4822.2</v>
      </c>
      <c r="L79" s="230">
        <v>975.3</v>
      </c>
      <c r="M79" s="230">
        <v>828.8</v>
      </c>
      <c r="N79" s="230">
        <v>7677.9</v>
      </c>
      <c r="O79" s="230">
        <v>120.2</v>
      </c>
      <c r="P79" s="230">
        <v>138.5</v>
      </c>
      <c r="Q79" s="6">
        <v>784896</v>
      </c>
      <c r="R79" s="230">
        <v>7580</v>
      </c>
      <c r="S79" s="230">
        <v>3756</v>
      </c>
      <c r="T79" s="230">
        <v>13459</v>
      </c>
      <c r="U79" s="66"/>
      <c r="V79" s="66"/>
    </row>
    <row r="80" spans="1:22" ht="15.6">
      <c r="A80" s="114">
        <v>43221</v>
      </c>
      <c r="B80">
        <f t="shared" si="1"/>
        <v>2018</v>
      </c>
      <c r="C80" s="3" t="s">
        <v>190</v>
      </c>
      <c r="D80" s="113">
        <v>7208.5</v>
      </c>
      <c r="E80" s="113">
        <v>7176</v>
      </c>
      <c r="F80" s="113">
        <v>166.1</v>
      </c>
      <c r="G80" s="113">
        <v>166.2</v>
      </c>
      <c r="H80" s="230">
        <v>789531.6</v>
      </c>
      <c r="I80" s="230">
        <v>7545.5</v>
      </c>
      <c r="J80" s="230">
        <v>6450.3</v>
      </c>
      <c r="K80" s="230">
        <v>4822.2</v>
      </c>
      <c r="L80" s="230">
        <v>975.3</v>
      </c>
      <c r="M80" s="230">
        <v>828.8</v>
      </c>
      <c r="N80" s="230">
        <v>7677.9</v>
      </c>
      <c r="O80" s="230">
        <v>120.2</v>
      </c>
      <c r="P80" s="230">
        <v>138.5</v>
      </c>
      <c r="Q80" s="6">
        <v>784896</v>
      </c>
      <c r="R80" s="230">
        <v>7580</v>
      </c>
      <c r="S80" s="230">
        <v>3756</v>
      </c>
      <c r="T80" s="230">
        <v>13459</v>
      </c>
      <c r="U80" s="66"/>
      <c r="V80" s="66"/>
    </row>
    <row r="81" spans="1:22" ht="15.6">
      <c r="A81" s="114">
        <v>43252</v>
      </c>
      <c r="B81">
        <f t="shared" si="1"/>
        <v>2018</v>
      </c>
      <c r="C81" s="3" t="s">
        <v>190</v>
      </c>
      <c r="D81" s="113">
        <v>7221.1</v>
      </c>
      <c r="E81" s="113">
        <v>7264.3</v>
      </c>
      <c r="F81" s="113">
        <v>164.3</v>
      </c>
      <c r="G81" s="113">
        <v>165.8</v>
      </c>
      <c r="H81" s="230">
        <v>789531.6</v>
      </c>
      <c r="I81" s="230">
        <v>7545.5</v>
      </c>
      <c r="J81" s="230">
        <v>6450.3</v>
      </c>
      <c r="K81" s="230">
        <v>4822.2</v>
      </c>
      <c r="L81" s="230">
        <v>975.3</v>
      </c>
      <c r="M81" s="230">
        <v>828.8</v>
      </c>
      <c r="N81" s="230">
        <v>7677.9</v>
      </c>
      <c r="O81" s="230">
        <v>120.2</v>
      </c>
      <c r="P81" s="230">
        <v>138.5</v>
      </c>
      <c r="Q81" s="6">
        <v>784896</v>
      </c>
      <c r="R81" s="230">
        <v>7580</v>
      </c>
      <c r="S81" s="230">
        <v>3756</v>
      </c>
      <c r="T81" s="230">
        <v>13459</v>
      </c>
      <c r="U81" s="66"/>
      <c r="V81" s="66"/>
    </row>
    <row r="82" spans="1:22" ht="15.6">
      <c r="A82" s="114">
        <v>43282</v>
      </c>
      <c r="B82">
        <f t="shared" si="1"/>
        <v>2018</v>
      </c>
      <c r="C82" s="3" t="s">
        <v>197</v>
      </c>
      <c r="D82" s="113">
        <v>7255</v>
      </c>
      <c r="E82" s="113">
        <v>7345.7</v>
      </c>
      <c r="F82" s="113">
        <v>164.1</v>
      </c>
      <c r="G82" s="113">
        <v>164.3</v>
      </c>
      <c r="H82" s="230">
        <v>789531.6</v>
      </c>
      <c r="I82" s="230">
        <v>7545.5</v>
      </c>
      <c r="J82" s="230">
        <v>6450.3</v>
      </c>
      <c r="K82" s="230">
        <v>4822.2</v>
      </c>
      <c r="L82" s="230">
        <v>975.3</v>
      </c>
      <c r="M82" s="230">
        <v>828.8</v>
      </c>
      <c r="N82" s="230">
        <v>7677.9</v>
      </c>
      <c r="O82" s="230">
        <v>120.2</v>
      </c>
      <c r="P82" s="230">
        <v>138.5</v>
      </c>
      <c r="Q82" s="6">
        <v>794140</v>
      </c>
      <c r="R82" s="230">
        <v>7572</v>
      </c>
      <c r="S82" s="230">
        <v>3851</v>
      </c>
      <c r="T82" s="230">
        <v>14848</v>
      </c>
      <c r="U82" s="66"/>
      <c r="V82" s="66"/>
    </row>
    <row r="83" spans="1:22" ht="15.6">
      <c r="A83" s="114">
        <v>43313</v>
      </c>
      <c r="B83">
        <f t="shared" si="1"/>
        <v>2018</v>
      </c>
      <c r="C83" s="3" t="s">
        <v>197</v>
      </c>
      <c r="D83" s="113">
        <v>7266.2</v>
      </c>
      <c r="E83" s="113">
        <v>7359.5</v>
      </c>
      <c r="F83" s="113">
        <v>163.9</v>
      </c>
      <c r="G83" s="113">
        <v>164.6</v>
      </c>
      <c r="H83" s="230">
        <v>789531.6</v>
      </c>
      <c r="I83" s="230">
        <v>7545.5</v>
      </c>
      <c r="J83" s="230">
        <v>6450.3</v>
      </c>
      <c r="K83" s="230">
        <v>4822.2</v>
      </c>
      <c r="L83" s="230">
        <v>975.3</v>
      </c>
      <c r="M83" s="230">
        <v>828.8</v>
      </c>
      <c r="N83" s="230">
        <v>7677.9</v>
      </c>
      <c r="O83" s="230">
        <v>120.2</v>
      </c>
      <c r="P83" s="230">
        <v>138.5</v>
      </c>
      <c r="Q83" s="6">
        <v>794140</v>
      </c>
      <c r="R83" s="230">
        <v>7572</v>
      </c>
      <c r="S83" s="230">
        <v>3851</v>
      </c>
      <c r="T83" s="230">
        <v>14848</v>
      </c>
      <c r="U83" s="66"/>
      <c r="V83" s="66"/>
    </row>
    <row r="84" spans="1:22" ht="15.6">
      <c r="A84" s="114">
        <v>43344</v>
      </c>
      <c r="B84">
        <f t="shared" si="1"/>
        <v>2018</v>
      </c>
      <c r="C84" s="3" t="s">
        <v>197</v>
      </c>
      <c r="D84" s="113">
        <v>7279.6</v>
      </c>
      <c r="E84" s="113">
        <v>7324.4</v>
      </c>
      <c r="F84" s="113">
        <v>164.4</v>
      </c>
      <c r="G84" s="113">
        <v>165.6</v>
      </c>
      <c r="H84" s="230">
        <v>789531.6</v>
      </c>
      <c r="I84" s="230">
        <v>7545.5</v>
      </c>
      <c r="J84" s="230">
        <v>6450.3</v>
      </c>
      <c r="K84" s="230">
        <v>4822.2</v>
      </c>
      <c r="L84" s="230">
        <v>975.3</v>
      </c>
      <c r="M84" s="230">
        <v>828.8</v>
      </c>
      <c r="N84" s="230">
        <v>7677.9</v>
      </c>
      <c r="O84" s="230">
        <v>120.2</v>
      </c>
      <c r="P84" s="230">
        <v>138.5</v>
      </c>
      <c r="Q84" s="6">
        <v>794140</v>
      </c>
      <c r="R84" s="230">
        <v>7572</v>
      </c>
      <c r="S84" s="230">
        <v>3851</v>
      </c>
      <c r="T84" s="230">
        <v>14848</v>
      </c>
      <c r="U84" s="66"/>
      <c r="V84" s="66"/>
    </row>
    <row r="85" spans="1:22" ht="15.6">
      <c r="A85" s="114">
        <v>43374</v>
      </c>
      <c r="B85">
        <f t="shared" si="1"/>
        <v>2018</v>
      </c>
      <c r="C85" s="3" t="s">
        <v>199</v>
      </c>
      <c r="D85" s="113">
        <v>7270.3</v>
      </c>
      <c r="E85" s="113">
        <v>7290.6</v>
      </c>
      <c r="F85" s="113">
        <v>164.9</v>
      </c>
      <c r="G85" s="113">
        <v>167.1</v>
      </c>
      <c r="H85" s="230">
        <v>789531.6</v>
      </c>
      <c r="I85" s="230">
        <v>7545.5</v>
      </c>
      <c r="J85" s="230">
        <v>6450.3</v>
      </c>
      <c r="K85" s="230">
        <v>4822.2</v>
      </c>
      <c r="L85" s="230">
        <v>975.3</v>
      </c>
      <c r="M85" s="230">
        <v>828.8</v>
      </c>
      <c r="N85" s="230">
        <v>7677.9</v>
      </c>
      <c r="O85" s="230">
        <v>120.2</v>
      </c>
      <c r="P85" s="230">
        <v>138.5</v>
      </c>
      <c r="Q85" s="6">
        <v>799632</v>
      </c>
      <c r="R85" s="230">
        <v>7527</v>
      </c>
      <c r="S85" s="230">
        <v>3885</v>
      </c>
      <c r="T85" s="230">
        <v>15040</v>
      </c>
      <c r="U85" s="66"/>
      <c r="V85" s="66"/>
    </row>
    <row r="86" spans="1:22" ht="15.6">
      <c r="A86" s="114">
        <v>43405</v>
      </c>
      <c r="B86">
        <f t="shared" si="1"/>
        <v>2018</v>
      </c>
      <c r="C86" s="3" t="s">
        <v>199</v>
      </c>
      <c r="D86" s="113">
        <v>7290</v>
      </c>
      <c r="E86" s="113">
        <v>7288.9</v>
      </c>
      <c r="F86" s="113">
        <v>168.2</v>
      </c>
      <c r="G86" s="113">
        <v>170.4</v>
      </c>
      <c r="H86" s="230">
        <v>789531.6</v>
      </c>
      <c r="I86" s="230">
        <v>7545.5</v>
      </c>
      <c r="J86" s="230">
        <v>6450.3</v>
      </c>
      <c r="K86" s="230">
        <v>4822.2</v>
      </c>
      <c r="L86" s="230">
        <v>975.3</v>
      </c>
      <c r="M86" s="230">
        <v>828.8</v>
      </c>
      <c r="N86" s="230">
        <v>7677.9</v>
      </c>
      <c r="O86" s="230">
        <v>120.2</v>
      </c>
      <c r="P86" s="230">
        <v>138.5</v>
      </c>
      <c r="Q86" s="6">
        <v>799632</v>
      </c>
      <c r="R86" s="230">
        <v>7527</v>
      </c>
      <c r="S86" s="230">
        <v>3885</v>
      </c>
      <c r="T86" s="230">
        <v>15040</v>
      </c>
      <c r="U86" s="66"/>
      <c r="V86" s="66"/>
    </row>
    <row r="87" spans="1:22" ht="15.6">
      <c r="A87" s="114">
        <v>43435</v>
      </c>
      <c r="B87">
        <f t="shared" si="1"/>
        <v>2018</v>
      </c>
      <c r="C87" s="3" t="s">
        <v>199</v>
      </c>
      <c r="D87" s="113">
        <v>7300.1</v>
      </c>
      <c r="E87" s="113">
        <v>7310.7</v>
      </c>
      <c r="F87" s="113">
        <v>170.2</v>
      </c>
      <c r="G87" s="113">
        <v>171.3</v>
      </c>
      <c r="H87" s="230">
        <v>789531.6</v>
      </c>
      <c r="I87" s="230">
        <v>7545.5</v>
      </c>
      <c r="J87" s="230">
        <v>6450.3</v>
      </c>
      <c r="K87" s="230">
        <v>4822.2</v>
      </c>
      <c r="L87" s="230">
        <v>975.3</v>
      </c>
      <c r="M87" s="230">
        <v>828.8</v>
      </c>
      <c r="N87" s="230">
        <v>7677.9</v>
      </c>
      <c r="O87" s="230">
        <v>120.2</v>
      </c>
      <c r="P87" s="230">
        <v>138.5</v>
      </c>
      <c r="Q87" s="6">
        <v>799632</v>
      </c>
      <c r="R87" s="230">
        <v>7527</v>
      </c>
      <c r="S87" s="230">
        <v>3885</v>
      </c>
      <c r="T87" s="230">
        <v>15040</v>
      </c>
      <c r="U87" s="66"/>
      <c r="V87" s="66"/>
    </row>
    <row r="88" spans="1:22" ht="15.6">
      <c r="A88" s="114">
        <v>43466</v>
      </c>
      <c r="B88">
        <f t="shared" si="1"/>
        <v>2019</v>
      </c>
      <c r="C88" s="3" t="s">
        <v>188</v>
      </c>
      <c r="D88" s="113">
        <v>7318</v>
      </c>
      <c r="E88" s="113">
        <v>7289.4</v>
      </c>
      <c r="F88" s="113">
        <v>172.7</v>
      </c>
      <c r="G88" s="113">
        <v>172.2</v>
      </c>
      <c r="H88" s="230">
        <v>807274.5</v>
      </c>
      <c r="I88" s="230">
        <v>7827.1</v>
      </c>
      <c r="J88" s="230">
        <v>6758.1</v>
      </c>
      <c r="K88" s="230">
        <v>5005</v>
      </c>
      <c r="L88" s="230">
        <v>1092.3</v>
      </c>
      <c r="M88" s="230">
        <v>1343.6</v>
      </c>
      <c r="N88" s="230">
        <v>7405</v>
      </c>
      <c r="O88" s="230">
        <v>118.8</v>
      </c>
      <c r="P88" s="230">
        <v>129.6</v>
      </c>
      <c r="Q88" s="6">
        <v>800724</v>
      </c>
      <c r="R88" s="230">
        <v>7595</v>
      </c>
      <c r="S88" s="230">
        <v>3864</v>
      </c>
      <c r="T88" s="230">
        <v>14057</v>
      </c>
      <c r="U88" s="66"/>
      <c r="V88" s="66"/>
    </row>
    <row r="89" spans="1:22" ht="15.6">
      <c r="A89" s="114">
        <v>43497</v>
      </c>
      <c r="B89">
        <f t="shared" ref="B89:B147" si="2">YEAR(A89)</f>
        <v>2019</v>
      </c>
      <c r="C89" s="3" t="s">
        <v>188</v>
      </c>
      <c r="D89" s="113">
        <v>7345.4</v>
      </c>
      <c r="E89" s="113">
        <v>7278.4</v>
      </c>
      <c r="F89" s="113">
        <v>173.5</v>
      </c>
      <c r="G89" s="113">
        <v>171.9</v>
      </c>
      <c r="H89" s="230">
        <v>807274.5</v>
      </c>
      <c r="I89" s="230">
        <v>7827.1</v>
      </c>
      <c r="J89" s="230">
        <v>6758.1</v>
      </c>
      <c r="K89" s="230">
        <v>5005</v>
      </c>
      <c r="L89" s="230">
        <v>1092.3</v>
      </c>
      <c r="M89" s="230">
        <v>1343.6</v>
      </c>
      <c r="N89" s="230">
        <v>7405</v>
      </c>
      <c r="O89" s="230">
        <v>118.8</v>
      </c>
      <c r="P89" s="230">
        <v>129.6</v>
      </c>
      <c r="Q89" s="6">
        <v>800724</v>
      </c>
      <c r="R89" s="230">
        <v>7595</v>
      </c>
      <c r="S89" s="230">
        <v>3864</v>
      </c>
      <c r="T89" s="230">
        <v>14057</v>
      </c>
      <c r="U89" s="66"/>
      <c r="V89" s="66"/>
    </row>
    <row r="90" spans="1:22" ht="15.6">
      <c r="A90" s="114">
        <v>43525</v>
      </c>
      <c r="B90">
        <f t="shared" si="2"/>
        <v>2019</v>
      </c>
      <c r="C90" s="3" t="s">
        <v>188</v>
      </c>
      <c r="D90" s="113">
        <v>7361.3</v>
      </c>
      <c r="E90" s="113">
        <v>7256.9</v>
      </c>
      <c r="F90" s="113">
        <v>175.2</v>
      </c>
      <c r="G90" s="113">
        <v>173.1</v>
      </c>
      <c r="H90" s="230">
        <v>807274.5</v>
      </c>
      <c r="I90" s="230">
        <v>7827.1</v>
      </c>
      <c r="J90" s="230">
        <v>6758.1</v>
      </c>
      <c r="K90" s="230">
        <v>5005</v>
      </c>
      <c r="L90" s="230">
        <v>1092.3</v>
      </c>
      <c r="M90" s="230">
        <v>1343.6</v>
      </c>
      <c r="N90" s="230">
        <v>7405</v>
      </c>
      <c r="O90" s="230">
        <v>118.8</v>
      </c>
      <c r="P90" s="230">
        <v>129.6</v>
      </c>
      <c r="Q90" s="6">
        <v>800724</v>
      </c>
      <c r="R90" s="230">
        <v>7595</v>
      </c>
      <c r="S90" s="230">
        <v>3864</v>
      </c>
      <c r="T90" s="230">
        <v>14057</v>
      </c>
      <c r="U90" s="66"/>
      <c r="V90" s="66"/>
    </row>
    <row r="91" spans="1:22" ht="15.6">
      <c r="A91" s="114">
        <v>43556</v>
      </c>
      <c r="B91">
        <f t="shared" si="2"/>
        <v>2019</v>
      </c>
      <c r="C91" s="3" t="s">
        <v>190</v>
      </c>
      <c r="D91" s="113">
        <v>7382.3</v>
      </c>
      <c r="E91" s="113">
        <v>7294</v>
      </c>
      <c r="F91" s="113">
        <v>175.5</v>
      </c>
      <c r="G91" s="113">
        <v>175.3</v>
      </c>
      <c r="H91" s="230">
        <v>807274.5</v>
      </c>
      <c r="I91" s="230">
        <v>7827.1</v>
      </c>
      <c r="J91" s="230">
        <v>6758.1</v>
      </c>
      <c r="K91" s="230">
        <v>5005</v>
      </c>
      <c r="L91" s="230">
        <v>1092.3</v>
      </c>
      <c r="M91" s="230">
        <v>1343.6</v>
      </c>
      <c r="N91" s="230">
        <v>7405</v>
      </c>
      <c r="O91" s="230">
        <v>118.8</v>
      </c>
      <c r="P91" s="230">
        <v>129.6</v>
      </c>
      <c r="Q91" s="6">
        <v>806630</v>
      </c>
      <c r="R91" s="230">
        <v>7794</v>
      </c>
      <c r="S91" s="230">
        <v>4028</v>
      </c>
      <c r="T91" s="230">
        <v>13951</v>
      </c>
      <c r="U91" s="66"/>
      <c r="V91" s="66"/>
    </row>
    <row r="92" spans="1:22" ht="15.6">
      <c r="A92" s="114">
        <v>43586</v>
      </c>
      <c r="B92">
        <f t="shared" si="2"/>
        <v>2019</v>
      </c>
      <c r="C92" s="3" t="s">
        <v>190</v>
      </c>
      <c r="D92" s="113">
        <v>7398.9</v>
      </c>
      <c r="E92" s="113">
        <v>7366.8</v>
      </c>
      <c r="F92" s="113">
        <v>176.6</v>
      </c>
      <c r="G92" s="113">
        <v>177.2</v>
      </c>
      <c r="H92" s="230">
        <v>807274.5</v>
      </c>
      <c r="I92" s="230">
        <v>7827.1</v>
      </c>
      <c r="J92" s="230">
        <v>6758.1</v>
      </c>
      <c r="K92" s="230">
        <v>5005</v>
      </c>
      <c r="L92" s="230">
        <v>1092.3</v>
      </c>
      <c r="M92" s="230">
        <v>1343.6</v>
      </c>
      <c r="N92" s="230">
        <v>7405</v>
      </c>
      <c r="O92" s="230">
        <v>118.8</v>
      </c>
      <c r="P92" s="230">
        <v>129.6</v>
      </c>
      <c r="Q92" s="6">
        <v>806630</v>
      </c>
      <c r="R92" s="230">
        <v>7794</v>
      </c>
      <c r="S92" s="230">
        <v>4028</v>
      </c>
      <c r="T92" s="230">
        <v>13951</v>
      </c>
      <c r="U92" s="66"/>
      <c r="V92" s="66"/>
    </row>
    <row r="93" spans="1:22" ht="15.6">
      <c r="A93" s="114">
        <v>43617</v>
      </c>
      <c r="B93">
        <f t="shared" si="2"/>
        <v>2019</v>
      </c>
      <c r="C93" s="3" t="s">
        <v>190</v>
      </c>
      <c r="D93" s="113">
        <v>7420.3</v>
      </c>
      <c r="E93" s="113">
        <v>7460.9</v>
      </c>
      <c r="F93" s="113">
        <v>174.6</v>
      </c>
      <c r="G93" s="113">
        <v>176.1</v>
      </c>
      <c r="H93" s="230">
        <v>807274.5</v>
      </c>
      <c r="I93" s="230">
        <v>7827.1</v>
      </c>
      <c r="J93" s="230">
        <v>6758.1</v>
      </c>
      <c r="K93" s="230">
        <v>5005</v>
      </c>
      <c r="L93" s="230">
        <v>1092.3</v>
      </c>
      <c r="M93" s="230">
        <v>1343.6</v>
      </c>
      <c r="N93" s="230">
        <v>7405</v>
      </c>
      <c r="O93" s="230">
        <v>118.8</v>
      </c>
      <c r="P93" s="230">
        <v>129.6</v>
      </c>
      <c r="Q93" s="6">
        <v>806630</v>
      </c>
      <c r="R93" s="230">
        <v>7794</v>
      </c>
      <c r="S93" s="230">
        <v>4028</v>
      </c>
      <c r="T93" s="230">
        <v>13951</v>
      </c>
      <c r="U93" s="66"/>
      <c r="V93" s="66"/>
    </row>
    <row r="94" spans="1:22" ht="15.6">
      <c r="A94" s="114">
        <v>43647</v>
      </c>
      <c r="B94">
        <f t="shared" si="2"/>
        <v>2019</v>
      </c>
      <c r="C94" s="3" t="s">
        <v>197</v>
      </c>
      <c r="D94" s="113">
        <v>7423.6</v>
      </c>
      <c r="E94" s="113">
        <v>7509.9</v>
      </c>
      <c r="F94" s="113">
        <v>171.5</v>
      </c>
      <c r="G94" s="113">
        <v>171.7</v>
      </c>
      <c r="H94" s="230">
        <v>807274.5</v>
      </c>
      <c r="I94" s="230">
        <v>7827.1</v>
      </c>
      <c r="J94" s="230">
        <v>6758.1</v>
      </c>
      <c r="K94" s="230">
        <v>5005</v>
      </c>
      <c r="L94" s="230">
        <v>1092.3</v>
      </c>
      <c r="M94" s="230">
        <v>1343.6</v>
      </c>
      <c r="N94" s="230">
        <v>7405</v>
      </c>
      <c r="O94" s="230">
        <v>118.8</v>
      </c>
      <c r="P94" s="230">
        <v>129.6</v>
      </c>
      <c r="Q94" s="6">
        <v>810347</v>
      </c>
      <c r="R94" s="230">
        <v>7923</v>
      </c>
      <c r="S94" s="230">
        <v>3983</v>
      </c>
      <c r="T94" s="230">
        <v>13947</v>
      </c>
      <c r="U94" s="66"/>
      <c r="V94" s="66"/>
    </row>
    <row r="95" spans="1:22" ht="15.6">
      <c r="A95" s="114">
        <v>43678</v>
      </c>
      <c r="B95">
        <f t="shared" si="2"/>
        <v>2019</v>
      </c>
      <c r="C95" s="3" t="s">
        <v>197</v>
      </c>
      <c r="D95" s="113">
        <v>7433.8</v>
      </c>
      <c r="E95" s="113">
        <v>7523.3</v>
      </c>
      <c r="F95" s="113">
        <v>169.3</v>
      </c>
      <c r="G95" s="113">
        <v>169.6</v>
      </c>
      <c r="H95" s="230">
        <v>807274.5</v>
      </c>
      <c r="I95" s="230">
        <v>7827.1</v>
      </c>
      <c r="J95" s="230">
        <v>6758.1</v>
      </c>
      <c r="K95" s="230">
        <v>5005</v>
      </c>
      <c r="L95" s="230">
        <v>1092.3</v>
      </c>
      <c r="M95" s="230">
        <v>1343.6</v>
      </c>
      <c r="N95" s="230">
        <v>7405</v>
      </c>
      <c r="O95" s="230">
        <v>118.8</v>
      </c>
      <c r="P95" s="230">
        <v>129.6</v>
      </c>
      <c r="Q95" s="6">
        <v>810347</v>
      </c>
      <c r="R95" s="230">
        <v>7923</v>
      </c>
      <c r="S95" s="230">
        <v>3983</v>
      </c>
      <c r="T95" s="230">
        <v>13947</v>
      </c>
      <c r="U95" s="66"/>
      <c r="V95" s="66"/>
    </row>
    <row r="96" spans="1:22" ht="15.6">
      <c r="A96" s="114">
        <v>43709</v>
      </c>
      <c r="B96">
        <f t="shared" si="2"/>
        <v>2019</v>
      </c>
      <c r="C96" s="3" t="s">
        <v>197</v>
      </c>
      <c r="D96" s="113">
        <v>7448.5</v>
      </c>
      <c r="E96" s="113">
        <v>7505.1</v>
      </c>
      <c r="F96" s="113">
        <v>169.1</v>
      </c>
      <c r="G96" s="113">
        <v>169.3</v>
      </c>
      <c r="H96" s="230">
        <v>807274.5</v>
      </c>
      <c r="I96" s="230">
        <v>7827.1</v>
      </c>
      <c r="J96" s="230">
        <v>6758.1</v>
      </c>
      <c r="K96" s="230">
        <v>5005</v>
      </c>
      <c r="L96" s="230">
        <v>1092.3</v>
      </c>
      <c r="M96" s="230">
        <v>1343.6</v>
      </c>
      <c r="N96" s="230">
        <v>7405</v>
      </c>
      <c r="O96" s="230">
        <v>118.8</v>
      </c>
      <c r="P96" s="230">
        <v>129.6</v>
      </c>
      <c r="Q96" s="6">
        <v>810347</v>
      </c>
      <c r="R96" s="230">
        <v>7923</v>
      </c>
      <c r="S96" s="230">
        <v>3983</v>
      </c>
      <c r="T96" s="230">
        <v>13947</v>
      </c>
      <c r="U96" s="66"/>
      <c r="V96" s="66"/>
    </row>
    <row r="97" spans="1:22" ht="15.6">
      <c r="A97" s="114">
        <v>43739</v>
      </c>
      <c r="B97">
        <f t="shared" si="2"/>
        <v>2019</v>
      </c>
      <c r="C97" s="3" t="s">
        <v>199</v>
      </c>
      <c r="D97" s="113">
        <v>7462.2</v>
      </c>
      <c r="E97" s="113">
        <v>7501.2</v>
      </c>
      <c r="F97" s="113">
        <v>170.3</v>
      </c>
      <c r="G97" s="113">
        <v>171.6</v>
      </c>
      <c r="H97" s="230">
        <v>807274.5</v>
      </c>
      <c r="I97" s="230">
        <v>7827.1</v>
      </c>
      <c r="J97" s="230">
        <v>6758.1</v>
      </c>
      <c r="K97" s="230">
        <v>5005</v>
      </c>
      <c r="L97" s="230">
        <v>1092.3</v>
      </c>
      <c r="M97" s="230">
        <v>1343.6</v>
      </c>
      <c r="N97" s="230">
        <v>7405</v>
      </c>
      <c r="O97" s="230">
        <v>118.8</v>
      </c>
      <c r="P97" s="230">
        <v>129.6</v>
      </c>
      <c r="Q97" s="6">
        <v>811397</v>
      </c>
      <c r="R97" s="230">
        <v>7996</v>
      </c>
      <c r="S97" s="230">
        <v>3799</v>
      </c>
      <c r="T97" s="230">
        <v>13298</v>
      </c>
      <c r="U97" s="66"/>
      <c r="V97" s="66"/>
    </row>
    <row r="98" spans="1:22" ht="15.6">
      <c r="A98" s="114">
        <v>43770</v>
      </c>
      <c r="B98">
        <f t="shared" si="2"/>
        <v>2019</v>
      </c>
      <c r="C98" s="3" t="s">
        <v>199</v>
      </c>
      <c r="D98" s="113">
        <v>7470.1</v>
      </c>
      <c r="E98" s="113">
        <v>7488.3</v>
      </c>
      <c r="F98" s="113">
        <v>168.5</v>
      </c>
      <c r="G98" s="113">
        <v>169</v>
      </c>
      <c r="H98" s="230">
        <v>807274.5</v>
      </c>
      <c r="I98" s="230">
        <v>7827.1</v>
      </c>
      <c r="J98" s="230">
        <v>6758.1</v>
      </c>
      <c r="K98" s="230">
        <v>5005</v>
      </c>
      <c r="L98" s="230">
        <v>1092.3</v>
      </c>
      <c r="M98" s="230">
        <v>1343.6</v>
      </c>
      <c r="N98" s="230">
        <v>7405</v>
      </c>
      <c r="O98" s="230">
        <v>118.8</v>
      </c>
      <c r="P98" s="230">
        <v>129.6</v>
      </c>
      <c r="Q98" s="6">
        <v>811397</v>
      </c>
      <c r="R98" s="230">
        <v>7996</v>
      </c>
      <c r="S98" s="230">
        <v>3799</v>
      </c>
      <c r="T98" s="230">
        <v>13298</v>
      </c>
      <c r="U98" s="66"/>
      <c r="V98" s="66"/>
    </row>
    <row r="99" spans="1:22" ht="15.6">
      <c r="A99" s="114">
        <v>43800</v>
      </c>
      <c r="B99">
        <f t="shared" si="2"/>
        <v>2019</v>
      </c>
      <c r="C99" s="3" t="s">
        <v>199</v>
      </c>
      <c r="D99" s="113">
        <v>7482.6</v>
      </c>
      <c r="E99" s="113">
        <v>7493.8</v>
      </c>
      <c r="F99" s="113">
        <v>167.7</v>
      </c>
      <c r="G99" s="113">
        <v>167.9</v>
      </c>
      <c r="H99" s="230">
        <v>807274.5</v>
      </c>
      <c r="I99" s="230">
        <v>7827.1</v>
      </c>
      <c r="J99" s="230">
        <v>6758.1</v>
      </c>
      <c r="K99" s="230">
        <v>5005</v>
      </c>
      <c r="L99" s="230">
        <v>1092.3</v>
      </c>
      <c r="M99" s="230">
        <v>1343.6</v>
      </c>
      <c r="N99" s="230">
        <v>7405</v>
      </c>
      <c r="O99" s="230">
        <v>118.8</v>
      </c>
      <c r="P99" s="230">
        <v>129.6</v>
      </c>
      <c r="Q99" s="6">
        <v>811397</v>
      </c>
      <c r="R99" s="230">
        <v>7996</v>
      </c>
      <c r="S99" s="230">
        <v>3799</v>
      </c>
      <c r="T99" s="230">
        <v>13298</v>
      </c>
      <c r="U99" s="66"/>
      <c r="V99" s="66"/>
    </row>
    <row r="100" spans="1:22" ht="15.6">
      <c r="A100" s="114">
        <v>43831</v>
      </c>
      <c r="B100">
        <f t="shared" si="2"/>
        <v>2020</v>
      </c>
      <c r="C100" s="3" t="s">
        <v>188</v>
      </c>
      <c r="D100" s="113">
        <v>7504.9</v>
      </c>
      <c r="E100" s="113">
        <v>7471.6</v>
      </c>
      <c r="F100" s="113">
        <v>166.2</v>
      </c>
      <c r="G100" s="113">
        <v>164.5</v>
      </c>
      <c r="H100" s="230">
        <v>769942</v>
      </c>
      <c r="I100" s="230">
        <v>8258.2999999999993</v>
      </c>
      <c r="J100" s="230">
        <v>7244.3</v>
      </c>
      <c r="K100" s="230">
        <v>5453.2</v>
      </c>
      <c r="L100" s="230">
        <v>1118.5</v>
      </c>
      <c r="M100" s="230">
        <v>1755.9</v>
      </c>
      <c r="N100" s="230">
        <v>6539.9</v>
      </c>
      <c r="O100" s="230">
        <v>107.8</v>
      </c>
      <c r="P100" s="230">
        <v>72</v>
      </c>
      <c r="Q100" s="6">
        <v>800126</v>
      </c>
      <c r="R100" s="230">
        <v>7823</v>
      </c>
      <c r="S100" s="230">
        <v>3864</v>
      </c>
      <c r="T100" s="230">
        <v>13972</v>
      </c>
      <c r="U100" s="66"/>
      <c r="V100" s="66"/>
    </row>
    <row r="101" spans="1:22" ht="15.6">
      <c r="A101" s="114">
        <v>43862</v>
      </c>
      <c r="B101">
        <f t="shared" si="2"/>
        <v>2020</v>
      </c>
      <c r="C101" s="3" t="s">
        <v>188</v>
      </c>
      <c r="D101" s="113">
        <v>7512.3</v>
      </c>
      <c r="E101" s="113">
        <v>7442.1</v>
      </c>
      <c r="F101" s="113">
        <v>167.8</v>
      </c>
      <c r="G101" s="113">
        <v>166.3</v>
      </c>
      <c r="H101" s="230">
        <v>769942</v>
      </c>
      <c r="I101" s="230">
        <v>8258.2999999999993</v>
      </c>
      <c r="J101" s="230">
        <v>7244.3</v>
      </c>
      <c r="K101" s="230">
        <v>5453.2</v>
      </c>
      <c r="L101" s="230">
        <v>1118.5</v>
      </c>
      <c r="M101" s="230">
        <v>1755.9</v>
      </c>
      <c r="N101" s="230">
        <v>6539.9</v>
      </c>
      <c r="O101" s="230">
        <v>107.8</v>
      </c>
      <c r="P101" s="230">
        <v>72</v>
      </c>
      <c r="Q101" s="6">
        <v>800126</v>
      </c>
      <c r="R101" s="230">
        <v>7823</v>
      </c>
      <c r="S101" s="230">
        <v>3864</v>
      </c>
      <c r="T101" s="230">
        <v>13972</v>
      </c>
      <c r="U101" s="66"/>
      <c r="V101" s="66"/>
    </row>
    <row r="102" spans="1:22" ht="15.6">
      <c r="A102" s="114">
        <v>43891</v>
      </c>
      <c r="B102">
        <f t="shared" si="2"/>
        <v>2020</v>
      </c>
      <c r="C102" s="3" t="s">
        <v>188</v>
      </c>
      <c r="D102" s="113">
        <v>7358</v>
      </c>
      <c r="E102" s="113">
        <v>7256.2</v>
      </c>
      <c r="F102" s="113">
        <v>162</v>
      </c>
      <c r="G102" s="113">
        <v>159.5</v>
      </c>
      <c r="H102" s="230">
        <v>769942</v>
      </c>
      <c r="I102" s="230">
        <v>8258.2999999999993</v>
      </c>
      <c r="J102" s="230">
        <v>7244.3</v>
      </c>
      <c r="K102" s="230">
        <v>5453.2</v>
      </c>
      <c r="L102" s="230">
        <v>1118.5</v>
      </c>
      <c r="M102" s="230">
        <v>1755.9</v>
      </c>
      <c r="N102" s="230">
        <v>6539.9</v>
      </c>
      <c r="O102" s="230">
        <v>107.8</v>
      </c>
      <c r="P102" s="230">
        <v>72</v>
      </c>
      <c r="Q102" s="6">
        <v>800126</v>
      </c>
      <c r="R102" s="230">
        <v>7823</v>
      </c>
      <c r="S102" s="230">
        <v>3864</v>
      </c>
      <c r="T102" s="230">
        <v>13972</v>
      </c>
      <c r="U102" s="66"/>
      <c r="V102" s="66"/>
    </row>
    <row r="103" spans="1:22" ht="15.6">
      <c r="A103" s="114">
        <v>43922</v>
      </c>
      <c r="B103">
        <f t="shared" si="2"/>
        <v>2020</v>
      </c>
      <c r="C103" s="3" t="s">
        <v>190</v>
      </c>
      <c r="D103" s="113">
        <v>6963.7</v>
      </c>
      <c r="E103" s="113">
        <v>6885.2</v>
      </c>
      <c r="F103" s="113">
        <v>149.1</v>
      </c>
      <c r="G103" s="113">
        <v>148.19999999999999</v>
      </c>
      <c r="H103" s="230">
        <v>769942</v>
      </c>
      <c r="I103" s="230">
        <v>8258.2999999999993</v>
      </c>
      <c r="J103" s="230">
        <v>7244.3</v>
      </c>
      <c r="K103" s="230">
        <v>5453.2</v>
      </c>
      <c r="L103" s="230">
        <v>1118.5</v>
      </c>
      <c r="M103" s="230">
        <v>1755.9</v>
      </c>
      <c r="N103" s="230">
        <v>6539.9</v>
      </c>
      <c r="O103" s="230">
        <v>107.8</v>
      </c>
      <c r="P103" s="230">
        <v>72</v>
      </c>
      <c r="Q103" s="6">
        <v>706539</v>
      </c>
      <c r="R103" s="230">
        <v>8133</v>
      </c>
      <c r="S103" s="230">
        <v>3719</v>
      </c>
      <c r="T103" s="230">
        <v>13618</v>
      </c>
      <c r="U103" s="66"/>
      <c r="V103" s="66"/>
    </row>
    <row r="104" spans="1:22" ht="15.6">
      <c r="A104" s="114">
        <v>43952</v>
      </c>
      <c r="B104">
        <f t="shared" si="2"/>
        <v>2020</v>
      </c>
      <c r="C104" s="3" t="s">
        <v>190</v>
      </c>
      <c r="D104" s="113">
        <v>6568.2</v>
      </c>
      <c r="E104" s="113">
        <v>6536.7</v>
      </c>
      <c r="F104" s="113">
        <v>137.69999999999999</v>
      </c>
      <c r="G104" s="113">
        <v>137.30000000000001</v>
      </c>
      <c r="H104" s="230">
        <v>769942</v>
      </c>
      <c r="I104" s="230">
        <v>8258.2999999999993</v>
      </c>
      <c r="J104" s="230">
        <v>7244.3</v>
      </c>
      <c r="K104" s="230">
        <v>5453.2</v>
      </c>
      <c r="L104" s="230">
        <v>1118.5</v>
      </c>
      <c r="M104" s="230">
        <v>1755.9</v>
      </c>
      <c r="N104" s="230">
        <v>6539.9</v>
      </c>
      <c r="O104" s="230">
        <v>107.8</v>
      </c>
      <c r="P104" s="230">
        <v>72</v>
      </c>
      <c r="Q104" s="6">
        <v>706539</v>
      </c>
      <c r="R104" s="230">
        <v>8133</v>
      </c>
      <c r="S104" s="230">
        <v>3719</v>
      </c>
      <c r="T104" s="230">
        <v>13618</v>
      </c>
      <c r="U104" s="66"/>
      <c r="V104" s="66"/>
    </row>
    <row r="105" spans="1:22" ht="15.6">
      <c r="A105" s="114">
        <v>43983</v>
      </c>
      <c r="B105">
        <f t="shared" si="2"/>
        <v>2020</v>
      </c>
      <c r="C105" s="3" t="s">
        <v>190</v>
      </c>
      <c r="D105" s="113">
        <v>6459.7</v>
      </c>
      <c r="E105" s="113">
        <v>6498.5</v>
      </c>
      <c r="F105" s="113">
        <v>140</v>
      </c>
      <c r="G105" s="113">
        <v>140.69999999999999</v>
      </c>
      <c r="H105" s="230">
        <v>769942</v>
      </c>
      <c r="I105" s="230">
        <v>8258.2999999999993</v>
      </c>
      <c r="J105" s="230">
        <v>7244.3</v>
      </c>
      <c r="K105" s="230">
        <v>5453.2</v>
      </c>
      <c r="L105" s="230">
        <v>1118.5</v>
      </c>
      <c r="M105" s="230">
        <v>1755.9</v>
      </c>
      <c r="N105" s="230">
        <v>6539.9</v>
      </c>
      <c r="O105" s="230">
        <v>107.8</v>
      </c>
      <c r="P105" s="230">
        <v>72</v>
      </c>
      <c r="Q105" s="6">
        <v>706539</v>
      </c>
      <c r="R105" s="230">
        <v>8133</v>
      </c>
      <c r="S105" s="230">
        <v>3719</v>
      </c>
      <c r="T105" s="230">
        <v>13618</v>
      </c>
      <c r="U105" s="66"/>
      <c r="V105" s="66"/>
    </row>
    <row r="106" spans="1:22" ht="15.6">
      <c r="A106" s="114">
        <v>44013</v>
      </c>
      <c r="B106">
        <f t="shared" si="2"/>
        <v>2020</v>
      </c>
      <c r="C106" s="3" t="s">
        <v>197</v>
      </c>
      <c r="D106" s="113">
        <v>6643.5</v>
      </c>
      <c r="E106" s="113">
        <v>6711.9</v>
      </c>
      <c r="F106" s="113">
        <v>150.6</v>
      </c>
      <c r="G106" s="113">
        <v>150.80000000000001</v>
      </c>
      <c r="H106" s="230">
        <v>769942</v>
      </c>
      <c r="I106" s="230">
        <v>8258.2999999999993</v>
      </c>
      <c r="J106" s="230">
        <v>7244.3</v>
      </c>
      <c r="K106" s="230">
        <v>5453.2</v>
      </c>
      <c r="L106" s="230">
        <v>1118.5</v>
      </c>
      <c r="M106" s="230">
        <v>1755.9</v>
      </c>
      <c r="N106" s="230">
        <v>6539.9</v>
      </c>
      <c r="O106" s="230">
        <v>107.8</v>
      </c>
      <c r="P106" s="230">
        <v>72</v>
      </c>
      <c r="Q106" s="6">
        <v>777225</v>
      </c>
      <c r="R106" s="230">
        <v>8275</v>
      </c>
      <c r="S106" s="230">
        <v>3859</v>
      </c>
      <c r="T106" s="230">
        <v>14949</v>
      </c>
      <c r="U106" s="66"/>
      <c r="V106" s="66"/>
    </row>
    <row r="107" spans="1:22" ht="15.6">
      <c r="A107" s="114">
        <v>44044</v>
      </c>
      <c r="B107">
        <f t="shared" si="2"/>
        <v>2020</v>
      </c>
      <c r="C107" s="3" t="s">
        <v>197</v>
      </c>
      <c r="D107" s="113">
        <v>6879.1</v>
      </c>
      <c r="E107" s="113">
        <v>6950.9</v>
      </c>
      <c r="F107" s="113">
        <v>156.80000000000001</v>
      </c>
      <c r="G107" s="113">
        <v>156.6</v>
      </c>
      <c r="H107" s="230">
        <v>769942</v>
      </c>
      <c r="I107" s="230">
        <v>8258.2999999999993</v>
      </c>
      <c r="J107" s="230">
        <v>7244.3</v>
      </c>
      <c r="K107" s="230">
        <v>5453.2</v>
      </c>
      <c r="L107" s="230">
        <v>1118.5</v>
      </c>
      <c r="M107" s="230">
        <v>1755.9</v>
      </c>
      <c r="N107" s="230">
        <v>6539.9</v>
      </c>
      <c r="O107" s="230">
        <v>107.8</v>
      </c>
      <c r="P107" s="230">
        <v>72</v>
      </c>
      <c r="Q107" s="6">
        <v>777225</v>
      </c>
      <c r="R107" s="230">
        <v>8275</v>
      </c>
      <c r="S107" s="230">
        <v>3859</v>
      </c>
      <c r="T107" s="230">
        <v>14949</v>
      </c>
      <c r="U107" s="66"/>
      <c r="V107" s="66"/>
    </row>
    <row r="108" spans="1:22" ht="15.6">
      <c r="A108" s="114">
        <v>44075</v>
      </c>
      <c r="B108">
        <f t="shared" si="2"/>
        <v>2020</v>
      </c>
      <c r="C108" s="3" t="s">
        <v>197</v>
      </c>
      <c r="D108" s="113">
        <v>7040.8</v>
      </c>
      <c r="E108" s="113">
        <v>7075.5</v>
      </c>
      <c r="F108" s="113">
        <v>157.4</v>
      </c>
      <c r="G108" s="113">
        <v>157.80000000000001</v>
      </c>
      <c r="H108" s="230">
        <v>769942</v>
      </c>
      <c r="I108" s="230">
        <v>8258.2999999999993</v>
      </c>
      <c r="J108" s="230">
        <v>7244.3</v>
      </c>
      <c r="K108" s="230">
        <v>5453.2</v>
      </c>
      <c r="L108" s="230">
        <v>1118.5</v>
      </c>
      <c r="M108" s="230">
        <v>1755.9</v>
      </c>
      <c r="N108" s="230">
        <v>6539.9</v>
      </c>
      <c r="O108" s="230">
        <v>107.8</v>
      </c>
      <c r="P108" s="230">
        <v>72</v>
      </c>
      <c r="Q108" s="6">
        <v>777225</v>
      </c>
      <c r="R108" s="230">
        <v>8275</v>
      </c>
      <c r="S108" s="230">
        <v>3859</v>
      </c>
      <c r="T108" s="230">
        <v>14949</v>
      </c>
      <c r="U108" s="66"/>
      <c r="V108" s="66"/>
    </row>
    <row r="109" spans="1:22" ht="15.6">
      <c r="A109" s="114">
        <v>44105</v>
      </c>
      <c r="B109">
        <f t="shared" si="2"/>
        <v>2020</v>
      </c>
      <c r="C109" s="3" t="s">
        <v>199</v>
      </c>
      <c r="D109" s="113">
        <v>7159.1</v>
      </c>
      <c r="E109" s="113">
        <v>7184.1</v>
      </c>
      <c r="F109" s="113">
        <v>154.69999999999999</v>
      </c>
      <c r="G109" s="113">
        <v>155.80000000000001</v>
      </c>
      <c r="H109" s="230">
        <v>769942</v>
      </c>
      <c r="I109" s="230">
        <v>8258.2999999999993</v>
      </c>
      <c r="J109" s="230">
        <v>7244.3</v>
      </c>
      <c r="K109" s="230">
        <v>5453.2</v>
      </c>
      <c r="L109" s="230">
        <v>1118.5</v>
      </c>
      <c r="M109" s="230">
        <v>1755.9</v>
      </c>
      <c r="N109" s="230">
        <v>6539.9</v>
      </c>
      <c r="O109" s="230">
        <v>107.8</v>
      </c>
      <c r="P109" s="230">
        <v>72</v>
      </c>
      <c r="Q109" s="6">
        <v>795879</v>
      </c>
      <c r="R109" s="230">
        <v>8803</v>
      </c>
      <c r="S109" s="230">
        <v>3986</v>
      </c>
      <c r="T109" s="230">
        <v>15853</v>
      </c>
      <c r="U109" s="66"/>
      <c r="V109" s="66"/>
    </row>
    <row r="110" spans="1:22" ht="15.6">
      <c r="A110" s="114">
        <v>44136</v>
      </c>
      <c r="B110">
        <f t="shared" si="2"/>
        <v>2020</v>
      </c>
      <c r="C110" s="3" t="s">
        <v>199</v>
      </c>
      <c r="D110" s="113">
        <v>7242.5</v>
      </c>
      <c r="E110" s="113">
        <v>7255.2</v>
      </c>
      <c r="F110" s="113">
        <v>154.19999999999999</v>
      </c>
      <c r="G110" s="113">
        <v>155.30000000000001</v>
      </c>
      <c r="H110" s="230">
        <v>769942</v>
      </c>
      <c r="I110" s="230">
        <v>8258.2999999999993</v>
      </c>
      <c r="J110" s="230">
        <v>7244.3</v>
      </c>
      <c r="K110" s="230">
        <v>5453.2</v>
      </c>
      <c r="L110" s="230">
        <v>1118.5</v>
      </c>
      <c r="M110" s="230">
        <v>1755.9</v>
      </c>
      <c r="N110" s="230">
        <v>6539.9</v>
      </c>
      <c r="O110" s="230">
        <v>107.8</v>
      </c>
      <c r="P110" s="230">
        <v>72</v>
      </c>
      <c r="Q110" s="6">
        <v>795879</v>
      </c>
      <c r="R110" s="230">
        <v>8803</v>
      </c>
      <c r="S110" s="230">
        <v>3986</v>
      </c>
      <c r="T110" s="230">
        <v>15853</v>
      </c>
      <c r="U110" s="66"/>
      <c r="V110" s="66"/>
    </row>
    <row r="111" spans="1:22" ht="15.6">
      <c r="A111" s="114">
        <v>44166</v>
      </c>
      <c r="B111">
        <f t="shared" si="2"/>
        <v>2020</v>
      </c>
      <c r="C111" s="3" t="s">
        <v>199</v>
      </c>
      <c r="D111" s="113">
        <v>7258.1</v>
      </c>
      <c r="E111" s="113">
        <v>7273.3</v>
      </c>
      <c r="F111" s="113">
        <v>149.69999999999999</v>
      </c>
      <c r="G111" s="113">
        <v>150.5</v>
      </c>
      <c r="H111" s="230">
        <v>769942</v>
      </c>
      <c r="I111" s="230">
        <v>8258.2999999999993</v>
      </c>
      <c r="J111" s="230">
        <v>7244.3</v>
      </c>
      <c r="K111" s="230">
        <v>5453.2</v>
      </c>
      <c r="L111" s="230">
        <v>1118.5</v>
      </c>
      <c r="M111" s="230">
        <v>1755.9</v>
      </c>
      <c r="N111" s="230">
        <v>6539.9</v>
      </c>
      <c r="O111" s="230">
        <v>107.8</v>
      </c>
      <c r="P111" s="230">
        <v>72</v>
      </c>
      <c r="Q111" s="6">
        <v>795879</v>
      </c>
      <c r="R111" s="230">
        <v>8803</v>
      </c>
      <c r="S111" s="230">
        <v>3986</v>
      </c>
      <c r="T111" s="230">
        <v>15853</v>
      </c>
      <c r="U111" s="66"/>
      <c r="V111" s="66"/>
    </row>
    <row r="112" spans="1:22" ht="15.6">
      <c r="A112" s="114">
        <v>44197</v>
      </c>
      <c r="B112">
        <f t="shared" si="2"/>
        <v>2021</v>
      </c>
      <c r="C112" s="3" t="s">
        <v>188</v>
      </c>
      <c r="D112" s="113">
        <v>7204.5</v>
      </c>
      <c r="E112" s="113">
        <v>7180.4</v>
      </c>
      <c r="F112" s="113">
        <v>150.80000000000001</v>
      </c>
      <c r="G112" s="113">
        <v>149.6</v>
      </c>
      <c r="H112" s="230">
        <v>809658.6</v>
      </c>
      <c r="I112" s="230">
        <v>8675.1</v>
      </c>
      <c r="J112" s="230">
        <v>7622.2</v>
      </c>
      <c r="K112" s="230">
        <v>5799.3</v>
      </c>
      <c r="L112" s="230">
        <v>1155.7</v>
      </c>
      <c r="M112" s="230">
        <v>1899.3</v>
      </c>
      <c r="N112" s="230">
        <v>6484.1</v>
      </c>
      <c r="O112" s="230">
        <v>102.4</v>
      </c>
      <c r="P112" s="230">
        <v>101.8</v>
      </c>
      <c r="Q112" s="6">
        <v>805455</v>
      </c>
      <c r="R112" s="230">
        <v>8723</v>
      </c>
      <c r="S112" s="230">
        <v>3886</v>
      </c>
      <c r="T112" s="230">
        <v>15742</v>
      </c>
      <c r="U112" s="66"/>
      <c r="V112" s="66"/>
    </row>
    <row r="113" spans="1:22" ht="15.6">
      <c r="A113" s="114">
        <v>44228</v>
      </c>
      <c r="B113">
        <f t="shared" si="2"/>
        <v>2021</v>
      </c>
      <c r="C113" s="3" t="s">
        <v>188</v>
      </c>
      <c r="D113" s="113">
        <v>7182.2</v>
      </c>
      <c r="E113" s="113">
        <v>7124.8</v>
      </c>
      <c r="F113" s="113">
        <v>151.6</v>
      </c>
      <c r="G113" s="113">
        <v>150</v>
      </c>
      <c r="H113" s="230">
        <v>809658.6</v>
      </c>
      <c r="I113" s="230">
        <v>8675.1</v>
      </c>
      <c r="J113" s="230">
        <v>7622.2</v>
      </c>
      <c r="K113" s="230">
        <v>5799.3</v>
      </c>
      <c r="L113" s="230">
        <v>1155.7</v>
      </c>
      <c r="M113" s="230">
        <v>1899.3</v>
      </c>
      <c r="N113" s="230">
        <v>6484.1</v>
      </c>
      <c r="O113" s="230">
        <v>102.4</v>
      </c>
      <c r="P113" s="230">
        <v>101.8</v>
      </c>
      <c r="Q113" s="6">
        <v>805455</v>
      </c>
      <c r="R113" s="230">
        <v>8723</v>
      </c>
      <c r="S113" s="230">
        <v>3886</v>
      </c>
      <c r="T113" s="230">
        <v>15742</v>
      </c>
      <c r="U113" s="66"/>
      <c r="V113" s="66"/>
    </row>
    <row r="114" spans="1:22" ht="15.6">
      <c r="A114" s="114">
        <v>44256</v>
      </c>
      <c r="B114">
        <f t="shared" si="2"/>
        <v>2021</v>
      </c>
      <c r="C114" s="3" t="s">
        <v>188</v>
      </c>
      <c r="D114" s="113">
        <v>7223</v>
      </c>
      <c r="E114" s="113">
        <v>7129.5</v>
      </c>
      <c r="F114" s="113">
        <v>159.5</v>
      </c>
      <c r="G114" s="113">
        <v>156.30000000000001</v>
      </c>
      <c r="H114" s="230">
        <v>809658.6</v>
      </c>
      <c r="I114" s="230">
        <v>8675.1</v>
      </c>
      <c r="J114" s="230">
        <v>7622.2</v>
      </c>
      <c r="K114" s="230">
        <v>5799.3</v>
      </c>
      <c r="L114" s="230">
        <v>1155.7</v>
      </c>
      <c r="M114" s="230">
        <v>1899.3</v>
      </c>
      <c r="N114" s="230">
        <v>6484.1</v>
      </c>
      <c r="O114" s="230">
        <v>102.4</v>
      </c>
      <c r="P114" s="230">
        <v>101.8</v>
      </c>
      <c r="Q114" s="6">
        <v>805455</v>
      </c>
      <c r="R114" s="230">
        <v>8723</v>
      </c>
      <c r="S114" s="230">
        <v>3886</v>
      </c>
      <c r="T114" s="230">
        <v>15742</v>
      </c>
      <c r="U114" s="66"/>
      <c r="V114" s="66"/>
    </row>
    <row r="115" spans="1:22" ht="15.6">
      <c r="A115" s="114">
        <v>44287</v>
      </c>
      <c r="B115">
        <f t="shared" si="2"/>
        <v>2021</v>
      </c>
      <c r="C115" s="3" t="s">
        <v>190</v>
      </c>
      <c r="D115" s="113">
        <v>7274</v>
      </c>
      <c r="E115" s="113">
        <v>7197</v>
      </c>
      <c r="F115" s="113">
        <v>162.30000000000001</v>
      </c>
      <c r="G115" s="113">
        <v>160.6</v>
      </c>
      <c r="H115" s="230">
        <v>809658.6</v>
      </c>
      <c r="I115" s="230">
        <v>8675.1</v>
      </c>
      <c r="J115" s="230">
        <v>7622.2</v>
      </c>
      <c r="K115" s="230">
        <v>5799.3</v>
      </c>
      <c r="L115" s="230">
        <v>1155.7</v>
      </c>
      <c r="M115" s="230">
        <v>1899.3</v>
      </c>
      <c r="N115" s="230">
        <v>6484.1</v>
      </c>
      <c r="O115" s="230">
        <v>102.4</v>
      </c>
      <c r="P115" s="230">
        <v>101.8</v>
      </c>
      <c r="Q115" s="6">
        <v>795824</v>
      </c>
      <c r="R115" s="230">
        <v>8775</v>
      </c>
      <c r="S115" s="230">
        <v>3799</v>
      </c>
      <c r="T115" s="230">
        <v>15935</v>
      </c>
      <c r="U115" s="66"/>
      <c r="V115" s="66"/>
    </row>
    <row r="116" spans="1:22" ht="15.6">
      <c r="A116" s="114">
        <v>44317</v>
      </c>
      <c r="B116">
        <f t="shared" si="2"/>
        <v>2021</v>
      </c>
      <c r="C116" s="3" t="s">
        <v>190</v>
      </c>
      <c r="D116" s="113">
        <v>7269.7</v>
      </c>
      <c r="E116" s="113">
        <v>7237.7</v>
      </c>
      <c r="F116" s="113">
        <v>162.9</v>
      </c>
      <c r="G116" s="113">
        <v>162.4</v>
      </c>
      <c r="H116" s="230">
        <v>809658.6</v>
      </c>
      <c r="I116" s="230">
        <v>8675.1</v>
      </c>
      <c r="J116" s="230">
        <v>7622.2</v>
      </c>
      <c r="K116" s="230">
        <v>5799.3</v>
      </c>
      <c r="L116" s="230">
        <v>1155.7</v>
      </c>
      <c r="M116" s="230">
        <v>1899.3</v>
      </c>
      <c r="N116" s="230">
        <v>6484.1</v>
      </c>
      <c r="O116" s="230">
        <v>102.4</v>
      </c>
      <c r="P116" s="230">
        <v>101.8</v>
      </c>
      <c r="Q116" s="6">
        <v>795824</v>
      </c>
      <c r="R116" s="230">
        <v>8775</v>
      </c>
      <c r="S116" s="230">
        <v>3799</v>
      </c>
      <c r="T116" s="230">
        <v>15935</v>
      </c>
      <c r="U116" s="66"/>
      <c r="V116" s="66"/>
    </row>
    <row r="117" spans="1:22">
      <c r="A117" s="114">
        <v>44348</v>
      </c>
      <c r="B117">
        <f t="shared" si="2"/>
        <v>2021</v>
      </c>
      <c r="C117" s="3" t="s">
        <v>190</v>
      </c>
      <c r="D117" s="113">
        <v>7250.5</v>
      </c>
      <c r="E117" s="113">
        <v>7293</v>
      </c>
      <c r="F117" s="113">
        <v>163.80000000000001</v>
      </c>
      <c r="G117" s="113">
        <v>164.4</v>
      </c>
      <c r="H117" s="230">
        <v>809658.6</v>
      </c>
      <c r="I117" s="230">
        <v>8675.1</v>
      </c>
      <c r="J117" s="230">
        <v>7622.2</v>
      </c>
      <c r="K117" s="230">
        <v>5799.3</v>
      </c>
      <c r="L117" s="230">
        <v>1155.7</v>
      </c>
      <c r="M117" s="230">
        <v>1899.3</v>
      </c>
      <c r="N117" s="230">
        <v>6484.1</v>
      </c>
      <c r="O117" s="230">
        <v>102.4</v>
      </c>
      <c r="P117" s="230">
        <v>101.8</v>
      </c>
      <c r="Q117" s="6">
        <v>795824</v>
      </c>
      <c r="R117" s="230">
        <v>8775</v>
      </c>
      <c r="S117" s="230">
        <v>3799</v>
      </c>
      <c r="T117" s="230">
        <v>15935</v>
      </c>
    </row>
    <row r="118" spans="1:22">
      <c r="A118" s="114">
        <v>44378</v>
      </c>
      <c r="B118">
        <f t="shared" si="2"/>
        <v>2021</v>
      </c>
      <c r="C118" s="3" t="s">
        <v>197</v>
      </c>
      <c r="D118" s="113">
        <v>7313.3</v>
      </c>
      <c r="E118" s="113">
        <v>7391.8</v>
      </c>
      <c r="F118" s="113">
        <v>164.8</v>
      </c>
      <c r="G118" s="113">
        <v>165.4</v>
      </c>
      <c r="H118" s="230">
        <v>809658.6</v>
      </c>
      <c r="I118" s="230">
        <v>8675.1</v>
      </c>
      <c r="J118" s="230">
        <v>7622.2</v>
      </c>
      <c r="K118" s="230">
        <v>5799.3</v>
      </c>
      <c r="L118" s="230">
        <v>1155.7</v>
      </c>
      <c r="M118" s="230">
        <v>1899.3</v>
      </c>
      <c r="N118" s="230">
        <v>6484.1</v>
      </c>
      <c r="O118" s="230">
        <v>102.4</v>
      </c>
      <c r="P118" s="230">
        <v>101.8</v>
      </c>
      <c r="Q118" s="6">
        <v>810982</v>
      </c>
      <c r="R118" s="230">
        <v>8142</v>
      </c>
      <c r="S118" s="230">
        <v>4000</v>
      </c>
      <c r="T118" s="230">
        <v>16200</v>
      </c>
    </row>
    <row r="119" spans="1:22">
      <c r="A119" s="114">
        <v>44409</v>
      </c>
      <c r="B119">
        <f t="shared" si="2"/>
        <v>2021</v>
      </c>
      <c r="C119" s="3" t="s">
        <v>197</v>
      </c>
      <c r="D119" s="113">
        <v>7398.8</v>
      </c>
      <c r="E119" s="113">
        <v>7475.2</v>
      </c>
      <c r="F119" s="113">
        <v>167.7</v>
      </c>
      <c r="G119" s="113">
        <v>168.6</v>
      </c>
      <c r="H119" s="230">
        <v>809658.6</v>
      </c>
      <c r="I119" s="230">
        <v>8675.1</v>
      </c>
      <c r="J119" s="230">
        <v>7622.2</v>
      </c>
      <c r="K119" s="230">
        <v>5799.3</v>
      </c>
      <c r="L119" s="230">
        <v>1155.7</v>
      </c>
      <c r="M119" s="230">
        <v>1899.3</v>
      </c>
      <c r="N119" s="230">
        <v>6484.1</v>
      </c>
      <c r="O119" s="230">
        <v>102.4</v>
      </c>
      <c r="P119" s="230">
        <v>101.8</v>
      </c>
      <c r="Q119" s="6">
        <v>810982</v>
      </c>
      <c r="R119" s="230">
        <v>8142</v>
      </c>
      <c r="S119" s="230">
        <v>4000</v>
      </c>
      <c r="T119" s="230">
        <v>16200</v>
      </c>
    </row>
    <row r="120" spans="1:22">
      <c r="A120" s="114">
        <v>44440</v>
      </c>
      <c r="B120">
        <f t="shared" si="2"/>
        <v>2021</v>
      </c>
      <c r="C120" s="3" t="s">
        <v>197</v>
      </c>
      <c r="D120" s="113">
        <v>7473.3</v>
      </c>
      <c r="E120" s="113">
        <v>7503.2</v>
      </c>
      <c r="F120" s="113">
        <v>165.8</v>
      </c>
      <c r="G120" s="113">
        <v>167.7</v>
      </c>
      <c r="H120" s="230">
        <v>809658.6</v>
      </c>
      <c r="I120" s="230">
        <v>8675.1</v>
      </c>
      <c r="J120" s="230">
        <v>7622.2</v>
      </c>
      <c r="K120" s="230">
        <v>5799.3</v>
      </c>
      <c r="L120" s="230">
        <v>1155.7</v>
      </c>
      <c r="M120" s="230">
        <v>1899.3</v>
      </c>
      <c r="N120" s="230">
        <v>6484.1</v>
      </c>
      <c r="O120" s="230">
        <v>102.4</v>
      </c>
      <c r="P120" s="230">
        <v>101.8</v>
      </c>
      <c r="Q120" s="6">
        <v>810982</v>
      </c>
      <c r="R120" s="230">
        <v>8142</v>
      </c>
      <c r="S120" s="230">
        <v>4000</v>
      </c>
      <c r="T120" s="230">
        <v>16200</v>
      </c>
    </row>
    <row r="121" spans="1:22">
      <c r="A121" s="114">
        <v>44470</v>
      </c>
      <c r="B121">
        <f t="shared" si="2"/>
        <v>2021</v>
      </c>
      <c r="C121" s="3" t="s">
        <v>199</v>
      </c>
      <c r="D121" s="113">
        <v>7523</v>
      </c>
      <c r="E121" s="113">
        <v>7538.5</v>
      </c>
      <c r="F121" s="113">
        <v>169.4</v>
      </c>
      <c r="G121" s="113">
        <v>171.7</v>
      </c>
      <c r="H121" s="230">
        <v>809658.6</v>
      </c>
      <c r="I121" s="230">
        <v>8675.1</v>
      </c>
      <c r="J121" s="230">
        <v>7622.2</v>
      </c>
      <c r="K121" s="230">
        <v>5799.3</v>
      </c>
      <c r="L121" s="230">
        <v>1155.7</v>
      </c>
      <c r="M121" s="230">
        <v>1899.3</v>
      </c>
      <c r="N121" s="230">
        <v>6484.1</v>
      </c>
      <c r="O121" s="230">
        <v>102.4</v>
      </c>
      <c r="P121" s="230">
        <v>101.8</v>
      </c>
      <c r="Q121" s="6">
        <v>826374</v>
      </c>
      <c r="R121" s="230">
        <v>9060</v>
      </c>
      <c r="S121" s="230">
        <v>4056</v>
      </c>
      <c r="T121" s="230">
        <v>16397</v>
      </c>
    </row>
    <row r="122" spans="1:22">
      <c r="A122" s="114">
        <v>44501</v>
      </c>
      <c r="B122">
        <f t="shared" si="2"/>
        <v>2021</v>
      </c>
      <c r="C122" s="3" t="s">
        <v>199</v>
      </c>
      <c r="D122" s="113">
        <v>7584.2</v>
      </c>
      <c r="E122" s="113">
        <v>7590.1</v>
      </c>
      <c r="F122" s="113">
        <v>176.5</v>
      </c>
      <c r="G122" s="113">
        <v>178</v>
      </c>
      <c r="H122" s="230">
        <v>809658.6</v>
      </c>
      <c r="I122" s="230">
        <v>8675.1</v>
      </c>
      <c r="J122" s="230">
        <v>7622.2</v>
      </c>
      <c r="K122" s="230">
        <v>5799.3</v>
      </c>
      <c r="L122" s="230">
        <v>1155.7</v>
      </c>
      <c r="M122" s="230">
        <v>1899.3</v>
      </c>
      <c r="N122" s="230">
        <v>6484.1</v>
      </c>
      <c r="O122" s="230">
        <v>102.4</v>
      </c>
      <c r="P122" s="230">
        <v>101.8</v>
      </c>
      <c r="Q122" s="6">
        <v>826374</v>
      </c>
      <c r="R122" s="230">
        <v>9060</v>
      </c>
      <c r="S122" s="230">
        <v>4056</v>
      </c>
      <c r="T122" s="230">
        <v>16397</v>
      </c>
    </row>
    <row r="123" spans="1:22">
      <c r="A123" s="114">
        <v>44531</v>
      </c>
      <c r="B123">
        <f t="shared" si="2"/>
        <v>2021</v>
      </c>
      <c r="C123" s="3" t="s">
        <v>199</v>
      </c>
      <c r="D123" s="113">
        <v>7632.7</v>
      </c>
      <c r="E123" s="113">
        <v>7647.5</v>
      </c>
      <c r="F123" s="113">
        <v>183.6</v>
      </c>
      <c r="G123" s="113">
        <v>185.1</v>
      </c>
      <c r="H123" s="230">
        <v>809658.6</v>
      </c>
      <c r="I123" s="230">
        <v>8675.1</v>
      </c>
      <c r="J123" s="230">
        <v>7622.2</v>
      </c>
      <c r="K123" s="230">
        <v>5799.3</v>
      </c>
      <c r="L123" s="230">
        <v>1155.7</v>
      </c>
      <c r="M123" s="230">
        <v>1899.3</v>
      </c>
      <c r="N123" s="230">
        <v>6484.1</v>
      </c>
      <c r="O123" s="230">
        <v>102.4</v>
      </c>
      <c r="P123" s="230">
        <v>101.8</v>
      </c>
      <c r="Q123" s="6">
        <v>826374</v>
      </c>
      <c r="R123" s="230">
        <v>9060</v>
      </c>
      <c r="S123" s="230">
        <v>4056</v>
      </c>
      <c r="T123" s="230">
        <v>16397</v>
      </c>
    </row>
    <row r="124" spans="1:22">
      <c r="A124" s="114">
        <v>44562</v>
      </c>
      <c r="B124">
        <f t="shared" si="2"/>
        <v>2022</v>
      </c>
      <c r="C124" s="3" t="s">
        <v>188</v>
      </c>
      <c r="D124" s="113">
        <v>7620</v>
      </c>
      <c r="E124" s="113">
        <v>7595.1</v>
      </c>
      <c r="F124" s="113">
        <v>184.2</v>
      </c>
      <c r="G124" s="113">
        <v>183.4</v>
      </c>
      <c r="H124" s="230">
        <v>839497.4</v>
      </c>
      <c r="I124" s="230">
        <v>8788.9</v>
      </c>
      <c r="J124" s="230">
        <v>7781.9</v>
      </c>
      <c r="K124" s="230">
        <v>5915.7</v>
      </c>
      <c r="L124" s="230">
        <v>1230.4000000000001</v>
      </c>
      <c r="M124" s="230">
        <v>2117.6</v>
      </c>
      <c r="N124" s="230">
        <v>6860.3</v>
      </c>
      <c r="O124" s="230">
        <v>109.5</v>
      </c>
      <c r="P124" s="230">
        <v>119.5</v>
      </c>
      <c r="Q124" s="6">
        <v>833713</v>
      </c>
      <c r="R124" s="230">
        <v>8882</v>
      </c>
      <c r="S124" s="230">
        <v>4219</v>
      </c>
      <c r="T124" s="230">
        <v>16469</v>
      </c>
    </row>
    <row r="125" spans="1:22">
      <c r="A125" s="114">
        <v>44593</v>
      </c>
      <c r="B125">
        <f t="shared" si="2"/>
        <v>2022</v>
      </c>
      <c r="C125" s="3" t="s">
        <v>188</v>
      </c>
      <c r="D125" s="113">
        <v>7649</v>
      </c>
      <c r="E125" s="113">
        <v>7588.8</v>
      </c>
      <c r="F125" s="113">
        <v>181.8</v>
      </c>
      <c r="G125" s="113">
        <v>180.5</v>
      </c>
      <c r="H125" s="230">
        <v>839497.4</v>
      </c>
      <c r="I125" s="230">
        <v>8788.9</v>
      </c>
      <c r="J125" s="230">
        <v>7781.9</v>
      </c>
      <c r="K125" s="230">
        <v>5915.7</v>
      </c>
      <c r="L125" s="230">
        <v>1230.4000000000001</v>
      </c>
      <c r="M125" s="230">
        <v>2117.6</v>
      </c>
      <c r="N125" s="230">
        <v>6860.3</v>
      </c>
      <c r="O125" s="230">
        <v>109.5</v>
      </c>
      <c r="P125" s="230">
        <v>119.5</v>
      </c>
      <c r="Q125" s="6">
        <v>833713</v>
      </c>
      <c r="R125" s="230">
        <v>8882</v>
      </c>
      <c r="S125" s="230">
        <v>4219</v>
      </c>
      <c r="T125" s="230">
        <v>16469</v>
      </c>
    </row>
    <row r="126" spans="1:22">
      <c r="A126" s="114">
        <v>44621</v>
      </c>
      <c r="B126">
        <f t="shared" si="2"/>
        <v>2022</v>
      </c>
      <c r="C126" s="3" t="s">
        <v>188</v>
      </c>
      <c r="D126" s="113">
        <v>7670</v>
      </c>
      <c r="E126" s="113">
        <v>7573.4</v>
      </c>
      <c r="F126" s="113">
        <v>178.4</v>
      </c>
      <c r="G126" s="113">
        <v>175.2</v>
      </c>
      <c r="H126" s="230">
        <v>839497.4</v>
      </c>
      <c r="I126" s="230">
        <v>8788.9</v>
      </c>
      <c r="J126" s="230">
        <v>7781.9</v>
      </c>
      <c r="K126" s="230">
        <v>5915.7</v>
      </c>
      <c r="L126" s="230">
        <v>1230.4000000000001</v>
      </c>
      <c r="M126" s="230">
        <v>2117.6</v>
      </c>
      <c r="N126" s="230">
        <v>6860.3</v>
      </c>
      <c r="O126" s="230">
        <v>109.5</v>
      </c>
      <c r="P126" s="230">
        <v>119.5</v>
      </c>
      <c r="Q126" s="6">
        <v>833713</v>
      </c>
      <c r="R126" s="230">
        <v>8882</v>
      </c>
      <c r="S126" s="230">
        <v>4219</v>
      </c>
      <c r="T126" s="230">
        <v>16469</v>
      </c>
    </row>
    <row r="127" spans="1:22">
      <c r="A127" s="114">
        <v>44652</v>
      </c>
      <c r="B127">
        <f t="shared" si="2"/>
        <v>2022</v>
      </c>
      <c r="C127" s="3" t="s">
        <v>190</v>
      </c>
      <c r="D127" s="113">
        <v>7750.7</v>
      </c>
      <c r="E127" s="113">
        <v>7670</v>
      </c>
      <c r="F127" s="113">
        <v>177.4</v>
      </c>
      <c r="G127" s="113">
        <v>175.6</v>
      </c>
      <c r="H127" s="230">
        <v>839497.4</v>
      </c>
      <c r="I127" s="230">
        <v>8788.9</v>
      </c>
      <c r="J127" s="230">
        <v>7781.9</v>
      </c>
      <c r="K127" s="230">
        <v>5915.7</v>
      </c>
      <c r="L127" s="230">
        <v>1230.4000000000001</v>
      </c>
      <c r="M127" s="230">
        <v>2117.6</v>
      </c>
      <c r="N127" s="230">
        <v>6860.3</v>
      </c>
      <c r="O127" s="230">
        <v>109.5</v>
      </c>
      <c r="P127" s="230">
        <v>119.5</v>
      </c>
      <c r="Q127" s="6">
        <v>840190</v>
      </c>
      <c r="R127" s="230">
        <v>8753</v>
      </c>
      <c r="S127" s="230">
        <v>3955</v>
      </c>
      <c r="T127" s="230">
        <v>15914</v>
      </c>
    </row>
    <row r="128" spans="1:22">
      <c r="A128" s="114">
        <v>44682</v>
      </c>
      <c r="B128">
        <f t="shared" si="2"/>
        <v>2022</v>
      </c>
      <c r="C128" s="3" t="s">
        <v>190</v>
      </c>
      <c r="D128" s="113">
        <v>7765</v>
      </c>
      <c r="E128" s="113">
        <v>7738.6</v>
      </c>
      <c r="F128" s="113">
        <v>176.2</v>
      </c>
      <c r="G128" s="113">
        <v>174.6</v>
      </c>
      <c r="H128" s="230">
        <v>839497.4</v>
      </c>
      <c r="I128" s="230">
        <v>8788.9</v>
      </c>
      <c r="J128" s="230">
        <v>7781.9</v>
      </c>
      <c r="K128" s="230">
        <v>5915.7</v>
      </c>
      <c r="L128" s="230">
        <v>1230.4000000000001</v>
      </c>
      <c r="M128" s="230">
        <v>2117.6</v>
      </c>
      <c r="N128" s="230">
        <v>6860.3</v>
      </c>
      <c r="O128" s="230">
        <v>109.5</v>
      </c>
      <c r="P128" s="230">
        <v>119.5</v>
      </c>
      <c r="Q128" s="6">
        <v>840190</v>
      </c>
      <c r="R128" s="230">
        <v>8753</v>
      </c>
      <c r="S128" s="230">
        <v>3955</v>
      </c>
      <c r="T128" s="230">
        <v>15914</v>
      </c>
    </row>
    <row r="129" spans="1:20">
      <c r="A129" s="114">
        <v>44713</v>
      </c>
      <c r="B129">
        <f t="shared" si="2"/>
        <v>2022</v>
      </c>
      <c r="C129" s="3" t="s">
        <v>190</v>
      </c>
      <c r="D129" s="113">
        <v>7761.1</v>
      </c>
      <c r="E129" s="113">
        <v>7809.2</v>
      </c>
      <c r="F129" s="113">
        <v>175.1</v>
      </c>
      <c r="G129" s="113">
        <v>174.5</v>
      </c>
      <c r="H129" s="230">
        <v>839497.4</v>
      </c>
      <c r="I129" s="230">
        <v>8788.9</v>
      </c>
      <c r="J129" s="230">
        <v>7781.9</v>
      </c>
      <c r="K129" s="230">
        <v>5915.7</v>
      </c>
      <c r="L129" s="230">
        <v>1230.4000000000001</v>
      </c>
      <c r="M129" s="230">
        <v>2117.6</v>
      </c>
      <c r="N129" s="230">
        <v>6860.3</v>
      </c>
      <c r="O129" s="230">
        <v>109.5</v>
      </c>
      <c r="P129" s="230">
        <v>119.5</v>
      </c>
      <c r="Q129" s="6">
        <v>840190</v>
      </c>
      <c r="R129" s="230">
        <v>8753</v>
      </c>
      <c r="S129" s="230">
        <v>3955</v>
      </c>
      <c r="T129" s="230">
        <v>15914</v>
      </c>
    </row>
    <row r="130" spans="1:20">
      <c r="A130" s="114">
        <v>44743</v>
      </c>
      <c r="B130">
        <f t="shared" si="2"/>
        <v>2022</v>
      </c>
      <c r="C130" s="3" t="s">
        <v>197</v>
      </c>
      <c r="D130" s="113">
        <v>7756.4</v>
      </c>
      <c r="E130" s="113">
        <v>7843.6</v>
      </c>
      <c r="F130" s="113">
        <v>170.6</v>
      </c>
      <c r="G130" s="113">
        <v>170.6</v>
      </c>
      <c r="H130" s="230">
        <v>839497.4</v>
      </c>
      <c r="I130" s="230">
        <v>8788.9</v>
      </c>
      <c r="J130" s="230">
        <v>7781.9</v>
      </c>
      <c r="K130" s="230">
        <v>5915.7</v>
      </c>
      <c r="L130" s="230">
        <v>1230.4000000000001</v>
      </c>
      <c r="M130" s="230">
        <v>2117.6</v>
      </c>
      <c r="N130" s="230">
        <v>6860.3</v>
      </c>
      <c r="O130" s="230">
        <v>109.5</v>
      </c>
      <c r="P130" s="230">
        <v>119.5</v>
      </c>
      <c r="Q130" s="6">
        <v>842100</v>
      </c>
      <c r="R130" s="230">
        <v>8779</v>
      </c>
      <c r="S130" s="230">
        <v>4136</v>
      </c>
      <c r="T130" s="230">
        <v>15900</v>
      </c>
    </row>
    <row r="131" spans="1:20">
      <c r="A131" s="114">
        <v>44774</v>
      </c>
      <c r="B131">
        <f t="shared" si="2"/>
        <v>2022</v>
      </c>
      <c r="C131" s="3" t="s">
        <v>197</v>
      </c>
      <c r="D131" s="113">
        <v>7746.5</v>
      </c>
      <c r="E131" s="113">
        <v>7825.4</v>
      </c>
      <c r="F131" s="113">
        <v>165.3</v>
      </c>
      <c r="G131" s="113">
        <v>166.2</v>
      </c>
      <c r="H131" s="230">
        <v>839497.4</v>
      </c>
      <c r="I131" s="230">
        <v>8788.9</v>
      </c>
      <c r="J131" s="230">
        <v>7781.9</v>
      </c>
      <c r="K131" s="230">
        <v>5915.7</v>
      </c>
      <c r="L131" s="230">
        <v>1230.4000000000001</v>
      </c>
      <c r="M131" s="230">
        <v>2117.6</v>
      </c>
      <c r="N131" s="230">
        <v>6860.3</v>
      </c>
      <c r="O131" s="230">
        <v>109.5</v>
      </c>
      <c r="P131" s="230">
        <v>119.5</v>
      </c>
      <c r="Q131" s="6">
        <v>842100</v>
      </c>
      <c r="R131" s="230">
        <v>8779</v>
      </c>
      <c r="S131" s="230">
        <v>4136</v>
      </c>
      <c r="T131" s="230">
        <v>15900</v>
      </c>
    </row>
    <row r="132" spans="1:20">
      <c r="A132" s="114">
        <v>44805</v>
      </c>
      <c r="B132">
        <f t="shared" si="2"/>
        <v>2022</v>
      </c>
      <c r="C132" s="3" t="s">
        <v>197</v>
      </c>
      <c r="D132" s="113">
        <v>7738.7</v>
      </c>
      <c r="E132" s="113">
        <v>7766.7</v>
      </c>
      <c r="F132" s="113">
        <v>162.30000000000001</v>
      </c>
      <c r="G132" s="113">
        <v>164.4</v>
      </c>
      <c r="H132" s="230">
        <v>839497.4</v>
      </c>
      <c r="I132" s="230">
        <v>8788.9</v>
      </c>
      <c r="J132" s="230">
        <v>7781.9</v>
      </c>
      <c r="K132" s="230">
        <v>5915.7</v>
      </c>
      <c r="L132" s="230">
        <v>1230.4000000000001</v>
      </c>
      <c r="M132" s="230">
        <v>2117.6</v>
      </c>
      <c r="N132" s="230">
        <v>6860.3</v>
      </c>
      <c r="O132" s="230">
        <v>109.5</v>
      </c>
      <c r="P132" s="230">
        <v>119.5</v>
      </c>
      <c r="Q132" s="6">
        <v>842100</v>
      </c>
      <c r="R132" s="230">
        <v>8779</v>
      </c>
      <c r="S132" s="230">
        <v>4136</v>
      </c>
      <c r="T132" s="230">
        <v>15900</v>
      </c>
    </row>
    <row r="133" spans="1:20">
      <c r="A133" s="114">
        <v>44835</v>
      </c>
      <c r="B133">
        <f t="shared" si="2"/>
        <v>2022</v>
      </c>
      <c r="C133" s="3" t="s">
        <v>199</v>
      </c>
      <c r="D133" s="113">
        <v>7731.5</v>
      </c>
      <c r="E133" s="113">
        <v>7743.5</v>
      </c>
      <c r="F133" s="113">
        <v>168.4</v>
      </c>
      <c r="G133" s="113">
        <v>170.6</v>
      </c>
      <c r="H133" s="230">
        <v>839497.4</v>
      </c>
      <c r="I133" s="230">
        <v>8788.9</v>
      </c>
      <c r="J133" s="230">
        <v>7781.9</v>
      </c>
      <c r="K133" s="230">
        <v>5915.7</v>
      </c>
      <c r="L133" s="230">
        <v>1230.4000000000001</v>
      </c>
      <c r="M133" s="230">
        <v>2117.6</v>
      </c>
      <c r="N133" s="230">
        <v>6860.3</v>
      </c>
      <c r="O133" s="230">
        <v>109.5</v>
      </c>
      <c r="P133" s="230">
        <v>119.5</v>
      </c>
      <c r="Q133" s="6">
        <v>841987</v>
      </c>
      <c r="R133" s="230">
        <v>8741</v>
      </c>
      <c r="S133" s="230">
        <v>4053</v>
      </c>
      <c r="T133" s="230">
        <v>15653</v>
      </c>
    </row>
    <row r="134" spans="1:20">
      <c r="A134" s="114">
        <v>44866</v>
      </c>
      <c r="B134">
        <f t="shared" si="2"/>
        <v>2022</v>
      </c>
      <c r="C134" s="3" t="s">
        <v>199</v>
      </c>
      <c r="D134" s="113">
        <v>7736.9</v>
      </c>
      <c r="E134" s="113">
        <v>7738.9</v>
      </c>
      <c r="F134" s="113">
        <v>176.3</v>
      </c>
      <c r="G134" s="113">
        <v>178.1</v>
      </c>
      <c r="H134" s="230">
        <v>839497.4</v>
      </c>
      <c r="I134" s="230">
        <v>8788.9</v>
      </c>
      <c r="J134" s="230">
        <v>7781.9</v>
      </c>
      <c r="K134" s="230">
        <v>5915.7</v>
      </c>
      <c r="L134" s="230">
        <v>1230.4000000000001</v>
      </c>
      <c r="M134" s="230">
        <v>2117.6</v>
      </c>
      <c r="N134" s="230">
        <v>6860.3</v>
      </c>
      <c r="O134" s="230">
        <v>109.5</v>
      </c>
      <c r="P134" s="230">
        <v>119.5</v>
      </c>
      <c r="Q134" s="6">
        <v>841987</v>
      </c>
      <c r="R134" s="230">
        <v>8741</v>
      </c>
      <c r="S134" s="230">
        <v>4053</v>
      </c>
      <c r="T134" s="230">
        <v>15653</v>
      </c>
    </row>
    <row r="135" spans="1:20">
      <c r="A135" s="114">
        <v>44896</v>
      </c>
      <c r="B135">
        <f t="shared" si="2"/>
        <v>2022</v>
      </c>
      <c r="C135" s="3" t="s">
        <v>199</v>
      </c>
      <c r="D135" s="113">
        <v>7760.9</v>
      </c>
      <c r="E135" s="113">
        <v>7777.2</v>
      </c>
      <c r="F135" s="113">
        <v>183.1</v>
      </c>
      <c r="G135" s="113">
        <v>184.9</v>
      </c>
      <c r="H135" s="230">
        <v>839497.4</v>
      </c>
      <c r="I135" s="230">
        <v>8788.9</v>
      </c>
      <c r="J135" s="230">
        <v>7781.9</v>
      </c>
      <c r="K135" s="230">
        <v>5915.7</v>
      </c>
      <c r="L135" s="230">
        <v>1230.4000000000001</v>
      </c>
      <c r="M135" s="230">
        <v>2117.6</v>
      </c>
      <c r="N135" s="230">
        <v>6860.3</v>
      </c>
      <c r="O135" s="230">
        <v>109.5</v>
      </c>
      <c r="P135" s="230">
        <v>119.5</v>
      </c>
      <c r="Q135" s="6">
        <v>841987</v>
      </c>
      <c r="R135" s="230">
        <v>8741</v>
      </c>
      <c r="S135" s="230">
        <v>4053</v>
      </c>
      <c r="T135" s="230">
        <v>15653</v>
      </c>
    </row>
    <row r="136" spans="1:20">
      <c r="A136" s="3">
        <v>44927</v>
      </c>
      <c r="B136">
        <f t="shared" si="2"/>
        <v>2023</v>
      </c>
      <c r="C136" s="3" t="s">
        <v>188</v>
      </c>
      <c r="D136" s="230">
        <v>7795.7</v>
      </c>
      <c r="E136" s="230">
        <v>7776.6</v>
      </c>
      <c r="F136" s="230">
        <v>189.2</v>
      </c>
      <c r="G136" s="230">
        <v>189.3</v>
      </c>
      <c r="H136" s="116">
        <f>H124*(1+$AC$10)</f>
        <v>849571.36880000005</v>
      </c>
      <c r="I136" s="116">
        <f t="shared" ref="I136:O136" si="3">I124*(1+$AC$10)</f>
        <v>8894.3667999999998</v>
      </c>
      <c r="J136" s="116">
        <f t="shared" si="3"/>
        <v>7875.2828</v>
      </c>
      <c r="K136" s="116">
        <f t="shared" si="3"/>
        <v>5986.6884</v>
      </c>
      <c r="L136" s="116">
        <f t="shared" si="3"/>
        <v>1245.1648</v>
      </c>
      <c r="M136" s="116">
        <f t="shared" si="3"/>
        <v>2143.0111999999999</v>
      </c>
      <c r="N136" s="116">
        <f t="shared" si="3"/>
        <v>6942.6235999999999</v>
      </c>
      <c r="O136" s="116">
        <f t="shared" si="3"/>
        <v>110.81400000000001</v>
      </c>
      <c r="P136" s="116">
        <f>P124*(1+$AC$10)</f>
        <v>120.934</v>
      </c>
      <c r="Q136" s="6">
        <v>848873</v>
      </c>
      <c r="R136" s="230">
        <v>8403</v>
      </c>
      <c r="S136" s="230">
        <v>4025</v>
      </c>
      <c r="T136" s="230">
        <v>15838</v>
      </c>
    </row>
    <row r="137" spans="1:20">
      <c r="A137" s="3">
        <v>44958</v>
      </c>
      <c r="B137">
        <f t="shared" si="2"/>
        <v>2023</v>
      </c>
      <c r="C137" s="3" t="s">
        <v>188</v>
      </c>
      <c r="D137" s="230">
        <v>7833.9</v>
      </c>
      <c r="E137" s="230">
        <v>7780.5</v>
      </c>
      <c r="F137" s="230">
        <v>190</v>
      </c>
      <c r="G137" s="230">
        <v>189.5</v>
      </c>
      <c r="H137" s="116">
        <f t="shared" ref="H137:H147" si="4">H125*(1+$AC$10)</f>
        <v>849571.36880000005</v>
      </c>
      <c r="I137" s="116">
        <f t="shared" ref="I137:P137" si="5">I125*(1+$AC$10)</f>
        <v>8894.3667999999998</v>
      </c>
      <c r="J137" s="116">
        <f t="shared" si="5"/>
        <v>7875.2828</v>
      </c>
      <c r="K137" s="116">
        <f t="shared" si="5"/>
        <v>5986.6884</v>
      </c>
      <c r="L137" s="116">
        <f t="shared" si="5"/>
        <v>1245.1648</v>
      </c>
      <c r="M137" s="116">
        <f t="shared" si="5"/>
        <v>2143.0111999999999</v>
      </c>
      <c r="N137" s="116">
        <f t="shared" si="5"/>
        <v>6942.6235999999999</v>
      </c>
      <c r="O137" s="116">
        <f t="shared" si="5"/>
        <v>110.81400000000001</v>
      </c>
      <c r="P137" s="116">
        <f t="shared" si="5"/>
        <v>120.934</v>
      </c>
      <c r="Q137" s="6">
        <v>848873</v>
      </c>
      <c r="R137" s="230">
        <v>8403</v>
      </c>
      <c r="S137" s="230">
        <v>4025</v>
      </c>
      <c r="T137" s="230">
        <v>15838</v>
      </c>
    </row>
    <row r="138" spans="1:20">
      <c r="A138" s="3">
        <v>44986</v>
      </c>
      <c r="B138">
        <f t="shared" si="2"/>
        <v>2023</v>
      </c>
      <c r="C138" s="3" t="s">
        <v>188</v>
      </c>
      <c r="D138" s="230">
        <v>7867.2</v>
      </c>
      <c r="E138" s="230">
        <v>7781.3</v>
      </c>
      <c r="F138" s="230">
        <v>192</v>
      </c>
      <c r="G138" s="230">
        <v>189.8</v>
      </c>
      <c r="H138" s="116">
        <f t="shared" si="4"/>
        <v>849571.36880000005</v>
      </c>
      <c r="I138" s="116">
        <f t="shared" ref="I138:P138" si="6">I126*(1+$AC$10)</f>
        <v>8894.3667999999998</v>
      </c>
      <c r="J138" s="116">
        <f t="shared" si="6"/>
        <v>7875.2828</v>
      </c>
      <c r="K138" s="116">
        <f t="shared" si="6"/>
        <v>5986.6884</v>
      </c>
      <c r="L138" s="116">
        <f t="shared" si="6"/>
        <v>1245.1648</v>
      </c>
      <c r="M138" s="116">
        <f t="shared" si="6"/>
        <v>2143.0111999999999</v>
      </c>
      <c r="N138" s="116">
        <f t="shared" si="6"/>
        <v>6942.6235999999999</v>
      </c>
      <c r="O138" s="116">
        <f t="shared" si="6"/>
        <v>110.81400000000001</v>
      </c>
      <c r="P138" s="116">
        <f t="shared" si="6"/>
        <v>120.934</v>
      </c>
      <c r="Q138" s="6">
        <v>848873</v>
      </c>
      <c r="R138" s="230">
        <v>8403</v>
      </c>
      <c r="S138" s="230">
        <v>4025</v>
      </c>
      <c r="T138" s="230">
        <v>15838</v>
      </c>
    </row>
    <row r="139" spans="1:20">
      <c r="A139" s="3">
        <v>45017</v>
      </c>
      <c r="B139">
        <f t="shared" si="2"/>
        <v>2023</v>
      </c>
      <c r="C139" s="3" t="s">
        <v>190</v>
      </c>
      <c r="D139" s="230">
        <v>7890.5</v>
      </c>
      <c r="E139" s="230">
        <v>7819.6</v>
      </c>
      <c r="F139" s="230">
        <v>190.9</v>
      </c>
      <c r="G139" s="230">
        <v>190.1</v>
      </c>
      <c r="H139" s="116">
        <f t="shared" si="4"/>
        <v>849571.36880000005</v>
      </c>
      <c r="I139" s="116">
        <f t="shared" ref="I139:P139" si="7">I127*(1+$AC$10)</f>
        <v>8894.3667999999998</v>
      </c>
      <c r="J139" s="116">
        <f t="shared" si="7"/>
        <v>7875.2828</v>
      </c>
      <c r="K139" s="116">
        <f t="shared" si="7"/>
        <v>5986.6884</v>
      </c>
      <c r="L139" s="116">
        <f t="shared" si="7"/>
        <v>1245.1648</v>
      </c>
      <c r="M139" s="116">
        <f t="shared" si="7"/>
        <v>2143.0111999999999</v>
      </c>
      <c r="N139" s="116">
        <f t="shared" si="7"/>
        <v>6942.6235999999999</v>
      </c>
      <c r="O139" s="116">
        <f t="shared" si="7"/>
        <v>110.81400000000001</v>
      </c>
      <c r="P139" s="116">
        <f t="shared" si="7"/>
        <v>120.934</v>
      </c>
      <c r="Q139" s="6">
        <v>852586</v>
      </c>
      <c r="R139" s="230">
        <v>8060</v>
      </c>
      <c r="S139" s="230">
        <v>4050</v>
      </c>
      <c r="T139" s="230">
        <v>16563</v>
      </c>
    </row>
    <row r="140" spans="1:20">
      <c r="A140" s="3">
        <v>45047</v>
      </c>
      <c r="B140">
        <f t="shared" si="2"/>
        <v>2023</v>
      </c>
      <c r="C140" s="3" t="s">
        <v>190</v>
      </c>
      <c r="D140" s="230">
        <v>7900.6</v>
      </c>
      <c r="E140" s="230">
        <v>7882.6</v>
      </c>
      <c r="F140" s="230">
        <v>191.7</v>
      </c>
      <c r="G140" s="230">
        <v>190.8</v>
      </c>
      <c r="H140" s="116">
        <f t="shared" si="4"/>
        <v>849571.36880000005</v>
      </c>
      <c r="I140" s="116">
        <f t="shared" ref="I140:P140" si="8">I128*(1+$AC$10)</f>
        <v>8894.3667999999998</v>
      </c>
      <c r="J140" s="116">
        <f t="shared" si="8"/>
        <v>7875.2828</v>
      </c>
      <c r="K140" s="116">
        <f t="shared" si="8"/>
        <v>5986.6884</v>
      </c>
      <c r="L140" s="116">
        <f t="shared" si="8"/>
        <v>1245.1648</v>
      </c>
      <c r="M140" s="116">
        <f t="shared" si="8"/>
        <v>2143.0111999999999</v>
      </c>
      <c r="N140" s="116">
        <f t="shared" si="8"/>
        <v>6942.6235999999999</v>
      </c>
      <c r="O140" s="116">
        <f t="shared" si="8"/>
        <v>110.81400000000001</v>
      </c>
      <c r="P140" s="116">
        <f t="shared" si="8"/>
        <v>120.934</v>
      </c>
      <c r="Q140" s="6">
        <v>852586</v>
      </c>
      <c r="R140" s="230">
        <v>8060</v>
      </c>
      <c r="S140" s="230">
        <v>4050</v>
      </c>
      <c r="T140" s="230">
        <v>16563</v>
      </c>
    </row>
    <row r="141" spans="1:20">
      <c r="A141" s="3">
        <v>45078</v>
      </c>
      <c r="B141">
        <f t="shared" si="2"/>
        <v>2023</v>
      </c>
      <c r="C141" s="3" t="s">
        <v>190</v>
      </c>
      <c r="D141" s="230">
        <v>7922.1</v>
      </c>
      <c r="E141" s="230">
        <v>7971.2</v>
      </c>
      <c r="F141" s="230">
        <v>192</v>
      </c>
      <c r="G141" s="230">
        <v>191.9</v>
      </c>
      <c r="H141" s="116">
        <f t="shared" si="4"/>
        <v>849571.36880000005</v>
      </c>
      <c r="I141" s="116">
        <f t="shared" ref="I141:P141" si="9">I129*(1+$AC$10)</f>
        <v>8894.3667999999998</v>
      </c>
      <c r="J141" s="116">
        <f t="shared" si="9"/>
        <v>7875.2828</v>
      </c>
      <c r="K141" s="116">
        <f t="shared" si="9"/>
        <v>5986.6884</v>
      </c>
      <c r="L141" s="116">
        <f t="shared" si="9"/>
        <v>1245.1648</v>
      </c>
      <c r="M141" s="116">
        <f t="shared" si="9"/>
        <v>2143.0111999999999</v>
      </c>
      <c r="N141" s="116">
        <f t="shared" si="9"/>
        <v>6942.6235999999999</v>
      </c>
      <c r="O141" s="116">
        <f t="shared" si="9"/>
        <v>110.81400000000001</v>
      </c>
      <c r="P141" s="116">
        <f t="shared" si="9"/>
        <v>120.934</v>
      </c>
      <c r="Q141" s="6">
        <v>852586</v>
      </c>
      <c r="R141" s="230">
        <v>8060</v>
      </c>
      <c r="S141" s="230">
        <v>4050</v>
      </c>
      <c r="T141" s="230">
        <v>16563</v>
      </c>
    </row>
    <row r="142" spans="1:20">
      <c r="A142" s="3">
        <v>45108</v>
      </c>
      <c r="B142">
        <f t="shared" si="2"/>
        <v>2023</v>
      </c>
      <c r="C142" s="3" t="s">
        <v>197</v>
      </c>
      <c r="D142" s="230">
        <v>7932</v>
      </c>
      <c r="E142" s="230">
        <v>8016.9</v>
      </c>
      <c r="F142" s="230">
        <v>189.7</v>
      </c>
      <c r="G142" s="230">
        <v>190</v>
      </c>
      <c r="H142" s="116">
        <f t="shared" si="4"/>
        <v>849571.36880000005</v>
      </c>
      <c r="I142" s="116">
        <f t="shared" ref="I142:P142" si="10">I130*(1+$AC$10)</f>
        <v>8894.3667999999998</v>
      </c>
      <c r="J142" s="116">
        <f t="shared" si="10"/>
        <v>7875.2828</v>
      </c>
      <c r="K142" s="116">
        <f t="shared" si="10"/>
        <v>5986.6884</v>
      </c>
      <c r="L142" s="116">
        <f t="shared" si="10"/>
        <v>1245.1648</v>
      </c>
      <c r="M142" s="116">
        <f t="shared" si="10"/>
        <v>2143.0111999999999</v>
      </c>
      <c r="N142" s="116">
        <f t="shared" si="10"/>
        <v>6942.6235999999999</v>
      </c>
      <c r="O142" s="116">
        <f t="shared" si="10"/>
        <v>110.81400000000001</v>
      </c>
      <c r="P142" s="116">
        <f t="shared" si="10"/>
        <v>120.934</v>
      </c>
      <c r="Q142" s="6">
        <v>852629</v>
      </c>
      <c r="R142" s="230">
        <v>7512</v>
      </c>
      <c r="S142" s="230">
        <v>4225</v>
      </c>
      <c r="T142" s="230">
        <v>15442</v>
      </c>
    </row>
    <row r="143" spans="1:20">
      <c r="A143" s="3">
        <v>45139</v>
      </c>
      <c r="B143">
        <f t="shared" si="2"/>
        <v>2023</v>
      </c>
      <c r="C143" s="3" t="s">
        <v>197</v>
      </c>
      <c r="D143" s="230">
        <v>7947</v>
      </c>
      <c r="E143" s="230">
        <v>8020.3</v>
      </c>
      <c r="F143" s="230">
        <v>190.3</v>
      </c>
      <c r="G143" s="230">
        <v>191.4</v>
      </c>
      <c r="H143" s="116">
        <f t="shared" si="4"/>
        <v>849571.36880000005</v>
      </c>
      <c r="I143" s="116">
        <f t="shared" ref="I143:P143" si="11">I131*(1+$AC$10)</f>
        <v>8894.3667999999998</v>
      </c>
      <c r="J143" s="116">
        <f t="shared" si="11"/>
        <v>7875.2828</v>
      </c>
      <c r="K143" s="116">
        <f t="shared" si="11"/>
        <v>5986.6884</v>
      </c>
      <c r="L143" s="116">
        <f t="shared" si="11"/>
        <v>1245.1648</v>
      </c>
      <c r="M143" s="116">
        <f t="shared" si="11"/>
        <v>2143.0111999999999</v>
      </c>
      <c r="N143" s="116">
        <f t="shared" si="11"/>
        <v>6942.6235999999999</v>
      </c>
      <c r="O143" s="116">
        <f t="shared" si="11"/>
        <v>110.81400000000001</v>
      </c>
      <c r="P143" s="116">
        <f t="shared" si="11"/>
        <v>120.934</v>
      </c>
      <c r="Q143" s="6">
        <v>852629</v>
      </c>
      <c r="R143" s="230">
        <v>7512</v>
      </c>
      <c r="S143" s="230">
        <v>4225</v>
      </c>
      <c r="T143" s="230">
        <v>15442</v>
      </c>
    </row>
    <row r="144" spans="1:20">
      <c r="A144" s="3">
        <v>45170</v>
      </c>
      <c r="B144">
        <f t="shared" si="2"/>
        <v>2023</v>
      </c>
      <c r="C144" s="3" t="s">
        <v>197</v>
      </c>
      <c r="D144" s="230">
        <v>7950</v>
      </c>
      <c r="E144" s="230">
        <v>7968.4</v>
      </c>
      <c r="F144" s="230">
        <v>188.1</v>
      </c>
      <c r="G144" s="230">
        <v>189.7</v>
      </c>
      <c r="H144" s="116">
        <f t="shared" si="4"/>
        <v>849571.36880000005</v>
      </c>
      <c r="I144" s="116">
        <f t="shared" ref="I144:P144" si="12">I132*(1+$AC$10)</f>
        <v>8894.3667999999998</v>
      </c>
      <c r="J144" s="116">
        <f t="shared" si="12"/>
        <v>7875.2828</v>
      </c>
      <c r="K144" s="116">
        <f t="shared" si="12"/>
        <v>5986.6884</v>
      </c>
      <c r="L144" s="116">
        <f t="shared" si="12"/>
        <v>1245.1648</v>
      </c>
      <c r="M144" s="116">
        <f t="shared" si="12"/>
        <v>2143.0111999999999</v>
      </c>
      <c r="N144" s="116">
        <f t="shared" si="12"/>
        <v>6942.6235999999999</v>
      </c>
      <c r="O144" s="116">
        <f t="shared" si="12"/>
        <v>110.81400000000001</v>
      </c>
      <c r="P144" s="116">
        <f t="shared" si="12"/>
        <v>120.934</v>
      </c>
      <c r="Q144" s="6">
        <v>852629</v>
      </c>
      <c r="R144" s="230">
        <v>7512</v>
      </c>
      <c r="S144" s="230">
        <v>4225</v>
      </c>
      <c r="T144" s="230">
        <v>15442</v>
      </c>
    </row>
    <row r="145" spans="1:20">
      <c r="A145" s="3">
        <v>45200</v>
      </c>
      <c r="B145">
        <f t="shared" si="2"/>
        <v>2023</v>
      </c>
      <c r="C145" s="3" t="s">
        <v>199</v>
      </c>
      <c r="D145" s="230">
        <v>7948.8</v>
      </c>
      <c r="E145" s="230">
        <v>7947.2</v>
      </c>
      <c r="F145" s="230">
        <v>185.2</v>
      </c>
      <c r="G145" s="230">
        <v>186.5</v>
      </c>
      <c r="H145" s="116">
        <f t="shared" si="4"/>
        <v>849571.36880000005</v>
      </c>
      <c r="I145" s="116">
        <f t="shared" ref="I145:P145" si="13">I133*(1+$AC$10)</f>
        <v>8894.3667999999998</v>
      </c>
      <c r="J145" s="116">
        <f t="shared" si="13"/>
        <v>7875.2828</v>
      </c>
      <c r="K145" s="116">
        <f t="shared" si="13"/>
        <v>5986.6884</v>
      </c>
      <c r="L145" s="116">
        <f t="shared" si="13"/>
        <v>1245.1648</v>
      </c>
      <c r="M145" s="116">
        <f t="shared" si="13"/>
        <v>2143.0111999999999</v>
      </c>
      <c r="N145" s="116">
        <f t="shared" si="13"/>
        <v>6942.6235999999999</v>
      </c>
      <c r="O145" s="116">
        <f t="shared" si="13"/>
        <v>110.81400000000001</v>
      </c>
      <c r="P145" s="116">
        <f t="shared" si="13"/>
        <v>120.934</v>
      </c>
      <c r="Q145" s="116">
        <f>Q133*(1+$AC$10)</f>
        <v>852090.84400000004</v>
      </c>
      <c r="R145" s="116">
        <f t="shared" ref="Q145:T147" si="14">R133*(1+$AC$10)</f>
        <v>8845.8919999999998</v>
      </c>
      <c r="S145" s="116">
        <f t="shared" si="14"/>
        <v>4101.6360000000004</v>
      </c>
      <c r="T145" s="116">
        <f t="shared" si="14"/>
        <v>15840.835999999999</v>
      </c>
    </row>
    <row r="146" spans="1:20">
      <c r="A146" s="3">
        <v>45231</v>
      </c>
      <c r="B146">
        <f t="shared" si="2"/>
        <v>2023</v>
      </c>
      <c r="C146" s="3" t="s">
        <v>199</v>
      </c>
      <c r="D146" s="230">
        <v>7952.8</v>
      </c>
      <c r="E146" s="230">
        <v>7939.3</v>
      </c>
      <c r="F146" s="230">
        <v>184.2</v>
      </c>
      <c r="G146" s="230">
        <v>185.3</v>
      </c>
      <c r="H146" s="116">
        <f t="shared" si="4"/>
        <v>849571.36880000005</v>
      </c>
      <c r="I146" s="116">
        <f t="shared" ref="I146:P146" si="15">I134*(1+$AC$10)</f>
        <v>8894.3667999999998</v>
      </c>
      <c r="J146" s="116">
        <f t="shared" si="15"/>
        <v>7875.2828</v>
      </c>
      <c r="K146" s="116">
        <f t="shared" si="15"/>
        <v>5986.6884</v>
      </c>
      <c r="L146" s="116">
        <f t="shared" si="15"/>
        <v>1245.1648</v>
      </c>
      <c r="M146" s="116">
        <f t="shared" si="15"/>
        <v>2143.0111999999999</v>
      </c>
      <c r="N146" s="116">
        <f t="shared" si="15"/>
        <v>6942.6235999999999</v>
      </c>
      <c r="O146" s="116">
        <f t="shared" si="15"/>
        <v>110.81400000000001</v>
      </c>
      <c r="P146" s="116">
        <f t="shared" si="15"/>
        <v>120.934</v>
      </c>
      <c r="Q146" s="116">
        <f t="shared" si="14"/>
        <v>852090.84400000004</v>
      </c>
      <c r="R146" s="116">
        <f t="shared" si="14"/>
        <v>8845.8919999999998</v>
      </c>
      <c r="S146" s="116">
        <f t="shared" si="14"/>
        <v>4101.6360000000004</v>
      </c>
      <c r="T146" s="116">
        <f t="shared" si="14"/>
        <v>15840.835999999999</v>
      </c>
    </row>
    <row r="147" spans="1:20">
      <c r="A147" s="3">
        <v>45261</v>
      </c>
      <c r="B147">
        <f t="shared" si="2"/>
        <v>2023</v>
      </c>
      <c r="C147" s="3" t="s">
        <v>199</v>
      </c>
      <c r="D147" s="230">
        <v>7934.2</v>
      </c>
      <c r="E147" s="230">
        <v>7938.2</v>
      </c>
      <c r="F147" s="230">
        <v>184</v>
      </c>
      <c r="G147" s="230">
        <v>185.1</v>
      </c>
      <c r="H147" s="116">
        <f t="shared" si="4"/>
        <v>849571.36880000005</v>
      </c>
      <c r="I147" s="116">
        <f t="shared" ref="I147:P147" si="16">I135*(1+$AC$10)</f>
        <v>8894.3667999999998</v>
      </c>
      <c r="J147" s="116">
        <f t="shared" si="16"/>
        <v>7875.2828</v>
      </c>
      <c r="K147" s="116">
        <f t="shared" si="16"/>
        <v>5986.6884</v>
      </c>
      <c r="L147" s="116">
        <f t="shared" si="16"/>
        <v>1245.1648</v>
      </c>
      <c r="M147" s="116">
        <f t="shared" si="16"/>
        <v>2143.0111999999999</v>
      </c>
      <c r="N147" s="116">
        <f t="shared" si="16"/>
        <v>6942.6235999999999</v>
      </c>
      <c r="O147" s="116">
        <f t="shared" si="16"/>
        <v>110.81400000000001</v>
      </c>
      <c r="P147" s="116">
        <f t="shared" si="16"/>
        <v>120.934</v>
      </c>
      <c r="Q147" s="116">
        <f t="shared" si="14"/>
        <v>852090.84400000004</v>
      </c>
      <c r="R147" s="116">
        <f t="shared" si="14"/>
        <v>8845.8919999999998</v>
      </c>
      <c r="S147" s="116">
        <f t="shared" si="14"/>
        <v>4101.6360000000004</v>
      </c>
      <c r="T147" s="116">
        <f t="shared" si="14"/>
        <v>15840.835999999999</v>
      </c>
    </row>
    <row r="148" spans="1:20">
      <c r="A148" s="115">
        <v>45292</v>
      </c>
      <c r="B148" s="79">
        <f>YEAR(A148)</f>
        <v>2024</v>
      </c>
      <c r="C148" s="115" t="s">
        <v>199</v>
      </c>
      <c r="D148" s="116">
        <f>D136*(1+$AC$16)</f>
        <v>7869.7591499999999</v>
      </c>
      <c r="E148" s="116">
        <f>E136*(1+$AC$16)</f>
        <v>7850.4777000000013</v>
      </c>
      <c r="F148" s="116">
        <f>F136*(1+$AC$16)</f>
        <v>190.9974</v>
      </c>
      <c r="G148" s="116">
        <f>G136*(1+$AC$16)</f>
        <v>191.09835000000001</v>
      </c>
      <c r="H148" s="116">
        <f>H136*(1+$AC$11)</f>
        <v>854668.7970128</v>
      </c>
      <c r="I148" s="116">
        <f t="shared" ref="I148:O148" si="17">I136*(1+$AC$11)</f>
        <v>8947.733000799999</v>
      </c>
      <c r="J148" s="116">
        <f t="shared" si="17"/>
        <v>7922.5344967999999</v>
      </c>
      <c r="K148" s="116">
        <f t="shared" si="17"/>
        <v>6022.6085303999998</v>
      </c>
      <c r="L148" s="116">
        <f t="shared" si="17"/>
        <v>1252.6357888</v>
      </c>
      <c r="M148" s="116">
        <f t="shared" si="17"/>
        <v>2155.8692671999997</v>
      </c>
      <c r="N148" s="116">
        <f t="shared" si="17"/>
        <v>6984.2793415999995</v>
      </c>
      <c r="O148" s="116">
        <f t="shared" si="17"/>
        <v>111.47888400000001</v>
      </c>
      <c r="P148" s="116">
        <f t="shared" ref="P148:T159" si="18">P136*(1+$AC$11)</f>
        <v>121.659604</v>
      </c>
      <c r="Q148" s="116">
        <f t="shared" si="18"/>
        <v>853966.23800000001</v>
      </c>
      <c r="R148" s="116">
        <f t="shared" si="18"/>
        <v>8453.4179999999997</v>
      </c>
      <c r="S148" s="116">
        <f t="shared" si="18"/>
        <v>4049.15</v>
      </c>
      <c r="T148" s="116">
        <f t="shared" si="18"/>
        <v>15933.028</v>
      </c>
    </row>
    <row r="149" spans="1:20">
      <c r="A149" s="115">
        <v>45323</v>
      </c>
      <c r="B149" s="79">
        <f t="shared" ref="B149:B159" si="19">YEAR(A149)</f>
        <v>2024</v>
      </c>
      <c r="C149" s="115" t="s">
        <v>188</v>
      </c>
      <c r="D149" s="116">
        <f t="shared" ref="D149:G158" si="20">D137*(1+$AC$16)</f>
        <v>7908.3220499999998</v>
      </c>
      <c r="E149" s="116">
        <f t="shared" si="20"/>
        <v>7854.4147500000008</v>
      </c>
      <c r="F149" s="116">
        <f t="shared" si="20"/>
        <v>191.80500000000001</v>
      </c>
      <c r="G149" s="116">
        <f t="shared" si="20"/>
        <v>191.30025000000001</v>
      </c>
      <c r="H149" s="116">
        <f t="shared" ref="H149:O159" si="21">H137*(1+$AC$11)</f>
        <v>854668.7970128</v>
      </c>
      <c r="I149" s="116">
        <f t="shared" si="21"/>
        <v>8947.733000799999</v>
      </c>
      <c r="J149" s="116">
        <f t="shared" si="21"/>
        <v>7922.5344967999999</v>
      </c>
      <c r="K149" s="116">
        <f t="shared" si="21"/>
        <v>6022.6085303999998</v>
      </c>
      <c r="L149" s="116">
        <f t="shared" si="21"/>
        <v>1252.6357888</v>
      </c>
      <c r="M149" s="116">
        <f t="shared" si="21"/>
        <v>2155.8692671999997</v>
      </c>
      <c r="N149" s="116">
        <f t="shared" si="21"/>
        <v>6984.2793415999995</v>
      </c>
      <c r="O149" s="116">
        <f t="shared" si="21"/>
        <v>111.47888400000001</v>
      </c>
      <c r="P149" s="116">
        <f t="shared" si="18"/>
        <v>121.659604</v>
      </c>
      <c r="Q149" s="116">
        <f t="shared" si="18"/>
        <v>853966.23800000001</v>
      </c>
      <c r="R149" s="116">
        <f t="shared" si="18"/>
        <v>8453.4179999999997</v>
      </c>
      <c r="S149" s="116">
        <f t="shared" si="18"/>
        <v>4049.15</v>
      </c>
      <c r="T149" s="116">
        <f t="shared" si="18"/>
        <v>15933.028</v>
      </c>
    </row>
    <row r="150" spans="1:20">
      <c r="A150" s="115">
        <v>45352</v>
      </c>
      <c r="B150" s="79">
        <f t="shared" si="19"/>
        <v>2024</v>
      </c>
      <c r="C150" s="115" t="s">
        <v>190</v>
      </c>
      <c r="D150" s="116">
        <f t="shared" si="20"/>
        <v>7941.9384</v>
      </c>
      <c r="E150" s="116">
        <f t="shared" si="20"/>
        <v>7855.2223500000009</v>
      </c>
      <c r="F150" s="116">
        <f t="shared" si="20"/>
        <v>193.82400000000001</v>
      </c>
      <c r="G150" s="116">
        <f t="shared" si="20"/>
        <v>191.60310000000001</v>
      </c>
      <c r="H150" s="116">
        <f t="shared" si="21"/>
        <v>854668.7970128</v>
      </c>
      <c r="I150" s="116">
        <f t="shared" si="21"/>
        <v>8947.733000799999</v>
      </c>
      <c r="J150" s="116">
        <f t="shared" si="21"/>
        <v>7922.5344967999999</v>
      </c>
      <c r="K150" s="116">
        <f t="shared" si="21"/>
        <v>6022.6085303999998</v>
      </c>
      <c r="L150" s="116">
        <f t="shared" si="21"/>
        <v>1252.6357888</v>
      </c>
      <c r="M150" s="116">
        <f t="shared" si="21"/>
        <v>2155.8692671999997</v>
      </c>
      <c r="N150" s="116">
        <f t="shared" si="21"/>
        <v>6984.2793415999995</v>
      </c>
      <c r="O150" s="116">
        <f t="shared" si="21"/>
        <v>111.47888400000001</v>
      </c>
      <c r="P150" s="116">
        <f t="shared" si="18"/>
        <v>121.659604</v>
      </c>
      <c r="Q150" s="116">
        <f t="shared" si="18"/>
        <v>853966.23800000001</v>
      </c>
      <c r="R150" s="116">
        <f t="shared" si="18"/>
        <v>8453.4179999999997</v>
      </c>
      <c r="S150" s="116">
        <f t="shared" si="18"/>
        <v>4049.15</v>
      </c>
      <c r="T150" s="116">
        <f t="shared" si="18"/>
        <v>15933.028</v>
      </c>
    </row>
    <row r="151" spans="1:20">
      <c r="A151" s="115">
        <v>45383</v>
      </c>
      <c r="B151" s="79">
        <f t="shared" si="19"/>
        <v>2024</v>
      </c>
      <c r="C151" s="115" t="s">
        <v>197</v>
      </c>
      <c r="D151" s="116">
        <f t="shared" si="20"/>
        <v>7965.4597500000009</v>
      </c>
      <c r="E151" s="116">
        <f t="shared" si="20"/>
        <v>7893.8862000000008</v>
      </c>
      <c r="F151" s="116">
        <f t="shared" si="20"/>
        <v>192.71355000000003</v>
      </c>
      <c r="G151" s="116">
        <f t="shared" si="20"/>
        <v>191.90595000000002</v>
      </c>
      <c r="H151" s="116">
        <f t="shared" si="21"/>
        <v>854668.7970128</v>
      </c>
      <c r="I151" s="116">
        <f t="shared" si="21"/>
        <v>8947.733000799999</v>
      </c>
      <c r="J151" s="116">
        <f t="shared" si="21"/>
        <v>7922.5344967999999</v>
      </c>
      <c r="K151" s="116">
        <f t="shared" si="21"/>
        <v>6022.6085303999998</v>
      </c>
      <c r="L151" s="116">
        <f t="shared" si="21"/>
        <v>1252.6357888</v>
      </c>
      <c r="M151" s="116">
        <f t="shared" si="21"/>
        <v>2155.8692671999997</v>
      </c>
      <c r="N151" s="116">
        <f t="shared" si="21"/>
        <v>6984.2793415999995</v>
      </c>
      <c r="O151" s="116">
        <f t="shared" si="21"/>
        <v>111.47888400000001</v>
      </c>
      <c r="P151" s="116">
        <f t="shared" si="18"/>
        <v>121.659604</v>
      </c>
      <c r="Q151" s="116">
        <f t="shared" si="18"/>
        <v>857701.51600000006</v>
      </c>
      <c r="R151" s="116">
        <f t="shared" si="18"/>
        <v>8108.36</v>
      </c>
      <c r="S151" s="116">
        <f t="shared" si="18"/>
        <v>4074.3</v>
      </c>
      <c r="T151" s="116">
        <f t="shared" si="18"/>
        <v>16662.378000000001</v>
      </c>
    </row>
    <row r="152" spans="1:20">
      <c r="A152" s="115">
        <v>45413</v>
      </c>
      <c r="B152" s="79">
        <f t="shared" si="19"/>
        <v>2024</v>
      </c>
      <c r="C152" s="115" t="s">
        <v>199</v>
      </c>
      <c r="D152" s="116">
        <f t="shared" si="20"/>
        <v>7975.6557000000012</v>
      </c>
      <c r="E152" s="116">
        <f t="shared" si="20"/>
        <v>7957.4847000000009</v>
      </c>
      <c r="F152" s="116">
        <f t="shared" si="20"/>
        <v>193.52115000000001</v>
      </c>
      <c r="G152" s="116">
        <f t="shared" si="20"/>
        <v>192.61260000000001</v>
      </c>
      <c r="H152" s="116">
        <f t="shared" si="21"/>
        <v>854668.7970128</v>
      </c>
      <c r="I152" s="116">
        <f t="shared" si="21"/>
        <v>8947.733000799999</v>
      </c>
      <c r="J152" s="116">
        <f t="shared" si="21"/>
        <v>7922.5344967999999</v>
      </c>
      <c r="K152" s="116">
        <f t="shared" si="21"/>
        <v>6022.6085303999998</v>
      </c>
      <c r="L152" s="116">
        <f t="shared" si="21"/>
        <v>1252.6357888</v>
      </c>
      <c r="M152" s="116">
        <f t="shared" si="21"/>
        <v>2155.8692671999997</v>
      </c>
      <c r="N152" s="116">
        <f t="shared" si="21"/>
        <v>6984.2793415999995</v>
      </c>
      <c r="O152" s="116">
        <f t="shared" si="21"/>
        <v>111.47888400000001</v>
      </c>
      <c r="P152" s="116">
        <f t="shared" si="18"/>
        <v>121.659604</v>
      </c>
      <c r="Q152" s="116">
        <f t="shared" si="18"/>
        <v>857701.51600000006</v>
      </c>
      <c r="R152" s="116">
        <f t="shared" si="18"/>
        <v>8108.36</v>
      </c>
      <c r="S152" s="116">
        <f t="shared" si="18"/>
        <v>4074.3</v>
      </c>
      <c r="T152" s="116">
        <f t="shared" si="18"/>
        <v>16662.378000000001</v>
      </c>
    </row>
    <row r="153" spans="1:20">
      <c r="A153" s="115">
        <v>45444</v>
      </c>
      <c r="B153" s="79">
        <f t="shared" si="19"/>
        <v>2024</v>
      </c>
      <c r="C153" s="115" t="s">
        <v>188</v>
      </c>
      <c r="D153" s="116">
        <f t="shared" si="20"/>
        <v>7997.3599500000009</v>
      </c>
      <c r="E153" s="116">
        <f t="shared" si="20"/>
        <v>8046.9264000000003</v>
      </c>
      <c r="F153" s="116">
        <f t="shared" si="20"/>
        <v>193.82400000000001</v>
      </c>
      <c r="G153" s="116">
        <f t="shared" si="20"/>
        <v>193.72305000000003</v>
      </c>
      <c r="H153" s="116">
        <f t="shared" si="21"/>
        <v>854668.7970128</v>
      </c>
      <c r="I153" s="116">
        <f t="shared" si="21"/>
        <v>8947.733000799999</v>
      </c>
      <c r="J153" s="116">
        <f t="shared" si="21"/>
        <v>7922.5344967999999</v>
      </c>
      <c r="K153" s="116">
        <f t="shared" si="21"/>
        <v>6022.6085303999998</v>
      </c>
      <c r="L153" s="116">
        <f t="shared" si="21"/>
        <v>1252.6357888</v>
      </c>
      <c r="M153" s="116">
        <f t="shared" si="21"/>
        <v>2155.8692671999997</v>
      </c>
      <c r="N153" s="116">
        <f t="shared" si="21"/>
        <v>6984.2793415999995</v>
      </c>
      <c r="O153" s="116">
        <f t="shared" si="21"/>
        <v>111.47888400000001</v>
      </c>
      <c r="P153" s="116">
        <f t="shared" si="18"/>
        <v>121.659604</v>
      </c>
      <c r="Q153" s="116">
        <f t="shared" si="18"/>
        <v>857701.51600000006</v>
      </c>
      <c r="R153" s="116">
        <f t="shared" si="18"/>
        <v>8108.36</v>
      </c>
      <c r="S153" s="116">
        <f t="shared" si="18"/>
        <v>4074.3</v>
      </c>
      <c r="T153" s="116">
        <f t="shared" si="18"/>
        <v>16662.378000000001</v>
      </c>
    </row>
    <row r="154" spans="1:20">
      <c r="A154" s="115">
        <v>45474</v>
      </c>
      <c r="B154" s="79">
        <f t="shared" si="19"/>
        <v>2024</v>
      </c>
      <c r="C154" s="115" t="s">
        <v>190</v>
      </c>
      <c r="D154" s="116">
        <f t="shared" si="20"/>
        <v>8007.3540000000003</v>
      </c>
      <c r="E154" s="116">
        <f t="shared" si="20"/>
        <v>8093.0605500000001</v>
      </c>
      <c r="F154" s="116">
        <f t="shared" si="20"/>
        <v>191.50215</v>
      </c>
      <c r="G154" s="116">
        <f t="shared" si="20"/>
        <v>191.80500000000001</v>
      </c>
      <c r="H154" s="116">
        <f t="shared" si="21"/>
        <v>854668.7970128</v>
      </c>
      <c r="I154" s="116">
        <f t="shared" si="21"/>
        <v>8947.733000799999</v>
      </c>
      <c r="J154" s="116">
        <f t="shared" si="21"/>
        <v>7922.5344967999999</v>
      </c>
      <c r="K154" s="116">
        <f t="shared" si="21"/>
        <v>6022.6085303999998</v>
      </c>
      <c r="L154" s="116">
        <f t="shared" si="21"/>
        <v>1252.6357888</v>
      </c>
      <c r="M154" s="116">
        <f t="shared" si="21"/>
        <v>2155.8692671999997</v>
      </c>
      <c r="N154" s="116">
        <f t="shared" si="21"/>
        <v>6984.2793415999995</v>
      </c>
      <c r="O154" s="116">
        <f t="shared" si="21"/>
        <v>111.47888400000001</v>
      </c>
      <c r="P154" s="116">
        <f t="shared" si="18"/>
        <v>121.659604</v>
      </c>
      <c r="Q154" s="116">
        <f t="shared" si="18"/>
        <v>857744.77399999998</v>
      </c>
      <c r="R154" s="116">
        <f t="shared" si="18"/>
        <v>7557.0720000000001</v>
      </c>
      <c r="S154" s="116">
        <f t="shared" si="18"/>
        <v>4250.3500000000004</v>
      </c>
      <c r="T154" s="116">
        <f t="shared" si="18"/>
        <v>15534.652</v>
      </c>
    </row>
    <row r="155" spans="1:20">
      <c r="A155" s="115">
        <v>45505</v>
      </c>
      <c r="B155" s="79">
        <f t="shared" si="19"/>
        <v>2024</v>
      </c>
      <c r="C155" s="115" t="s">
        <v>197</v>
      </c>
      <c r="D155" s="116">
        <f t="shared" si="20"/>
        <v>8022.4965000000002</v>
      </c>
      <c r="E155" s="116">
        <f t="shared" si="20"/>
        <v>8096.4928500000005</v>
      </c>
      <c r="F155" s="116">
        <f t="shared" si="20"/>
        <v>192.10785000000001</v>
      </c>
      <c r="G155" s="116">
        <f t="shared" si="20"/>
        <v>193.21830000000003</v>
      </c>
      <c r="H155" s="116">
        <f t="shared" si="21"/>
        <v>854668.7970128</v>
      </c>
      <c r="I155" s="116">
        <f t="shared" si="21"/>
        <v>8947.733000799999</v>
      </c>
      <c r="J155" s="116">
        <f t="shared" si="21"/>
        <v>7922.5344967999999</v>
      </c>
      <c r="K155" s="116">
        <f t="shared" si="21"/>
        <v>6022.6085303999998</v>
      </c>
      <c r="L155" s="116">
        <f t="shared" si="21"/>
        <v>1252.6357888</v>
      </c>
      <c r="M155" s="116">
        <f t="shared" si="21"/>
        <v>2155.8692671999997</v>
      </c>
      <c r="N155" s="116">
        <f t="shared" si="21"/>
        <v>6984.2793415999995</v>
      </c>
      <c r="O155" s="116">
        <f t="shared" si="21"/>
        <v>111.47888400000001</v>
      </c>
      <c r="P155" s="116">
        <f t="shared" si="18"/>
        <v>121.659604</v>
      </c>
      <c r="Q155" s="116">
        <f t="shared" si="18"/>
        <v>857744.77399999998</v>
      </c>
      <c r="R155" s="116">
        <f t="shared" si="18"/>
        <v>7557.0720000000001</v>
      </c>
      <c r="S155" s="116">
        <f t="shared" si="18"/>
        <v>4250.3500000000004</v>
      </c>
      <c r="T155" s="116">
        <f t="shared" si="18"/>
        <v>15534.652</v>
      </c>
    </row>
    <row r="156" spans="1:20">
      <c r="A156" s="115">
        <v>45536</v>
      </c>
      <c r="B156" s="79">
        <f t="shared" si="19"/>
        <v>2024</v>
      </c>
      <c r="C156" s="115" t="s">
        <v>199</v>
      </c>
      <c r="D156" s="116">
        <f t="shared" si="20"/>
        <v>8025.5250000000005</v>
      </c>
      <c r="E156" s="116">
        <f t="shared" si="20"/>
        <v>8044.0998</v>
      </c>
      <c r="F156" s="116">
        <f t="shared" si="20"/>
        <v>189.88695000000001</v>
      </c>
      <c r="G156" s="116">
        <f t="shared" si="20"/>
        <v>191.50215</v>
      </c>
      <c r="H156" s="116">
        <f t="shared" si="21"/>
        <v>854668.7970128</v>
      </c>
      <c r="I156" s="116">
        <f t="shared" si="21"/>
        <v>8947.733000799999</v>
      </c>
      <c r="J156" s="116">
        <f t="shared" si="21"/>
        <v>7922.5344967999999</v>
      </c>
      <c r="K156" s="116">
        <f t="shared" si="21"/>
        <v>6022.6085303999998</v>
      </c>
      <c r="L156" s="116">
        <f t="shared" si="21"/>
        <v>1252.6357888</v>
      </c>
      <c r="M156" s="116">
        <f t="shared" si="21"/>
        <v>2155.8692671999997</v>
      </c>
      <c r="N156" s="116">
        <f t="shared" si="21"/>
        <v>6984.2793415999995</v>
      </c>
      <c r="O156" s="116">
        <f t="shared" si="21"/>
        <v>111.47888400000001</v>
      </c>
      <c r="P156" s="116">
        <f t="shared" si="18"/>
        <v>121.659604</v>
      </c>
      <c r="Q156" s="116">
        <f t="shared" si="18"/>
        <v>857744.77399999998</v>
      </c>
      <c r="R156" s="116">
        <f t="shared" si="18"/>
        <v>7557.0720000000001</v>
      </c>
      <c r="S156" s="116">
        <f t="shared" si="18"/>
        <v>4250.3500000000004</v>
      </c>
      <c r="T156" s="116">
        <f t="shared" si="18"/>
        <v>15534.652</v>
      </c>
    </row>
    <row r="157" spans="1:20">
      <c r="A157" s="115">
        <v>45566</v>
      </c>
      <c r="B157" s="79">
        <f t="shared" si="19"/>
        <v>2024</v>
      </c>
      <c r="C157" s="115" t="s">
        <v>188</v>
      </c>
      <c r="D157" s="116">
        <f t="shared" si="20"/>
        <v>8024.3136000000004</v>
      </c>
      <c r="E157" s="116">
        <f t="shared" si="20"/>
        <v>8022.6984000000002</v>
      </c>
      <c r="F157" s="116">
        <f t="shared" si="20"/>
        <v>186.95939999999999</v>
      </c>
      <c r="G157" s="116">
        <f t="shared" si="20"/>
        <v>188.27175000000003</v>
      </c>
      <c r="H157" s="116">
        <f t="shared" si="21"/>
        <v>854668.7970128</v>
      </c>
      <c r="I157" s="116">
        <f t="shared" si="21"/>
        <v>8947.733000799999</v>
      </c>
      <c r="J157" s="116">
        <f t="shared" si="21"/>
        <v>7922.5344967999999</v>
      </c>
      <c r="K157" s="116">
        <f t="shared" si="21"/>
        <v>6022.6085303999998</v>
      </c>
      <c r="L157" s="116">
        <f t="shared" si="21"/>
        <v>1252.6357888</v>
      </c>
      <c r="M157" s="116">
        <f t="shared" si="21"/>
        <v>2155.8692671999997</v>
      </c>
      <c r="N157" s="116">
        <f t="shared" si="21"/>
        <v>6984.2793415999995</v>
      </c>
      <c r="O157" s="116">
        <f t="shared" si="21"/>
        <v>111.47888400000001</v>
      </c>
      <c r="P157" s="116">
        <f t="shared" si="18"/>
        <v>121.659604</v>
      </c>
      <c r="Q157" s="116">
        <f t="shared" si="18"/>
        <v>857203.38906399999</v>
      </c>
      <c r="R157" s="116">
        <f t="shared" si="18"/>
        <v>8898.9673519999997</v>
      </c>
      <c r="S157" s="116">
        <f t="shared" si="18"/>
        <v>4126.2458160000006</v>
      </c>
      <c r="T157" s="116">
        <f t="shared" si="18"/>
        <v>15935.881015999999</v>
      </c>
    </row>
    <row r="158" spans="1:20">
      <c r="A158" s="115">
        <v>45597</v>
      </c>
      <c r="B158" s="79">
        <f t="shared" si="19"/>
        <v>2024</v>
      </c>
      <c r="C158" s="115" t="s">
        <v>190</v>
      </c>
      <c r="D158" s="116">
        <f t="shared" si="20"/>
        <v>8028.3516000000009</v>
      </c>
      <c r="E158" s="116">
        <f t="shared" si="20"/>
        <v>8014.7233500000011</v>
      </c>
      <c r="F158" s="116">
        <f t="shared" si="20"/>
        <v>185.94990000000001</v>
      </c>
      <c r="G158" s="116">
        <f t="shared" si="20"/>
        <v>187.06035000000003</v>
      </c>
      <c r="H158" s="116">
        <f t="shared" si="21"/>
        <v>854668.7970128</v>
      </c>
      <c r="I158" s="116">
        <f t="shared" si="21"/>
        <v>8947.733000799999</v>
      </c>
      <c r="J158" s="116">
        <f t="shared" si="21"/>
        <v>7922.5344967999999</v>
      </c>
      <c r="K158" s="116">
        <f t="shared" si="21"/>
        <v>6022.6085303999998</v>
      </c>
      <c r="L158" s="116">
        <f t="shared" si="21"/>
        <v>1252.6357888</v>
      </c>
      <c r="M158" s="116">
        <f t="shared" si="21"/>
        <v>2155.8692671999997</v>
      </c>
      <c r="N158" s="116">
        <f t="shared" si="21"/>
        <v>6984.2793415999995</v>
      </c>
      <c r="O158" s="116">
        <f t="shared" si="21"/>
        <v>111.47888400000001</v>
      </c>
      <c r="P158" s="116">
        <f t="shared" si="18"/>
        <v>121.659604</v>
      </c>
      <c r="Q158" s="116">
        <f t="shared" si="18"/>
        <v>857203.38906399999</v>
      </c>
      <c r="R158" s="116">
        <f t="shared" si="18"/>
        <v>8898.9673519999997</v>
      </c>
      <c r="S158" s="116">
        <f t="shared" si="18"/>
        <v>4126.2458160000006</v>
      </c>
      <c r="T158" s="116">
        <f t="shared" si="18"/>
        <v>15935.881015999999</v>
      </c>
    </row>
    <row r="159" spans="1:20">
      <c r="A159" s="115">
        <v>45627</v>
      </c>
      <c r="B159" s="79">
        <f t="shared" si="19"/>
        <v>2024</v>
      </c>
      <c r="C159" s="115" t="s">
        <v>197</v>
      </c>
      <c r="D159" s="116">
        <f>D147*(1+$AC$16)</f>
        <v>8009.5749000000005</v>
      </c>
      <c r="E159" s="116">
        <f>E147*(1+$AC$16)</f>
        <v>8013.6129000000001</v>
      </c>
      <c r="F159" s="116">
        <f>F147*(1+$AC$16)</f>
        <v>185.74800000000002</v>
      </c>
      <c r="G159" s="116">
        <f>G147*(1+$AC$16)</f>
        <v>186.85845</v>
      </c>
      <c r="H159" s="116">
        <f t="shared" si="21"/>
        <v>854668.7970128</v>
      </c>
      <c r="I159" s="116">
        <f t="shared" si="21"/>
        <v>8947.733000799999</v>
      </c>
      <c r="J159" s="116">
        <f t="shared" si="21"/>
        <v>7922.5344967999999</v>
      </c>
      <c r="K159" s="116">
        <f t="shared" si="21"/>
        <v>6022.6085303999998</v>
      </c>
      <c r="L159" s="116">
        <f t="shared" si="21"/>
        <v>1252.6357888</v>
      </c>
      <c r="M159" s="116">
        <f t="shared" si="21"/>
        <v>2155.8692671999997</v>
      </c>
      <c r="N159" s="116">
        <f t="shared" si="21"/>
        <v>6984.2793415999995</v>
      </c>
      <c r="O159" s="116">
        <f t="shared" si="21"/>
        <v>111.47888400000001</v>
      </c>
      <c r="P159" s="116">
        <f t="shared" si="18"/>
        <v>121.659604</v>
      </c>
      <c r="Q159" s="116">
        <f t="shared" si="18"/>
        <v>857203.38906399999</v>
      </c>
      <c r="R159" s="116">
        <f t="shared" si="18"/>
        <v>8898.9673519999997</v>
      </c>
      <c r="S159" s="116">
        <f t="shared" si="18"/>
        <v>4126.2458160000006</v>
      </c>
      <c r="T159" s="116">
        <f t="shared" si="18"/>
        <v>15935.881015999999</v>
      </c>
    </row>
    <row r="160" spans="1:20">
      <c r="A160" s="115">
        <v>45658</v>
      </c>
      <c r="B160" s="79">
        <f t="shared" ref="B160:B171" si="22">YEAR(A160)</f>
        <v>2025</v>
      </c>
      <c r="C160" s="115" t="s">
        <v>199</v>
      </c>
      <c r="D160" s="116">
        <f>D148*(1+$AC$17)</f>
        <v>8001.5776157625005</v>
      </c>
      <c r="E160" s="116">
        <f>E148*(1+$AC$17)</f>
        <v>7981.9732014750016</v>
      </c>
      <c r="F160" s="116">
        <f>F148*(1+$AC$17)</f>
        <v>194.19660645000002</v>
      </c>
      <c r="G160" s="116">
        <f>G148*(1+$AC$17)</f>
        <v>194.29924736250001</v>
      </c>
      <c r="H160" s="116">
        <f t="shared" ref="H160:H171" si="23">H148*(1+$AC$12)</f>
        <v>872189.50735156238</v>
      </c>
      <c r="I160" s="116">
        <f t="shared" ref="I160:O160" si="24">I148*(1+$AC$12)</f>
        <v>9131.1615273163989</v>
      </c>
      <c r="J160" s="116">
        <f t="shared" si="24"/>
        <v>8084.9464539843993</v>
      </c>
      <c r="K160" s="116">
        <f t="shared" si="24"/>
        <v>6146.0720052731995</v>
      </c>
      <c r="L160" s="116">
        <f t="shared" si="24"/>
        <v>1278.3148224704</v>
      </c>
      <c r="M160" s="116">
        <f t="shared" si="24"/>
        <v>2200.0645871775996</v>
      </c>
      <c r="N160" s="116">
        <f t="shared" si="24"/>
        <v>7127.457068102799</v>
      </c>
      <c r="O160" s="116">
        <f t="shared" si="24"/>
        <v>113.764201122</v>
      </c>
      <c r="P160" s="116">
        <f>P148*(1+$AC$12)</f>
        <v>124.153625882</v>
      </c>
      <c r="Q160" s="116">
        <f>Q148*(1+$AC$12)</f>
        <v>871472.54587899998</v>
      </c>
      <c r="R160" s="116">
        <f>R148*(1+$AC$12)</f>
        <v>8626.7130689999995</v>
      </c>
      <c r="S160" s="116">
        <f>S148*(1+$AC$12)</f>
        <v>4132.1575750000002</v>
      </c>
      <c r="T160" s="116">
        <f>T148*(1+$AC$12)</f>
        <v>16259.655074</v>
      </c>
    </row>
    <row r="161" spans="1:20">
      <c r="A161" s="115">
        <v>45689</v>
      </c>
      <c r="B161" s="79">
        <f t="shared" si="22"/>
        <v>2025</v>
      </c>
      <c r="C161" s="115" t="s">
        <v>188</v>
      </c>
      <c r="D161" s="116">
        <f t="shared" ref="D161:D171" si="25">D149*(1+$AC$17)</f>
        <v>8040.7864443375001</v>
      </c>
      <c r="E161" s="116">
        <f t="shared" ref="E161:G171" si="26">E149*(1+$AC$17)</f>
        <v>7985.9761970625013</v>
      </c>
      <c r="F161" s="116">
        <f t="shared" si="26"/>
        <v>195.01773375000002</v>
      </c>
      <c r="G161" s="116">
        <f t="shared" si="26"/>
        <v>194.50452918750003</v>
      </c>
      <c r="H161" s="116">
        <f t="shared" si="23"/>
        <v>872189.50735156238</v>
      </c>
      <c r="I161" s="116">
        <f t="shared" ref="I161:P161" si="27">I149*(1+$AC$12)</f>
        <v>9131.1615273163989</v>
      </c>
      <c r="J161" s="116">
        <f t="shared" si="27"/>
        <v>8084.9464539843993</v>
      </c>
      <c r="K161" s="116">
        <f t="shared" si="27"/>
        <v>6146.0720052731995</v>
      </c>
      <c r="L161" s="116">
        <f t="shared" si="27"/>
        <v>1278.3148224704</v>
      </c>
      <c r="M161" s="116">
        <f t="shared" si="27"/>
        <v>2200.0645871775996</v>
      </c>
      <c r="N161" s="116">
        <f t="shared" si="27"/>
        <v>7127.457068102799</v>
      </c>
      <c r="O161" s="116">
        <f t="shared" si="27"/>
        <v>113.764201122</v>
      </c>
      <c r="P161" s="116">
        <f t="shared" si="27"/>
        <v>124.153625882</v>
      </c>
      <c r="Q161" s="116">
        <f t="shared" ref="Q161:T171" si="28">Q149*(1+$AC$12)</f>
        <v>871472.54587899998</v>
      </c>
      <c r="R161" s="116">
        <f t="shared" si="28"/>
        <v>8626.7130689999995</v>
      </c>
      <c r="S161" s="116">
        <f t="shared" si="28"/>
        <v>4132.1575750000002</v>
      </c>
      <c r="T161" s="116">
        <f t="shared" si="28"/>
        <v>16259.655074</v>
      </c>
    </row>
    <row r="162" spans="1:20">
      <c r="A162" s="115">
        <v>45717</v>
      </c>
      <c r="B162" s="79">
        <f t="shared" si="22"/>
        <v>2025</v>
      </c>
      <c r="C162" s="115" t="s">
        <v>190</v>
      </c>
      <c r="D162" s="116">
        <f t="shared" si="25"/>
        <v>8074.9658681999999</v>
      </c>
      <c r="E162" s="116">
        <f t="shared" si="26"/>
        <v>7986.7973243625011</v>
      </c>
      <c r="F162" s="116">
        <f t="shared" si="26"/>
        <v>197.07055200000002</v>
      </c>
      <c r="G162" s="116">
        <f t="shared" si="26"/>
        <v>194.81245192500003</v>
      </c>
      <c r="H162" s="116">
        <f t="shared" si="23"/>
        <v>872189.50735156238</v>
      </c>
      <c r="I162" s="116">
        <f t="shared" ref="I162:P162" si="29">I150*(1+$AC$12)</f>
        <v>9131.1615273163989</v>
      </c>
      <c r="J162" s="116">
        <f t="shared" si="29"/>
        <v>8084.9464539843993</v>
      </c>
      <c r="K162" s="116">
        <f t="shared" si="29"/>
        <v>6146.0720052731995</v>
      </c>
      <c r="L162" s="116">
        <f t="shared" si="29"/>
        <v>1278.3148224704</v>
      </c>
      <c r="M162" s="116">
        <f t="shared" si="29"/>
        <v>2200.0645871775996</v>
      </c>
      <c r="N162" s="116">
        <f t="shared" si="29"/>
        <v>7127.457068102799</v>
      </c>
      <c r="O162" s="116">
        <f t="shared" si="29"/>
        <v>113.764201122</v>
      </c>
      <c r="P162" s="116">
        <f t="shared" si="29"/>
        <v>124.153625882</v>
      </c>
      <c r="Q162" s="116">
        <f t="shared" si="28"/>
        <v>871472.54587899998</v>
      </c>
      <c r="R162" s="116">
        <f t="shared" si="28"/>
        <v>8626.7130689999995</v>
      </c>
      <c r="S162" s="116">
        <f t="shared" si="28"/>
        <v>4132.1575750000002</v>
      </c>
      <c r="T162" s="116">
        <f t="shared" si="28"/>
        <v>16259.655074</v>
      </c>
    </row>
    <row r="163" spans="1:20">
      <c r="A163" s="115">
        <v>45748</v>
      </c>
      <c r="B163" s="79">
        <f t="shared" si="22"/>
        <v>2025</v>
      </c>
      <c r="C163" s="115" t="s">
        <v>197</v>
      </c>
      <c r="D163" s="116">
        <f t="shared" si="25"/>
        <v>8098.8812008125014</v>
      </c>
      <c r="E163" s="116">
        <f t="shared" si="26"/>
        <v>8026.1087938500013</v>
      </c>
      <c r="F163" s="116">
        <f t="shared" si="26"/>
        <v>195.94150196250004</v>
      </c>
      <c r="G163" s="116">
        <f t="shared" si="26"/>
        <v>195.12037466250004</v>
      </c>
      <c r="H163" s="116">
        <f t="shared" si="23"/>
        <v>872189.50735156238</v>
      </c>
      <c r="I163" s="116">
        <f t="shared" ref="I163:P163" si="30">I151*(1+$AC$12)</f>
        <v>9131.1615273163989</v>
      </c>
      <c r="J163" s="116">
        <f t="shared" si="30"/>
        <v>8084.9464539843993</v>
      </c>
      <c r="K163" s="116">
        <f t="shared" si="30"/>
        <v>6146.0720052731995</v>
      </c>
      <c r="L163" s="116">
        <f t="shared" si="30"/>
        <v>1278.3148224704</v>
      </c>
      <c r="M163" s="116">
        <f t="shared" si="30"/>
        <v>2200.0645871775996</v>
      </c>
      <c r="N163" s="116">
        <f t="shared" si="30"/>
        <v>7127.457068102799</v>
      </c>
      <c r="O163" s="116">
        <f t="shared" si="30"/>
        <v>113.764201122</v>
      </c>
      <c r="P163" s="116">
        <f t="shared" si="30"/>
        <v>124.153625882</v>
      </c>
      <c r="Q163" s="116">
        <f t="shared" si="28"/>
        <v>875284.39707800001</v>
      </c>
      <c r="R163" s="116">
        <f t="shared" si="28"/>
        <v>8274.5813799999996</v>
      </c>
      <c r="S163" s="116">
        <f t="shared" si="28"/>
        <v>4157.8231500000002</v>
      </c>
      <c r="T163" s="116">
        <f t="shared" si="28"/>
        <v>17003.956749000001</v>
      </c>
    </row>
    <row r="164" spans="1:20">
      <c r="A164" s="115">
        <v>45778</v>
      </c>
      <c r="B164" s="79">
        <f t="shared" si="22"/>
        <v>2025</v>
      </c>
      <c r="C164" s="115" t="s">
        <v>199</v>
      </c>
      <c r="D164" s="116">
        <f t="shared" si="25"/>
        <v>8109.2479329750013</v>
      </c>
      <c r="E164" s="116">
        <f t="shared" si="26"/>
        <v>8090.7725687250013</v>
      </c>
      <c r="F164" s="116">
        <f t="shared" si="26"/>
        <v>196.76262926250001</v>
      </c>
      <c r="G164" s="116">
        <f t="shared" si="26"/>
        <v>195.83886105000002</v>
      </c>
      <c r="H164" s="116">
        <f t="shared" si="23"/>
        <v>872189.50735156238</v>
      </c>
      <c r="I164" s="116">
        <f t="shared" ref="I164:P164" si="31">I152*(1+$AC$12)</f>
        <v>9131.1615273163989</v>
      </c>
      <c r="J164" s="116">
        <f t="shared" si="31"/>
        <v>8084.9464539843993</v>
      </c>
      <c r="K164" s="116">
        <f t="shared" si="31"/>
        <v>6146.0720052731995</v>
      </c>
      <c r="L164" s="116">
        <f t="shared" si="31"/>
        <v>1278.3148224704</v>
      </c>
      <c r="M164" s="116">
        <f t="shared" si="31"/>
        <v>2200.0645871775996</v>
      </c>
      <c r="N164" s="116">
        <f t="shared" si="31"/>
        <v>7127.457068102799</v>
      </c>
      <c r="O164" s="116">
        <f t="shared" si="31"/>
        <v>113.764201122</v>
      </c>
      <c r="P164" s="116">
        <f t="shared" si="31"/>
        <v>124.153625882</v>
      </c>
      <c r="Q164" s="116">
        <f t="shared" si="28"/>
        <v>875284.39707800001</v>
      </c>
      <c r="R164" s="116">
        <f t="shared" si="28"/>
        <v>8274.5813799999996</v>
      </c>
      <c r="S164" s="116">
        <f t="shared" si="28"/>
        <v>4157.8231500000002</v>
      </c>
      <c r="T164" s="116">
        <f t="shared" si="28"/>
        <v>17003.956749000001</v>
      </c>
    </row>
    <row r="165" spans="1:20">
      <c r="A165" s="115">
        <v>45809</v>
      </c>
      <c r="B165" s="79">
        <f t="shared" si="22"/>
        <v>2025</v>
      </c>
      <c r="C165" s="115" t="s">
        <v>188</v>
      </c>
      <c r="D165" s="116">
        <f t="shared" si="25"/>
        <v>8131.3157291625012</v>
      </c>
      <c r="E165" s="116">
        <f t="shared" si="26"/>
        <v>8181.7124172000003</v>
      </c>
      <c r="F165" s="116">
        <f t="shared" si="26"/>
        <v>197.07055200000002</v>
      </c>
      <c r="G165" s="116">
        <f t="shared" si="26"/>
        <v>196.96791108750003</v>
      </c>
      <c r="H165" s="116">
        <f t="shared" si="23"/>
        <v>872189.50735156238</v>
      </c>
      <c r="I165" s="116">
        <f t="shared" ref="I165:P165" si="32">I153*(1+$AC$12)</f>
        <v>9131.1615273163989</v>
      </c>
      <c r="J165" s="116">
        <f t="shared" si="32"/>
        <v>8084.9464539843993</v>
      </c>
      <c r="K165" s="116">
        <f t="shared" si="32"/>
        <v>6146.0720052731995</v>
      </c>
      <c r="L165" s="116">
        <f t="shared" si="32"/>
        <v>1278.3148224704</v>
      </c>
      <c r="M165" s="116">
        <f t="shared" si="32"/>
        <v>2200.0645871775996</v>
      </c>
      <c r="N165" s="116">
        <f t="shared" si="32"/>
        <v>7127.457068102799</v>
      </c>
      <c r="O165" s="116">
        <f t="shared" si="32"/>
        <v>113.764201122</v>
      </c>
      <c r="P165" s="116">
        <f t="shared" si="32"/>
        <v>124.153625882</v>
      </c>
      <c r="Q165" s="116">
        <f t="shared" si="28"/>
        <v>875284.39707800001</v>
      </c>
      <c r="R165" s="116">
        <f t="shared" si="28"/>
        <v>8274.5813799999996</v>
      </c>
      <c r="S165" s="116">
        <f t="shared" si="28"/>
        <v>4157.8231500000002</v>
      </c>
      <c r="T165" s="116">
        <f t="shared" si="28"/>
        <v>17003.956749000001</v>
      </c>
    </row>
    <row r="166" spans="1:20">
      <c r="A166" s="115">
        <v>45839</v>
      </c>
      <c r="B166" s="79">
        <f t="shared" si="22"/>
        <v>2025</v>
      </c>
      <c r="C166" s="115" t="s">
        <v>190</v>
      </c>
      <c r="D166" s="116">
        <f t="shared" si="25"/>
        <v>8141.4771795000006</v>
      </c>
      <c r="E166" s="116">
        <f t="shared" si="26"/>
        <v>8228.6193142125012</v>
      </c>
      <c r="F166" s="116">
        <f t="shared" si="26"/>
        <v>194.70981101250001</v>
      </c>
      <c r="G166" s="116">
        <f t="shared" si="26"/>
        <v>195.01773375000002</v>
      </c>
      <c r="H166" s="116">
        <f t="shared" si="23"/>
        <v>872189.50735156238</v>
      </c>
      <c r="I166" s="116">
        <f t="shared" ref="I166:P166" si="33">I154*(1+$AC$12)</f>
        <v>9131.1615273163989</v>
      </c>
      <c r="J166" s="116">
        <f t="shared" si="33"/>
        <v>8084.9464539843993</v>
      </c>
      <c r="K166" s="116">
        <f t="shared" si="33"/>
        <v>6146.0720052731995</v>
      </c>
      <c r="L166" s="116">
        <f t="shared" si="33"/>
        <v>1278.3148224704</v>
      </c>
      <c r="M166" s="116">
        <f t="shared" si="33"/>
        <v>2200.0645871775996</v>
      </c>
      <c r="N166" s="116">
        <f t="shared" si="33"/>
        <v>7127.457068102799</v>
      </c>
      <c r="O166" s="116">
        <f t="shared" si="33"/>
        <v>113.764201122</v>
      </c>
      <c r="P166" s="116">
        <f t="shared" si="33"/>
        <v>124.153625882</v>
      </c>
      <c r="Q166" s="116">
        <f t="shared" si="28"/>
        <v>875328.54186699993</v>
      </c>
      <c r="R166" s="116">
        <f t="shared" si="28"/>
        <v>7711.9919760000002</v>
      </c>
      <c r="S166" s="116">
        <f t="shared" si="28"/>
        <v>4337.4821750000001</v>
      </c>
      <c r="T166" s="116">
        <f t="shared" si="28"/>
        <v>15853.112365999999</v>
      </c>
    </row>
    <row r="167" spans="1:20">
      <c r="A167" s="115">
        <v>45870</v>
      </c>
      <c r="B167" s="79">
        <f t="shared" si="22"/>
        <v>2025</v>
      </c>
      <c r="C167" s="115" t="s">
        <v>197</v>
      </c>
      <c r="D167" s="116">
        <f t="shared" si="25"/>
        <v>8156.8733163750003</v>
      </c>
      <c r="E167" s="116">
        <f t="shared" si="26"/>
        <v>8232.1091052375014</v>
      </c>
      <c r="F167" s="116">
        <f t="shared" si="26"/>
        <v>195.32565648750003</v>
      </c>
      <c r="G167" s="116">
        <f t="shared" si="26"/>
        <v>196.45470652500003</v>
      </c>
      <c r="H167" s="116">
        <f t="shared" si="23"/>
        <v>872189.50735156238</v>
      </c>
      <c r="I167" s="116">
        <f t="shared" ref="I167:P167" si="34">I155*(1+$AC$12)</f>
        <v>9131.1615273163989</v>
      </c>
      <c r="J167" s="116">
        <f t="shared" si="34"/>
        <v>8084.9464539843993</v>
      </c>
      <c r="K167" s="116">
        <f t="shared" si="34"/>
        <v>6146.0720052731995</v>
      </c>
      <c r="L167" s="116">
        <f t="shared" si="34"/>
        <v>1278.3148224704</v>
      </c>
      <c r="M167" s="116">
        <f t="shared" si="34"/>
        <v>2200.0645871775996</v>
      </c>
      <c r="N167" s="116">
        <f t="shared" si="34"/>
        <v>7127.457068102799</v>
      </c>
      <c r="O167" s="116">
        <f t="shared" si="34"/>
        <v>113.764201122</v>
      </c>
      <c r="P167" s="116">
        <f t="shared" si="34"/>
        <v>124.153625882</v>
      </c>
      <c r="Q167" s="116">
        <f t="shared" si="28"/>
        <v>875328.54186699993</v>
      </c>
      <c r="R167" s="116">
        <f t="shared" si="28"/>
        <v>7711.9919760000002</v>
      </c>
      <c r="S167" s="116">
        <f t="shared" si="28"/>
        <v>4337.4821750000001</v>
      </c>
      <c r="T167" s="116">
        <f t="shared" si="28"/>
        <v>15853.112365999999</v>
      </c>
    </row>
    <row r="168" spans="1:20">
      <c r="A168" s="115">
        <v>45901</v>
      </c>
      <c r="B168" s="79">
        <f t="shared" si="22"/>
        <v>2025</v>
      </c>
      <c r="C168" s="115" t="s">
        <v>199</v>
      </c>
      <c r="D168" s="116">
        <f t="shared" si="25"/>
        <v>8159.9525437500006</v>
      </c>
      <c r="E168" s="116">
        <f t="shared" si="26"/>
        <v>8178.8384716500004</v>
      </c>
      <c r="F168" s="116">
        <f t="shared" si="26"/>
        <v>193.06755641250001</v>
      </c>
      <c r="G168" s="116">
        <f t="shared" si="26"/>
        <v>194.70981101250001</v>
      </c>
      <c r="H168" s="116">
        <f t="shared" si="23"/>
        <v>872189.50735156238</v>
      </c>
      <c r="I168" s="116">
        <f t="shared" ref="I168:P168" si="35">I156*(1+$AC$12)</f>
        <v>9131.1615273163989</v>
      </c>
      <c r="J168" s="116">
        <f t="shared" si="35"/>
        <v>8084.9464539843993</v>
      </c>
      <c r="K168" s="116">
        <f t="shared" si="35"/>
        <v>6146.0720052731995</v>
      </c>
      <c r="L168" s="116">
        <f t="shared" si="35"/>
        <v>1278.3148224704</v>
      </c>
      <c r="M168" s="116">
        <f t="shared" si="35"/>
        <v>2200.0645871775996</v>
      </c>
      <c r="N168" s="116">
        <f t="shared" si="35"/>
        <v>7127.457068102799</v>
      </c>
      <c r="O168" s="116">
        <f t="shared" si="35"/>
        <v>113.764201122</v>
      </c>
      <c r="P168" s="116">
        <f t="shared" si="35"/>
        <v>124.153625882</v>
      </c>
      <c r="Q168" s="116">
        <f t="shared" si="28"/>
        <v>875328.54186699993</v>
      </c>
      <c r="R168" s="116">
        <f t="shared" si="28"/>
        <v>7711.9919760000002</v>
      </c>
      <c r="S168" s="116">
        <f t="shared" si="28"/>
        <v>4337.4821750000001</v>
      </c>
      <c r="T168" s="116">
        <f t="shared" si="28"/>
        <v>15853.112365999999</v>
      </c>
    </row>
    <row r="169" spans="1:20">
      <c r="A169" s="115">
        <v>45931</v>
      </c>
      <c r="B169" s="79">
        <f t="shared" si="22"/>
        <v>2025</v>
      </c>
      <c r="C169" s="115" t="s">
        <v>188</v>
      </c>
      <c r="D169" s="116">
        <f t="shared" si="25"/>
        <v>8158.720852800001</v>
      </c>
      <c r="E169" s="116">
        <f t="shared" si="26"/>
        <v>8157.0785982000007</v>
      </c>
      <c r="F169" s="116">
        <f t="shared" si="26"/>
        <v>190.09096994999999</v>
      </c>
      <c r="G169" s="116">
        <f t="shared" si="26"/>
        <v>191.42530181250004</v>
      </c>
      <c r="H169" s="116">
        <f t="shared" si="23"/>
        <v>872189.50735156238</v>
      </c>
      <c r="I169" s="116">
        <f t="shared" ref="I169:P169" si="36">I157*(1+$AC$12)</f>
        <v>9131.1615273163989</v>
      </c>
      <c r="J169" s="116">
        <f t="shared" si="36"/>
        <v>8084.9464539843993</v>
      </c>
      <c r="K169" s="116">
        <f t="shared" si="36"/>
        <v>6146.0720052731995</v>
      </c>
      <c r="L169" s="116">
        <f t="shared" si="36"/>
        <v>1278.3148224704</v>
      </c>
      <c r="M169" s="116">
        <f t="shared" si="36"/>
        <v>2200.0645871775996</v>
      </c>
      <c r="N169" s="116">
        <f t="shared" si="36"/>
        <v>7127.457068102799</v>
      </c>
      <c r="O169" s="116">
        <f t="shared" si="36"/>
        <v>113.764201122</v>
      </c>
      <c r="P169" s="116">
        <f t="shared" si="36"/>
        <v>124.153625882</v>
      </c>
      <c r="Q169" s="116">
        <f t="shared" si="28"/>
        <v>874776.05853981199</v>
      </c>
      <c r="R169" s="116">
        <f t="shared" si="28"/>
        <v>9081.3961827160001</v>
      </c>
      <c r="S169" s="116">
        <f t="shared" si="28"/>
        <v>4210.8338552280002</v>
      </c>
      <c r="T169" s="116">
        <f t="shared" si="28"/>
        <v>16262.566576828</v>
      </c>
    </row>
    <row r="170" spans="1:20">
      <c r="A170" s="115">
        <v>45962</v>
      </c>
      <c r="B170" s="79">
        <f t="shared" si="22"/>
        <v>2025</v>
      </c>
      <c r="C170" s="115" t="s">
        <v>190</v>
      </c>
      <c r="D170" s="116">
        <f t="shared" si="25"/>
        <v>8162.8264893000014</v>
      </c>
      <c r="E170" s="116">
        <f t="shared" si="26"/>
        <v>8148.9699661125014</v>
      </c>
      <c r="F170" s="116">
        <f t="shared" si="26"/>
        <v>189.06456082500003</v>
      </c>
      <c r="G170" s="116">
        <f t="shared" si="26"/>
        <v>190.19361086250004</v>
      </c>
      <c r="H170" s="116">
        <f t="shared" si="23"/>
        <v>872189.50735156238</v>
      </c>
      <c r="I170" s="116">
        <f t="shared" ref="I170:P170" si="37">I158*(1+$AC$12)</f>
        <v>9131.1615273163989</v>
      </c>
      <c r="J170" s="116">
        <f t="shared" si="37"/>
        <v>8084.9464539843993</v>
      </c>
      <c r="K170" s="116">
        <f t="shared" si="37"/>
        <v>6146.0720052731995</v>
      </c>
      <c r="L170" s="116">
        <f t="shared" si="37"/>
        <v>1278.3148224704</v>
      </c>
      <c r="M170" s="116">
        <f t="shared" si="37"/>
        <v>2200.0645871775996</v>
      </c>
      <c r="N170" s="116">
        <f t="shared" si="37"/>
        <v>7127.457068102799</v>
      </c>
      <c r="O170" s="116">
        <f t="shared" si="37"/>
        <v>113.764201122</v>
      </c>
      <c r="P170" s="116">
        <f t="shared" si="37"/>
        <v>124.153625882</v>
      </c>
      <c r="Q170" s="116">
        <f t="shared" si="28"/>
        <v>874776.05853981199</v>
      </c>
      <c r="R170" s="116">
        <f t="shared" si="28"/>
        <v>9081.3961827160001</v>
      </c>
      <c r="S170" s="116">
        <f t="shared" si="28"/>
        <v>4210.8338552280002</v>
      </c>
      <c r="T170" s="116">
        <f t="shared" si="28"/>
        <v>16262.566576828</v>
      </c>
    </row>
    <row r="171" spans="1:20">
      <c r="A171" s="115">
        <v>45992</v>
      </c>
      <c r="B171" s="79">
        <f t="shared" si="22"/>
        <v>2025</v>
      </c>
      <c r="C171" s="115" t="s">
        <v>197</v>
      </c>
      <c r="D171" s="116">
        <f t="shared" si="25"/>
        <v>8143.7352795750012</v>
      </c>
      <c r="E171" s="116">
        <f t="shared" si="26"/>
        <v>8147.8409160750007</v>
      </c>
      <c r="F171" s="116">
        <f t="shared" si="26"/>
        <v>188.85927900000002</v>
      </c>
      <c r="G171" s="116">
        <f t="shared" si="26"/>
        <v>189.98832903750002</v>
      </c>
      <c r="H171" s="116">
        <f t="shared" si="23"/>
        <v>872189.50735156238</v>
      </c>
      <c r="I171" s="116">
        <f t="shared" ref="I171:P171" si="38">I159*(1+$AC$12)</f>
        <v>9131.1615273163989</v>
      </c>
      <c r="J171" s="116">
        <f t="shared" si="38"/>
        <v>8084.9464539843993</v>
      </c>
      <c r="K171" s="116">
        <f t="shared" si="38"/>
        <v>6146.0720052731995</v>
      </c>
      <c r="L171" s="116">
        <f t="shared" si="38"/>
        <v>1278.3148224704</v>
      </c>
      <c r="M171" s="116">
        <f t="shared" si="38"/>
        <v>2200.0645871775996</v>
      </c>
      <c r="N171" s="116">
        <f t="shared" si="38"/>
        <v>7127.457068102799</v>
      </c>
      <c r="O171" s="116">
        <f t="shared" si="38"/>
        <v>113.764201122</v>
      </c>
      <c r="P171" s="116">
        <f t="shared" si="38"/>
        <v>124.153625882</v>
      </c>
      <c r="Q171" s="116">
        <f t="shared" si="28"/>
        <v>874776.05853981199</v>
      </c>
      <c r="R171" s="116">
        <f t="shared" si="28"/>
        <v>9081.3961827160001</v>
      </c>
      <c r="S171" s="116">
        <f t="shared" si="28"/>
        <v>4210.8338552280002</v>
      </c>
      <c r="T171" s="116">
        <f t="shared" si="28"/>
        <v>16262.566576828</v>
      </c>
    </row>
    <row r="172" spans="1:20">
      <c r="A172" s="26"/>
      <c r="C172" s="3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</row>
    <row r="173" spans="1:20" ht="108.75" customHeight="1">
      <c r="C173" s="3"/>
      <c r="H173" s="309" t="s">
        <v>201</v>
      </c>
      <c r="I173" s="309" t="s">
        <v>202</v>
      </c>
      <c r="J173" s="309" t="s">
        <v>203</v>
      </c>
      <c r="K173" s="309" t="s">
        <v>204</v>
      </c>
      <c r="L173" s="309" t="s">
        <v>205</v>
      </c>
      <c r="M173" s="309" t="s">
        <v>206</v>
      </c>
      <c r="N173" s="309" t="s">
        <v>207</v>
      </c>
      <c r="O173" s="309" t="s">
        <v>208</v>
      </c>
      <c r="P173" s="309" t="s">
        <v>209</v>
      </c>
      <c r="Q173" s="307">
        <v>0</v>
      </c>
      <c r="R173" s="307">
        <v>0</v>
      </c>
      <c r="S173" s="307">
        <v>0</v>
      </c>
      <c r="T173" s="307"/>
    </row>
    <row r="179" spans="2:22">
      <c r="B179">
        <v>2013</v>
      </c>
      <c r="D179" s="6">
        <f t="shared" ref="D179:S189" si="39">SUMIFS(D$4:D$171,$B$4:$B$171,$B179)</f>
        <v>81629.799999999988</v>
      </c>
      <c r="E179" s="6">
        <f t="shared" si="39"/>
        <v>81654.499999999985</v>
      </c>
      <c r="F179" s="6">
        <f t="shared" si="39"/>
        <v>1857.8999999999999</v>
      </c>
      <c r="G179" s="6">
        <f t="shared" si="39"/>
        <v>1858.7</v>
      </c>
      <c r="H179" s="230">
        <f t="shared" si="39"/>
        <v>8300191.1999999983</v>
      </c>
      <c r="I179" s="230">
        <f t="shared" si="39"/>
        <v>79411.200000000012</v>
      </c>
      <c r="J179" s="230">
        <f t="shared" si="39"/>
        <v>66643.199999999997</v>
      </c>
      <c r="K179" s="230">
        <f t="shared" si="39"/>
        <v>49722</v>
      </c>
      <c r="L179" s="230">
        <f t="shared" si="39"/>
        <v>10845.599999999999</v>
      </c>
      <c r="M179" s="230">
        <f t="shared" si="39"/>
        <v>4461.6000000000013</v>
      </c>
      <c r="N179" s="230">
        <f t="shared" si="39"/>
        <v>99949.200000000026</v>
      </c>
      <c r="O179" s="230">
        <f t="shared" si="39"/>
        <v>144</v>
      </c>
      <c r="P179" s="230">
        <f t="shared" si="39"/>
        <v>3926.3999999999992</v>
      </c>
      <c r="Q179" s="230">
        <f t="shared" si="39"/>
        <v>8300190</v>
      </c>
      <c r="R179" s="230">
        <f t="shared" si="39"/>
        <v>79410</v>
      </c>
      <c r="S179" s="230">
        <f t="shared" si="39"/>
        <v>44022</v>
      </c>
      <c r="T179" s="230">
        <f t="shared" ref="Q179:T189" si="40">SUMIFS(T$4:T$171,$B$4:$B$171,$B179)</f>
        <v>152628</v>
      </c>
      <c r="U179" s="230"/>
      <c r="V179" s="230"/>
    </row>
    <row r="180" spans="2:22">
      <c r="B180">
        <f>B179+1</f>
        <v>2014</v>
      </c>
      <c r="D180" s="6">
        <f t="shared" si="39"/>
        <v>82008.100000000006</v>
      </c>
      <c r="E180" s="6">
        <f t="shared" si="39"/>
        <v>82035.10000000002</v>
      </c>
      <c r="F180" s="6">
        <f t="shared" si="39"/>
        <v>1869.1000000000001</v>
      </c>
      <c r="G180" s="6">
        <f t="shared" si="39"/>
        <v>1868.5</v>
      </c>
      <c r="H180" s="230">
        <f t="shared" si="39"/>
        <v>8505451.1999999974</v>
      </c>
      <c r="I180" s="230">
        <f t="shared" si="39"/>
        <v>77696.39999999998</v>
      </c>
      <c r="J180" s="230">
        <f t="shared" si="39"/>
        <v>65541.60000000002</v>
      </c>
      <c r="K180" s="230">
        <f t="shared" si="39"/>
        <v>48250.80000000001</v>
      </c>
      <c r="L180" s="230">
        <f t="shared" si="39"/>
        <v>10953.599999999999</v>
      </c>
      <c r="M180" s="230">
        <f t="shared" si="39"/>
        <v>5329.2000000000007</v>
      </c>
      <c r="N180" s="230">
        <f t="shared" si="39"/>
        <v>96988.799999999988</v>
      </c>
      <c r="O180" s="230">
        <f t="shared" si="39"/>
        <v>129.6</v>
      </c>
      <c r="P180" s="230">
        <f t="shared" si="39"/>
        <v>3504</v>
      </c>
      <c r="Q180" s="230">
        <f t="shared" si="40"/>
        <v>8505453</v>
      </c>
      <c r="R180" s="230">
        <f t="shared" si="40"/>
        <v>77697</v>
      </c>
      <c r="S180" s="230">
        <f t="shared" si="40"/>
        <v>46782</v>
      </c>
      <c r="T180" s="230">
        <f t="shared" si="40"/>
        <v>149916</v>
      </c>
      <c r="U180" s="230"/>
      <c r="V180" s="230"/>
    </row>
    <row r="181" spans="2:22">
      <c r="B181">
        <f t="shared" ref="B181:B189" si="41">B180+1</f>
        <v>2015</v>
      </c>
      <c r="D181" s="6">
        <f t="shared" si="39"/>
        <v>82580.3</v>
      </c>
      <c r="E181" s="6">
        <f t="shared" si="39"/>
        <v>82592.099999999991</v>
      </c>
      <c r="F181" s="6">
        <f t="shared" si="39"/>
        <v>1905.8000000000002</v>
      </c>
      <c r="G181" s="6">
        <f t="shared" si="39"/>
        <v>1900.7000000000005</v>
      </c>
      <c r="H181" s="230">
        <f t="shared" si="39"/>
        <v>8731315.1999999974</v>
      </c>
      <c r="I181" s="230">
        <f t="shared" si="39"/>
        <v>82532.39999999998</v>
      </c>
      <c r="J181" s="230">
        <f t="shared" si="39"/>
        <v>70218</v>
      </c>
      <c r="K181" s="230">
        <f t="shared" si="39"/>
        <v>51430.80000000001</v>
      </c>
      <c r="L181" s="230">
        <f t="shared" si="39"/>
        <v>11353.200000000003</v>
      </c>
      <c r="M181" s="230">
        <f t="shared" si="39"/>
        <v>6072</v>
      </c>
      <c r="N181" s="230">
        <f t="shared" si="39"/>
        <v>92751.60000000002</v>
      </c>
      <c r="O181" s="230">
        <f t="shared" si="39"/>
        <v>122.40000000000002</v>
      </c>
      <c r="P181" s="230">
        <f t="shared" si="39"/>
        <v>1719.5999999999997</v>
      </c>
      <c r="Q181" s="230">
        <f t="shared" si="40"/>
        <v>8731314</v>
      </c>
      <c r="R181" s="230">
        <f t="shared" si="40"/>
        <v>82533</v>
      </c>
      <c r="S181" s="230">
        <f t="shared" si="40"/>
        <v>43998</v>
      </c>
      <c r="T181" s="230">
        <f t="shared" si="40"/>
        <v>158949</v>
      </c>
      <c r="U181" s="230"/>
      <c r="V181" s="230"/>
    </row>
    <row r="182" spans="2:22">
      <c r="B182">
        <f t="shared" si="41"/>
        <v>2016</v>
      </c>
      <c r="D182" s="6">
        <f t="shared" si="39"/>
        <v>83387</v>
      </c>
      <c r="E182" s="6">
        <f t="shared" si="39"/>
        <v>83373.499999999971</v>
      </c>
      <c r="F182" s="6">
        <f t="shared" si="39"/>
        <v>1963.8</v>
      </c>
      <c r="G182" s="6">
        <f t="shared" si="39"/>
        <v>1963.3999999999999</v>
      </c>
      <c r="H182" s="230">
        <f t="shared" si="39"/>
        <v>8927714.4000000004</v>
      </c>
      <c r="I182" s="230">
        <f t="shared" si="39"/>
        <v>83444.39999999998</v>
      </c>
      <c r="J182" s="230">
        <f t="shared" si="39"/>
        <v>70737.60000000002</v>
      </c>
      <c r="K182" s="230">
        <f t="shared" si="39"/>
        <v>51188.399999999987</v>
      </c>
      <c r="L182" s="230">
        <f t="shared" si="39"/>
        <v>10999.200000000003</v>
      </c>
      <c r="M182" s="230">
        <f t="shared" si="39"/>
        <v>6558</v>
      </c>
      <c r="N182" s="230">
        <f t="shared" si="39"/>
        <v>94226.39999999998</v>
      </c>
      <c r="O182" s="230">
        <f t="shared" si="39"/>
        <v>1965.5999999999997</v>
      </c>
      <c r="P182" s="230">
        <f t="shared" si="39"/>
        <v>1078.8</v>
      </c>
      <c r="Q182" s="230">
        <f t="shared" si="40"/>
        <v>8927715</v>
      </c>
      <c r="R182" s="230">
        <f t="shared" si="40"/>
        <v>83445</v>
      </c>
      <c r="S182" s="230">
        <f t="shared" si="40"/>
        <v>42051</v>
      </c>
      <c r="T182" s="230">
        <f t="shared" si="40"/>
        <v>161697</v>
      </c>
      <c r="U182" s="230"/>
      <c r="V182" s="230"/>
    </row>
    <row r="183" spans="2:22">
      <c r="B183">
        <f t="shared" si="41"/>
        <v>2017</v>
      </c>
      <c r="D183" s="6">
        <f t="shared" si="39"/>
        <v>85209.5</v>
      </c>
      <c r="E183" s="6">
        <f t="shared" si="39"/>
        <v>85195.1</v>
      </c>
      <c r="F183" s="6">
        <f t="shared" si="39"/>
        <v>1946.8</v>
      </c>
      <c r="G183" s="6">
        <f t="shared" si="39"/>
        <v>1950.1999999999998</v>
      </c>
      <c r="H183" s="230">
        <f t="shared" si="39"/>
        <v>9173577.5999999996</v>
      </c>
      <c r="I183" s="230">
        <f t="shared" si="39"/>
        <v>87495.60000000002</v>
      </c>
      <c r="J183" s="230">
        <f t="shared" si="39"/>
        <v>74683.199999999997</v>
      </c>
      <c r="K183" s="230">
        <f t="shared" si="39"/>
        <v>54984</v>
      </c>
      <c r="L183" s="230">
        <f t="shared" si="39"/>
        <v>11053.200000000003</v>
      </c>
      <c r="M183" s="230">
        <f t="shared" si="39"/>
        <v>7040.3999999999987</v>
      </c>
      <c r="N183" s="230">
        <f t="shared" si="39"/>
        <v>92221.200000000012</v>
      </c>
      <c r="O183" s="230">
        <f t="shared" si="39"/>
        <v>1497.5999999999997</v>
      </c>
      <c r="P183" s="230">
        <f t="shared" si="39"/>
        <v>1244.4000000000003</v>
      </c>
      <c r="Q183" s="230">
        <f t="shared" si="40"/>
        <v>9173577</v>
      </c>
      <c r="R183" s="230">
        <f t="shared" si="40"/>
        <v>87495</v>
      </c>
      <c r="S183" s="230">
        <f t="shared" si="40"/>
        <v>42600</v>
      </c>
      <c r="T183" s="230">
        <f t="shared" si="40"/>
        <v>156471</v>
      </c>
      <c r="U183" s="230"/>
      <c r="V183" s="230"/>
    </row>
    <row r="184" spans="2:22">
      <c r="B184">
        <f t="shared" si="41"/>
        <v>2018</v>
      </c>
      <c r="D184" s="6">
        <f t="shared" si="39"/>
        <v>86869</v>
      </c>
      <c r="E184" s="6">
        <f t="shared" si="39"/>
        <v>86843.199999999997</v>
      </c>
      <c r="F184" s="6">
        <f t="shared" si="39"/>
        <v>1991.4000000000003</v>
      </c>
      <c r="G184" s="6">
        <f t="shared" si="39"/>
        <v>1995.0999999999997</v>
      </c>
      <c r="H184" s="230">
        <f t="shared" si="39"/>
        <v>9474379.1999999974</v>
      </c>
      <c r="I184" s="230">
        <f t="shared" si="39"/>
        <v>90546</v>
      </c>
      <c r="J184" s="230">
        <f t="shared" si="39"/>
        <v>77403.60000000002</v>
      </c>
      <c r="K184" s="230">
        <f t="shared" si="39"/>
        <v>57866.399999999987</v>
      </c>
      <c r="L184" s="230">
        <f t="shared" si="39"/>
        <v>11703.599999999999</v>
      </c>
      <c r="M184" s="230">
        <f t="shared" si="39"/>
        <v>9945.5999999999985</v>
      </c>
      <c r="N184" s="230">
        <f t="shared" si="39"/>
        <v>92134.799999999988</v>
      </c>
      <c r="O184" s="230">
        <f t="shared" si="39"/>
        <v>1442.4000000000003</v>
      </c>
      <c r="P184" s="230">
        <f t="shared" si="39"/>
        <v>1662</v>
      </c>
      <c r="Q184" s="230">
        <f t="shared" si="40"/>
        <v>9474381</v>
      </c>
      <c r="R184" s="230">
        <f t="shared" si="40"/>
        <v>90546</v>
      </c>
      <c r="S184" s="230">
        <f t="shared" si="40"/>
        <v>45543</v>
      </c>
      <c r="T184" s="230">
        <f t="shared" si="40"/>
        <v>171084</v>
      </c>
      <c r="U184" s="230"/>
      <c r="V184" s="230"/>
    </row>
    <row r="185" spans="2:22">
      <c r="B185">
        <f t="shared" si="41"/>
        <v>2019</v>
      </c>
      <c r="D185" s="6">
        <f t="shared" si="39"/>
        <v>88947.000000000015</v>
      </c>
      <c r="E185" s="6">
        <f t="shared" si="39"/>
        <v>88968.000000000015</v>
      </c>
      <c r="F185" s="6">
        <f t="shared" si="39"/>
        <v>2064.4999999999995</v>
      </c>
      <c r="G185" s="6">
        <f t="shared" si="39"/>
        <v>2064.8999999999996</v>
      </c>
      <c r="H185" s="230">
        <f t="shared" si="39"/>
        <v>9687294</v>
      </c>
      <c r="I185" s="230">
        <f t="shared" si="39"/>
        <v>93925.200000000012</v>
      </c>
      <c r="J185" s="230">
        <f t="shared" si="39"/>
        <v>81097.200000000012</v>
      </c>
      <c r="K185" s="230">
        <f t="shared" si="39"/>
        <v>60060</v>
      </c>
      <c r="L185" s="230">
        <f t="shared" si="39"/>
        <v>13107.599999999997</v>
      </c>
      <c r="M185" s="230">
        <f t="shared" si="39"/>
        <v>16123.200000000003</v>
      </c>
      <c r="N185" s="230">
        <f t="shared" si="39"/>
        <v>88860</v>
      </c>
      <c r="O185" s="230">
        <f t="shared" si="39"/>
        <v>1425.5999999999997</v>
      </c>
      <c r="P185" s="230">
        <f t="shared" si="39"/>
        <v>1555.1999999999996</v>
      </c>
      <c r="Q185" s="230">
        <f t="shared" si="40"/>
        <v>9687294</v>
      </c>
      <c r="R185" s="230">
        <f t="shared" si="40"/>
        <v>93924</v>
      </c>
      <c r="S185" s="230">
        <f t="shared" si="40"/>
        <v>47022</v>
      </c>
      <c r="T185" s="230">
        <f t="shared" si="40"/>
        <v>165759</v>
      </c>
      <c r="U185" s="230"/>
      <c r="V185" s="230"/>
    </row>
    <row r="186" spans="2:22">
      <c r="B186">
        <f t="shared" si="41"/>
        <v>2020</v>
      </c>
      <c r="D186" s="6">
        <f t="shared" si="39"/>
        <v>84589.900000000009</v>
      </c>
      <c r="E186" s="6">
        <f t="shared" si="39"/>
        <v>84541.200000000012</v>
      </c>
      <c r="F186" s="6">
        <f t="shared" si="39"/>
        <v>1846.2</v>
      </c>
      <c r="G186" s="6">
        <f t="shared" si="39"/>
        <v>1843.2999999999997</v>
      </c>
      <c r="H186" s="230">
        <f t="shared" si="39"/>
        <v>9239304</v>
      </c>
      <c r="I186" s="230">
        <f t="shared" si="39"/>
        <v>99099.60000000002</v>
      </c>
      <c r="J186" s="230">
        <f t="shared" si="39"/>
        <v>86931.60000000002</v>
      </c>
      <c r="K186" s="230">
        <f t="shared" si="39"/>
        <v>65438.399999999987</v>
      </c>
      <c r="L186" s="230">
        <f t="shared" si="39"/>
        <v>13422</v>
      </c>
      <c r="M186" s="230">
        <f t="shared" si="39"/>
        <v>21070.800000000003</v>
      </c>
      <c r="N186" s="230">
        <f t="shared" si="39"/>
        <v>78478.8</v>
      </c>
      <c r="O186" s="230">
        <f t="shared" si="39"/>
        <v>1293.5999999999997</v>
      </c>
      <c r="P186" s="230">
        <f t="shared" si="39"/>
        <v>864</v>
      </c>
      <c r="Q186" s="230">
        <f t="shared" si="40"/>
        <v>9239307</v>
      </c>
      <c r="R186" s="230">
        <f t="shared" si="40"/>
        <v>99102</v>
      </c>
      <c r="S186" s="230">
        <f t="shared" si="40"/>
        <v>46284</v>
      </c>
      <c r="T186" s="230">
        <f t="shared" si="40"/>
        <v>175176</v>
      </c>
      <c r="U186" s="230"/>
      <c r="V186" s="230"/>
    </row>
    <row r="187" spans="2:22">
      <c r="B187">
        <f t="shared" si="41"/>
        <v>2021</v>
      </c>
      <c r="D187" s="6">
        <f t="shared" si="39"/>
        <v>88329.2</v>
      </c>
      <c r="E187" s="6">
        <f t="shared" si="39"/>
        <v>88308.700000000012</v>
      </c>
      <c r="F187" s="6">
        <f t="shared" si="39"/>
        <v>1978.7</v>
      </c>
      <c r="G187" s="6">
        <f t="shared" si="39"/>
        <v>1979.8</v>
      </c>
      <c r="H187" s="230">
        <f t="shared" si="39"/>
        <v>9715903.1999999974</v>
      </c>
      <c r="I187" s="230">
        <f t="shared" si="39"/>
        <v>104101.20000000003</v>
      </c>
      <c r="J187" s="230">
        <f t="shared" si="39"/>
        <v>91466.39999999998</v>
      </c>
      <c r="K187" s="230">
        <f t="shared" si="39"/>
        <v>69591.60000000002</v>
      </c>
      <c r="L187" s="230">
        <f t="shared" si="39"/>
        <v>13868.400000000003</v>
      </c>
      <c r="M187" s="230">
        <f t="shared" si="39"/>
        <v>22791.599999999995</v>
      </c>
      <c r="N187" s="230">
        <f t="shared" si="39"/>
        <v>77809.2</v>
      </c>
      <c r="O187" s="230">
        <f t="shared" si="39"/>
        <v>1228.8</v>
      </c>
      <c r="P187" s="230">
        <f t="shared" si="39"/>
        <v>1221.5999999999997</v>
      </c>
      <c r="Q187" s="230">
        <f t="shared" si="40"/>
        <v>9715905</v>
      </c>
      <c r="R187" s="230">
        <f t="shared" si="40"/>
        <v>104100</v>
      </c>
      <c r="S187" s="230">
        <f t="shared" si="40"/>
        <v>47223</v>
      </c>
      <c r="T187" s="230">
        <f t="shared" si="40"/>
        <v>192822</v>
      </c>
      <c r="U187" s="230"/>
      <c r="V187" s="230"/>
    </row>
    <row r="188" spans="2:22">
      <c r="B188">
        <f t="shared" si="41"/>
        <v>2022</v>
      </c>
      <c r="D188" s="6">
        <f t="shared" si="39"/>
        <v>92686.699999999983</v>
      </c>
      <c r="E188" s="6">
        <f t="shared" si="39"/>
        <v>92670.399999999994</v>
      </c>
      <c r="F188" s="6">
        <f t="shared" si="39"/>
        <v>2099.1</v>
      </c>
      <c r="G188" s="6">
        <f t="shared" si="39"/>
        <v>2098.6</v>
      </c>
      <c r="H188" s="230">
        <f t="shared" si="39"/>
        <v>10073968.800000003</v>
      </c>
      <c r="I188" s="230">
        <f t="shared" si="39"/>
        <v>105466.79999999997</v>
      </c>
      <c r="J188" s="230">
        <f t="shared" si="39"/>
        <v>93382.799999999988</v>
      </c>
      <c r="K188" s="230">
        <f t="shared" si="39"/>
        <v>70988.39999999998</v>
      </c>
      <c r="L188" s="230">
        <f t="shared" si="39"/>
        <v>14764.799999999997</v>
      </c>
      <c r="M188" s="230">
        <f t="shared" si="39"/>
        <v>25411.199999999993</v>
      </c>
      <c r="N188" s="230">
        <f t="shared" si="39"/>
        <v>82323.60000000002</v>
      </c>
      <c r="O188" s="230">
        <f t="shared" si="39"/>
        <v>1314</v>
      </c>
      <c r="P188" s="230">
        <f t="shared" si="39"/>
        <v>1434</v>
      </c>
      <c r="Q188" s="230">
        <f t="shared" si="40"/>
        <v>10073970</v>
      </c>
      <c r="R188" s="230">
        <f t="shared" si="40"/>
        <v>105465</v>
      </c>
      <c r="S188" s="230">
        <f t="shared" si="40"/>
        <v>49089</v>
      </c>
      <c r="T188" s="230">
        <f t="shared" si="40"/>
        <v>191808</v>
      </c>
      <c r="U188" s="230"/>
      <c r="V188" s="230"/>
    </row>
    <row r="189" spans="2:22">
      <c r="B189">
        <f t="shared" si="41"/>
        <v>2023</v>
      </c>
      <c r="D189" s="6">
        <f>SUMIFS(D$4:D$171,$B$4:$B$171,$B189)</f>
        <v>94874.8</v>
      </c>
      <c r="E189" s="6">
        <f t="shared" si="39"/>
        <v>94842.099999999991</v>
      </c>
      <c r="F189" s="6">
        <f t="shared" si="39"/>
        <v>2267.2999999999997</v>
      </c>
      <c r="G189" s="6">
        <f t="shared" si="39"/>
        <v>2269.4</v>
      </c>
      <c r="H189" s="230">
        <f t="shared" si="39"/>
        <v>10194856.4256</v>
      </c>
      <c r="I189" s="230">
        <f t="shared" si="39"/>
        <v>106732.40160000003</v>
      </c>
      <c r="J189" s="230">
        <f t="shared" si="39"/>
        <v>94503.393599999996</v>
      </c>
      <c r="K189" s="230">
        <f t="shared" si="39"/>
        <v>71840.260800000004</v>
      </c>
      <c r="L189" s="230">
        <f t="shared" si="39"/>
        <v>14941.977600000004</v>
      </c>
      <c r="M189" s="230">
        <f t="shared" si="39"/>
        <v>25716.134400000006</v>
      </c>
      <c r="N189" s="230">
        <f t="shared" si="39"/>
        <v>83311.483200000017</v>
      </c>
      <c r="O189" s="230">
        <f t="shared" si="39"/>
        <v>1329.768</v>
      </c>
      <c r="P189" s="230">
        <f t="shared" si="39"/>
        <v>1451.2079999999999</v>
      </c>
      <c r="Q189" s="230">
        <f t="shared" si="40"/>
        <v>10218536.532000002</v>
      </c>
      <c r="R189" s="230">
        <f t="shared" si="40"/>
        <v>98462.675999999978</v>
      </c>
      <c r="S189" s="230">
        <f t="shared" si="40"/>
        <v>49204.907999999996</v>
      </c>
      <c r="T189" s="230">
        <f t="shared" si="40"/>
        <v>191051.50800000003</v>
      </c>
      <c r="U189" s="230"/>
      <c r="V189" s="230"/>
    </row>
    <row r="190" spans="2:22">
      <c r="D190" s="6"/>
      <c r="E190" s="6"/>
      <c r="F190" s="6"/>
      <c r="G190" s="6"/>
      <c r="U190" s="230"/>
      <c r="V190" s="230"/>
    </row>
    <row r="191" spans="2:22">
      <c r="B191">
        <f>B180</f>
        <v>2014</v>
      </c>
      <c r="D191" s="67">
        <f t="shared" ref="D191:D200" si="42">D180/D179-1</f>
        <v>4.634336970077424E-3</v>
      </c>
      <c r="E191" s="67">
        <f t="shared" ref="E191:P191" si="43">E180/E179-1</f>
        <v>4.6611025724245803E-3</v>
      </c>
      <c r="F191" s="67">
        <f t="shared" si="43"/>
        <v>6.0283115345283189E-3</v>
      </c>
      <c r="G191" s="67">
        <f t="shared" si="43"/>
        <v>5.2725022865443005E-3</v>
      </c>
      <c r="H191" s="230">
        <f t="shared" si="43"/>
        <v>2.4729550808419765E-2</v>
      </c>
      <c r="I191" s="230">
        <f t="shared" si="43"/>
        <v>-2.1593931334623173E-2</v>
      </c>
      <c r="J191" s="230">
        <f t="shared" si="43"/>
        <v>-1.6529818496110238E-2</v>
      </c>
      <c r="K191" s="230">
        <f t="shared" si="43"/>
        <v>-2.9588512127428301E-2</v>
      </c>
      <c r="L191" s="230">
        <f t="shared" si="43"/>
        <v>9.9579552998450005E-3</v>
      </c>
      <c r="M191" s="230">
        <f t="shared" si="43"/>
        <v>0.19445938676707897</v>
      </c>
      <c r="N191" s="230">
        <f t="shared" si="43"/>
        <v>-2.9619046475609978E-2</v>
      </c>
      <c r="O191" s="230">
        <f t="shared" si="43"/>
        <v>-0.10000000000000009</v>
      </c>
      <c r="P191" s="230">
        <f t="shared" si="43"/>
        <v>-0.10757946210268932</v>
      </c>
      <c r="Q191" s="230">
        <f t="shared" ref="Q191:T191" si="44">Q180/Q179-1</f>
        <v>2.4729915821203985E-2</v>
      </c>
      <c r="R191" s="230">
        <f t="shared" si="44"/>
        <v>-2.1571590479788405E-2</v>
      </c>
      <c r="S191" s="230">
        <f t="shared" si="44"/>
        <v>6.2695924764890387E-2</v>
      </c>
      <c r="T191" s="230">
        <f t="shared" si="44"/>
        <v>-1.7768692507272532E-2</v>
      </c>
      <c r="U191" s="230"/>
      <c r="V191" s="230"/>
    </row>
    <row r="192" spans="2:22">
      <c r="B192">
        <f t="shared" ref="B192:B200" si="45">B181</f>
        <v>2015</v>
      </c>
      <c r="D192" s="67">
        <f t="shared" si="42"/>
        <v>6.9773595535074229E-3</v>
      </c>
      <c r="E192" s="67">
        <f t="shared" ref="E192:P192" si="46">E181/E180-1</f>
        <v>6.7897765712479075E-3</v>
      </c>
      <c r="F192" s="67">
        <f t="shared" si="46"/>
        <v>1.9635118506232896E-2</v>
      </c>
      <c r="G192" s="67">
        <f t="shared" si="46"/>
        <v>1.7233074658817404E-2</v>
      </c>
      <c r="H192" s="230">
        <f t="shared" si="46"/>
        <v>2.6555204972547486E-2</v>
      </c>
      <c r="I192" s="230">
        <f t="shared" si="46"/>
        <v>6.2242266050936745E-2</v>
      </c>
      <c r="J192" s="230">
        <f t="shared" si="46"/>
        <v>7.1350104361199262E-2</v>
      </c>
      <c r="K192" s="230">
        <f t="shared" si="46"/>
        <v>6.5905643015245374E-2</v>
      </c>
      <c r="L192" s="230">
        <f t="shared" si="46"/>
        <v>3.6481156879930365E-2</v>
      </c>
      <c r="M192" s="230">
        <f t="shared" si="46"/>
        <v>0.13938302184192741</v>
      </c>
      <c r="N192" s="230">
        <f t="shared" si="46"/>
        <v>-4.3687518558843563E-2</v>
      </c>
      <c r="O192" s="230">
        <f t="shared" si="46"/>
        <v>-5.5555555555555358E-2</v>
      </c>
      <c r="P192" s="230">
        <f t="shared" si="46"/>
        <v>-0.50924657534246587</v>
      </c>
      <c r="Q192" s="230">
        <f t="shared" ref="Q192:T192" si="47">Q181/Q180-1</f>
        <v>2.6554846637798057E-2</v>
      </c>
      <c r="R192" s="230">
        <f t="shared" si="47"/>
        <v>6.2241785397119553E-2</v>
      </c>
      <c r="S192" s="230">
        <f t="shared" si="47"/>
        <v>-5.9510067974862135E-2</v>
      </c>
      <c r="T192" s="230">
        <f t="shared" si="47"/>
        <v>6.0253742095573548E-2</v>
      </c>
      <c r="U192" s="230"/>
      <c r="V192" s="230"/>
    </row>
    <row r="193" spans="2:22">
      <c r="B193">
        <f t="shared" si="45"/>
        <v>2016</v>
      </c>
      <c r="D193" s="67">
        <f t="shared" si="42"/>
        <v>9.7686736425031118E-3</v>
      </c>
      <c r="E193" s="67">
        <f t="shared" ref="E193:P193" si="48">E182/E181-1</f>
        <v>9.4609532872995672E-3</v>
      </c>
      <c r="F193" s="67">
        <f t="shared" si="48"/>
        <v>3.0433413789484609E-2</v>
      </c>
      <c r="G193" s="67">
        <f t="shared" si="48"/>
        <v>3.2987846582837488E-2</v>
      </c>
      <c r="H193" s="230">
        <f t="shared" si="48"/>
        <v>2.2493655938569557E-2</v>
      </c>
      <c r="I193" s="230">
        <f t="shared" si="48"/>
        <v>1.1050205737383134E-2</v>
      </c>
      <c r="J193" s="230">
        <f t="shared" si="48"/>
        <v>7.3998120140137402E-3</v>
      </c>
      <c r="K193" s="230">
        <f t="shared" si="48"/>
        <v>-4.7131290977395768E-3</v>
      </c>
      <c r="L193" s="230">
        <f t="shared" si="48"/>
        <v>-3.1180636296374575E-2</v>
      </c>
      <c r="M193" s="230">
        <f t="shared" si="48"/>
        <v>8.0039525691699698E-2</v>
      </c>
      <c r="N193" s="230">
        <f t="shared" si="48"/>
        <v>1.5900534330404614E-2</v>
      </c>
      <c r="O193" s="230">
        <f t="shared" si="48"/>
        <v>15.058823529411761</v>
      </c>
      <c r="P193" s="230">
        <f t="shared" si="48"/>
        <v>-0.37264480111653864</v>
      </c>
      <c r="Q193" s="230">
        <f t="shared" ref="Q193:T193" si="49">Q182/Q181-1</f>
        <v>2.2493865184552986E-2</v>
      </c>
      <c r="R193" s="230">
        <f t="shared" si="49"/>
        <v>1.105012540438377E-2</v>
      </c>
      <c r="S193" s="230">
        <f t="shared" si="49"/>
        <v>-4.4252011455066187E-2</v>
      </c>
      <c r="T193" s="230">
        <f t="shared" si="49"/>
        <v>1.7288564256459527E-2</v>
      </c>
      <c r="U193" s="230"/>
      <c r="V193" s="230"/>
    </row>
    <row r="194" spans="2:22">
      <c r="B194">
        <f t="shared" si="45"/>
        <v>2017</v>
      </c>
      <c r="D194" s="67">
        <f t="shared" si="42"/>
        <v>2.1855924784438763E-2</v>
      </c>
      <c r="E194" s="67">
        <f t="shared" ref="E194:P194" si="50">E183/E182-1</f>
        <v>2.184866894157067E-2</v>
      </c>
      <c r="F194" s="67">
        <f t="shared" si="50"/>
        <v>-8.6566860169059456E-3</v>
      </c>
      <c r="G194" s="67">
        <f t="shared" si="50"/>
        <v>-6.7230314760110543E-3</v>
      </c>
      <c r="H194" s="230">
        <f t="shared" si="50"/>
        <v>2.7539321822391605E-2</v>
      </c>
      <c r="I194" s="230">
        <f t="shared" si="50"/>
        <v>4.8549692969211078E-2</v>
      </c>
      <c r="J194" s="230">
        <f t="shared" si="50"/>
        <v>5.5777973807423109E-2</v>
      </c>
      <c r="K194" s="230">
        <f t="shared" si="50"/>
        <v>7.4149612021473965E-2</v>
      </c>
      <c r="L194" s="230">
        <f t="shared" si="50"/>
        <v>4.9094479598517093E-3</v>
      </c>
      <c r="M194" s="230">
        <f t="shared" si="50"/>
        <v>7.3559011893869819E-2</v>
      </c>
      <c r="N194" s="230">
        <f t="shared" si="50"/>
        <v>-2.1280660197141921E-2</v>
      </c>
      <c r="O194" s="230">
        <f t="shared" si="50"/>
        <v>-0.23809523809523814</v>
      </c>
      <c r="P194" s="230">
        <f t="shared" si="50"/>
        <v>0.15350389321468327</v>
      </c>
      <c r="Q194" s="230">
        <f t="shared" ref="Q194:T194" si="51">Q183/Q182-1</f>
        <v>2.7539185558678847E-2</v>
      </c>
      <c r="R194" s="230">
        <f t="shared" si="51"/>
        <v>4.8534963149379884E-2</v>
      </c>
      <c r="S194" s="230">
        <f t="shared" si="51"/>
        <v>1.3055575372761696E-2</v>
      </c>
      <c r="T194" s="230">
        <f t="shared" si="51"/>
        <v>-3.2319709085511739E-2</v>
      </c>
      <c r="U194" s="230"/>
      <c r="V194" s="230"/>
    </row>
    <row r="195" spans="2:22">
      <c r="B195">
        <f t="shared" si="45"/>
        <v>2018</v>
      </c>
      <c r="D195" s="67">
        <f t="shared" si="42"/>
        <v>1.9475527963431327E-2</v>
      </c>
      <c r="E195" s="67">
        <f t="shared" ref="E195:P195" si="52">E184/E183-1</f>
        <v>1.9345009278702641E-2</v>
      </c>
      <c r="F195" s="67">
        <f t="shared" si="52"/>
        <v>2.2909389767824306E-2</v>
      </c>
      <c r="G195" s="67">
        <f t="shared" si="52"/>
        <v>2.3023279663624274E-2</v>
      </c>
      <c r="H195" s="230">
        <f t="shared" si="52"/>
        <v>3.2789998963980826E-2</v>
      </c>
      <c r="I195" s="230">
        <f t="shared" si="52"/>
        <v>3.4863467420075844E-2</v>
      </c>
      <c r="J195" s="230">
        <f t="shared" si="52"/>
        <v>3.6425862844656098E-2</v>
      </c>
      <c r="K195" s="230">
        <f t="shared" si="52"/>
        <v>5.2422522915757108E-2</v>
      </c>
      <c r="L195" s="230">
        <f t="shared" si="52"/>
        <v>5.8842688090326334E-2</v>
      </c>
      <c r="M195" s="230">
        <f t="shared" si="52"/>
        <v>0.41264700869268789</v>
      </c>
      <c r="N195" s="230">
        <f t="shared" si="52"/>
        <v>-9.3687785454998895E-4</v>
      </c>
      <c r="O195" s="230">
        <f t="shared" si="52"/>
        <v>-3.6858974358973895E-2</v>
      </c>
      <c r="P195" s="230">
        <f t="shared" si="52"/>
        <v>0.33558341369334577</v>
      </c>
      <c r="Q195" s="230">
        <f t="shared" ref="Q195:T195" si="53">Q184/Q183-1</f>
        <v>3.2790262729576414E-2</v>
      </c>
      <c r="R195" s="230">
        <f t="shared" si="53"/>
        <v>3.4870564032230433E-2</v>
      </c>
      <c r="S195" s="230">
        <f t="shared" si="53"/>
        <v>6.908450704225344E-2</v>
      </c>
      <c r="T195" s="230">
        <f t="shared" si="53"/>
        <v>9.3391107617385893E-2</v>
      </c>
      <c r="U195" s="230"/>
      <c r="V195" s="230"/>
    </row>
    <row r="196" spans="2:22">
      <c r="B196">
        <f t="shared" si="45"/>
        <v>2019</v>
      </c>
      <c r="D196" s="67">
        <f t="shared" si="42"/>
        <v>2.392107656356135E-2</v>
      </c>
      <c r="E196" s="67">
        <f t="shared" ref="E196:P196" si="54">E185/E184-1</f>
        <v>2.4467085505831321E-2</v>
      </c>
      <c r="F196" s="67">
        <f t="shared" si="54"/>
        <v>3.6707843728030154E-2</v>
      </c>
      <c r="G196" s="67">
        <f t="shared" si="54"/>
        <v>3.4985715001754292E-2</v>
      </c>
      <c r="H196" s="230">
        <f t="shared" si="54"/>
        <v>2.2472691403358835E-2</v>
      </c>
      <c r="I196" s="230">
        <f t="shared" si="54"/>
        <v>3.7320257106885135E-2</v>
      </c>
      <c r="J196" s="230">
        <f t="shared" si="54"/>
        <v>4.7718710757639116E-2</v>
      </c>
      <c r="K196" s="230">
        <f t="shared" si="54"/>
        <v>3.7908008792667536E-2</v>
      </c>
      <c r="L196" s="230">
        <f t="shared" si="54"/>
        <v>0.11996308828052893</v>
      </c>
      <c r="M196" s="230">
        <f t="shared" si="54"/>
        <v>0.62113899613899659</v>
      </c>
      <c r="N196" s="230">
        <f t="shared" si="54"/>
        <v>-3.5543573112439497E-2</v>
      </c>
      <c r="O196" s="230">
        <f t="shared" si="54"/>
        <v>-1.1647254575707588E-2</v>
      </c>
      <c r="P196" s="230">
        <f t="shared" si="54"/>
        <v>-6.4259927797834182E-2</v>
      </c>
      <c r="Q196" s="230">
        <f t="shared" ref="Q196:T196" si="55">Q185/Q184-1</f>
        <v>2.2472497147834725E-2</v>
      </c>
      <c r="R196" s="230">
        <f t="shared" si="55"/>
        <v>3.7307004174673697E-2</v>
      </c>
      <c r="S196" s="230">
        <f t="shared" si="55"/>
        <v>3.2474804031354942E-2</v>
      </c>
      <c r="T196" s="230">
        <f t="shared" si="55"/>
        <v>-3.1125061373360463E-2</v>
      </c>
      <c r="U196" s="230"/>
      <c r="V196" s="230"/>
    </row>
    <row r="197" spans="2:22">
      <c r="B197">
        <f t="shared" si="45"/>
        <v>2020</v>
      </c>
      <c r="D197" s="67">
        <f t="shared" si="42"/>
        <v>-4.8985350826896923E-2</v>
      </c>
      <c r="E197" s="67">
        <f t="shared" ref="E197:P197" si="56">E186/E185-1</f>
        <v>-4.9757216077690902E-2</v>
      </c>
      <c r="F197" s="67">
        <f t="shared" si="56"/>
        <v>-0.10573988859287942</v>
      </c>
      <c r="G197" s="67">
        <f t="shared" si="56"/>
        <v>-0.10731754564385687</v>
      </c>
      <c r="H197" s="230">
        <f t="shared" si="56"/>
        <v>-4.6245112412196865E-2</v>
      </c>
      <c r="I197" s="230">
        <f t="shared" si="56"/>
        <v>5.5090646599634585E-2</v>
      </c>
      <c r="J197" s="230">
        <f t="shared" si="56"/>
        <v>7.1943297672422801E-2</v>
      </c>
      <c r="K197" s="230">
        <f t="shared" si="56"/>
        <v>8.9550449550449329E-2</v>
      </c>
      <c r="L197" s="230">
        <f t="shared" si="56"/>
        <v>2.3986084409045372E-2</v>
      </c>
      <c r="M197" s="230">
        <f t="shared" si="56"/>
        <v>0.30686216135754685</v>
      </c>
      <c r="N197" s="230">
        <f t="shared" si="56"/>
        <v>-0.11682646860229573</v>
      </c>
      <c r="O197" s="230">
        <f t="shared" si="56"/>
        <v>-9.259259259259256E-2</v>
      </c>
      <c r="P197" s="230">
        <f t="shared" si="56"/>
        <v>-0.44444444444444431</v>
      </c>
      <c r="Q197" s="230">
        <f t="shared" ref="Q197:T197" si="57">Q186/Q185-1</f>
        <v>-4.6244802728192203E-2</v>
      </c>
      <c r="R197" s="230">
        <f t="shared" si="57"/>
        <v>5.5129679315190971E-2</v>
      </c>
      <c r="S197" s="230">
        <f t="shared" si="57"/>
        <v>-1.569478116626255E-2</v>
      </c>
      <c r="T197" s="230">
        <f t="shared" si="57"/>
        <v>5.6811394856387976E-2</v>
      </c>
      <c r="U197" s="230"/>
      <c r="V197" s="230"/>
    </row>
    <row r="198" spans="2:22">
      <c r="B198">
        <f t="shared" si="45"/>
        <v>2021</v>
      </c>
      <c r="D198" s="67">
        <f t="shared" si="42"/>
        <v>4.4205041027356451E-2</v>
      </c>
      <c r="E198" s="67">
        <f t="shared" ref="E198:P198" si="58">E187/E186-1</f>
        <v>4.4564070536022626E-2</v>
      </c>
      <c r="F198" s="67">
        <f t="shared" si="58"/>
        <v>7.1769039107355548E-2</v>
      </c>
      <c r="G198" s="67">
        <f t="shared" si="58"/>
        <v>7.4051972006727196E-2</v>
      </c>
      <c r="H198" s="230">
        <f t="shared" si="58"/>
        <v>5.1583885539429941E-2</v>
      </c>
      <c r="I198" s="230">
        <f t="shared" si="58"/>
        <v>5.0470435803979141E-2</v>
      </c>
      <c r="J198" s="230">
        <f t="shared" si="58"/>
        <v>5.2165150532142102E-2</v>
      </c>
      <c r="K198" s="230">
        <f t="shared" si="58"/>
        <v>6.346732193941218E-2</v>
      </c>
      <c r="L198" s="230">
        <f t="shared" si="58"/>
        <v>3.3258828788556238E-2</v>
      </c>
      <c r="M198" s="230">
        <f t="shared" si="58"/>
        <v>8.166752092943752E-2</v>
      </c>
      <c r="N198" s="230">
        <f t="shared" si="58"/>
        <v>-8.5322405541370383E-3</v>
      </c>
      <c r="O198" s="230">
        <f t="shared" si="58"/>
        <v>-5.0092764378478427E-2</v>
      </c>
      <c r="P198" s="230">
        <f t="shared" si="58"/>
        <v>0.41388888888888853</v>
      </c>
      <c r="Q198" s="230">
        <f t="shared" ref="Q198:T198" si="59">Q187/Q186-1</f>
        <v>5.1583738910288446E-2</v>
      </c>
      <c r="R198" s="230">
        <f t="shared" si="59"/>
        <v>5.0432887328207388E-2</v>
      </c>
      <c r="S198" s="230">
        <f t="shared" si="59"/>
        <v>2.0287788436608833E-2</v>
      </c>
      <c r="T198" s="230">
        <f t="shared" si="59"/>
        <v>0.1007329771201535</v>
      </c>
      <c r="U198" s="230"/>
      <c r="V198" s="230"/>
    </row>
    <row r="199" spans="2:22">
      <c r="B199">
        <f t="shared" si="45"/>
        <v>2022</v>
      </c>
      <c r="D199" s="67">
        <f t="shared" si="42"/>
        <v>4.9332497067787084E-2</v>
      </c>
      <c r="E199" s="67">
        <f t="shared" ref="E199:P199" si="60">E188/E187-1</f>
        <v>4.9391509556815816E-2</v>
      </c>
      <c r="F199" s="67">
        <f t="shared" si="60"/>
        <v>6.0848031535856828E-2</v>
      </c>
      <c r="G199" s="67">
        <f t="shared" si="60"/>
        <v>6.0006061218304874E-2</v>
      </c>
      <c r="H199" s="230">
        <f t="shared" si="60"/>
        <v>3.6853557783490976E-2</v>
      </c>
      <c r="I199" s="230">
        <f t="shared" si="60"/>
        <v>1.3118004403406935E-2</v>
      </c>
      <c r="J199" s="230">
        <f t="shared" si="60"/>
        <v>2.0951956128152149E-2</v>
      </c>
      <c r="K199" s="230">
        <f t="shared" si="60"/>
        <v>2.0071387926128503E-2</v>
      </c>
      <c r="L199" s="230">
        <f t="shared" si="60"/>
        <v>6.4636151250323959E-2</v>
      </c>
      <c r="M199" s="230">
        <f t="shared" si="60"/>
        <v>0.11493708208287257</v>
      </c>
      <c r="N199" s="230">
        <f t="shared" si="60"/>
        <v>5.8018846100461374E-2</v>
      </c>
      <c r="O199" s="230">
        <f t="shared" si="60"/>
        <v>6.93359375E-2</v>
      </c>
      <c r="P199" s="230">
        <f t="shared" si="60"/>
        <v>0.17387033398821239</v>
      </c>
      <c r="Q199" s="230">
        <f t="shared" ref="Q199:T199" si="61">Q188/Q187-1</f>
        <v>3.6853489201469136E-2</v>
      </c>
      <c r="R199" s="230">
        <f t="shared" si="61"/>
        <v>1.3112391930835798E-2</v>
      </c>
      <c r="S199" s="230">
        <f t="shared" si="61"/>
        <v>3.9514643288228291E-2</v>
      </c>
      <c r="T199" s="230">
        <f t="shared" si="61"/>
        <v>-5.2587360363444136E-3</v>
      </c>
      <c r="U199" s="230"/>
      <c r="V199" s="230"/>
    </row>
    <row r="200" spans="2:22">
      <c r="B200">
        <f t="shared" si="45"/>
        <v>2023</v>
      </c>
      <c r="D200" s="67">
        <f t="shared" si="42"/>
        <v>2.360748629522913E-2</v>
      </c>
      <c r="E200" s="67">
        <f t="shared" ref="E200:P200" si="62">E189/E188-1</f>
        <v>2.3434667380306973E-2</v>
      </c>
      <c r="F200" s="67">
        <f t="shared" si="62"/>
        <v>8.0129579343528157E-2</v>
      </c>
      <c r="G200" s="67">
        <f t="shared" si="62"/>
        <v>8.138759172781862E-2</v>
      </c>
      <c r="H200" s="230">
        <f t="shared" si="62"/>
        <v>1.1999999999999789E-2</v>
      </c>
      <c r="I200" s="230">
        <f t="shared" si="62"/>
        <v>1.2000000000000455E-2</v>
      </c>
      <c r="J200" s="230">
        <f t="shared" si="62"/>
        <v>1.2000000000000011E-2</v>
      </c>
      <c r="K200" s="230">
        <f t="shared" si="62"/>
        <v>1.2000000000000233E-2</v>
      </c>
      <c r="L200" s="230">
        <f t="shared" si="62"/>
        <v>1.2000000000000455E-2</v>
      </c>
      <c r="M200" s="230">
        <f t="shared" si="62"/>
        <v>1.2000000000000455E-2</v>
      </c>
      <c r="N200" s="230">
        <f t="shared" si="62"/>
        <v>1.2000000000000011E-2</v>
      </c>
      <c r="O200" s="230">
        <f t="shared" si="62"/>
        <v>1.2000000000000011E-2</v>
      </c>
      <c r="P200" s="230">
        <f t="shared" si="62"/>
        <v>1.2000000000000011E-2</v>
      </c>
      <c r="Q200" s="230">
        <f t="shared" ref="Q200:T200" si="63">Q189/Q188-1</f>
        <v>1.4350502532765264E-2</v>
      </c>
      <c r="R200" s="230">
        <f t="shared" si="63"/>
        <v>-6.639476603612593E-2</v>
      </c>
      <c r="S200" s="230">
        <f t="shared" si="63"/>
        <v>2.3611807125831774E-3</v>
      </c>
      <c r="T200" s="230">
        <f t="shared" si="63"/>
        <v>-3.9440065065063923E-3</v>
      </c>
      <c r="U200" s="230"/>
      <c r="V200" s="230"/>
    </row>
  </sheetData>
  <mergeCells count="7">
    <mergeCell ref="Q3:S3"/>
    <mergeCell ref="F1:G1"/>
    <mergeCell ref="D1:E1"/>
    <mergeCell ref="D3:G3"/>
    <mergeCell ref="H3:P3"/>
    <mergeCell ref="H1:P1"/>
    <mergeCell ref="Q1:T1"/>
  </mergeCells>
  <pageMargins left="0.7" right="0.7" top="0.75" bottom="0.75" header="0.3" footer="0.3"/>
  <pageSetup orientation="portrait" r:id="rId1"/>
  <ignoredErrors>
    <ignoredError sqref="AC10:AD12 AC15:AD1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BDB04-E403-4868-8BD0-8B64C4B3CE68}">
  <sheetPr>
    <tabColor theme="3" tint="0.79998168889431442"/>
  </sheetPr>
  <dimension ref="A1:S39"/>
  <sheetViews>
    <sheetView workbookViewId="0">
      <selection activeCell="Z17" sqref="Z17"/>
    </sheetView>
  </sheetViews>
  <sheetFormatPr defaultRowHeight="14.45"/>
  <sheetData>
    <row r="1" spans="1:19">
      <c r="A1" t="s">
        <v>210</v>
      </c>
      <c r="H1" t="s">
        <v>211</v>
      </c>
      <c r="O1" t="s">
        <v>212</v>
      </c>
    </row>
    <row r="2" spans="1:19">
      <c r="A2" t="s">
        <v>213</v>
      </c>
      <c r="H2" t="s">
        <v>213</v>
      </c>
      <c r="O2" t="s">
        <v>213</v>
      </c>
    </row>
    <row r="3" spans="1:19">
      <c r="A3" t="s">
        <v>214</v>
      </c>
      <c r="H3" t="s">
        <v>215</v>
      </c>
      <c r="O3" t="s">
        <v>216</v>
      </c>
    </row>
    <row r="5" spans="1:19">
      <c r="B5" t="s">
        <v>217</v>
      </c>
      <c r="C5" t="s">
        <v>218</v>
      </c>
      <c r="D5" t="s">
        <v>219</v>
      </c>
      <c r="E5" t="s">
        <v>220</v>
      </c>
      <c r="I5" t="s">
        <v>217</v>
      </c>
      <c r="J5" t="s">
        <v>218</v>
      </c>
      <c r="K5" t="s">
        <v>219</v>
      </c>
      <c r="L5" t="s">
        <v>220</v>
      </c>
      <c r="P5" t="s">
        <v>217</v>
      </c>
      <c r="Q5" t="s">
        <v>218</v>
      </c>
      <c r="R5" t="s">
        <v>219</v>
      </c>
      <c r="S5" t="s">
        <v>220</v>
      </c>
    </row>
    <row r="6" spans="1:19">
      <c r="A6" t="s">
        <v>221</v>
      </c>
      <c r="B6">
        <v>-9983291.3537475597</v>
      </c>
      <c r="C6">
        <v>4966994.0357693601</v>
      </c>
      <c r="D6">
        <v>-2.0099261810772799</v>
      </c>
      <c r="E6">
        <v>4.6681901888364401E-2</v>
      </c>
      <c r="H6" t="s">
        <v>221</v>
      </c>
      <c r="I6">
        <v>5729425.0429116003</v>
      </c>
      <c r="J6">
        <v>1860097.17573396</v>
      </c>
      <c r="K6">
        <v>3.0801751207707002</v>
      </c>
      <c r="L6">
        <v>2.56538025705757E-3</v>
      </c>
      <c r="O6" t="s">
        <v>221</v>
      </c>
      <c r="P6">
        <v>5127516.2703934703</v>
      </c>
      <c r="Q6">
        <v>2154577.0240831599</v>
      </c>
      <c r="R6">
        <v>2.37982500188193</v>
      </c>
      <c r="S6">
        <v>1.8896618976245502E-2</v>
      </c>
    </row>
    <row r="7" spans="1:19">
      <c r="A7" t="s">
        <v>28</v>
      </c>
      <c r="B7">
        <v>12467.263225344101</v>
      </c>
      <c r="C7">
        <v>723.71469316509103</v>
      </c>
      <c r="D7">
        <v>17.2267653857072</v>
      </c>
      <c r="E7" s="18">
        <v>3.10012618376032E-34</v>
      </c>
      <c r="H7" t="s">
        <v>28</v>
      </c>
      <c r="I7">
        <v>11757.3445802758</v>
      </c>
      <c r="J7">
        <v>739.26774860968806</v>
      </c>
      <c r="K7">
        <v>15.904040995143401</v>
      </c>
      <c r="L7" s="18">
        <v>2.4930038544512001E-31</v>
      </c>
      <c r="O7" t="s">
        <v>28</v>
      </c>
      <c r="P7">
        <v>11989.548218280799</v>
      </c>
      <c r="Q7">
        <v>744.51993042504</v>
      </c>
      <c r="R7">
        <v>16.1037303748687</v>
      </c>
      <c r="S7" s="18">
        <v>8.9583681662452002E-32</v>
      </c>
    </row>
    <row r="8" spans="1:19">
      <c r="A8" t="s">
        <v>33</v>
      </c>
      <c r="B8">
        <v>64887.892081933402</v>
      </c>
      <c r="C8">
        <v>1868.68744903419</v>
      </c>
      <c r="D8">
        <v>34.723780113935099</v>
      </c>
      <c r="E8" s="18">
        <v>1.9277414784572499E-64</v>
      </c>
      <c r="H8" t="s">
        <v>33</v>
      </c>
      <c r="I8">
        <v>63071.394276045103</v>
      </c>
      <c r="J8">
        <v>1915.9319575521499</v>
      </c>
      <c r="K8">
        <v>32.919433295860202</v>
      </c>
      <c r="L8" s="18">
        <v>6.3660714931415404E-62</v>
      </c>
      <c r="O8" t="s">
        <v>33</v>
      </c>
      <c r="P8">
        <v>63848.250682653903</v>
      </c>
      <c r="Q8">
        <v>1927.43302846246</v>
      </c>
      <c r="R8">
        <v>33.1260540521019</v>
      </c>
      <c r="S8" s="18">
        <v>3.23482001306005E-62</v>
      </c>
    </row>
    <row r="9" spans="1:19">
      <c r="A9" t="s">
        <v>107</v>
      </c>
      <c r="B9">
        <v>2845.7304824508301</v>
      </c>
      <c r="C9">
        <v>1189.99649087691</v>
      </c>
      <c r="D9">
        <v>2.3913772051158002</v>
      </c>
      <c r="E9">
        <v>1.8339107544162798E-2</v>
      </c>
      <c r="H9" t="s">
        <v>107</v>
      </c>
      <c r="I9">
        <v>5720.0523166655103</v>
      </c>
      <c r="J9">
        <v>1050.4887017154799</v>
      </c>
      <c r="K9">
        <v>5.4451345429269802</v>
      </c>
      <c r="L9" s="18">
        <v>2.7921960282217499E-7</v>
      </c>
      <c r="O9" t="s">
        <v>107</v>
      </c>
      <c r="P9">
        <v>4408.3082592206902</v>
      </c>
      <c r="Q9">
        <v>1132.85406186107</v>
      </c>
      <c r="R9">
        <v>3.89132934914727</v>
      </c>
      <c r="S9">
        <v>1.6421262907466899E-4</v>
      </c>
    </row>
    <row r="10" spans="1:19">
      <c r="A10" t="s">
        <v>112</v>
      </c>
      <c r="B10">
        <v>13640.6748747161</v>
      </c>
      <c r="C10">
        <v>2459.3853123479998</v>
      </c>
      <c r="D10">
        <v>5.5463756761616096</v>
      </c>
      <c r="E10" s="18">
        <v>1.76587171433703E-7</v>
      </c>
      <c r="H10" t="s">
        <v>112</v>
      </c>
      <c r="I10">
        <v>19790.6006716425</v>
      </c>
      <c r="J10">
        <v>2357.4933879600298</v>
      </c>
      <c r="K10">
        <v>8.3947640204274698</v>
      </c>
      <c r="L10" s="18">
        <v>1.07766215809147E-13</v>
      </c>
      <c r="O10" t="s">
        <v>112</v>
      </c>
      <c r="P10">
        <v>16518.727894690899</v>
      </c>
      <c r="Q10">
        <v>2426.9559734724598</v>
      </c>
      <c r="R10">
        <v>6.8063566357390801</v>
      </c>
      <c r="S10" s="18">
        <v>4.2016166326271598E-10</v>
      </c>
    </row>
    <row r="11" spans="1:19">
      <c r="A11" t="s">
        <v>5</v>
      </c>
      <c r="B11">
        <v>828.35958248519501</v>
      </c>
      <c r="C11">
        <v>179.36580059804399</v>
      </c>
      <c r="D11">
        <v>4.6182693675342099</v>
      </c>
      <c r="E11" s="18">
        <v>9.7957612761155294E-6</v>
      </c>
      <c r="H11" t="s">
        <v>222</v>
      </c>
      <c r="I11">
        <v>44154.970445933497</v>
      </c>
      <c r="J11">
        <v>11166.2844476968</v>
      </c>
      <c r="K11">
        <v>3.9543118082614499</v>
      </c>
      <c r="L11">
        <v>1.3026175491010099E-4</v>
      </c>
      <c r="O11" t="s">
        <v>45</v>
      </c>
      <c r="P11">
        <v>10.2008624484249</v>
      </c>
      <c r="Q11">
        <v>2.7744922262203899</v>
      </c>
      <c r="R11">
        <v>3.6766592286766699</v>
      </c>
      <c r="S11">
        <v>3.5479260159268299E-4</v>
      </c>
    </row>
    <row r="13" spans="1:19">
      <c r="A13" t="s">
        <v>223</v>
      </c>
      <c r="H13" t="s">
        <v>223</v>
      </c>
      <c r="O13" t="s">
        <v>223</v>
      </c>
    </row>
    <row r="14" spans="1:19">
      <c r="A14" t="s">
        <v>224</v>
      </c>
      <c r="B14">
        <v>22161584.562546801</v>
      </c>
      <c r="C14" t="s">
        <v>225</v>
      </c>
      <c r="D14">
        <v>5001379.44874027</v>
      </c>
      <c r="H14" t="s">
        <v>224</v>
      </c>
      <c r="I14">
        <v>22161584.562546801</v>
      </c>
      <c r="J14" t="s">
        <v>225</v>
      </c>
      <c r="K14">
        <v>5001379.44874027</v>
      </c>
      <c r="O14" t="s">
        <v>224</v>
      </c>
      <c r="P14">
        <v>22161584.562546801</v>
      </c>
      <c r="Q14" t="s">
        <v>225</v>
      </c>
      <c r="R14">
        <v>5001379.44874027</v>
      </c>
    </row>
    <row r="15" spans="1:19">
      <c r="A15" t="s">
        <v>226</v>
      </c>
      <c r="B15">
        <v>132717610001240</v>
      </c>
      <c r="C15" t="s">
        <v>227</v>
      </c>
      <c r="D15">
        <v>1051655.8768645099</v>
      </c>
      <c r="H15" t="s">
        <v>226</v>
      </c>
      <c r="I15">
        <v>134962458178728</v>
      </c>
      <c r="J15" t="s">
        <v>227</v>
      </c>
      <c r="K15">
        <v>1060512.6833232101</v>
      </c>
      <c r="O15" t="s">
        <v>226</v>
      </c>
      <c r="P15">
        <v>137629522367344</v>
      </c>
      <c r="Q15" t="s">
        <v>227</v>
      </c>
      <c r="R15">
        <v>1070940.0946806199</v>
      </c>
    </row>
    <row r="16" spans="1:19">
      <c r="A16" t="s">
        <v>228</v>
      </c>
      <c r="B16">
        <v>0.95761199208650605</v>
      </c>
      <c r="C16" t="s">
        <v>229</v>
      </c>
      <c r="D16">
        <v>0.95584582509011096</v>
      </c>
      <c r="H16" t="s">
        <v>228</v>
      </c>
      <c r="I16">
        <v>0.95698233940588096</v>
      </c>
      <c r="J16" t="s">
        <v>229</v>
      </c>
      <c r="K16">
        <v>0.95518993688112697</v>
      </c>
      <c r="O16" t="s">
        <v>228</v>
      </c>
      <c r="P16">
        <v>0.95610830737183095</v>
      </c>
      <c r="Q16" t="s">
        <v>229</v>
      </c>
      <c r="R16">
        <v>0.954279486845657</v>
      </c>
    </row>
    <row r="17" spans="1:19">
      <c r="A17" t="s">
        <v>230</v>
      </c>
      <c r="B17">
        <v>455.93757064284102</v>
      </c>
      <c r="C17" t="s">
        <v>231</v>
      </c>
      <c r="D17" s="18">
        <v>2.9224456218728198E-76</v>
      </c>
      <c r="H17" t="s">
        <v>230</v>
      </c>
      <c r="I17">
        <v>410.38391152894701</v>
      </c>
      <c r="J17" t="s">
        <v>231</v>
      </c>
      <c r="K17" s="18">
        <v>1.15043949332818E-73</v>
      </c>
      <c r="O17" t="s">
        <v>230</v>
      </c>
      <c r="P17">
        <v>408.45836820536903</v>
      </c>
      <c r="Q17" t="s">
        <v>231</v>
      </c>
      <c r="R17" s="18">
        <v>1.5012833197463398E-73</v>
      </c>
    </row>
    <row r="18" spans="1:19">
      <c r="A18" t="s">
        <v>232</v>
      </c>
      <c r="B18">
        <v>2.0685188014092901E-2</v>
      </c>
      <c r="C18" t="s">
        <v>233</v>
      </c>
      <c r="D18">
        <v>1.94073891193065</v>
      </c>
      <c r="H18" t="s">
        <v>232</v>
      </c>
      <c r="I18">
        <v>2.10825460768416E-2</v>
      </c>
      <c r="J18" t="s">
        <v>233</v>
      </c>
      <c r="K18">
        <v>1.9425497215788501</v>
      </c>
      <c r="O18" t="s">
        <v>232</v>
      </c>
      <c r="P18">
        <v>2.5709925513100799E-2</v>
      </c>
      <c r="Q18" t="s">
        <v>233</v>
      </c>
      <c r="R18">
        <v>1.9337104795792499</v>
      </c>
    </row>
    <row r="20" spans="1:19">
      <c r="A20" t="s">
        <v>234</v>
      </c>
      <c r="H20" t="s">
        <v>235</v>
      </c>
      <c r="O20" t="s">
        <v>236</v>
      </c>
    </row>
    <row r="21" spans="1:19">
      <c r="A21" t="s">
        <v>213</v>
      </c>
      <c r="H21" t="s">
        <v>213</v>
      </c>
      <c r="O21" t="s">
        <v>213</v>
      </c>
    </row>
    <row r="22" spans="1:19">
      <c r="A22" t="s">
        <v>237</v>
      </c>
      <c r="H22" t="s">
        <v>238</v>
      </c>
      <c r="O22" t="s">
        <v>239</v>
      </c>
    </row>
    <row r="24" spans="1:19">
      <c r="B24" t="s">
        <v>217</v>
      </c>
      <c r="C24" t="s">
        <v>218</v>
      </c>
      <c r="D24" t="s">
        <v>219</v>
      </c>
      <c r="E24" t="s">
        <v>220</v>
      </c>
      <c r="I24" t="s">
        <v>217</v>
      </c>
      <c r="J24" t="s">
        <v>218</v>
      </c>
      <c r="K24" t="s">
        <v>219</v>
      </c>
      <c r="L24" t="s">
        <v>220</v>
      </c>
      <c r="P24" t="s">
        <v>217</v>
      </c>
      <c r="Q24" t="s">
        <v>218</v>
      </c>
      <c r="R24" t="s">
        <v>219</v>
      </c>
      <c r="S24" t="s">
        <v>220</v>
      </c>
    </row>
    <row r="25" spans="1:19">
      <c r="A25" t="s">
        <v>221</v>
      </c>
      <c r="B25">
        <v>-7397151.8196447697</v>
      </c>
      <c r="C25">
        <v>2777453.0449357801</v>
      </c>
      <c r="D25">
        <v>-2.6632860033879799</v>
      </c>
      <c r="E25">
        <v>8.8191005184800903E-3</v>
      </c>
      <c r="H25" t="s">
        <v>221</v>
      </c>
      <c r="I25">
        <v>-12342777.932564801</v>
      </c>
      <c r="J25">
        <v>3109065.06562354</v>
      </c>
      <c r="K25">
        <v>-3.9699323340116002</v>
      </c>
      <c r="L25">
        <v>1.2397737882351899E-4</v>
      </c>
      <c r="O25" t="s">
        <v>221</v>
      </c>
      <c r="P25">
        <v>-28800945.4978466</v>
      </c>
      <c r="Q25">
        <v>4943560.0706545198</v>
      </c>
      <c r="R25">
        <v>-5.8259523675684601</v>
      </c>
      <c r="S25" s="18">
        <v>5.0217057446114698E-8</v>
      </c>
    </row>
    <row r="26" spans="1:19">
      <c r="A26" t="s">
        <v>28</v>
      </c>
      <c r="B26">
        <v>10164.4411201068</v>
      </c>
      <c r="C26">
        <v>743.14877255796296</v>
      </c>
      <c r="D26">
        <v>13.6775320036124</v>
      </c>
      <c r="E26" s="18">
        <v>4.2665625580195603E-26</v>
      </c>
      <c r="H26" t="s">
        <v>28</v>
      </c>
      <c r="I26">
        <v>9536.84484464856</v>
      </c>
      <c r="J26">
        <v>755.28692222452105</v>
      </c>
      <c r="K26">
        <v>12.6267840260758</v>
      </c>
      <c r="L26" s="18">
        <v>1.1945121479233899E-23</v>
      </c>
      <c r="O26" t="s">
        <v>28</v>
      </c>
      <c r="P26">
        <v>10189.6686702519</v>
      </c>
      <c r="Q26">
        <v>742.20602364632498</v>
      </c>
      <c r="R26">
        <v>13.7288951391042</v>
      </c>
      <c r="S26" s="18">
        <v>3.2471834359684499E-26</v>
      </c>
    </row>
    <row r="27" spans="1:19">
      <c r="A27" t="s">
        <v>33</v>
      </c>
      <c r="B27">
        <v>56070.138268696799</v>
      </c>
      <c r="C27">
        <v>2174.45190782503</v>
      </c>
      <c r="D27">
        <v>25.785871863581502</v>
      </c>
      <c r="E27" s="18">
        <v>2.5817512719584202E-50</v>
      </c>
      <c r="H27" t="s">
        <v>33</v>
      </c>
      <c r="I27">
        <v>54476.439698544898</v>
      </c>
      <c r="J27">
        <v>2207.0845290614302</v>
      </c>
      <c r="K27">
        <v>24.682534348474299</v>
      </c>
      <c r="L27" s="18">
        <v>2.0198409969279601E-48</v>
      </c>
      <c r="O27" t="s">
        <v>33</v>
      </c>
      <c r="P27">
        <v>56016.730653506303</v>
      </c>
      <c r="Q27">
        <v>2170.8738874604501</v>
      </c>
      <c r="R27">
        <v>25.803770074841299</v>
      </c>
      <c r="S27" s="18">
        <v>2.4080616108592102E-50</v>
      </c>
    </row>
    <row r="28" spans="1:19">
      <c r="A28" t="s">
        <v>107</v>
      </c>
      <c r="B28">
        <v>2937.5895226549201</v>
      </c>
      <c r="C28">
        <v>970.89346577213405</v>
      </c>
      <c r="D28">
        <v>3.0256558790605399</v>
      </c>
      <c r="E28">
        <v>3.04585628320869E-3</v>
      </c>
      <c r="H28" t="s">
        <v>107</v>
      </c>
      <c r="I28">
        <v>5569.81711164029</v>
      </c>
      <c r="J28">
        <v>908.99170101782397</v>
      </c>
      <c r="K28">
        <v>6.1274675064729403</v>
      </c>
      <c r="L28" s="18">
        <v>1.2144933082451999E-8</v>
      </c>
      <c r="O28" t="s">
        <v>107</v>
      </c>
      <c r="P28">
        <v>2684.5355969678599</v>
      </c>
      <c r="Q28">
        <v>981.75749614634105</v>
      </c>
      <c r="R28">
        <v>2.73441823210455</v>
      </c>
      <c r="S28">
        <v>7.2127429616654602E-3</v>
      </c>
    </row>
    <row r="29" spans="1:19">
      <c r="A29" t="s">
        <v>112</v>
      </c>
      <c r="B29">
        <v>14865.169786198299</v>
      </c>
      <c r="C29">
        <v>2039.0012373746599</v>
      </c>
      <c r="D29">
        <v>7.2904172463073502</v>
      </c>
      <c r="E29" s="18">
        <v>3.8290385149023102E-11</v>
      </c>
      <c r="H29" t="s">
        <v>112</v>
      </c>
      <c r="I29">
        <v>20538.3890064796</v>
      </c>
      <c r="J29">
        <v>2039.3609665471799</v>
      </c>
      <c r="K29">
        <v>10.070992503721801</v>
      </c>
      <c r="L29" s="18">
        <v>1.36052251480501E-17</v>
      </c>
      <c r="O29" t="s">
        <v>112</v>
      </c>
      <c r="P29">
        <v>14565.599706246099</v>
      </c>
      <c r="Q29">
        <v>2034.59455999693</v>
      </c>
      <c r="R29">
        <v>7.1589691590781097</v>
      </c>
      <c r="S29" s="18">
        <v>7.4858422077173697E-11</v>
      </c>
    </row>
    <row r="30" spans="1:19">
      <c r="A30" t="s">
        <v>240</v>
      </c>
      <c r="B30">
        <v>692416.79064616095</v>
      </c>
      <c r="C30">
        <v>94827.539869235101</v>
      </c>
      <c r="D30">
        <v>7.3018533603316804</v>
      </c>
      <c r="E30" s="18">
        <v>3.6113704091262298E-11</v>
      </c>
      <c r="H30" t="s">
        <v>240</v>
      </c>
      <c r="I30">
        <v>669701.91893893899</v>
      </c>
      <c r="J30">
        <v>92841.282600631705</v>
      </c>
      <c r="K30">
        <v>7.2134065814207302</v>
      </c>
      <c r="L30" s="18">
        <v>5.6740228438699398E-11</v>
      </c>
      <c r="O30" t="s">
        <v>240</v>
      </c>
      <c r="P30">
        <v>693991.28378309298</v>
      </c>
      <c r="Q30">
        <v>95520.122405454298</v>
      </c>
      <c r="R30">
        <v>7.2653935768351303</v>
      </c>
      <c r="S30" s="18">
        <v>4.3516990208414698E-11</v>
      </c>
    </row>
    <row r="31" spans="1:19">
      <c r="A31" t="s">
        <v>78</v>
      </c>
      <c r="B31">
        <v>-1286408.2816435101</v>
      </c>
      <c r="C31">
        <v>241099.01163830201</v>
      </c>
      <c r="D31">
        <v>-5.3356016389373702</v>
      </c>
      <c r="E31" s="18">
        <v>4.6662664531112499E-7</v>
      </c>
      <c r="H31" t="s">
        <v>78</v>
      </c>
      <c r="I31">
        <v>-1259176.9382782199</v>
      </c>
      <c r="J31">
        <v>243895.23830576101</v>
      </c>
      <c r="K31">
        <v>-5.1627778673548397</v>
      </c>
      <c r="L31" s="18">
        <v>9.9787377658617196E-7</v>
      </c>
      <c r="O31" t="s">
        <v>78</v>
      </c>
      <c r="P31">
        <v>-1303626.23637552</v>
      </c>
      <c r="Q31">
        <v>241348.35304018701</v>
      </c>
      <c r="R31">
        <v>-5.4014300075147199</v>
      </c>
      <c r="S31" s="18">
        <v>3.48058645144324E-7</v>
      </c>
    </row>
    <row r="32" spans="1:19">
      <c r="A32" t="s">
        <v>61</v>
      </c>
      <c r="B32">
        <v>17463.188681254302</v>
      </c>
      <c r="C32">
        <v>3229.8448293423698</v>
      </c>
      <c r="D32">
        <v>5.4068197092954602</v>
      </c>
      <c r="E32" s="18">
        <v>3.3977430802512198E-7</v>
      </c>
      <c r="H32" t="s">
        <v>222</v>
      </c>
      <c r="I32">
        <v>41464.550191006798</v>
      </c>
      <c r="J32">
        <v>9721.5470481071807</v>
      </c>
      <c r="K32">
        <v>4.2652213671156396</v>
      </c>
      <c r="L32" s="18">
        <v>4.0487922950784599E-5</v>
      </c>
      <c r="O32" t="s">
        <v>5</v>
      </c>
      <c r="P32">
        <v>814.62347064758001</v>
      </c>
      <c r="Q32">
        <v>148.03633180523099</v>
      </c>
      <c r="R32">
        <v>5.5028617685513197</v>
      </c>
      <c r="S32" s="18">
        <v>2.20708653623019E-7</v>
      </c>
    </row>
    <row r="34" spans="1:18">
      <c r="A34" t="s">
        <v>223</v>
      </c>
      <c r="H34" t="s">
        <v>223</v>
      </c>
      <c r="O34" t="s">
        <v>223</v>
      </c>
    </row>
    <row r="35" spans="1:18">
      <c r="A35" t="s">
        <v>224</v>
      </c>
      <c r="B35">
        <v>22161584.562546801</v>
      </c>
      <c r="C35" t="s">
        <v>225</v>
      </c>
      <c r="D35">
        <v>5001379.44874027</v>
      </c>
      <c r="H35" t="s">
        <v>224</v>
      </c>
      <c r="I35">
        <v>22161584.562546801</v>
      </c>
      <c r="J35" t="s">
        <v>225</v>
      </c>
      <c r="K35">
        <v>5001379.44874027</v>
      </c>
      <c r="O35" t="s">
        <v>224</v>
      </c>
      <c r="P35">
        <v>22161584.562546801</v>
      </c>
      <c r="Q35" t="s">
        <v>225</v>
      </c>
      <c r="R35">
        <v>5001379.44874027</v>
      </c>
    </row>
    <row r="36" spans="1:18">
      <c r="A36" t="s">
        <v>226</v>
      </c>
      <c r="B36">
        <v>87938458326264</v>
      </c>
      <c r="C36" t="s">
        <v>227</v>
      </c>
      <c r="D36">
        <v>863273.52111394797</v>
      </c>
      <c r="H36" t="s">
        <v>226</v>
      </c>
      <c r="I36">
        <v>91256607047024</v>
      </c>
      <c r="J36" t="s">
        <v>227</v>
      </c>
      <c r="K36">
        <v>879409.50453681999</v>
      </c>
      <c r="O36" t="s">
        <v>226</v>
      </c>
      <c r="P36">
        <v>88065551153160</v>
      </c>
      <c r="Q36" t="s">
        <v>227</v>
      </c>
      <c r="R36">
        <v>863897.11778169801</v>
      </c>
    </row>
    <row r="37" spans="1:18">
      <c r="A37" t="s">
        <v>228</v>
      </c>
      <c r="B37">
        <v>0.97192371799204302</v>
      </c>
      <c r="C37" t="s">
        <v>229</v>
      </c>
      <c r="D37">
        <v>0.97025817583902896</v>
      </c>
      <c r="H37" t="s">
        <v>228</v>
      </c>
      <c r="I37">
        <v>0.97094785409899997</v>
      </c>
      <c r="J37" t="s">
        <v>229</v>
      </c>
      <c r="K37">
        <v>0.96922442171504297</v>
      </c>
      <c r="O37" t="s">
        <v>228</v>
      </c>
      <c r="P37">
        <v>0.97187225935444399</v>
      </c>
      <c r="Q37" t="s">
        <v>229</v>
      </c>
      <c r="R37">
        <v>0.97020366457038498</v>
      </c>
    </row>
    <row r="38" spans="1:18">
      <c r="A38" t="s">
        <v>241</v>
      </c>
      <c r="B38">
        <v>479.65307961104799</v>
      </c>
      <c r="C38" t="s">
        <v>231</v>
      </c>
      <c r="D38" s="18">
        <v>1.6628358746078899E-83</v>
      </c>
      <c r="H38" t="s">
        <v>241</v>
      </c>
      <c r="I38">
        <v>413.781677377167</v>
      </c>
      <c r="J38" t="s">
        <v>231</v>
      </c>
      <c r="K38" s="18">
        <v>7.2808867060997701E-80</v>
      </c>
      <c r="O38" t="s">
        <v>241</v>
      </c>
      <c r="P38">
        <v>488.420259472601</v>
      </c>
      <c r="Q38" t="s">
        <v>231</v>
      </c>
      <c r="R38" s="18">
        <v>5.92926224387809E-84</v>
      </c>
    </row>
    <row r="39" spans="1:18">
      <c r="A39" t="s">
        <v>232</v>
      </c>
      <c r="B39">
        <v>2.5400217519407201E-2</v>
      </c>
      <c r="C39" t="s">
        <v>233</v>
      </c>
      <c r="D39">
        <v>1.9427726263391301</v>
      </c>
      <c r="H39" t="s">
        <v>232</v>
      </c>
      <c r="I39">
        <v>3.00219115815567E-2</v>
      </c>
      <c r="J39" t="s">
        <v>233</v>
      </c>
      <c r="K39">
        <v>1.9358364613491399</v>
      </c>
      <c r="O39" t="s">
        <v>232</v>
      </c>
      <c r="P39">
        <v>2.4284744684923702E-2</v>
      </c>
      <c r="Q39" t="s">
        <v>233</v>
      </c>
      <c r="R39">
        <v>1.9463931544562501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DF32-7E37-4C28-AF58-B5BF5FB6D0D4}">
  <sheetPr codeName="Sheet31">
    <tabColor theme="3" tint="0.79998168889431442"/>
  </sheetPr>
  <dimension ref="A1:AK161"/>
  <sheetViews>
    <sheetView topLeftCell="X4" zoomScale="115" zoomScaleNormal="115" workbookViewId="0">
      <selection activeCell="Z17" sqref="Z17"/>
    </sheetView>
  </sheetViews>
  <sheetFormatPr defaultRowHeight="14.45"/>
  <cols>
    <col min="1" max="1" width="11.7109375" customWidth="1"/>
    <col min="4" max="4" width="17.7109375" customWidth="1"/>
    <col min="7" max="7" width="13.28515625" bestFit="1" customWidth="1"/>
    <col min="8" max="8" width="13.140625" bestFit="1" customWidth="1"/>
    <col min="9" max="9" width="11.42578125" bestFit="1" customWidth="1"/>
    <col min="10" max="10" width="9" bestFit="1" customWidth="1"/>
    <col min="11" max="11" width="6.140625" bestFit="1" customWidth="1"/>
    <col min="13" max="13" width="11.28515625" bestFit="1" customWidth="1"/>
    <col min="14" max="14" width="10.5703125" bestFit="1" customWidth="1"/>
    <col min="15" max="15" width="11.5703125" bestFit="1" customWidth="1"/>
    <col min="16" max="16" width="13.28515625" bestFit="1" customWidth="1"/>
    <col min="17" max="17" width="13.140625" bestFit="1" customWidth="1"/>
    <col min="18" max="18" width="11.5703125" bestFit="1" customWidth="1"/>
    <col min="19" max="19" width="11.28515625" bestFit="1" customWidth="1"/>
    <col min="20" max="20" width="10.5703125" bestFit="1" customWidth="1"/>
    <col min="21" max="21" width="11.5703125" bestFit="1" customWidth="1"/>
    <col min="22" max="22" width="11.28515625" bestFit="1" customWidth="1"/>
    <col min="23" max="23" width="11.42578125" bestFit="1" customWidth="1"/>
    <col min="26" max="26" width="14" bestFit="1" customWidth="1"/>
    <col min="27" max="27" width="17.140625" customWidth="1"/>
    <col min="28" max="28" width="13.28515625" bestFit="1" customWidth="1"/>
    <col min="29" max="29" width="11.42578125" customWidth="1"/>
  </cols>
  <sheetData>
    <row r="1" spans="1:37">
      <c r="A1" t="s">
        <v>0</v>
      </c>
      <c r="B1" t="s">
        <v>151</v>
      </c>
      <c r="C1" t="s">
        <v>1</v>
      </c>
      <c r="D1" s="6" t="str">
        <f>'Monthly Data (longer 09-23)'!E1</f>
        <v>ReskWh_NoCDM</v>
      </c>
      <c r="E1" t="str">
        <f>'Monthly Data (14-23) Used'!AC1</f>
        <v>HDD18</v>
      </c>
      <c r="F1" t="str">
        <f>'Monthly Data (14-23) Used'!AF1</f>
        <v>CDD16</v>
      </c>
      <c r="G1" t="str">
        <f>'Monthly Data (14-23) Used'!DD1</f>
        <v>CWFH_HDD18</v>
      </c>
      <c r="H1" t="str">
        <f>'Monthly Data (14-23) Used'!DG1</f>
        <v>CWFH_CDD16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M1" t="s">
        <v>221</v>
      </c>
      <c r="N1" t="str">
        <f t="shared" ref="N1:T1" si="0">E1</f>
        <v>HDD18</v>
      </c>
      <c r="O1" t="str">
        <f t="shared" si="0"/>
        <v>CDD16</v>
      </c>
      <c r="P1" t="str">
        <f t="shared" si="0"/>
        <v>CWFH_HDD18</v>
      </c>
      <c r="Q1" t="str">
        <f t="shared" si="0"/>
        <v>CWFH_CDD16</v>
      </c>
      <c r="R1" t="str">
        <f t="shared" si="0"/>
        <v>Month Days</v>
      </c>
      <c r="S1" t="str">
        <f t="shared" si="0"/>
        <v>Shoulder</v>
      </c>
      <c r="T1" t="str">
        <f t="shared" si="0"/>
        <v>Trend</v>
      </c>
      <c r="U1" t="s">
        <v>242</v>
      </c>
      <c r="W1" t="s">
        <v>243</v>
      </c>
    </row>
    <row r="2" spans="1:37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(longer 09-23)'!E62</f>
        <v>22664516.836681671</v>
      </c>
      <c r="E2">
        <f>'Monthly Data (14-23) Used'!AC2</f>
        <v>809.69999999999993</v>
      </c>
      <c r="F2">
        <f>'Monthly Data (14-23) Used'!AF2</f>
        <v>0</v>
      </c>
      <c r="G2">
        <f>'Monthly Data (14-23) Used'!DD2</f>
        <v>0</v>
      </c>
      <c r="H2">
        <f>'Monthly Data (14-23) Used'!DG2</f>
        <v>0</v>
      </c>
      <c r="I2">
        <f>'Monthly Data (14-23) Used'!CB2</f>
        <v>31</v>
      </c>
      <c r="J2">
        <f>'Monthly Data (14-23) Used'!CA2</f>
        <v>0</v>
      </c>
      <c r="K2">
        <f>'Monthly Data (14-23) Used'!BJ2</f>
        <v>1</v>
      </c>
      <c r="M2" s="6">
        <f t="shared" ref="M2:M53" si="3">$AA$7</f>
        <v>-7179191.8731795801</v>
      </c>
      <c r="N2" s="6">
        <f t="shared" ref="N2:N21" si="4">E2*$AA$8</f>
        <v>5748101.7864167085</v>
      </c>
      <c r="O2" s="6">
        <f t="shared" ref="O2:O21" si="5">F2*$AA$9</f>
        <v>0</v>
      </c>
      <c r="P2" s="6">
        <f t="shared" ref="P2:P21" si="6">G2*$AA$10</f>
        <v>0</v>
      </c>
      <c r="Q2" s="6">
        <f t="shared" ref="Q2:Q21" si="7">H2*$AA$11</f>
        <v>0</v>
      </c>
      <c r="R2" s="6">
        <f t="shared" ref="R2:R33" si="8">I2*$AA$12</f>
        <v>23117235.833798315</v>
      </c>
      <c r="S2" s="6">
        <f t="shared" ref="S2:S33" si="9">J2*$AA$13</f>
        <v>0</v>
      </c>
      <c r="T2" s="6">
        <f t="shared" ref="T2:T33" si="10">K2*$AA$14</f>
        <v>21642.618631922</v>
      </c>
      <c r="U2" s="6">
        <f t="shared" ref="U2:U33" si="11">SUM(M2:T2)</f>
        <v>21707788.365667365</v>
      </c>
      <c r="V2" s="6">
        <f t="shared" ref="V2:V21" si="12">U2-D2</f>
        <v>-956728.47101430595</v>
      </c>
      <c r="W2" s="14">
        <f t="shared" ref="W2:W21" si="13">ABS(U2-D2)/D2</f>
        <v>4.2212612689182798E-2</v>
      </c>
      <c r="Z2" t="s">
        <v>244</v>
      </c>
    </row>
    <row r="3" spans="1:37">
      <c r="A3" s="197">
        <v>41671</v>
      </c>
      <c r="B3">
        <f t="shared" si="1"/>
        <v>2</v>
      </c>
      <c r="C3">
        <f t="shared" si="2"/>
        <v>2014</v>
      </c>
      <c r="D3" s="6">
        <f>'Monthly Data (longer 09-23)'!E63</f>
        <v>19610979.836681671</v>
      </c>
      <c r="E3">
        <f>'Monthly Data (14-23) Used'!AC3</f>
        <v>705.10000000000014</v>
      </c>
      <c r="F3">
        <f>'Monthly Data (14-23) Used'!AF3</f>
        <v>0</v>
      </c>
      <c r="G3">
        <f>'Monthly Data (14-23) Used'!DD3</f>
        <v>0</v>
      </c>
      <c r="H3">
        <f>'Monthly Data (14-23) Used'!DG3</f>
        <v>0</v>
      </c>
      <c r="I3">
        <f>'Monthly Data (14-23) Used'!CB3</f>
        <v>28</v>
      </c>
      <c r="J3">
        <f>'Monthly Data (14-23) Used'!CA3</f>
        <v>0</v>
      </c>
      <c r="K3">
        <f>'Monthly Data (14-23) Used'!BJ3</f>
        <v>2</v>
      </c>
      <c r="M3" s="6">
        <f t="shared" si="3"/>
        <v>-7179191.8731795801</v>
      </c>
      <c r="N3" s="6">
        <f t="shared" si="4"/>
        <v>5005541.0270500463</v>
      </c>
      <c r="O3" s="6">
        <f t="shared" si="5"/>
        <v>0</v>
      </c>
      <c r="P3" s="6">
        <f t="shared" si="6"/>
        <v>0</v>
      </c>
      <c r="Q3" s="6">
        <f t="shared" si="7"/>
        <v>0</v>
      </c>
      <c r="R3" s="6">
        <f t="shared" si="8"/>
        <v>20880083.978914607</v>
      </c>
      <c r="S3" s="6">
        <f t="shared" si="9"/>
        <v>0</v>
      </c>
      <c r="T3" s="6">
        <f t="shared" si="10"/>
        <v>43285.237263843999</v>
      </c>
      <c r="U3" s="6">
        <f t="shared" si="11"/>
        <v>18749718.370048918</v>
      </c>
      <c r="V3" s="6">
        <f t="shared" si="12"/>
        <v>-861261.46663275361</v>
      </c>
      <c r="W3" s="14">
        <f t="shared" si="13"/>
        <v>4.3917309272930527E-2</v>
      </c>
      <c r="Z3" t="s">
        <v>213</v>
      </c>
    </row>
    <row r="4" spans="1:37">
      <c r="A4" s="197">
        <v>41699</v>
      </c>
      <c r="B4">
        <f t="shared" si="1"/>
        <v>3</v>
      </c>
      <c r="C4">
        <f t="shared" si="2"/>
        <v>2014</v>
      </c>
      <c r="D4" s="6">
        <f>'Monthly Data (longer 09-23)'!E64</f>
        <v>19546615.836681671</v>
      </c>
      <c r="E4">
        <f>'Monthly Data (14-23) Used'!AC4</f>
        <v>637.10000000000014</v>
      </c>
      <c r="F4">
        <f>'Monthly Data (14-23) Used'!AF4</f>
        <v>0</v>
      </c>
      <c r="G4">
        <f>'Monthly Data (14-23) Used'!DD4</f>
        <v>0</v>
      </c>
      <c r="H4">
        <f>'Monthly Data (14-23) Used'!DG4</f>
        <v>0</v>
      </c>
      <c r="I4">
        <f>'Monthly Data (14-23) Used'!CB4</f>
        <v>31</v>
      </c>
      <c r="J4">
        <f>'Monthly Data (14-23) Used'!CA4</f>
        <v>1</v>
      </c>
      <c r="K4">
        <f>'Monthly Data (14-23) Used'!BJ4</f>
        <v>3</v>
      </c>
      <c r="M4" s="6">
        <f t="shared" si="3"/>
        <v>-7179191.8731795801</v>
      </c>
      <c r="N4" s="6">
        <f t="shared" si="4"/>
        <v>4522805.5429493468</v>
      </c>
      <c r="O4" s="6">
        <f t="shared" si="5"/>
        <v>0</v>
      </c>
      <c r="P4" s="6">
        <f t="shared" si="6"/>
        <v>0</v>
      </c>
      <c r="Q4" s="6">
        <f t="shared" si="7"/>
        <v>0</v>
      </c>
      <c r="R4" s="6">
        <f t="shared" si="8"/>
        <v>23117235.833798315</v>
      </c>
      <c r="S4" s="6">
        <f t="shared" si="9"/>
        <v>-1713930.83126266</v>
      </c>
      <c r="T4" s="6">
        <f t="shared" si="10"/>
        <v>64927.855895765999</v>
      </c>
      <c r="U4" s="6">
        <f t="shared" si="11"/>
        <v>18811846.528201189</v>
      </c>
      <c r="V4" s="6">
        <f t="shared" si="12"/>
        <v>-734769.30848048255</v>
      </c>
      <c r="W4" s="14">
        <f t="shared" si="13"/>
        <v>3.7590614898237062E-2</v>
      </c>
      <c r="Z4" t="s">
        <v>245</v>
      </c>
    </row>
    <row r="5" spans="1:37">
      <c r="A5" s="197">
        <v>41730</v>
      </c>
      <c r="B5">
        <f t="shared" si="1"/>
        <v>4</v>
      </c>
      <c r="C5">
        <f t="shared" si="2"/>
        <v>2014</v>
      </c>
      <c r="D5" s="6">
        <f>'Monthly Data (longer 09-23)'!E65</f>
        <v>16464081.83668167</v>
      </c>
      <c r="E5">
        <f>'Monthly Data (14-23) Used'!AC5</f>
        <v>283.40000000000003</v>
      </c>
      <c r="F5">
        <f>'Monthly Data (14-23) Used'!AF5</f>
        <v>0.30000000000000071</v>
      </c>
      <c r="G5">
        <f>'Monthly Data (14-23) Used'!DD5</f>
        <v>0</v>
      </c>
      <c r="H5">
        <f>'Monthly Data (14-23) Used'!DG5</f>
        <v>0</v>
      </c>
      <c r="I5">
        <f>'Monthly Data (14-23) Used'!CB5</f>
        <v>30</v>
      </c>
      <c r="J5">
        <f>'Monthly Data (14-23) Used'!CA5</f>
        <v>1</v>
      </c>
      <c r="K5">
        <f>'Monthly Data (14-23) Used'!BJ5</f>
        <v>4</v>
      </c>
      <c r="M5" s="6">
        <f t="shared" si="3"/>
        <v>-7179191.8731795801</v>
      </c>
      <c r="N5" s="6">
        <f t="shared" si="4"/>
        <v>2011871.1205020323</v>
      </c>
      <c r="O5" s="6">
        <f t="shared" si="5"/>
        <v>19984.635886381908</v>
      </c>
      <c r="P5" s="6">
        <f t="shared" si="6"/>
        <v>0</v>
      </c>
      <c r="Q5" s="6">
        <f t="shared" si="7"/>
        <v>0</v>
      </c>
      <c r="R5" s="6">
        <f t="shared" si="8"/>
        <v>22371518.548837077</v>
      </c>
      <c r="S5" s="6">
        <f t="shared" si="9"/>
        <v>-1713930.83126266</v>
      </c>
      <c r="T5" s="6">
        <f t="shared" si="10"/>
        <v>86570.474527687998</v>
      </c>
      <c r="U5" s="6">
        <f t="shared" si="11"/>
        <v>15596822.07531094</v>
      </c>
      <c r="V5" s="6">
        <f t="shared" si="12"/>
        <v>-867259.76137072966</v>
      </c>
      <c r="W5" s="14">
        <f t="shared" si="13"/>
        <v>5.267586555835084E-2</v>
      </c>
    </row>
    <row r="6" spans="1:37">
      <c r="A6" s="197">
        <v>41760</v>
      </c>
      <c r="B6">
        <f t="shared" si="1"/>
        <v>5</v>
      </c>
      <c r="C6">
        <f t="shared" si="2"/>
        <v>2014</v>
      </c>
      <c r="D6" s="6">
        <f>'Monthly Data (longer 09-23)'!E66</f>
        <v>17652679.836681671</v>
      </c>
      <c r="E6">
        <f>'Monthly Data (14-23) Used'!AC6</f>
        <v>103.4</v>
      </c>
      <c r="F6">
        <f>'Monthly Data (14-23) Used'!AF6</f>
        <v>53.099999999999994</v>
      </c>
      <c r="G6">
        <f>'Monthly Data (14-23) Used'!DD6</f>
        <v>0</v>
      </c>
      <c r="H6">
        <f>'Monthly Data (14-23) Used'!DG6</f>
        <v>0</v>
      </c>
      <c r="I6">
        <f>'Monthly Data (14-23) Used'!CB6</f>
        <v>31</v>
      </c>
      <c r="J6">
        <f>'Monthly Data (14-23) Used'!CA6</f>
        <v>1</v>
      </c>
      <c r="K6">
        <f>'Monthly Data (14-23) Used'!BJ6</f>
        <v>5</v>
      </c>
      <c r="M6" s="6">
        <f t="shared" si="3"/>
        <v>-7179191.8731795801</v>
      </c>
      <c r="N6" s="6">
        <f t="shared" si="4"/>
        <v>734041.89788253396</v>
      </c>
      <c r="O6" s="6">
        <f t="shared" si="5"/>
        <v>3537280.5518895886</v>
      </c>
      <c r="P6" s="6">
        <f t="shared" si="6"/>
        <v>0</v>
      </c>
      <c r="Q6" s="6">
        <f t="shared" si="7"/>
        <v>0</v>
      </c>
      <c r="R6" s="6">
        <f t="shared" si="8"/>
        <v>23117235.833798315</v>
      </c>
      <c r="S6" s="6">
        <f t="shared" si="9"/>
        <v>-1713930.83126266</v>
      </c>
      <c r="T6" s="6">
        <f t="shared" si="10"/>
        <v>108213.09315961</v>
      </c>
      <c r="U6" s="6">
        <f t="shared" si="11"/>
        <v>18603648.672287807</v>
      </c>
      <c r="V6" s="6">
        <f t="shared" si="12"/>
        <v>950968.83560613543</v>
      </c>
      <c r="W6" s="14">
        <f t="shared" si="13"/>
        <v>5.3871074783220979E-2</v>
      </c>
      <c r="AA6" t="s">
        <v>217</v>
      </c>
      <c r="AB6" t="s">
        <v>218</v>
      </c>
      <c r="AC6" t="s">
        <v>219</v>
      </c>
      <c r="AD6" t="s">
        <v>220</v>
      </c>
    </row>
    <row r="7" spans="1:37">
      <c r="A7" s="197">
        <v>41791</v>
      </c>
      <c r="B7">
        <f t="shared" si="1"/>
        <v>6</v>
      </c>
      <c r="C7">
        <f t="shared" si="2"/>
        <v>2014</v>
      </c>
      <c r="D7" s="6">
        <f>'Monthly Data (longer 09-23)'!E67</f>
        <v>23455955.836681671</v>
      </c>
      <c r="E7">
        <f>'Monthly Data (14-23) Used'!AC7</f>
        <v>4.9999999999999964</v>
      </c>
      <c r="F7">
        <f>'Monthly Data (14-23) Used'!AF7</f>
        <v>160.5</v>
      </c>
      <c r="G7">
        <f>'Monthly Data (14-23) Used'!DD7</f>
        <v>0</v>
      </c>
      <c r="H7">
        <f>'Monthly Data (14-23) Used'!DG7</f>
        <v>0</v>
      </c>
      <c r="I7">
        <f>'Monthly Data (14-23) Used'!CB7</f>
        <v>30</v>
      </c>
      <c r="J7">
        <f>'Monthly Data (14-23) Used'!CA7</f>
        <v>0</v>
      </c>
      <c r="K7">
        <f>'Monthly Data (14-23) Used'!BJ7</f>
        <v>6</v>
      </c>
      <c r="M7" s="6">
        <f t="shared" si="3"/>
        <v>-7179191.8731795801</v>
      </c>
      <c r="N7" s="6">
        <f t="shared" si="4"/>
        <v>35495.256183874924</v>
      </c>
      <c r="O7" s="6">
        <f t="shared" si="5"/>
        <v>10691780.199214295</v>
      </c>
      <c r="P7" s="6">
        <f t="shared" si="6"/>
        <v>0</v>
      </c>
      <c r="Q7" s="6">
        <f t="shared" si="7"/>
        <v>0</v>
      </c>
      <c r="R7" s="6">
        <f t="shared" si="8"/>
        <v>22371518.548837077</v>
      </c>
      <c r="S7" s="6">
        <f t="shared" si="9"/>
        <v>0</v>
      </c>
      <c r="T7" s="6">
        <f t="shared" si="10"/>
        <v>129855.711791532</v>
      </c>
      <c r="U7" s="6">
        <f t="shared" si="11"/>
        <v>26049457.842847198</v>
      </c>
      <c r="V7" s="6">
        <f t="shared" si="12"/>
        <v>2593502.0061655268</v>
      </c>
      <c r="W7" s="14">
        <f t="shared" si="13"/>
        <v>0.11056901813012755</v>
      </c>
      <c r="Z7" t="s">
        <v>221</v>
      </c>
      <c r="AA7" s="6">
        <v>-7179191.8731795801</v>
      </c>
      <c r="AB7" s="6">
        <v>2421348.9844704899</v>
      </c>
      <c r="AC7" s="105">
        <v>-2.9649554521978798</v>
      </c>
      <c r="AD7" s="192">
        <v>3.6998457431867801E-3</v>
      </c>
      <c r="AK7" s="18"/>
    </row>
    <row r="8" spans="1:37">
      <c r="A8" s="197">
        <v>41821</v>
      </c>
      <c r="B8">
        <f t="shared" si="1"/>
        <v>7</v>
      </c>
      <c r="C8">
        <f t="shared" si="2"/>
        <v>2014</v>
      </c>
      <c r="D8" s="6">
        <f>'Monthly Data (longer 09-23)'!E68</f>
        <v>26457534.836681671</v>
      </c>
      <c r="E8">
        <f>'Monthly Data (14-23) Used'!AC8</f>
        <v>4.4000000000000021</v>
      </c>
      <c r="F8">
        <f>'Monthly Data (14-23) Used'!AF8</f>
        <v>142.1</v>
      </c>
      <c r="G8">
        <f>'Monthly Data (14-23) Used'!DD8</f>
        <v>0</v>
      </c>
      <c r="H8">
        <f>'Monthly Data (14-23) Used'!DG8</f>
        <v>0</v>
      </c>
      <c r="I8">
        <f>'Monthly Data (14-23) Used'!CB8</f>
        <v>31</v>
      </c>
      <c r="J8">
        <f>'Monthly Data (14-23) Used'!CA8</f>
        <v>0</v>
      </c>
      <c r="K8">
        <f>'Monthly Data (14-23) Used'!BJ8</f>
        <v>7</v>
      </c>
      <c r="M8" s="6">
        <f t="shared" si="3"/>
        <v>-7179191.8731795801</v>
      </c>
      <c r="N8" s="6">
        <f t="shared" si="4"/>
        <v>31235.825441809971</v>
      </c>
      <c r="O8" s="6">
        <f t="shared" si="5"/>
        <v>9466055.8648495395</v>
      </c>
      <c r="P8" s="6">
        <f t="shared" si="6"/>
        <v>0</v>
      </c>
      <c r="Q8" s="6">
        <f t="shared" si="7"/>
        <v>0</v>
      </c>
      <c r="R8" s="6">
        <f t="shared" si="8"/>
        <v>23117235.833798315</v>
      </c>
      <c r="S8" s="6">
        <f t="shared" si="9"/>
        <v>0</v>
      </c>
      <c r="T8" s="6">
        <f t="shared" si="10"/>
        <v>151498.330423454</v>
      </c>
      <c r="U8" s="6">
        <f t="shared" si="11"/>
        <v>25586833.981333543</v>
      </c>
      <c r="V8" s="6">
        <f t="shared" si="12"/>
        <v>-870700.85534812883</v>
      </c>
      <c r="W8" s="14">
        <f t="shared" si="13"/>
        <v>3.2909371969944763E-2</v>
      </c>
      <c r="Z8" t="s">
        <v>28</v>
      </c>
      <c r="AA8" s="6">
        <v>7099.0512367749898</v>
      </c>
      <c r="AB8" s="6">
        <v>562.68262319050405</v>
      </c>
      <c r="AC8" s="105">
        <v>12.616439435293399</v>
      </c>
      <c r="AD8" s="192">
        <v>3.04563569599431E-23</v>
      </c>
      <c r="AK8" s="18"/>
    </row>
    <row r="9" spans="1:37">
      <c r="A9" s="197">
        <v>41852</v>
      </c>
      <c r="B9">
        <f t="shared" si="1"/>
        <v>8</v>
      </c>
      <c r="C9">
        <f t="shared" si="2"/>
        <v>2014</v>
      </c>
      <c r="D9" s="6">
        <f>'Monthly Data (longer 09-23)'!E69</f>
        <v>25904876.836681671</v>
      </c>
      <c r="E9">
        <f>'Monthly Data (14-23) Used'!AC9</f>
        <v>3.8000000000000007</v>
      </c>
      <c r="F9">
        <f>'Monthly Data (14-23) Used'!AF9</f>
        <v>154</v>
      </c>
      <c r="G9">
        <f>'Monthly Data (14-23) Used'!DD9</f>
        <v>0</v>
      </c>
      <c r="H9">
        <f>'Monthly Data (14-23) Used'!DG9</f>
        <v>0</v>
      </c>
      <c r="I9">
        <f>'Monthly Data (14-23) Used'!CB9</f>
        <v>31</v>
      </c>
      <c r="J9">
        <f>'Monthly Data (14-23) Used'!CA9</f>
        <v>0</v>
      </c>
      <c r="K9">
        <f>'Monthly Data (14-23) Used'!BJ9</f>
        <v>8</v>
      </c>
      <c r="M9" s="6">
        <f t="shared" si="3"/>
        <v>-7179191.8731795801</v>
      </c>
      <c r="N9" s="6">
        <f t="shared" si="4"/>
        <v>26976.394699744968</v>
      </c>
      <c r="O9" s="6">
        <f t="shared" si="5"/>
        <v>10258779.755009355</v>
      </c>
      <c r="P9" s="6">
        <f t="shared" si="6"/>
        <v>0</v>
      </c>
      <c r="Q9" s="6">
        <f t="shared" si="7"/>
        <v>0</v>
      </c>
      <c r="R9" s="6">
        <f t="shared" si="8"/>
        <v>23117235.833798315</v>
      </c>
      <c r="S9" s="6">
        <f t="shared" si="9"/>
        <v>0</v>
      </c>
      <c r="T9" s="6">
        <f t="shared" si="10"/>
        <v>173140.949055376</v>
      </c>
      <c r="U9" s="6">
        <f t="shared" si="11"/>
        <v>26396941.059383214</v>
      </c>
      <c r="V9" s="6">
        <f t="shared" si="12"/>
        <v>492064.22270154208</v>
      </c>
      <c r="W9" s="14">
        <f t="shared" si="13"/>
        <v>1.8995041968498078E-2</v>
      </c>
      <c r="Z9" t="s">
        <v>31</v>
      </c>
      <c r="AA9" s="6">
        <v>66615.452954606197</v>
      </c>
      <c r="AB9" s="6">
        <v>2171.6750680487498</v>
      </c>
      <c r="AC9" s="105">
        <v>30.674686989182099</v>
      </c>
      <c r="AD9" s="192">
        <v>2.5235925548551699E-56</v>
      </c>
      <c r="AK9" s="18"/>
    </row>
    <row r="10" spans="1:37">
      <c r="A10" s="197">
        <v>41883</v>
      </c>
      <c r="B10">
        <f t="shared" si="1"/>
        <v>9</v>
      </c>
      <c r="C10">
        <f t="shared" si="2"/>
        <v>2014</v>
      </c>
      <c r="D10" s="6">
        <f>'Monthly Data (longer 09-23)'!E70</f>
        <v>20673917.836681671</v>
      </c>
      <c r="E10">
        <f>'Monthly Data (14-23) Used'!AC10</f>
        <v>76.799999999999983</v>
      </c>
      <c r="F10">
        <f>'Monthly Data (14-23) Used'!AF10</f>
        <v>54.7</v>
      </c>
      <c r="G10">
        <f>'Monthly Data (14-23) Used'!DD10</f>
        <v>0</v>
      </c>
      <c r="H10">
        <f>'Monthly Data (14-23) Used'!DG10</f>
        <v>0</v>
      </c>
      <c r="I10">
        <f>'Monthly Data (14-23) Used'!CB10</f>
        <v>30</v>
      </c>
      <c r="J10">
        <f>'Monthly Data (14-23) Used'!CA10</f>
        <v>0</v>
      </c>
      <c r="K10">
        <f>'Monthly Data (14-23) Used'!BJ10</f>
        <v>9</v>
      </c>
      <c r="M10" s="6">
        <f t="shared" si="3"/>
        <v>-7179191.8731795801</v>
      </c>
      <c r="N10" s="6">
        <f t="shared" si="4"/>
        <v>545207.1349843191</v>
      </c>
      <c r="O10" s="6">
        <f t="shared" si="5"/>
        <v>3643865.2766169594</v>
      </c>
      <c r="P10" s="6">
        <f t="shared" si="6"/>
        <v>0</v>
      </c>
      <c r="Q10" s="6">
        <f t="shared" si="7"/>
        <v>0</v>
      </c>
      <c r="R10" s="6">
        <f t="shared" si="8"/>
        <v>22371518.548837077</v>
      </c>
      <c r="S10" s="6">
        <f t="shared" si="9"/>
        <v>0</v>
      </c>
      <c r="T10" s="6">
        <f t="shared" si="10"/>
        <v>194783.567687298</v>
      </c>
      <c r="U10" s="6">
        <f t="shared" si="11"/>
        <v>19576182.654946074</v>
      </c>
      <c r="V10" s="6">
        <f t="shared" si="12"/>
        <v>-1097735.1817355976</v>
      </c>
      <c r="W10" s="14">
        <f t="shared" si="13"/>
        <v>5.3097588488423282E-2</v>
      </c>
      <c r="Z10" t="s">
        <v>107</v>
      </c>
      <c r="AA10" s="6">
        <v>2408.2471971356599</v>
      </c>
      <c r="AB10" s="6">
        <v>825.05465231889798</v>
      </c>
      <c r="AC10" s="105">
        <v>2.9188941488506801</v>
      </c>
      <c r="AD10" s="192">
        <v>4.2469762449880398E-3</v>
      </c>
      <c r="AK10" s="18"/>
    </row>
    <row r="11" spans="1:37">
      <c r="A11" s="197">
        <v>41913</v>
      </c>
      <c r="B11">
        <f t="shared" si="1"/>
        <v>10</v>
      </c>
      <c r="C11">
        <f t="shared" si="2"/>
        <v>2014</v>
      </c>
      <c r="D11" s="6">
        <f>'Monthly Data (longer 09-23)'!E71</f>
        <v>16731629.83668167</v>
      </c>
      <c r="E11">
        <f>'Monthly Data (14-23) Used'!AC11</f>
        <v>219.2</v>
      </c>
      <c r="F11">
        <f>'Monthly Data (14-23) Used'!AF11</f>
        <v>2.6999999999999993</v>
      </c>
      <c r="G11">
        <f>'Monthly Data (14-23) Used'!DD11</f>
        <v>0</v>
      </c>
      <c r="H11">
        <f>'Monthly Data (14-23) Used'!DG11</f>
        <v>0</v>
      </c>
      <c r="I11">
        <f>'Monthly Data (14-23) Used'!CB11</f>
        <v>31</v>
      </c>
      <c r="J11">
        <f>'Monthly Data (14-23) Used'!CA11</f>
        <v>1</v>
      </c>
      <c r="K11">
        <f>'Monthly Data (14-23) Used'!BJ11</f>
        <v>10</v>
      </c>
      <c r="M11" s="6">
        <f t="shared" si="3"/>
        <v>-7179191.8731795801</v>
      </c>
      <c r="N11" s="6">
        <f t="shared" si="4"/>
        <v>1556112.0311010776</v>
      </c>
      <c r="O11" s="6">
        <f t="shared" si="5"/>
        <v>179861.72297743667</v>
      </c>
      <c r="P11" s="6">
        <f t="shared" si="6"/>
        <v>0</v>
      </c>
      <c r="Q11" s="6">
        <f t="shared" si="7"/>
        <v>0</v>
      </c>
      <c r="R11" s="6">
        <f t="shared" si="8"/>
        <v>23117235.833798315</v>
      </c>
      <c r="S11" s="6">
        <f t="shared" si="9"/>
        <v>-1713930.83126266</v>
      </c>
      <c r="T11" s="6">
        <f t="shared" si="10"/>
        <v>216426.18631922</v>
      </c>
      <c r="U11" s="6">
        <f t="shared" si="11"/>
        <v>16176513.069753811</v>
      </c>
      <c r="V11" s="6">
        <f t="shared" si="12"/>
        <v>-555116.76692785881</v>
      </c>
      <c r="W11" s="14">
        <f t="shared" si="13"/>
        <v>3.3177686354908822E-2</v>
      </c>
      <c r="Z11" t="s">
        <v>110</v>
      </c>
      <c r="AA11" s="64">
        <v>15377.542525126401</v>
      </c>
      <c r="AB11" s="64">
        <v>2295.8072713681699</v>
      </c>
      <c r="AC11" s="105">
        <v>6.6980981883388901</v>
      </c>
      <c r="AD11" s="192">
        <v>8.8297922276175602E-10</v>
      </c>
      <c r="AK11" s="18"/>
    </row>
    <row r="12" spans="1:37">
      <c r="A12" s="197">
        <v>41944</v>
      </c>
      <c r="B12">
        <f t="shared" si="1"/>
        <v>11</v>
      </c>
      <c r="C12">
        <f t="shared" si="2"/>
        <v>2014</v>
      </c>
      <c r="D12" s="6">
        <f>'Monthly Data (longer 09-23)'!E72</f>
        <v>18386181.836681671</v>
      </c>
      <c r="E12">
        <f>'Monthly Data (14-23) Used'!AC12</f>
        <v>479.30000000000013</v>
      </c>
      <c r="F12">
        <f>'Monthly Data (14-23) Used'!AF12</f>
        <v>0</v>
      </c>
      <c r="G12">
        <f>'Monthly Data (14-23) Used'!DD12</f>
        <v>0</v>
      </c>
      <c r="H12">
        <f>'Monthly Data (14-23) Used'!DG12</f>
        <v>0</v>
      </c>
      <c r="I12">
        <f>'Monthly Data (14-23) Used'!CB12</f>
        <v>30</v>
      </c>
      <c r="J12">
        <f>'Monthly Data (14-23) Used'!CA12</f>
        <v>1</v>
      </c>
      <c r="K12">
        <f>'Monthly Data (14-23) Used'!BJ12</f>
        <v>11</v>
      </c>
      <c r="M12" s="6">
        <f t="shared" si="3"/>
        <v>-7179191.8731795801</v>
      </c>
      <c r="N12" s="6">
        <f t="shared" si="4"/>
        <v>3402575.2577862535</v>
      </c>
      <c r="O12" s="6">
        <f t="shared" si="5"/>
        <v>0</v>
      </c>
      <c r="P12" s="6">
        <f t="shared" si="6"/>
        <v>0</v>
      </c>
      <c r="Q12" s="6">
        <f t="shared" si="7"/>
        <v>0</v>
      </c>
      <c r="R12" s="6">
        <f t="shared" si="8"/>
        <v>22371518.548837077</v>
      </c>
      <c r="S12" s="6">
        <f t="shared" si="9"/>
        <v>-1713930.83126266</v>
      </c>
      <c r="T12" s="6">
        <f t="shared" si="10"/>
        <v>238068.804951142</v>
      </c>
      <c r="U12" s="6">
        <f t="shared" si="11"/>
        <v>17119039.907132234</v>
      </c>
      <c r="V12" s="6">
        <f t="shared" si="12"/>
        <v>-1267141.929549437</v>
      </c>
      <c r="W12" s="14">
        <f t="shared" si="13"/>
        <v>6.8918165870708592E-2</v>
      </c>
      <c r="Z12" t="s">
        <v>240</v>
      </c>
      <c r="AA12" s="6">
        <v>745717.28496123594</v>
      </c>
      <c r="AB12" s="6">
        <v>81925.625680227298</v>
      </c>
      <c r="AC12" s="105">
        <v>9.1023691155185702</v>
      </c>
      <c r="AD12" s="192">
        <v>3.8873107494885897E-15</v>
      </c>
      <c r="AK12" s="18"/>
    </row>
    <row r="13" spans="1:37">
      <c r="A13" s="197">
        <v>41974</v>
      </c>
      <c r="B13">
        <f t="shared" si="1"/>
        <v>12</v>
      </c>
      <c r="C13">
        <f t="shared" si="2"/>
        <v>2014</v>
      </c>
      <c r="D13" s="6">
        <f>'Monthly Data (longer 09-23)'!E73</f>
        <v>20794911.836681671</v>
      </c>
      <c r="E13">
        <f>'Monthly Data (14-23) Used'!AC13</f>
        <v>545.20000000000005</v>
      </c>
      <c r="F13">
        <f>'Monthly Data (14-23) Used'!AF13</f>
        <v>0</v>
      </c>
      <c r="G13">
        <f>'Monthly Data (14-23) Used'!DD13</f>
        <v>0</v>
      </c>
      <c r="H13">
        <f>'Monthly Data (14-23) Used'!DG13</f>
        <v>0</v>
      </c>
      <c r="I13">
        <f>'Monthly Data (14-23) Used'!CB13</f>
        <v>31</v>
      </c>
      <c r="J13">
        <f>'Monthly Data (14-23) Used'!CA13</f>
        <v>0</v>
      </c>
      <c r="K13">
        <f>'Monthly Data (14-23) Used'!BJ13</f>
        <v>12</v>
      </c>
      <c r="M13" s="6">
        <f t="shared" si="3"/>
        <v>-7179191.8731795801</v>
      </c>
      <c r="N13" s="6">
        <f t="shared" si="4"/>
        <v>3870402.7342897248</v>
      </c>
      <c r="O13" s="6">
        <f t="shared" si="5"/>
        <v>0</v>
      </c>
      <c r="P13" s="6">
        <f t="shared" si="6"/>
        <v>0</v>
      </c>
      <c r="Q13" s="6">
        <f t="shared" si="7"/>
        <v>0</v>
      </c>
      <c r="R13" s="6">
        <f t="shared" si="8"/>
        <v>23117235.833798315</v>
      </c>
      <c r="S13" s="6">
        <f t="shared" si="9"/>
        <v>0</v>
      </c>
      <c r="T13" s="6">
        <f t="shared" si="10"/>
        <v>259711.423583064</v>
      </c>
      <c r="U13" s="6">
        <f t="shared" si="11"/>
        <v>20068158.118491523</v>
      </c>
      <c r="V13" s="6">
        <f t="shared" si="12"/>
        <v>-726753.71819014847</v>
      </c>
      <c r="W13" s="14">
        <f t="shared" si="13"/>
        <v>3.4948631852729194E-2</v>
      </c>
      <c r="Z13" t="s">
        <v>78</v>
      </c>
      <c r="AA13" s="6">
        <v>-1713930.83126266</v>
      </c>
      <c r="AB13" s="6">
        <v>195555.46434043601</v>
      </c>
      <c r="AC13" s="105">
        <v>-8.7644231115880906</v>
      </c>
      <c r="AD13" s="192">
        <v>2.3142884768171701E-14</v>
      </c>
    </row>
    <row r="14" spans="1:37">
      <c r="A14" s="197">
        <v>42005</v>
      </c>
      <c r="B14">
        <f t="shared" si="1"/>
        <v>1</v>
      </c>
      <c r="C14">
        <f t="shared" si="2"/>
        <v>2015</v>
      </c>
      <c r="D14" s="6">
        <f>'Monthly Data (longer 09-23)'!E74</f>
        <v>21479947.723403674</v>
      </c>
      <c r="E14">
        <f>'Monthly Data (14-23) Used'!AC14</f>
        <v>766.90000000000009</v>
      </c>
      <c r="F14">
        <f>'Monthly Data (14-23) Used'!AF14</f>
        <v>0</v>
      </c>
      <c r="G14">
        <f>'Monthly Data (14-23) Used'!DD14</f>
        <v>0</v>
      </c>
      <c r="H14">
        <f>'Monthly Data (14-23) Used'!DG14</f>
        <v>0</v>
      </c>
      <c r="I14">
        <f>'Monthly Data (14-23) Used'!CB14</f>
        <v>31</v>
      </c>
      <c r="J14">
        <f>'Monthly Data (14-23) Used'!CA14</f>
        <v>0</v>
      </c>
      <c r="K14">
        <f>'Monthly Data (14-23) Used'!BJ14</f>
        <v>13</v>
      </c>
      <c r="M14" s="6">
        <f t="shared" si="3"/>
        <v>-7179191.8731795801</v>
      </c>
      <c r="N14" s="6">
        <f t="shared" si="4"/>
        <v>5444262.39348274</v>
      </c>
      <c r="O14" s="6">
        <f t="shared" si="5"/>
        <v>0</v>
      </c>
      <c r="P14" s="6">
        <f t="shared" si="6"/>
        <v>0</v>
      </c>
      <c r="Q14" s="6">
        <f t="shared" si="7"/>
        <v>0</v>
      </c>
      <c r="R14" s="6">
        <f t="shared" si="8"/>
        <v>23117235.833798315</v>
      </c>
      <c r="S14" s="6">
        <f t="shared" si="9"/>
        <v>0</v>
      </c>
      <c r="T14" s="6">
        <f t="shared" si="10"/>
        <v>281354.042214986</v>
      </c>
      <c r="U14" s="6">
        <f t="shared" si="11"/>
        <v>21663660.396316461</v>
      </c>
      <c r="V14" s="6">
        <f t="shared" si="12"/>
        <v>183712.67291278765</v>
      </c>
      <c r="W14" s="14">
        <f t="shared" si="13"/>
        <v>8.5527523287508671E-3</v>
      </c>
      <c r="Z14" t="s">
        <v>61</v>
      </c>
      <c r="AA14" s="6">
        <v>21642.618631922</v>
      </c>
      <c r="AB14" s="64">
        <v>2864.2160703694199</v>
      </c>
      <c r="AC14" s="75">
        <v>7.5562101811441398</v>
      </c>
      <c r="AD14" s="192">
        <v>1.2179827203737001E-11</v>
      </c>
    </row>
    <row r="15" spans="1:37">
      <c r="A15" s="197">
        <v>42036</v>
      </c>
      <c r="B15">
        <f t="shared" si="1"/>
        <v>2</v>
      </c>
      <c r="C15">
        <f t="shared" si="2"/>
        <v>2015</v>
      </c>
      <c r="D15" s="6">
        <f>'Monthly Data (longer 09-23)'!E75</f>
        <v>19316640.723403674</v>
      </c>
      <c r="E15">
        <f>'Monthly Data (14-23) Used'!AC15</f>
        <v>811.10000000000014</v>
      </c>
      <c r="F15">
        <f>'Monthly Data (14-23) Used'!AF15</f>
        <v>0</v>
      </c>
      <c r="G15">
        <f>'Monthly Data (14-23) Used'!DD15</f>
        <v>0</v>
      </c>
      <c r="H15">
        <f>'Monthly Data (14-23) Used'!DG15</f>
        <v>0</v>
      </c>
      <c r="I15">
        <f>'Monthly Data (14-23) Used'!CB15</f>
        <v>28</v>
      </c>
      <c r="J15">
        <f>'Monthly Data (14-23) Used'!CA15</f>
        <v>0</v>
      </c>
      <c r="K15">
        <f>'Monthly Data (14-23) Used'!BJ15</f>
        <v>14</v>
      </c>
      <c r="M15" s="6">
        <f t="shared" si="3"/>
        <v>-7179191.8731795801</v>
      </c>
      <c r="N15" s="6">
        <f t="shared" si="4"/>
        <v>5758040.4581481954</v>
      </c>
      <c r="O15" s="6">
        <f t="shared" si="5"/>
        <v>0</v>
      </c>
      <c r="P15" s="6">
        <f t="shared" si="6"/>
        <v>0</v>
      </c>
      <c r="Q15" s="6">
        <f t="shared" si="7"/>
        <v>0</v>
      </c>
      <c r="R15" s="6">
        <f t="shared" si="8"/>
        <v>20880083.978914607</v>
      </c>
      <c r="S15" s="6">
        <f t="shared" si="9"/>
        <v>0</v>
      </c>
      <c r="T15" s="6">
        <f t="shared" si="10"/>
        <v>302996.66084690799</v>
      </c>
      <c r="U15" s="6">
        <f t="shared" si="11"/>
        <v>19761929.22473013</v>
      </c>
      <c r="V15" s="6">
        <f t="shared" si="12"/>
        <v>445288.50132645667</v>
      </c>
      <c r="W15" s="14">
        <f t="shared" si="13"/>
        <v>2.3052067266900792E-2</v>
      </c>
    </row>
    <row r="16" spans="1:37">
      <c r="A16" s="197">
        <v>42064</v>
      </c>
      <c r="B16">
        <f t="shared" si="1"/>
        <v>3</v>
      </c>
      <c r="C16">
        <f t="shared" si="2"/>
        <v>2015</v>
      </c>
      <c r="D16" s="6">
        <f>'Monthly Data (longer 09-23)'!E76</f>
        <v>18803817.723403674</v>
      </c>
      <c r="E16">
        <f>'Monthly Data (14-23) Used'!AC16</f>
        <v>565.29999999999995</v>
      </c>
      <c r="F16">
        <f>'Monthly Data (14-23) Used'!AF16</f>
        <v>0</v>
      </c>
      <c r="G16">
        <f>'Monthly Data (14-23) Used'!DD16</f>
        <v>0</v>
      </c>
      <c r="H16">
        <f>'Monthly Data (14-23) Used'!DG16</f>
        <v>0</v>
      </c>
      <c r="I16">
        <f>'Monthly Data (14-23) Used'!CB16</f>
        <v>31</v>
      </c>
      <c r="J16">
        <f>'Monthly Data (14-23) Used'!CA16</f>
        <v>1</v>
      </c>
      <c r="K16">
        <f>'Monthly Data (14-23) Used'!BJ16</f>
        <v>15</v>
      </c>
      <c r="M16" s="6">
        <f t="shared" si="3"/>
        <v>-7179191.8731795801</v>
      </c>
      <c r="N16" s="6">
        <f t="shared" si="4"/>
        <v>4013093.6641489016</v>
      </c>
      <c r="O16" s="6">
        <f t="shared" si="5"/>
        <v>0</v>
      </c>
      <c r="P16" s="6">
        <f t="shared" si="6"/>
        <v>0</v>
      </c>
      <c r="Q16" s="6">
        <f t="shared" si="7"/>
        <v>0</v>
      </c>
      <c r="R16" s="6">
        <f t="shared" si="8"/>
        <v>23117235.833798315</v>
      </c>
      <c r="S16" s="6">
        <f t="shared" si="9"/>
        <v>-1713930.83126266</v>
      </c>
      <c r="T16" s="6">
        <f t="shared" si="10"/>
        <v>324639.27947882999</v>
      </c>
      <c r="U16" s="6">
        <f t="shared" si="11"/>
        <v>18561846.072983809</v>
      </c>
      <c r="V16" s="6">
        <f t="shared" si="12"/>
        <v>-241971.6504198648</v>
      </c>
      <c r="W16" s="14">
        <f t="shared" si="13"/>
        <v>1.2868219314777829E-2</v>
      </c>
      <c r="Z16" t="s">
        <v>223</v>
      </c>
    </row>
    <row r="17" spans="1:36">
      <c r="A17" s="197">
        <v>42095</v>
      </c>
      <c r="B17">
        <f t="shared" si="1"/>
        <v>4</v>
      </c>
      <c r="C17">
        <f t="shared" si="2"/>
        <v>2015</v>
      </c>
      <c r="D17" s="6">
        <f>'Monthly Data (longer 09-23)'!E77</f>
        <v>16195044.723403674</v>
      </c>
      <c r="E17">
        <f>'Monthly Data (14-23) Used'!AC17</f>
        <v>283.2</v>
      </c>
      <c r="F17">
        <f>'Monthly Data (14-23) Used'!AF17</f>
        <v>0</v>
      </c>
      <c r="G17">
        <f>'Monthly Data (14-23) Used'!DD17</f>
        <v>0</v>
      </c>
      <c r="H17">
        <f>'Monthly Data (14-23) Used'!DG17</f>
        <v>0</v>
      </c>
      <c r="I17">
        <f>'Monthly Data (14-23) Used'!CB17</f>
        <v>30</v>
      </c>
      <c r="J17">
        <f>'Monthly Data (14-23) Used'!CA17</f>
        <v>1</v>
      </c>
      <c r="K17">
        <f>'Monthly Data (14-23) Used'!BJ17</f>
        <v>16</v>
      </c>
      <c r="M17" s="6">
        <f t="shared" si="3"/>
        <v>-7179191.8731795801</v>
      </c>
      <c r="N17" s="6">
        <f t="shared" si="4"/>
        <v>2010451.310254677</v>
      </c>
      <c r="O17" s="6">
        <f t="shared" si="5"/>
        <v>0</v>
      </c>
      <c r="P17" s="6">
        <f t="shared" si="6"/>
        <v>0</v>
      </c>
      <c r="Q17" s="6">
        <f t="shared" si="7"/>
        <v>0</v>
      </c>
      <c r="R17" s="6">
        <f t="shared" si="8"/>
        <v>22371518.548837077</v>
      </c>
      <c r="S17" s="6">
        <f t="shared" si="9"/>
        <v>-1713930.83126266</v>
      </c>
      <c r="T17" s="6">
        <f t="shared" si="10"/>
        <v>346281.89811075199</v>
      </c>
      <c r="U17" s="6">
        <f t="shared" si="11"/>
        <v>15835129.052760266</v>
      </c>
      <c r="V17" s="6">
        <f t="shared" si="12"/>
        <v>-359915.67064340785</v>
      </c>
      <c r="W17" s="14">
        <f t="shared" si="13"/>
        <v>2.2223814555034166E-2</v>
      </c>
      <c r="Z17" t="s">
        <v>226</v>
      </c>
      <c r="AA17" s="193">
        <v>60004027897544</v>
      </c>
      <c r="AB17" t="s">
        <v>227</v>
      </c>
      <c r="AC17" s="193">
        <v>731949.62195851596</v>
      </c>
    </row>
    <row r="18" spans="1:36">
      <c r="A18" s="197">
        <v>42125</v>
      </c>
      <c r="B18">
        <f t="shared" si="1"/>
        <v>5</v>
      </c>
      <c r="C18">
        <f t="shared" si="2"/>
        <v>2015</v>
      </c>
      <c r="D18" s="6">
        <f>'Monthly Data (longer 09-23)'!E78</f>
        <v>18481715.723403674</v>
      </c>
      <c r="E18">
        <f>'Monthly Data (14-23) Used'!AC18</f>
        <v>79.599999999999994</v>
      </c>
      <c r="F18">
        <f>'Monthly Data (14-23) Used'!AF18</f>
        <v>74.399999999999991</v>
      </c>
      <c r="G18">
        <f>'Monthly Data (14-23) Used'!DD18</f>
        <v>0</v>
      </c>
      <c r="H18">
        <f>'Monthly Data (14-23) Used'!DG18</f>
        <v>0</v>
      </c>
      <c r="I18">
        <f>'Monthly Data (14-23) Used'!CB18</f>
        <v>31</v>
      </c>
      <c r="J18">
        <f>'Monthly Data (14-23) Used'!CA18</f>
        <v>1</v>
      </c>
      <c r="K18">
        <f>'Monthly Data (14-23) Used'!BJ18</f>
        <v>17</v>
      </c>
      <c r="M18" s="6">
        <f t="shared" si="3"/>
        <v>-7179191.8731795801</v>
      </c>
      <c r="N18" s="6">
        <f t="shared" si="4"/>
        <v>565084.47844728909</v>
      </c>
      <c r="O18" s="6">
        <f t="shared" si="5"/>
        <v>4956189.6998227006</v>
      </c>
      <c r="P18" s="6">
        <f t="shared" si="6"/>
        <v>0</v>
      </c>
      <c r="Q18" s="6">
        <f t="shared" si="7"/>
        <v>0</v>
      </c>
      <c r="R18" s="6">
        <f t="shared" si="8"/>
        <v>23117235.833798315</v>
      </c>
      <c r="S18" s="6">
        <f t="shared" si="9"/>
        <v>-1713930.83126266</v>
      </c>
      <c r="T18" s="6">
        <f t="shared" si="10"/>
        <v>367924.51674267399</v>
      </c>
      <c r="U18" s="6">
        <f t="shared" si="11"/>
        <v>20113311.824368738</v>
      </c>
      <c r="V18" s="6">
        <f t="shared" si="12"/>
        <v>1631596.100965064</v>
      </c>
      <c r="W18" s="14">
        <f t="shared" si="13"/>
        <v>8.8281636044155218E-2</v>
      </c>
      <c r="Z18" t="s">
        <v>228</v>
      </c>
      <c r="AA18" s="193">
        <v>0.981004440981741</v>
      </c>
      <c r="AB18" t="s">
        <v>229</v>
      </c>
      <c r="AC18" s="193">
        <v>0.9798172185431</v>
      </c>
    </row>
    <row r="19" spans="1:36">
      <c r="A19" s="197">
        <v>42156</v>
      </c>
      <c r="B19">
        <f t="shared" si="1"/>
        <v>6</v>
      </c>
      <c r="C19">
        <f t="shared" si="2"/>
        <v>2015</v>
      </c>
      <c r="D19" s="6">
        <f>'Monthly Data (longer 09-23)'!E79</f>
        <v>22013089.723403674</v>
      </c>
      <c r="E19">
        <f>'Monthly Data (14-23) Used'!AC19</f>
        <v>18.900000000000002</v>
      </c>
      <c r="F19">
        <f>'Monthly Data (14-23) Used'!AF19</f>
        <v>112.89999999999998</v>
      </c>
      <c r="G19">
        <f>'Monthly Data (14-23) Used'!DD19</f>
        <v>0</v>
      </c>
      <c r="H19">
        <f>'Monthly Data (14-23) Used'!DG19</f>
        <v>0</v>
      </c>
      <c r="I19">
        <f>'Monthly Data (14-23) Used'!CB19</f>
        <v>30</v>
      </c>
      <c r="J19">
        <f>'Monthly Data (14-23) Used'!CA19</f>
        <v>0</v>
      </c>
      <c r="K19">
        <f>'Monthly Data (14-23) Used'!BJ19</f>
        <v>18</v>
      </c>
      <c r="M19" s="6">
        <f t="shared" si="3"/>
        <v>-7179191.8731795801</v>
      </c>
      <c r="N19" s="6">
        <f t="shared" si="4"/>
        <v>134172.06837504733</v>
      </c>
      <c r="O19" s="6">
        <f t="shared" si="5"/>
        <v>7520884.6385750379</v>
      </c>
      <c r="P19" s="6">
        <f t="shared" si="6"/>
        <v>0</v>
      </c>
      <c r="Q19" s="6">
        <f t="shared" si="7"/>
        <v>0</v>
      </c>
      <c r="R19" s="6">
        <f t="shared" si="8"/>
        <v>22371518.548837077</v>
      </c>
      <c r="S19" s="6">
        <f t="shared" si="9"/>
        <v>0</v>
      </c>
      <c r="T19" s="6">
        <f t="shared" si="10"/>
        <v>389567.13537459599</v>
      </c>
      <c r="U19" s="6">
        <f t="shared" si="11"/>
        <v>23236950.517982177</v>
      </c>
      <c r="V19" s="6">
        <f t="shared" si="12"/>
        <v>1223860.7945785038</v>
      </c>
      <c r="W19" s="14">
        <f t="shared" si="13"/>
        <v>5.559695662700774E-2</v>
      </c>
      <c r="Z19" t="s">
        <v>246</v>
      </c>
      <c r="AA19" s="75">
        <v>667.489932962372</v>
      </c>
      <c r="AB19" t="s">
        <v>231</v>
      </c>
      <c r="AC19" s="105">
        <v>3.48891869527766E-88</v>
      </c>
    </row>
    <row r="20" spans="1:36">
      <c r="A20" s="197">
        <v>42186</v>
      </c>
      <c r="B20">
        <f t="shared" si="1"/>
        <v>7</v>
      </c>
      <c r="C20">
        <f t="shared" si="2"/>
        <v>2015</v>
      </c>
      <c r="D20" s="6">
        <f>'Monthly Data (longer 09-23)'!E80</f>
        <v>27823012.723403674</v>
      </c>
      <c r="E20">
        <f>'Monthly Data (14-23) Used'!AC20</f>
        <v>2.8999999999999986</v>
      </c>
      <c r="F20">
        <f>'Monthly Data (14-23) Used'!AF20</f>
        <v>179.79999999999998</v>
      </c>
      <c r="G20">
        <f>'Monthly Data (14-23) Used'!DD20</f>
        <v>0</v>
      </c>
      <c r="H20">
        <f>'Monthly Data (14-23) Used'!DG20</f>
        <v>0</v>
      </c>
      <c r="I20">
        <f>'Monthly Data (14-23) Used'!CB20</f>
        <v>31</v>
      </c>
      <c r="J20">
        <f>'Monthly Data (14-23) Used'!CA20</f>
        <v>0</v>
      </c>
      <c r="K20">
        <f>'Monthly Data (14-23) Used'!BJ20</f>
        <v>19</v>
      </c>
      <c r="M20" s="6">
        <f t="shared" si="3"/>
        <v>-7179191.8731795801</v>
      </c>
      <c r="N20" s="6">
        <f t="shared" si="4"/>
        <v>20587.24858664746</v>
      </c>
      <c r="O20" s="6">
        <f t="shared" si="5"/>
        <v>11977458.441238193</v>
      </c>
      <c r="P20" s="6">
        <f t="shared" si="6"/>
        <v>0</v>
      </c>
      <c r="Q20" s="6">
        <f t="shared" si="7"/>
        <v>0</v>
      </c>
      <c r="R20" s="6">
        <f t="shared" si="8"/>
        <v>23117235.833798315</v>
      </c>
      <c r="S20" s="6">
        <f t="shared" si="9"/>
        <v>0</v>
      </c>
      <c r="T20" s="6">
        <f t="shared" si="10"/>
        <v>411209.75400651799</v>
      </c>
      <c r="U20" s="6">
        <f t="shared" si="11"/>
        <v>28347299.404450092</v>
      </c>
      <c r="V20" s="6">
        <f t="shared" si="12"/>
        <v>524286.68104641885</v>
      </c>
      <c r="W20" s="14">
        <f t="shared" si="13"/>
        <v>1.8843634449601087E-2</v>
      </c>
      <c r="Z20" t="s">
        <v>232</v>
      </c>
      <c r="AA20" s="75">
        <v>1.8984809701152901E-2</v>
      </c>
      <c r="AB20" t="s">
        <v>233</v>
      </c>
      <c r="AC20" s="105">
        <v>1.94717080391</v>
      </c>
      <c r="AJ20" s="18"/>
    </row>
    <row r="21" spans="1:36">
      <c r="A21" s="197">
        <v>42217</v>
      </c>
      <c r="B21">
        <f t="shared" si="1"/>
        <v>8</v>
      </c>
      <c r="C21">
        <f t="shared" si="2"/>
        <v>2015</v>
      </c>
      <c r="D21" s="6">
        <f>'Monthly Data (longer 09-23)'!E81</f>
        <v>28533565.723403674</v>
      </c>
      <c r="E21">
        <f>'Monthly Data (14-23) Used'!AC21</f>
        <v>8.5000000000000018</v>
      </c>
      <c r="F21">
        <f>'Monthly Data (14-23) Used'!AF21</f>
        <v>158.4</v>
      </c>
      <c r="G21">
        <f>'Monthly Data (14-23) Used'!DD21</f>
        <v>0</v>
      </c>
      <c r="H21">
        <f>'Monthly Data (14-23) Used'!DG21</f>
        <v>0</v>
      </c>
      <c r="I21">
        <f>'Monthly Data (14-23) Used'!CB21</f>
        <v>31</v>
      </c>
      <c r="J21">
        <f>'Monthly Data (14-23) Used'!CA21</f>
        <v>0</v>
      </c>
      <c r="K21">
        <f>'Monthly Data (14-23) Used'!BJ21</f>
        <v>20</v>
      </c>
      <c r="M21" s="6">
        <f t="shared" si="3"/>
        <v>-7179191.8731795801</v>
      </c>
      <c r="N21" s="6">
        <f t="shared" si="4"/>
        <v>60341.935512587428</v>
      </c>
      <c r="O21" s="6">
        <f t="shared" si="5"/>
        <v>10551887.748009622</v>
      </c>
      <c r="P21" s="6">
        <f t="shared" si="6"/>
        <v>0</v>
      </c>
      <c r="Q21" s="6">
        <f t="shared" si="7"/>
        <v>0</v>
      </c>
      <c r="R21" s="6">
        <f t="shared" si="8"/>
        <v>23117235.833798315</v>
      </c>
      <c r="S21" s="6">
        <f t="shared" si="9"/>
        <v>0</v>
      </c>
      <c r="T21" s="6">
        <f t="shared" si="10"/>
        <v>432852.37263843999</v>
      </c>
      <c r="U21" s="6">
        <f t="shared" si="11"/>
        <v>26983126.016779386</v>
      </c>
      <c r="V21" s="6">
        <f t="shared" si="12"/>
        <v>-1550439.7066242881</v>
      </c>
      <c r="W21" s="14">
        <f t="shared" si="13"/>
        <v>5.4337397633853854E-2</v>
      </c>
      <c r="AA21" s="195"/>
      <c r="AC21" s="105"/>
    </row>
    <row r="22" spans="1:36">
      <c r="A22" s="197">
        <v>42248</v>
      </c>
      <c r="B22">
        <f t="shared" si="1"/>
        <v>9</v>
      </c>
      <c r="C22">
        <f t="shared" si="2"/>
        <v>2015</v>
      </c>
      <c r="D22" s="6">
        <f>'Monthly Data (longer 09-23)'!E82</f>
        <v>22645412.723403674</v>
      </c>
      <c r="E22">
        <f>'Monthly Data (14-23) Used'!AC22</f>
        <v>23.099999999999998</v>
      </c>
      <c r="F22">
        <f>'Monthly Data (14-23) Used'!AF22</f>
        <v>114.6</v>
      </c>
      <c r="G22">
        <f>'Monthly Data (14-23) Used'!DD22</f>
        <v>0</v>
      </c>
      <c r="H22">
        <f>'Monthly Data (14-23) Used'!DG22</f>
        <v>0</v>
      </c>
      <c r="I22">
        <f>'Monthly Data (14-23) Used'!CB22</f>
        <v>30</v>
      </c>
      <c r="J22">
        <f>'Monthly Data (14-23) Used'!CA22</f>
        <v>0</v>
      </c>
      <c r="K22">
        <f>'Monthly Data (14-23) Used'!BJ22</f>
        <v>21</v>
      </c>
      <c r="M22" s="6">
        <f t="shared" si="3"/>
        <v>-7179191.8731795801</v>
      </c>
      <c r="N22" s="6">
        <f t="shared" ref="N22:N53" si="14">E22*$AA$8</f>
        <v>163988.08356950225</v>
      </c>
      <c r="O22" s="6">
        <f t="shared" ref="O22:O53" si="15">F22*$AA$9</f>
        <v>7634130.9085978698</v>
      </c>
      <c r="P22" s="6">
        <f t="shared" ref="P22:P53" si="16">G22*$AA$10</f>
        <v>0</v>
      </c>
      <c r="Q22" s="6">
        <f t="shared" ref="Q22:Q53" si="17">H22*$AA$11</f>
        <v>0</v>
      </c>
      <c r="R22" s="6">
        <f t="shared" si="8"/>
        <v>22371518.548837077</v>
      </c>
      <c r="S22" s="6">
        <f t="shared" si="9"/>
        <v>0</v>
      </c>
      <c r="T22" s="6">
        <f t="shared" si="10"/>
        <v>454494.99127036199</v>
      </c>
      <c r="U22" s="6">
        <f t="shared" si="11"/>
        <v>23444940.659095231</v>
      </c>
      <c r="V22" s="6">
        <f t="shared" ref="V22:V53" si="18">U22-D22</f>
        <v>799527.93569155782</v>
      </c>
      <c r="W22" s="14">
        <f t="shared" ref="W22:W53" si="19">ABS(U22-D22)/D22</f>
        <v>3.5306397170021916E-2</v>
      </c>
      <c r="Z22" t="s">
        <v>247</v>
      </c>
    </row>
    <row r="23" spans="1:36">
      <c r="A23" s="197">
        <v>42278</v>
      </c>
      <c r="B23">
        <f t="shared" si="1"/>
        <v>10</v>
      </c>
      <c r="C23">
        <f t="shared" si="2"/>
        <v>2015</v>
      </c>
      <c r="D23" s="6">
        <f>'Monthly Data (longer 09-23)'!E83</f>
        <v>17144608.723403674</v>
      </c>
      <c r="E23">
        <f>'Monthly Data (14-23) Used'!AC23</f>
        <v>194.50000000000003</v>
      </c>
      <c r="F23">
        <f>'Monthly Data (14-23) Used'!AF23</f>
        <v>7.0999999999999979</v>
      </c>
      <c r="G23">
        <f>'Monthly Data (14-23) Used'!DD23</f>
        <v>0</v>
      </c>
      <c r="H23">
        <f>'Monthly Data (14-23) Used'!DG23</f>
        <v>0</v>
      </c>
      <c r="I23">
        <f>'Monthly Data (14-23) Used'!CB23</f>
        <v>31</v>
      </c>
      <c r="J23">
        <f>'Monthly Data (14-23) Used'!CA23</f>
        <v>1</v>
      </c>
      <c r="K23">
        <f>'Monthly Data (14-23) Used'!BJ23</f>
        <v>22</v>
      </c>
      <c r="M23" s="6">
        <f t="shared" si="3"/>
        <v>-7179191.8731795801</v>
      </c>
      <c r="N23" s="6">
        <f t="shared" si="14"/>
        <v>1380765.4655527356</v>
      </c>
      <c r="O23" s="6">
        <f t="shared" si="15"/>
        <v>472969.71597770386</v>
      </c>
      <c r="P23" s="6">
        <f t="shared" si="16"/>
        <v>0</v>
      </c>
      <c r="Q23" s="6">
        <f t="shared" si="17"/>
        <v>0</v>
      </c>
      <c r="R23" s="6">
        <f t="shared" si="8"/>
        <v>23117235.833798315</v>
      </c>
      <c r="S23" s="6">
        <f t="shared" si="9"/>
        <v>-1713930.83126266</v>
      </c>
      <c r="T23" s="6">
        <f t="shared" si="10"/>
        <v>476137.60990228399</v>
      </c>
      <c r="U23" s="6">
        <f t="shared" si="11"/>
        <v>16553985.920788797</v>
      </c>
      <c r="V23" s="6">
        <f t="shared" si="18"/>
        <v>-590622.802614877</v>
      </c>
      <c r="W23" s="14">
        <f t="shared" si="19"/>
        <v>3.4449476925573264E-2</v>
      </c>
      <c r="Z23" t="s">
        <v>224</v>
      </c>
      <c r="AA23" s="6">
        <v>22403540.575963099</v>
      </c>
      <c r="AB23" t="s">
        <v>225</v>
      </c>
      <c r="AC23" s="6">
        <v>5143283.59289834</v>
      </c>
    </row>
    <row r="24" spans="1:36">
      <c r="A24" s="197">
        <v>42309</v>
      </c>
      <c r="B24">
        <f t="shared" si="1"/>
        <v>11</v>
      </c>
      <c r="C24">
        <f t="shared" si="2"/>
        <v>2015</v>
      </c>
      <c r="D24" s="6">
        <f>'Monthly Data (longer 09-23)'!E84</f>
        <v>16846922.723403674</v>
      </c>
      <c r="E24">
        <f>'Monthly Data (14-23) Used'!AC24</f>
        <v>325.2</v>
      </c>
      <c r="F24">
        <f>'Monthly Data (14-23) Used'!AF24</f>
        <v>0.89999999999999858</v>
      </c>
      <c r="G24">
        <f>'Monthly Data (14-23) Used'!DD24</f>
        <v>0</v>
      </c>
      <c r="H24">
        <f>'Monthly Data (14-23) Used'!DG24</f>
        <v>0</v>
      </c>
      <c r="I24">
        <f>'Monthly Data (14-23) Used'!CB24</f>
        <v>30</v>
      </c>
      <c r="J24">
        <f>'Monthly Data (14-23) Used'!CA24</f>
        <v>1</v>
      </c>
      <c r="K24">
        <f>'Monthly Data (14-23) Used'!BJ24</f>
        <v>23</v>
      </c>
      <c r="M24" s="6">
        <f t="shared" si="3"/>
        <v>-7179191.8731795801</v>
      </c>
      <c r="N24" s="6">
        <f t="shared" si="14"/>
        <v>2308611.4621992265</v>
      </c>
      <c r="O24" s="6">
        <f t="shared" si="15"/>
        <v>59953.90765914548</v>
      </c>
      <c r="P24" s="6">
        <f t="shared" si="16"/>
        <v>0</v>
      </c>
      <c r="Q24" s="6">
        <f t="shared" si="17"/>
        <v>0</v>
      </c>
      <c r="R24" s="6">
        <f t="shared" si="8"/>
        <v>22371518.548837077</v>
      </c>
      <c r="S24" s="6">
        <f t="shared" si="9"/>
        <v>-1713930.83126266</v>
      </c>
      <c r="T24" s="6">
        <f t="shared" si="10"/>
        <v>497780.22853420599</v>
      </c>
      <c r="U24" s="6">
        <f t="shared" si="11"/>
        <v>16344741.442787416</v>
      </c>
      <c r="V24" s="6">
        <f t="shared" si="18"/>
        <v>-502181.28061625734</v>
      </c>
      <c r="W24" s="14">
        <f t="shared" si="19"/>
        <v>2.9808487215212856E-2</v>
      </c>
    </row>
    <row r="25" spans="1:36">
      <c r="A25" s="197">
        <v>42339</v>
      </c>
      <c r="B25">
        <f t="shared" si="1"/>
        <v>12</v>
      </c>
      <c r="C25">
        <f t="shared" si="2"/>
        <v>2015</v>
      </c>
      <c r="D25" s="6">
        <f>'Monthly Data (longer 09-23)'!E85</f>
        <v>19493995.723403674</v>
      </c>
      <c r="E25">
        <f>'Monthly Data (14-23) Used'!AC25</f>
        <v>417.30000000000007</v>
      </c>
      <c r="F25">
        <f>'Monthly Data (14-23) Used'!AF25</f>
        <v>0</v>
      </c>
      <c r="G25">
        <f>'Monthly Data (14-23) Used'!DD25</f>
        <v>0</v>
      </c>
      <c r="H25">
        <f>'Monthly Data (14-23) Used'!DG25</f>
        <v>0</v>
      </c>
      <c r="I25">
        <f>'Monthly Data (14-23) Used'!CB25</f>
        <v>31</v>
      </c>
      <c r="J25">
        <f>'Monthly Data (14-23) Used'!CA25</f>
        <v>0</v>
      </c>
      <c r="K25">
        <f>'Monthly Data (14-23) Used'!BJ25</f>
        <v>24</v>
      </c>
      <c r="M25" s="6">
        <f t="shared" si="3"/>
        <v>-7179191.8731795801</v>
      </c>
      <c r="N25" s="6">
        <f t="shared" si="14"/>
        <v>2962434.0811062036</v>
      </c>
      <c r="O25" s="6">
        <f t="shared" si="15"/>
        <v>0</v>
      </c>
      <c r="P25" s="6">
        <f t="shared" si="16"/>
        <v>0</v>
      </c>
      <c r="Q25" s="6">
        <f t="shared" si="17"/>
        <v>0</v>
      </c>
      <c r="R25" s="6">
        <f t="shared" si="8"/>
        <v>23117235.833798315</v>
      </c>
      <c r="S25" s="6">
        <f t="shared" si="9"/>
        <v>0</v>
      </c>
      <c r="T25" s="6">
        <f t="shared" si="10"/>
        <v>519422.84716612799</v>
      </c>
      <c r="U25" s="6">
        <f t="shared" si="11"/>
        <v>19419900.888891067</v>
      </c>
      <c r="V25" s="6">
        <f t="shared" si="18"/>
        <v>-74094.834512606263</v>
      </c>
      <c r="W25" s="14">
        <f t="shared" si="19"/>
        <v>3.8009054461652062E-3</v>
      </c>
    </row>
    <row r="26" spans="1:36">
      <c r="A26" s="197">
        <v>42370</v>
      </c>
      <c r="B26">
        <f t="shared" si="1"/>
        <v>1</v>
      </c>
      <c r="C26">
        <f t="shared" si="2"/>
        <v>2016</v>
      </c>
      <c r="D26" s="6">
        <f>'Monthly Data (longer 09-23)'!E86</f>
        <v>20444371.530323215</v>
      </c>
      <c r="E26">
        <f>'Monthly Data (14-23) Used'!AC26</f>
        <v>644.9</v>
      </c>
      <c r="F26">
        <f>'Monthly Data (14-23) Used'!AF26</f>
        <v>0</v>
      </c>
      <c r="G26">
        <f>'Monthly Data (14-23) Used'!DD26</f>
        <v>0</v>
      </c>
      <c r="H26">
        <f>'Monthly Data (14-23) Used'!DG26</f>
        <v>0</v>
      </c>
      <c r="I26">
        <f>'Monthly Data (14-23) Used'!CB26</f>
        <v>31</v>
      </c>
      <c r="J26">
        <f>'Monthly Data (14-23) Used'!CA26</f>
        <v>0</v>
      </c>
      <c r="K26">
        <f>'Monthly Data (14-23) Used'!BJ26</f>
        <v>25</v>
      </c>
      <c r="M26" s="6">
        <f t="shared" si="3"/>
        <v>-7179191.8731795801</v>
      </c>
      <c r="N26" s="6">
        <f t="shared" si="14"/>
        <v>4578178.1425961908</v>
      </c>
      <c r="O26" s="6">
        <f t="shared" si="15"/>
        <v>0</v>
      </c>
      <c r="P26" s="6">
        <f t="shared" si="16"/>
        <v>0</v>
      </c>
      <c r="Q26" s="6">
        <f t="shared" si="17"/>
        <v>0</v>
      </c>
      <c r="R26" s="6">
        <f t="shared" si="8"/>
        <v>23117235.833798315</v>
      </c>
      <c r="S26" s="6">
        <f t="shared" si="9"/>
        <v>0</v>
      </c>
      <c r="T26" s="6">
        <f t="shared" si="10"/>
        <v>541065.46579804993</v>
      </c>
      <c r="U26" s="6">
        <f t="shared" si="11"/>
        <v>21057287.569012977</v>
      </c>
      <c r="V26" s="6">
        <f t="shared" si="18"/>
        <v>612916.03868976235</v>
      </c>
      <c r="W26" s="14">
        <f t="shared" si="19"/>
        <v>2.997969577008917E-2</v>
      </c>
    </row>
    <row r="27" spans="1:36">
      <c r="A27" s="197">
        <v>42401</v>
      </c>
      <c r="B27">
        <f t="shared" si="1"/>
        <v>2</v>
      </c>
      <c r="C27">
        <f t="shared" si="2"/>
        <v>2016</v>
      </c>
      <c r="D27" s="6">
        <f>'Monthly Data (longer 09-23)'!E87</f>
        <v>18189613.530323215</v>
      </c>
      <c r="E27">
        <f>'Monthly Data (14-23) Used'!AC27</f>
        <v>550.19999999999993</v>
      </c>
      <c r="F27">
        <f>'Monthly Data (14-23) Used'!AF27</f>
        <v>0</v>
      </c>
      <c r="G27">
        <f>'Monthly Data (14-23) Used'!DD27</f>
        <v>0</v>
      </c>
      <c r="H27">
        <f>'Monthly Data (14-23) Used'!DG27</f>
        <v>0</v>
      </c>
      <c r="I27">
        <f>'Monthly Data (14-23) Used'!CB27</f>
        <v>29</v>
      </c>
      <c r="J27">
        <f>'Monthly Data (14-23) Used'!CA27</f>
        <v>0</v>
      </c>
      <c r="K27">
        <f>'Monthly Data (14-23) Used'!BJ27</f>
        <v>26</v>
      </c>
      <c r="M27" s="6">
        <f t="shared" si="3"/>
        <v>-7179191.8731795801</v>
      </c>
      <c r="N27" s="6">
        <f t="shared" si="14"/>
        <v>3905897.9904735987</v>
      </c>
      <c r="O27" s="6">
        <f t="shared" si="15"/>
        <v>0</v>
      </c>
      <c r="P27" s="6">
        <f t="shared" si="16"/>
        <v>0</v>
      </c>
      <c r="Q27" s="6">
        <f t="shared" si="17"/>
        <v>0</v>
      </c>
      <c r="R27" s="6">
        <f t="shared" si="8"/>
        <v>21625801.263875842</v>
      </c>
      <c r="S27" s="6">
        <f t="shared" si="9"/>
        <v>0</v>
      </c>
      <c r="T27" s="6">
        <f t="shared" si="10"/>
        <v>562708.08442997199</v>
      </c>
      <c r="U27" s="6">
        <f t="shared" si="11"/>
        <v>18915215.465599831</v>
      </c>
      <c r="V27" s="6">
        <f t="shared" si="18"/>
        <v>725601.93527661636</v>
      </c>
      <c r="W27" s="14">
        <f t="shared" si="19"/>
        <v>3.9891003405157173E-2</v>
      </c>
    </row>
    <row r="28" spans="1:36">
      <c r="A28" s="197">
        <v>42430</v>
      </c>
      <c r="B28">
        <f t="shared" si="1"/>
        <v>3</v>
      </c>
      <c r="C28">
        <f t="shared" si="2"/>
        <v>2016</v>
      </c>
      <c r="D28" s="6">
        <f>'Monthly Data (longer 09-23)'!E88</f>
        <v>17798736.530323215</v>
      </c>
      <c r="E28">
        <f>'Monthly Data (14-23) Used'!AC28</f>
        <v>404.4</v>
      </c>
      <c r="F28">
        <f>'Monthly Data (14-23) Used'!AF28</f>
        <v>0</v>
      </c>
      <c r="G28">
        <f>'Monthly Data (14-23) Used'!DD28</f>
        <v>0</v>
      </c>
      <c r="H28">
        <f>'Monthly Data (14-23) Used'!DG28</f>
        <v>0</v>
      </c>
      <c r="I28">
        <f>'Monthly Data (14-23) Used'!CB28</f>
        <v>31</v>
      </c>
      <c r="J28">
        <f>'Monthly Data (14-23) Used'!CA28</f>
        <v>1</v>
      </c>
      <c r="K28">
        <f>'Monthly Data (14-23) Used'!BJ28</f>
        <v>27</v>
      </c>
      <c r="M28" s="6">
        <f t="shared" si="3"/>
        <v>-7179191.8731795801</v>
      </c>
      <c r="N28" s="6">
        <f t="shared" si="14"/>
        <v>2870856.3201518059</v>
      </c>
      <c r="O28" s="6">
        <f t="shared" si="15"/>
        <v>0</v>
      </c>
      <c r="P28" s="6">
        <f t="shared" si="16"/>
        <v>0</v>
      </c>
      <c r="Q28" s="6">
        <f t="shared" si="17"/>
        <v>0</v>
      </c>
      <c r="R28" s="6">
        <f t="shared" si="8"/>
        <v>23117235.833798315</v>
      </c>
      <c r="S28" s="6">
        <f t="shared" si="9"/>
        <v>-1713930.83126266</v>
      </c>
      <c r="T28" s="6">
        <f t="shared" si="10"/>
        <v>584350.70306189405</v>
      </c>
      <c r="U28" s="6">
        <f t="shared" si="11"/>
        <v>17679320.152569775</v>
      </c>
      <c r="V28" s="6">
        <f t="shared" si="18"/>
        <v>-119416.37775344029</v>
      </c>
      <c r="W28" s="14">
        <f t="shared" si="19"/>
        <v>6.7092615001067019E-3</v>
      </c>
    </row>
    <row r="29" spans="1:36">
      <c r="A29" s="197">
        <v>42461</v>
      </c>
      <c r="B29">
        <f t="shared" si="1"/>
        <v>4</v>
      </c>
      <c r="C29">
        <f t="shared" si="2"/>
        <v>2016</v>
      </c>
      <c r="D29" s="6">
        <f>'Monthly Data (longer 09-23)'!E89</f>
        <v>16235715.530323217</v>
      </c>
      <c r="E29">
        <f>'Monthly Data (14-23) Used'!AC29</f>
        <v>332.09999999999997</v>
      </c>
      <c r="F29">
        <f>'Monthly Data (14-23) Used'!AF29</f>
        <v>0</v>
      </c>
      <c r="G29">
        <f>'Monthly Data (14-23) Used'!DD29</f>
        <v>0</v>
      </c>
      <c r="H29">
        <f>'Monthly Data (14-23) Used'!DG29</f>
        <v>0</v>
      </c>
      <c r="I29">
        <f>'Monthly Data (14-23) Used'!CB29</f>
        <v>30</v>
      </c>
      <c r="J29">
        <f>'Monthly Data (14-23) Used'!CA29</f>
        <v>1</v>
      </c>
      <c r="K29">
        <f>'Monthly Data (14-23) Used'!BJ29</f>
        <v>28</v>
      </c>
      <c r="M29" s="6">
        <f t="shared" si="3"/>
        <v>-7179191.8731795801</v>
      </c>
      <c r="N29" s="6">
        <f t="shared" si="14"/>
        <v>2357594.9157329737</v>
      </c>
      <c r="O29" s="6">
        <f t="shared" si="15"/>
        <v>0</v>
      </c>
      <c r="P29" s="6">
        <f t="shared" si="16"/>
        <v>0</v>
      </c>
      <c r="Q29" s="6">
        <f t="shared" si="17"/>
        <v>0</v>
      </c>
      <c r="R29" s="6">
        <f t="shared" si="8"/>
        <v>22371518.548837077</v>
      </c>
      <c r="S29" s="6">
        <f t="shared" si="9"/>
        <v>-1713930.83126266</v>
      </c>
      <c r="T29" s="6">
        <f t="shared" si="10"/>
        <v>605993.32169381599</v>
      </c>
      <c r="U29" s="6">
        <f t="shared" si="11"/>
        <v>16441984.081821624</v>
      </c>
      <c r="V29" s="6">
        <f t="shared" si="18"/>
        <v>206268.5514984075</v>
      </c>
      <c r="W29" s="14">
        <f t="shared" si="19"/>
        <v>1.2704617244196146E-2</v>
      </c>
    </row>
    <row r="30" spans="1:36">
      <c r="A30" s="197">
        <v>42491</v>
      </c>
      <c r="B30">
        <f t="shared" si="1"/>
        <v>5</v>
      </c>
      <c r="C30">
        <f t="shared" si="2"/>
        <v>2016</v>
      </c>
      <c r="D30" s="6">
        <f>'Monthly Data (longer 09-23)'!E90</f>
        <v>18754139.530323215</v>
      </c>
      <c r="E30">
        <f>'Monthly Data (14-23) Used'!AC30</f>
        <v>126.6</v>
      </c>
      <c r="F30">
        <f>'Monthly Data (14-23) Used'!AF30</f>
        <v>55.2</v>
      </c>
      <c r="G30">
        <f>'Monthly Data (14-23) Used'!DD30</f>
        <v>0</v>
      </c>
      <c r="H30">
        <f>'Monthly Data (14-23) Used'!DG30</f>
        <v>0</v>
      </c>
      <c r="I30">
        <f>'Monthly Data (14-23) Used'!CB30</f>
        <v>31</v>
      </c>
      <c r="J30">
        <f>'Monthly Data (14-23) Used'!CA30</f>
        <v>1</v>
      </c>
      <c r="K30">
        <f>'Monthly Data (14-23) Used'!BJ30</f>
        <v>29</v>
      </c>
      <c r="M30" s="6">
        <f t="shared" si="3"/>
        <v>-7179191.8731795801</v>
      </c>
      <c r="N30" s="6">
        <f t="shared" si="14"/>
        <v>898739.88657571364</v>
      </c>
      <c r="O30" s="6">
        <f t="shared" si="15"/>
        <v>3677173.0030942624</v>
      </c>
      <c r="P30" s="6">
        <f t="shared" si="16"/>
        <v>0</v>
      </c>
      <c r="Q30" s="6">
        <f t="shared" si="17"/>
        <v>0</v>
      </c>
      <c r="R30" s="6">
        <f t="shared" si="8"/>
        <v>23117235.833798315</v>
      </c>
      <c r="S30" s="6">
        <f t="shared" si="9"/>
        <v>-1713930.83126266</v>
      </c>
      <c r="T30" s="6">
        <f t="shared" si="10"/>
        <v>627635.94032573793</v>
      </c>
      <c r="U30" s="6">
        <f t="shared" si="11"/>
        <v>19427661.959351789</v>
      </c>
      <c r="V30" s="6">
        <f t="shared" si="18"/>
        <v>673522.42902857438</v>
      </c>
      <c r="W30" s="14">
        <f t="shared" si="19"/>
        <v>3.591326746500785E-2</v>
      </c>
    </row>
    <row r="31" spans="1:36">
      <c r="A31" s="197">
        <v>42522</v>
      </c>
      <c r="B31">
        <f t="shared" si="1"/>
        <v>6</v>
      </c>
      <c r="C31">
        <f t="shared" si="2"/>
        <v>2016</v>
      </c>
      <c r="D31" s="6">
        <f>'Monthly Data (longer 09-23)'!E91</f>
        <v>25384555.530323215</v>
      </c>
      <c r="E31">
        <f>'Monthly Data (14-23) Used'!AC31</f>
        <v>6.7999999999999989</v>
      </c>
      <c r="F31">
        <f>'Monthly Data (14-23) Used'!AF31</f>
        <v>155.4</v>
      </c>
      <c r="G31">
        <f>'Monthly Data (14-23) Used'!DD31</f>
        <v>0</v>
      </c>
      <c r="H31">
        <f>'Monthly Data (14-23) Used'!DG31</f>
        <v>0</v>
      </c>
      <c r="I31">
        <f>'Monthly Data (14-23) Used'!CB31</f>
        <v>30</v>
      </c>
      <c r="J31">
        <f>'Monthly Data (14-23) Used'!CA31</f>
        <v>0</v>
      </c>
      <c r="K31">
        <f>'Monthly Data (14-23) Used'!BJ31</f>
        <v>30</v>
      </c>
      <c r="M31" s="6">
        <f t="shared" si="3"/>
        <v>-7179191.8731795801</v>
      </c>
      <c r="N31" s="6">
        <f t="shared" si="14"/>
        <v>48273.548410069925</v>
      </c>
      <c r="O31" s="6">
        <f t="shared" si="15"/>
        <v>10352041.389145803</v>
      </c>
      <c r="P31" s="6">
        <f t="shared" si="16"/>
        <v>0</v>
      </c>
      <c r="Q31" s="6">
        <f t="shared" si="17"/>
        <v>0</v>
      </c>
      <c r="R31" s="6">
        <f t="shared" si="8"/>
        <v>22371518.548837077</v>
      </c>
      <c r="S31" s="6">
        <f t="shared" si="9"/>
        <v>0</v>
      </c>
      <c r="T31" s="6">
        <f t="shared" si="10"/>
        <v>649278.55895765999</v>
      </c>
      <c r="U31" s="6">
        <f t="shared" si="11"/>
        <v>26241920.172171026</v>
      </c>
      <c r="V31" s="6">
        <f t="shared" si="18"/>
        <v>857364.64184781164</v>
      </c>
      <c r="W31" s="14">
        <f t="shared" si="19"/>
        <v>3.3775050377527531E-2</v>
      </c>
    </row>
    <row r="32" spans="1:36">
      <c r="A32" s="197">
        <v>42552</v>
      </c>
      <c r="B32">
        <f t="shared" si="1"/>
        <v>7</v>
      </c>
      <c r="C32">
        <f t="shared" si="2"/>
        <v>2016</v>
      </c>
      <c r="D32" s="6">
        <f>'Monthly Data (longer 09-23)'!E92</f>
        <v>32718193.530323215</v>
      </c>
      <c r="E32">
        <f>'Monthly Data (14-23) Used'!AC32</f>
        <v>0</v>
      </c>
      <c r="F32">
        <f>'Monthly Data (14-23) Used'!AF32</f>
        <v>240.29999999999998</v>
      </c>
      <c r="G32">
        <f>'Monthly Data (14-23) Used'!DD32</f>
        <v>0</v>
      </c>
      <c r="H32">
        <f>'Monthly Data (14-23) Used'!DG32</f>
        <v>0</v>
      </c>
      <c r="I32">
        <f>'Monthly Data (14-23) Used'!CB32</f>
        <v>31</v>
      </c>
      <c r="J32">
        <f>'Monthly Data (14-23) Used'!CA32</f>
        <v>0</v>
      </c>
      <c r="K32">
        <f>'Monthly Data (14-23) Used'!BJ32</f>
        <v>31</v>
      </c>
      <c r="M32" s="6">
        <f t="shared" si="3"/>
        <v>-7179191.8731795801</v>
      </c>
      <c r="N32" s="6">
        <f t="shared" si="14"/>
        <v>0</v>
      </c>
      <c r="O32" s="6">
        <f t="shared" si="15"/>
        <v>16007693.344991868</v>
      </c>
      <c r="P32" s="6">
        <f t="shared" si="16"/>
        <v>0</v>
      </c>
      <c r="Q32" s="6">
        <f t="shared" si="17"/>
        <v>0</v>
      </c>
      <c r="R32" s="6">
        <f t="shared" si="8"/>
        <v>23117235.833798315</v>
      </c>
      <c r="S32" s="6">
        <f t="shared" si="9"/>
        <v>0</v>
      </c>
      <c r="T32" s="6">
        <f t="shared" si="10"/>
        <v>670921.17758958205</v>
      </c>
      <c r="U32" s="6">
        <f t="shared" si="11"/>
        <v>32616658.483200185</v>
      </c>
      <c r="V32" s="6">
        <f t="shared" si="18"/>
        <v>-101535.04712302983</v>
      </c>
      <c r="W32" s="14">
        <f t="shared" si="19"/>
        <v>3.1033206961419545E-3</v>
      </c>
    </row>
    <row r="33" spans="1:23">
      <c r="A33" s="197">
        <v>42583</v>
      </c>
      <c r="B33">
        <f t="shared" si="1"/>
        <v>8</v>
      </c>
      <c r="C33">
        <f t="shared" si="2"/>
        <v>2016</v>
      </c>
      <c r="D33" s="6">
        <f>'Monthly Data (longer 09-23)'!E93</f>
        <v>32669359.530323215</v>
      </c>
      <c r="E33">
        <f>'Monthly Data (14-23) Used'!AC33</f>
        <v>0</v>
      </c>
      <c r="F33">
        <f>'Monthly Data (14-23) Used'!AF33</f>
        <v>236.90000000000003</v>
      </c>
      <c r="G33">
        <f>'Monthly Data (14-23) Used'!DD33</f>
        <v>0</v>
      </c>
      <c r="H33">
        <f>'Monthly Data (14-23) Used'!DG33</f>
        <v>0</v>
      </c>
      <c r="I33">
        <f>'Monthly Data (14-23) Used'!CB33</f>
        <v>31</v>
      </c>
      <c r="J33">
        <f>'Monthly Data (14-23) Used'!CA33</f>
        <v>0</v>
      </c>
      <c r="K33">
        <f>'Monthly Data (14-23) Used'!BJ33</f>
        <v>32</v>
      </c>
      <c r="M33" s="6">
        <f t="shared" si="3"/>
        <v>-7179191.8731795801</v>
      </c>
      <c r="N33" s="6">
        <f t="shared" si="14"/>
        <v>0</v>
      </c>
      <c r="O33" s="6">
        <f t="shared" si="15"/>
        <v>15781200.80494621</v>
      </c>
      <c r="P33" s="6">
        <f t="shared" si="16"/>
        <v>0</v>
      </c>
      <c r="Q33" s="6">
        <f t="shared" si="17"/>
        <v>0</v>
      </c>
      <c r="R33" s="6">
        <f t="shared" si="8"/>
        <v>23117235.833798315</v>
      </c>
      <c r="S33" s="6">
        <f t="shared" si="9"/>
        <v>0</v>
      </c>
      <c r="T33" s="6">
        <f t="shared" si="10"/>
        <v>692563.79622150399</v>
      </c>
      <c r="U33" s="6">
        <f t="shared" si="11"/>
        <v>32411808.56178645</v>
      </c>
      <c r="V33" s="6">
        <f t="shared" si="18"/>
        <v>-257550.96853676438</v>
      </c>
      <c r="W33" s="14">
        <f t="shared" si="19"/>
        <v>7.8835634441412721E-3</v>
      </c>
    </row>
    <row r="34" spans="1:23">
      <c r="A34" s="197">
        <v>42614</v>
      </c>
      <c r="B34">
        <f t="shared" ref="B34:B61" si="20">MONTH(A34)</f>
        <v>9</v>
      </c>
      <c r="C34">
        <f t="shared" ref="C34:C61" si="21">YEAR(A34)</f>
        <v>2016</v>
      </c>
      <c r="D34" s="6">
        <f>'Monthly Data (longer 09-23)'!E94</f>
        <v>23856752.530323215</v>
      </c>
      <c r="E34">
        <f>'Monthly Data (14-23) Used'!AC34</f>
        <v>19.399999999999995</v>
      </c>
      <c r="F34">
        <f>'Monthly Data (14-23) Used'!AF34</f>
        <v>104.9</v>
      </c>
      <c r="G34">
        <f>'Monthly Data (14-23) Used'!DD34</f>
        <v>0</v>
      </c>
      <c r="H34">
        <f>'Monthly Data (14-23) Used'!DG34</f>
        <v>0</v>
      </c>
      <c r="I34">
        <f>'Monthly Data (14-23) Used'!CB34</f>
        <v>30</v>
      </c>
      <c r="J34">
        <f>'Monthly Data (14-23) Used'!CA34</f>
        <v>0</v>
      </c>
      <c r="K34">
        <f>'Monthly Data (14-23) Used'!BJ34</f>
        <v>33</v>
      </c>
      <c r="M34" s="6">
        <f t="shared" si="3"/>
        <v>-7179191.8731795801</v>
      </c>
      <c r="N34" s="6">
        <f t="shared" si="14"/>
        <v>137721.59399343477</v>
      </c>
      <c r="O34" s="6">
        <f t="shared" si="15"/>
        <v>6987961.0149381906</v>
      </c>
      <c r="P34" s="6">
        <f t="shared" si="16"/>
        <v>0</v>
      </c>
      <c r="Q34" s="6">
        <f t="shared" si="17"/>
        <v>0</v>
      </c>
      <c r="R34" s="6">
        <f t="shared" ref="R34:R54" si="22">I34*$AA$12</f>
        <v>22371518.548837077</v>
      </c>
      <c r="S34" s="6">
        <f t="shared" ref="S34:S54" si="23">J34*$AA$13</f>
        <v>0</v>
      </c>
      <c r="T34" s="6">
        <f t="shared" ref="T34:T54" si="24">K34*$AA$14</f>
        <v>714206.41485342593</v>
      </c>
      <c r="U34" s="6">
        <f t="shared" ref="U34:U54" si="25">SUM(M34:T34)</f>
        <v>23032215.699442551</v>
      </c>
      <c r="V34" s="6">
        <f t="shared" si="18"/>
        <v>-824536.83088066429</v>
      </c>
      <c r="W34" s="14">
        <f t="shared" si="19"/>
        <v>3.4561989517753251E-2</v>
      </c>
    </row>
    <row r="35" spans="1:23">
      <c r="A35" s="197">
        <v>42644</v>
      </c>
      <c r="B35">
        <f t="shared" si="20"/>
        <v>10</v>
      </c>
      <c r="C35">
        <f t="shared" si="21"/>
        <v>2016</v>
      </c>
      <c r="D35" s="6">
        <f>'Monthly Data (longer 09-23)'!E95</f>
        <v>18119212.530323215</v>
      </c>
      <c r="E35">
        <f>'Monthly Data (14-23) Used'!AC35</f>
        <v>173.20000000000002</v>
      </c>
      <c r="F35">
        <f>'Monthly Data (14-23) Used'!AF35</f>
        <v>29.9</v>
      </c>
      <c r="G35">
        <f>'Monthly Data (14-23) Used'!DD35</f>
        <v>0</v>
      </c>
      <c r="H35">
        <f>'Monthly Data (14-23) Used'!DG35</f>
        <v>0</v>
      </c>
      <c r="I35">
        <f>'Monthly Data (14-23) Used'!CB35</f>
        <v>31</v>
      </c>
      <c r="J35">
        <f>'Monthly Data (14-23) Used'!CA35</f>
        <v>1</v>
      </c>
      <c r="K35">
        <f>'Monthly Data (14-23) Used'!BJ35</f>
        <v>34</v>
      </c>
      <c r="M35" s="6">
        <f t="shared" si="3"/>
        <v>-7179191.8731795801</v>
      </c>
      <c r="N35" s="6">
        <f t="shared" si="14"/>
        <v>1229555.6742094283</v>
      </c>
      <c r="O35" s="6">
        <f t="shared" si="15"/>
        <v>1991802.0433427251</v>
      </c>
      <c r="P35" s="6">
        <f t="shared" si="16"/>
        <v>0</v>
      </c>
      <c r="Q35" s="6">
        <f t="shared" si="17"/>
        <v>0</v>
      </c>
      <c r="R35" s="6">
        <f t="shared" si="22"/>
        <v>23117235.833798315</v>
      </c>
      <c r="S35" s="6">
        <f t="shared" si="23"/>
        <v>-1713930.83126266</v>
      </c>
      <c r="T35" s="6">
        <f t="shared" si="24"/>
        <v>735849.03348534799</v>
      </c>
      <c r="U35" s="6">
        <f t="shared" si="25"/>
        <v>18181319.88039358</v>
      </c>
      <c r="V35" s="6">
        <f t="shared" si="18"/>
        <v>62107.350070364773</v>
      </c>
      <c r="W35" s="14">
        <f t="shared" si="19"/>
        <v>3.4277069142174738E-3</v>
      </c>
    </row>
    <row r="36" spans="1:23">
      <c r="A36" s="197">
        <v>42675</v>
      </c>
      <c r="B36">
        <f t="shared" si="20"/>
        <v>11</v>
      </c>
      <c r="C36">
        <f t="shared" si="21"/>
        <v>2016</v>
      </c>
      <c r="D36" s="6">
        <f>'Monthly Data (longer 09-23)'!E96</f>
        <v>17041780.530323215</v>
      </c>
      <c r="E36">
        <f>'Monthly Data (14-23) Used'!AC36</f>
        <v>315.30000000000007</v>
      </c>
      <c r="F36">
        <f>'Monthly Data (14-23) Used'!AF36</f>
        <v>0.10000000000000142</v>
      </c>
      <c r="G36">
        <f>'Monthly Data (14-23) Used'!DD36</f>
        <v>0</v>
      </c>
      <c r="H36">
        <f>'Monthly Data (14-23) Used'!DG36</f>
        <v>0</v>
      </c>
      <c r="I36">
        <f>'Monthly Data (14-23) Used'!CB36</f>
        <v>30</v>
      </c>
      <c r="J36">
        <f>'Monthly Data (14-23) Used'!CA36</f>
        <v>1</v>
      </c>
      <c r="K36">
        <f>'Monthly Data (14-23) Used'!BJ36</f>
        <v>35</v>
      </c>
      <c r="M36" s="6">
        <f t="shared" si="3"/>
        <v>-7179191.8731795801</v>
      </c>
      <c r="N36" s="6">
        <f t="shared" si="14"/>
        <v>2238330.8549551549</v>
      </c>
      <c r="O36" s="6">
        <f t="shared" si="15"/>
        <v>6661.5452954607144</v>
      </c>
      <c r="P36" s="6">
        <f t="shared" si="16"/>
        <v>0</v>
      </c>
      <c r="Q36" s="6">
        <f t="shared" si="17"/>
        <v>0</v>
      </c>
      <c r="R36" s="6">
        <f t="shared" si="22"/>
        <v>22371518.548837077</v>
      </c>
      <c r="S36" s="6">
        <f t="shared" si="23"/>
        <v>-1713930.83126266</v>
      </c>
      <c r="T36" s="6">
        <f t="shared" si="24"/>
        <v>757491.65211727004</v>
      </c>
      <c r="U36" s="6">
        <f t="shared" si="25"/>
        <v>16480879.896762725</v>
      </c>
      <c r="V36" s="6">
        <f t="shared" si="18"/>
        <v>-560900.63356048986</v>
      </c>
      <c r="W36" s="14">
        <f t="shared" si="19"/>
        <v>3.2913264700390542E-2</v>
      </c>
    </row>
    <row r="37" spans="1:23">
      <c r="A37" s="197">
        <v>42705</v>
      </c>
      <c r="B37">
        <f t="shared" si="20"/>
        <v>12</v>
      </c>
      <c r="C37">
        <f t="shared" si="21"/>
        <v>2016</v>
      </c>
      <c r="D37" s="6">
        <f>'Monthly Data (longer 09-23)'!E97</f>
        <v>20517598.530323215</v>
      </c>
      <c r="E37">
        <f>'Monthly Data (14-23) Used'!AC37</f>
        <v>623.19999999999993</v>
      </c>
      <c r="F37">
        <f>'Monthly Data (14-23) Used'!AF37</f>
        <v>0</v>
      </c>
      <c r="G37">
        <f>'Monthly Data (14-23) Used'!DD37</f>
        <v>0</v>
      </c>
      <c r="H37">
        <f>'Monthly Data (14-23) Used'!DG37</f>
        <v>0</v>
      </c>
      <c r="I37">
        <f>'Monthly Data (14-23) Used'!CB37</f>
        <v>31</v>
      </c>
      <c r="J37">
        <f>'Monthly Data (14-23) Used'!CA37</f>
        <v>0</v>
      </c>
      <c r="K37">
        <f>'Monthly Data (14-23) Used'!BJ37</f>
        <v>36</v>
      </c>
      <c r="M37" s="6">
        <f t="shared" si="3"/>
        <v>-7179191.8731795801</v>
      </c>
      <c r="N37" s="6">
        <f t="shared" si="14"/>
        <v>4424128.7307581734</v>
      </c>
      <c r="O37" s="6">
        <f t="shared" si="15"/>
        <v>0</v>
      </c>
      <c r="P37" s="6">
        <f t="shared" si="16"/>
        <v>0</v>
      </c>
      <c r="Q37" s="6">
        <f t="shared" si="17"/>
        <v>0</v>
      </c>
      <c r="R37" s="6">
        <f t="shared" si="22"/>
        <v>23117235.833798315</v>
      </c>
      <c r="S37" s="6">
        <f t="shared" si="23"/>
        <v>0</v>
      </c>
      <c r="T37" s="6">
        <f t="shared" si="24"/>
        <v>779134.27074919199</v>
      </c>
      <c r="U37" s="6">
        <f t="shared" si="25"/>
        <v>21141306.962126102</v>
      </c>
      <c r="V37" s="6">
        <f t="shared" si="18"/>
        <v>623708.43180288747</v>
      </c>
      <c r="W37" s="14">
        <f t="shared" si="19"/>
        <v>3.0398705330017105E-2</v>
      </c>
    </row>
    <row r="38" spans="1:23">
      <c r="A38" s="197">
        <v>42736</v>
      </c>
      <c r="B38">
        <f t="shared" si="20"/>
        <v>1</v>
      </c>
      <c r="C38">
        <f t="shared" si="21"/>
        <v>2017</v>
      </c>
      <c r="D38" s="6">
        <f>'Monthly Data (longer 09-23)'!E98</f>
        <v>20681776.379516236</v>
      </c>
      <c r="E38">
        <f>'Monthly Data (14-23) Used'!AC38</f>
        <v>584.19999999999993</v>
      </c>
      <c r="F38">
        <f>'Monthly Data (14-23) Used'!AF38</f>
        <v>0</v>
      </c>
      <c r="G38">
        <f>'Monthly Data (14-23) Used'!DD38</f>
        <v>0</v>
      </c>
      <c r="H38">
        <f>'Monthly Data (14-23) Used'!DG38</f>
        <v>0</v>
      </c>
      <c r="I38">
        <f>'Monthly Data (14-23) Used'!CB38</f>
        <v>31</v>
      </c>
      <c r="J38">
        <f>'Monthly Data (14-23) Used'!CA38</f>
        <v>0</v>
      </c>
      <c r="K38">
        <f>'Monthly Data (14-23) Used'!BJ38</f>
        <v>37</v>
      </c>
      <c r="M38" s="6">
        <f t="shared" si="3"/>
        <v>-7179191.8731795801</v>
      </c>
      <c r="N38" s="6">
        <f t="shared" si="14"/>
        <v>4147265.7325239484</v>
      </c>
      <c r="O38" s="6">
        <f t="shared" si="15"/>
        <v>0</v>
      </c>
      <c r="P38" s="6">
        <f t="shared" si="16"/>
        <v>0</v>
      </c>
      <c r="Q38" s="6">
        <f t="shared" si="17"/>
        <v>0</v>
      </c>
      <c r="R38" s="6">
        <f t="shared" si="22"/>
        <v>23117235.833798315</v>
      </c>
      <c r="S38" s="6">
        <f t="shared" si="23"/>
        <v>0</v>
      </c>
      <c r="T38" s="6">
        <f t="shared" si="24"/>
        <v>800776.88938111393</v>
      </c>
      <c r="U38" s="6">
        <f t="shared" si="25"/>
        <v>20886086.582523797</v>
      </c>
      <c r="V38" s="6">
        <f t="shared" si="18"/>
        <v>204310.20300756022</v>
      </c>
      <c r="W38" s="14">
        <f t="shared" si="19"/>
        <v>9.8787550575159637E-3</v>
      </c>
    </row>
    <row r="39" spans="1:23">
      <c r="A39" s="197">
        <v>42767</v>
      </c>
      <c r="B39">
        <f t="shared" si="20"/>
        <v>2</v>
      </c>
      <c r="C39">
        <f t="shared" si="21"/>
        <v>2017</v>
      </c>
      <c r="D39" s="6">
        <f>'Monthly Data (longer 09-23)'!E99</f>
        <v>17714932.379516236</v>
      </c>
      <c r="E39">
        <f>'Monthly Data (14-23) Used'!AC39</f>
        <v>440.69999999999987</v>
      </c>
      <c r="F39">
        <f>'Monthly Data (14-23) Used'!AF39</f>
        <v>0</v>
      </c>
      <c r="G39">
        <f>'Monthly Data (14-23) Used'!DD39</f>
        <v>0</v>
      </c>
      <c r="H39">
        <f>'Monthly Data (14-23) Used'!DG39</f>
        <v>0</v>
      </c>
      <c r="I39">
        <f>'Monthly Data (14-23) Used'!CB39</f>
        <v>28</v>
      </c>
      <c r="J39">
        <f>'Monthly Data (14-23) Used'!CA39</f>
        <v>0</v>
      </c>
      <c r="K39">
        <f>'Monthly Data (14-23) Used'!BJ39</f>
        <v>38</v>
      </c>
      <c r="M39" s="6">
        <f t="shared" si="3"/>
        <v>-7179191.8731795801</v>
      </c>
      <c r="N39" s="6">
        <f t="shared" si="14"/>
        <v>3128551.8800467369</v>
      </c>
      <c r="O39" s="6">
        <f t="shared" si="15"/>
        <v>0</v>
      </c>
      <c r="P39" s="6">
        <f t="shared" si="16"/>
        <v>0</v>
      </c>
      <c r="Q39" s="6">
        <f t="shared" si="17"/>
        <v>0</v>
      </c>
      <c r="R39" s="6">
        <f t="shared" si="22"/>
        <v>20880083.978914607</v>
      </c>
      <c r="S39" s="6">
        <f t="shared" si="23"/>
        <v>0</v>
      </c>
      <c r="T39" s="6">
        <f t="shared" si="24"/>
        <v>822419.50801303599</v>
      </c>
      <c r="U39" s="6">
        <f t="shared" si="25"/>
        <v>17651863.493794799</v>
      </c>
      <c r="V39" s="6">
        <f t="shared" si="18"/>
        <v>-63068.885721437633</v>
      </c>
      <c r="W39" s="14">
        <f t="shared" si="19"/>
        <v>3.5602103564540918E-3</v>
      </c>
    </row>
    <row r="40" spans="1:23">
      <c r="A40" s="197">
        <v>42795</v>
      </c>
      <c r="B40">
        <f t="shared" si="20"/>
        <v>3</v>
      </c>
      <c r="C40">
        <f t="shared" si="21"/>
        <v>2017</v>
      </c>
      <c r="D40" s="6">
        <f>'Monthly Data (longer 09-23)'!E100</f>
        <v>17378968.379516236</v>
      </c>
      <c r="E40">
        <f>'Monthly Data (14-23) Used'!AC40</f>
        <v>507.30000000000007</v>
      </c>
      <c r="F40">
        <f>'Monthly Data (14-23) Used'!AF40</f>
        <v>0</v>
      </c>
      <c r="G40">
        <f>'Monthly Data (14-23) Used'!DD40</f>
        <v>0</v>
      </c>
      <c r="H40">
        <f>'Monthly Data (14-23) Used'!DG40</f>
        <v>0</v>
      </c>
      <c r="I40">
        <f>'Monthly Data (14-23) Used'!CB40</f>
        <v>31</v>
      </c>
      <c r="J40">
        <f>'Monthly Data (14-23) Used'!CA40</f>
        <v>1</v>
      </c>
      <c r="K40">
        <f>'Monthly Data (14-23) Used'!BJ40</f>
        <v>39</v>
      </c>
      <c r="M40" s="6">
        <f t="shared" si="3"/>
        <v>-7179191.8731795801</v>
      </c>
      <c r="N40" s="6">
        <f t="shared" si="14"/>
        <v>3601348.6924159527</v>
      </c>
      <c r="O40" s="6">
        <f t="shared" si="15"/>
        <v>0</v>
      </c>
      <c r="P40" s="6">
        <f t="shared" si="16"/>
        <v>0</v>
      </c>
      <c r="Q40" s="6">
        <f t="shared" si="17"/>
        <v>0</v>
      </c>
      <c r="R40" s="6">
        <f t="shared" si="22"/>
        <v>23117235.833798315</v>
      </c>
      <c r="S40" s="6">
        <f t="shared" si="23"/>
        <v>-1713930.83126266</v>
      </c>
      <c r="T40" s="6">
        <f t="shared" si="24"/>
        <v>844062.12664495804</v>
      </c>
      <c r="U40" s="6">
        <f t="shared" si="25"/>
        <v>18669523.948416986</v>
      </c>
      <c r="V40" s="6">
        <f t="shared" si="18"/>
        <v>1290555.5689007491</v>
      </c>
      <c r="W40" s="14">
        <f t="shared" si="19"/>
        <v>7.4259618909363209E-2</v>
      </c>
    </row>
    <row r="41" spans="1:23">
      <c r="A41" s="197">
        <v>42826</v>
      </c>
      <c r="B41">
        <f t="shared" si="20"/>
        <v>4</v>
      </c>
      <c r="C41">
        <f t="shared" si="21"/>
        <v>2017</v>
      </c>
      <c r="D41" s="6">
        <f>'Monthly Data (longer 09-23)'!E101</f>
        <v>16275550.379516236</v>
      </c>
      <c r="E41">
        <f>'Monthly Data (14-23) Used'!AC41</f>
        <v>200.50000000000003</v>
      </c>
      <c r="F41">
        <f>'Monthly Data (14-23) Used'!AF41</f>
        <v>7.9000000000000021</v>
      </c>
      <c r="G41">
        <f>'Monthly Data (14-23) Used'!DD41</f>
        <v>0</v>
      </c>
      <c r="H41">
        <f>'Monthly Data (14-23) Used'!DG41</f>
        <v>0</v>
      </c>
      <c r="I41">
        <f>'Monthly Data (14-23) Used'!CB41</f>
        <v>30</v>
      </c>
      <c r="J41">
        <f>'Monthly Data (14-23) Used'!CA41</f>
        <v>1</v>
      </c>
      <c r="K41">
        <f>'Monthly Data (14-23) Used'!BJ41</f>
        <v>40</v>
      </c>
      <c r="M41" s="6">
        <f t="shared" si="3"/>
        <v>-7179191.8731795801</v>
      </c>
      <c r="N41" s="6">
        <f t="shared" si="14"/>
        <v>1423359.7729733856</v>
      </c>
      <c r="O41" s="6">
        <f t="shared" si="15"/>
        <v>526262.07834138907</v>
      </c>
      <c r="P41" s="6">
        <f t="shared" si="16"/>
        <v>0</v>
      </c>
      <c r="Q41" s="6">
        <f t="shared" si="17"/>
        <v>0</v>
      </c>
      <c r="R41" s="6">
        <f t="shared" si="22"/>
        <v>22371518.548837077</v>
      </c>
      <c r="S41" s="6">
        <f t="shared" si="23"/>
        <v>-1713930.83126266</v>
      </c>
      <c r="T41" s="6">
        <f t="shared" si="24"/>
        <v>865704.74527687998</v>
      </c>
      <c r="U41" s="6">
        <f t="shared" si="25"/>
        <v>16293722.440986492</v>
      </c>
      <c r="V41" s="6">
        <f t="shared" si="18"/>
        <v>18172.061470255256</v>
      </c>
      <c r="W41" s="14">
        <f t="shared" si="19"/>
        <v>1.1165251586899264E-3</v>
      </c>
    </row>
    <row r="42" spans="1:23">
      <c r="A42" s="197">
        <v>42856</v>
      </c>
      <c r="B42">
        <f t="shared" si="20"/>
        <v>5</v>
      </c>
      <c r="C42">
        <f t="shared" si="21"/>
        <v>2017</v>
      </c>
      <c r="D42" s="6">
        <f>'Monthly Data (longer 09-23)'!E102</f>
        <v>16926841.379516236</v>
      </c>
      <c r="E42">
        <f>'Monthly Data (14-23) Used'!AC42</f>
        <v>135.5</v>
      </c>
      <c r="F42">
        <f>'Monthly Data (14-23) Used'!AF42</f>
        <v>38.100000000000009</v>
      </c>
      <c r="G42">
        <f>'Monthly Data (14-23) Used'!DD42</f>
        <v>0</v>
      </c>
      <c r="H42">
        <f>'Monthly Data (14-23) Used'!DG42</f>
        <v>0</v>
      </c>
      <c r="I42">
        <f>'Monthly Data (14-23) Used'!CB42</f>
        <v>31</v>
      </c>
      <c r="J42">
        <f>'Monthly Data (14-23) Used'!CA42</f>
        <v>1</v>
      </c>
      <c r="K42">
        <f>'Monthly Data (14-23) Used'!BJ42</f>
        <v>41</v>
      </c>
      <c r="M42" s="6">
        <f t="shared" si="3"/>
        <v>-7179191.8731795801</v>
      </c>
      <c r="N42" s="6">
        <f t="shared" si="14"/>
        <v>961921.44258301111</v>
      </c>
      <c r="O42" s="6">
        <f t="shared" si="15"/>
        <v>2538048.7575704968</v>
      </c>
      <c r="P42" s="6">
        <f t="shared" si="16"/>
        <v>0</v>
      </c>
      <c r="Q42" s="6">
        <f t="shared" si="17"/>
        <v>0</v>
      </c>
      <c r="R42" s="6">
        <f t="shared" si="22"/>
        <v>23117235.833798315</v>
      </c>
      <c r="S42" s="6">
        <f t="shared" si="23"/>
        <v>-1713930.83126266</v>
      </c>
      <c r="T42" s="6">
        <f t="shared" si="24"/>
        <v>887347.36390880193</v>
      </c>
      <c r="U42" s="6">
        <f t="shared" si="25"/>
        <v>18611430.693418384</v>
      </c>
      <c r="V42" s="6">
        <f t="shared" si="18"/>
        <v>1684589.3139021471</v>
      </c>
      <c r="W42" s="14">
        <f t="shared" si="19"/>
        <v>9.9521775866626111E-2</v>
      </c>
    </row>
    <row r="43" spans="1:23">
      <c r="A43" s="197">
        <v>42887</v>
      </c>
      <c r="B43">
        <f t="shared" si="20"/>
        <v>6</v>
      </c>
      <c r="C43">
        <f t="shared" si="21"/>
        <v>2017</v>
      </c>
      <c r="D43" s="6">
        <f>'Monthly Data (longer 09-23)'!E103</f>
        <v>24525329.379516236</v>
      </c>
      <c r="E43">
        <f>'Monthly Data (14-23) Used'!AC43</f>
        <v>9.1999999999999957</v>
      </c>
      <c r="F43">
        <f>'Monthly Data (14-23) Used'!AF43</f>
        <v>153.29999999999998</v>
      </c>
      <c r="G43">
        <f>'Monthly Data (14-23) Used'!DD43</f>
        <v>0</v>
      </c>
      <c r="H43">
        <f>'Monthly Data (14-23) Used'!DG43</f>
        <v>0</v>
      </c>
      <c r="I43">
        <f>'Monthly Data (14-23) Used'!CB43</f>
        <v>30</v>
      </c>
      <c r="J43">
        <f>'Monthly Data (14-23) Used'!CA43</f>
        <v>0</v>
      </c>
      <c r="K43">
        <f>'Monthly Data (14-23) Used'!BJ43</f>
        <v>42</v>
      </c>
      <c r="M43" s="6">
        <f t="shared" si="3"/>
        <v>-7179191.8731795801</v>
      </c>
      <c r="N43" s="6">
        <f t="shared" si="14"/>
        <v>65311.271378329875</v>
      </c>
      <c r="O43" s="6">
        <f t="shared" si="15"/>
        <v>10212148.937941128</v>
      </c>
      <c r="P43" s="6">
        <f t="shared" si="16"/>
        <v>0</v>
      </c>
      <c r="Q43" s="6">
        <f t="shared" si="17"/>
        <v>0</v>
      </c>
      <c r="R43" s="6">
        <f t="shared" si="22"/>
        <v>22371518.548837077</v>
      </c>
      <c r="S43" s="6">
        <f t="shared" si="23"/>
        <v>0</v>
      </c>
      <c r="T43" s="6">
        <f t="shared" si="24"/>
        <v>908989.98254072398</v>
      </c>
      <c r="U43" s="6">
        <f t="shared" si="25"/>
        <v>26378776.867517676</v>
      </c>
      <c r="V43" s="6">
        <f t="shared" si="18"/>
        <v>1853447.4880014397</v>
      </c>
      <c r="W43" s="14">
        <f t="shared" si="19"/>
        <v>7.5572786783832349E-2</v>
      </c>
    </row>
    <row r="44" spans="1:23">
      <c r="A44" s="197">
        <v>42917</v>
      </c>
      <c r="B44">
        <f t="shared" si="20"/>
        <v>7</v>
      </c>
      <c r="C44">
        <f t="shared" si="21"/>
        <v>2017</v>
      </c>
      <c r="D44" s="6">
        <f>'Monthly Data (longer 09-23)'!E104</f>
        <v>29775102.379516236</v>
      </c>
      <c r="E44">
        <f>'Monthly Data (14-23) Used'!AC44</f>
        <v>0</v>
      </c>
      <c r="F44">
        <f>'Monthly Data (14-23) Used'!AF44</f>
        <v>198.99999999999997</v>
      </c>
      <c r="G44">
        <f>'Monthly Data (14-23) Used'!DD44</f>
        <v>0</v>
      </c>
      <c r="H44">
        <f>'Monthly Data (14-23) Used'!DG44</f>
        <v>0</v>
      </c>
      <c r="I44">
        <f>'Monthly Data (14-23) Used'!CB44</f>
        <v>31</v>
      </c>
      <c r="J44">
        <f>'Monthly Data (14-23) Used'!CA44</f>
        <v>0</v>
      </c>
      <c r="K44">
        <f>'Monthly Data (14-23) Used'!BJ44</f>
        <v>43</v>
      </c>
      <c r="M44" s="6">
        <f t="shared" si="3"/>
        <v>-7179191.8731795801</v>
      </c>
      <c r="N44" s="6">
        <f t="shared" si="14"/>
        <v>0</v>
      </c>
      <c r="O44" s="6">
        <f t="shared" si="15"/>
        <v>13256475.137966631</v>
      </c>
      <c r="P44" s="6">
        <f t="shared" si="16"/>
        <v>0</v>
      </c>
      <c r="Q44" s="6">
        <f t="shared" si="17"/>
        <v>0</v>
      </c>
      <c r="R44" s="6">
        <f t="shared" si="22"/>
        <v>23117235.833798315</v>
      </c>
      <c r="S44" s="6">
        <f t="shared" si="23"/>
        <v>0</v>
      </c>
      <c r="T44" s="6">
        <f t="shared" si="24"/>
        <v>930632.60117264604</v>
      </c>
      <c r="U44" s="6">
        <f t="shared" si="25"/>
        <v>30125151.699758012</v>
      </c>
      <c r="V44" s="6">
        <f t="shared" si="18"/>
        <v>350049.32024177536</v>
      </c>
      <c r="W44" s="14">
        <f t="shared" si="19"/>
        <v>1.1756443883215379E-2</v>
      </c>
    </row>
    <row r="45" spans="1:23">
      <c r="A45" s="197">
        <v>42948</v>
      </c>
      <c r="B45">
        <f t="shared" si="20"/>
        <v>8</v>
      </c>
      <c r="C45">
        <f t="shared" si="21"/>
        <v>2017</v>
      </c>
      <c r="D45" s="6">
        <f>'Monthly Data (longer 09-23)'!E105</f>
        <v>27308050.379516236</v>
      </c>
      <c r="E45">
        <f>'Monthly Data (14-23) Used'!AC45</f>
        <v>6.6999999999999957</v>
      </c>
      <c r="F45">
        <f>'Monthly Data (14-23) Used'!AF45</f>
        <v>136.4</v>
      </c>
      <c r="G45">
        <f>'Monthly Data (14-23) Used'!DD45</f>
        <v>0</v>
      </c>
      <c r="H45">
        <f>'Monthly Data (14-23) Used'!DG45</f>
        <v>0</v>
      </c>
      <c r="I45">
        <f>'Monthly Data (14-23) Used'!CB45</f>
        <v>31</v>
      </c>
      <c r="J45">
        <f>'Monthly Data (14-23) Used'!CA45</f>
        <v>0</v>
      </c>
      <c r="K45">
        <f>'Monthly Data (14-23) Used'!BJ45</f>
        <v>44</v>
      </c>
      <c r="M45" s="6">
        <f t="shared" si="3"/>
        <v>-7179191.8731795801</v>
      </c>
      <c r="N45" s="6">
        <f t="shared" si="14"/>
        <v>47563.643286392398</v>
      </c>
      <c r="O45" s="6">
        <f t="shared" si="15"/>
        <v>9086347.7830082849</v>
      </c>
      <c r="P45" s="6">
        <f t="shared" si="16"/>
        <v>0</v>
      </c>
      <c r="Q45" s="6">
        <f t="shared" si="17"/>
        <v>0</v>
      </c>
      <c r="R45" s="6">
        <f t="shared" si="22"/>
        <v>23117235.833798315</v>
      </c>
      <c r="S45" s="6">
        <f t="shared" si="23"/>
        <v>0</v>
      </c>
      <c r="T45" s="6">
        <f t="shared" si="24"/>
        <v>952275.21980456798</v>
      </c>
      <c r="U45" s="6">
        <f t="shared" si="25"/>
        <v>26024230.606717978</v>
      </c>
      <c r="V45" s="6">
        <f t="shared" si="18"/>
        <v>-1283819.7727982588</v>
      </c>
      <c r="W45" s="14">
        <f t="shared" si="19"/>
        <v>4.7012501989569043E-2</v>
      </c>
    </row>
    <row r="46" spans="1:23">
      <c r="A46" s="197">
        <v>42979</v>
      </c>
      <c r="B46">
        <f t="shared" si="20"/>
        <v>9</v>
      </c>
      <c r="C46">
        <f t="shared" si="21"/>
        <v>2017</v>
      </c>
      <c r="D46" s="6">
        <f>'Monthly Data (longer 09-23)'!E106</f>
        <v>22403228.379516236</v>
      </c>
      <c r="E46">
        <f>'Monthly Data (14-23) Used'!AC46</f>
        <v>47.5</v>
      </c>
      <c r="F46">
        <f>'Monthly Data (14-23) Used'!AF46</f>
        <v>90.999999999999986</v>
      </c>
      <c r="G46">
        <f>'Monthly Data (14-23) Used'!DD46</f>
        <v>0</v>
      </c>
      <c r="H46">
        <f>'Monthly Data (14-23) Used'!DG46</f>
        <v>0</v>
      </c>
      <c r="I46">
        <f>'Monthly Data (14-23) Used'!CB46</f>
        <v>30</v>
      </c>
      <c r="J46">
        <f>'Monthly Data (14-23) Used'!CA46</f>
        <v>0</v>
      </c>
      <c r="K46">
        <f>'Monthly Data (14-23) Used'!BJ46</f>
        <v>45</v>
      </c>
      <c r="M46" s="6">
        <f t="shared" si="3"/>
        <v>-7179191.8731795801</v>
      </c>
      <c r="N46" s="6">
        <f t="shared" si="14"/>
        <v>337204.93374681199</v>
      </c>
      <c r="O46" s="6">
        <f t="shared" si="15"/>
        <v>6062006.2188691627</v>
      </c>
      <c r="P46" s="6">
        <f t="shared" si="16"/>
        <v>0</v>
      </c>
      <c r="Q46" s="6">
        <f t="shared" si="17"/>
        <v>0</v>
      </c>
      <c r="R46" s="6">
        <f t="shared" si="22"/>
        <v>22371518.548837077</v>
      </c>
      <c r="S46" s="6">
        <f t="shared" si="23"/>
        <v>0</v>
      </c>
      <c r="T46" s="6">
        <f t="shared" si="24"/>
        <v>973917.83843648992</v>
      </c>
      <c r="U46" s="6">
        <f t="shared" si="25"/>
        <v>22565455.66670996</v>
      </c>
      <c r="V46" s="6">
        <f t="shared" si="18"/>
        <v>162227.28719372302</v>
      </c>
      <c r="W46" s="14">
        <f t="shared" si="19"/>
        <v>7.2412459689091503E-3</v>
      </c>
    </row>
    <row r="47" spans="1:23">
      <c r="A47" s="197">
        <v>43009</v>
      </c>
      <c r="B47">
        <f t="shared" si="20"/>
        <v>10</v>
      </c>
      <c r="C47">
        <f t="shared" si="21"/>
        <v>2017</v>
      </c>
      <c r="D47" s="6">
        <f>'Monthly Data (longer 09-23)'!E107</f>
        <v>19127092.379516236</v>
      </c>
      <c r="E47">
        <f>'Monthly Data (14-23) Used'!AC47</f>
        <v>151.59999999999997</v>
      </c>
      <c r="F47">
        <f>'Monthly Data (14-23) Used'!AF47</f>
        <v>27.5</v>
      </c>
      <c r="G47">
        <f>'Monthly Data (14-23) Used'!DD47</f>
        <v>0</v>
      </c>
      <c r="H47">
        <f>'Monthly Data (14-23) Used'!DG47</f>
        <v>0</v>
      </c>
      <c r="I47">
        <f>'Monthly Data (14-23) Used'!CB47</f>
        <v>31</v>
      </c>
      <c r="J47">
        <f>'Monthly Data (14-23) Used'!CA47</f>
        <v>1</v>
      </c>
      <c r="K47">
        <f>'Monthly Data (14-23) Used'!BJ47</f>
        <v>46</v>
      </c>
      <c r="M47" s="6">
        <f t="shared" si="3"/>
        <v>-7179191.8731795801</v>
      </c>
      <c r="N47" s="6">
        <f t="shared" si="14"/>
        <v>1076216.1674950882</v>
      </c>
      <c r="O47" s="6">
        <f t="shared" si="15"/>
        <v>1831924.9562516704</v>
      </c>
      <c r="P47" s="6">
        <f t="shared" si="16"/>
        <v>0</v>
      </c>
      <c r="Q47" s="6">
        <f t="shared" si="17"/>
        <v>0</v>
      </c>
      <c r="R47" s="6">
        <f t="shared" si="22"/>
        <v>23117235.833798315</v>
      </c>
      <c r="S47" s="6">
        <f t="shared" si="23"/>
        <v>-1713930.83126266</v>
      </c>
      <c r="T47" s="6">
        <f t="shared" si="24"/>
        <v>995560.45706841198</v>
      </c>
      <c r="U47" s="6">
        <f t="shared" si="25"/>
        <v>18127814.710171249</v>
      </c>
      <c r="V47" s="6">
        <f t="shared" si="18"/>
        <v>-999277.66934498772</v>
      </c>
      <c r="W47" s="14">
        <f t="shared" si="19"/>
        <v>5.2244096986489352E-2</v>
      </c>
    </row>
    <row r="48" spans="1:23">
      <c r="A48" s="197">
        <v>43040</v>
      </c>
      <c r="B48">
        <f t="shared" si="20"/>
        <v>11</v>
      </c>
      <c r="C48">
        <f t="shared" si="21"/>
        <v>2017</v>
      </c>
      <c r="D48" s="6">
        <f>'Monthly Data (longer 09-23)'!E108</f>
        <v>18138322.379516236</v>
      </c>
      <c r="E48">
        <f>'Monthly Data (14-23) Used'!AC48</f>
        <v>414.93552299140981</v>
      </c>
      <c r="F48">
        <f>'Monthly Data (14-23) Used'!AF48</f>
        <v>0</v>
      </c>
      <c r="G48">
        <f>'Monthly Data (14-23) Used'!DD48</f>
        <v>0</v>
      </c>
      <c r="H48">
        <f>'Monthly Data (14-23) Used'!DG48</f>
        <v>0</v>
      </c>
      <c r="I48">
        <f>'Monthly Data (14-23) Used'!CB48</f>
        <v>30</v>
      </c>
      <c r="J48">
        <f>'Monthly Data (14-23) Used'!CA48</f>
        <v>1</v>
      </c>
      <c r="K48">
        <f>'Monthly Data (14-23) Used'!BJ48</f>
        <v>47</v>
      </c>
      <c r="M48" s="6">
        <f t="shared" si="3"/>
        <v>-7179191.8731795801</v>
      </c>
      <c r="N48" s="6">
        <f t="shared" si="14"/>
        <v>2945648.5376740452</v>
      </c>
      <c r="O48" s="6">
        <f t="shared" si="15"/>
        <v>0</v>
      </c>
      <c r="P48" s="6">
        <f t="shared" si="16"/>
        <v>0</v>
      </c>
      <c r="Q48" s="6">
        <f t="shared" si="17"/>
        <v>0</v>
      </c>
      <c r="R48" s="6">
        <f t="shared" si="22"/>
        <v>22371518.548837077</v>
      </c>
      <c r="S48" s="6">
        <f t="shared" si="23"/>
        <v>-1713930.83126266</v>
      </c>
      <c r="T48" s="6">
        <f t="shared" si="24"/>
        <v>1017203.075700334</v>
      </c>
      <c r="U48" s="6">
        <f t="shared" si="25"/>
        <v>17441247.457769219</v>
      </c>
      <c r="V48" s="6">
        <f t="shared" si="18"/>
        <v>-697074.92174701765</v>
      </c>
      <c r="W48" s="14">
        <f t="shared" si="19"/>
        <v>3.8431058129953094E-2</v>
      </c>
    </row>
    <row r="49" spans="1:23">
      <c r="A49" s="197">
        <v>43070</v>
      </c>
      <c r="B49">
        <f t="shared" si="20"/>
        <v>12</v>
      </c>
      <c r="C49">
        <f t="shared" si="21"/>
        <v>2017</v>
      </c>
      <c r="D49" s="6">
        <f>'Monthly Data (longer 09-23)'!E109</f>
        <v>21160329.379516236</v>
      </c>
      <c r="E49">
        <f>'Monthly Data (14-23) Used'!AC49</f>
        <v>672.00000000000011</v>
      </c>
      <c r="F49">
        <f>'Monthly Data (14-23) Used'!AF49</f>
        <v>0</v>
      </c>
      <c r="G49">
        <f>'Monthly Data (14-23) Used'!DD49</f>
        <v>0</v>
      </c>
      <c r="H49">
        <f>'Monthly Data (14-23) Used'!DG49</f>
        <v>0</v>
      </c>
      <c r="I49">
        <f>'Monthly Data (14-23) Used'!CB49</f>
        <v>31</v>
      </c>
      <c r="J49">
        <f>'Monthly Data (14-23) Used'!CA49</f>
        <v>0</v>
      </c>
      <c r="K49">
        <f>'Monthly Data (14-23) Used'!BJ49</f>
        <v>48</v>
      </c>
      <c r="M49" s="6">
        <f t="shared" si="3"/>
        <v>-7179191.8731795801</v>
      </c>
      <c r="N49" s="6">
        <f t="shared" si="14"/>
        <v>4770562.4311127942</v>
      </c>
      <c r="O49" s="6">
        <f t="shared" si="15"/>
        <v>0</v>
      </c>
      <c r="P49" s="6">
        <f t="shared" si="16"/>
        <v>0</v>
      </c>
      <c r="Q49" s="6">
        <f t="shared" si="17"/>
        <v>0</v>
      </c>
      <c r="R49" s="6">
        <f t="shared" si="22"/>
        <v>23117235.833798315</v>
      </c>
      <c r="S49" s="6">
        <f t="shared" si="23"/>
        <v>0</v>
      </c>
      <c r="T49" s="6">
        <f t="shared" si="24"/>
        <v>1038845.694332256</v>
      </c>
      <c r="U49" s="6">
        <f t="shared" si="25"/>
        <v>21747452.086063787</v>
      </c>
      <c r="V49" s="6">
        <f t="shared" si="18"/>
        <v>587122.70654755086</v>
      </c>
      <c r="W49" s="14">
        <f t="shared" si="19"/>
        <v>2.7746387875979914E-2</v>
      </c>
    </row>
    <row r="50" spans="1:23">
      <c r="A50" s="197">
        <v>43101</v>
      </c>
      <c r="B50">
        <f t="shared" si="20"/>
        <v>1</v>
      </c>
      <c r="C50">
        <f t="shared" si="21"/>
        <v>2018</v>
      </c>
      <c r="D50" s="6">
        <f>'Monthly Data (longer 09-23)'!E110</f>
        <v>22336162.245851178</v>
      </c>
      <c r="E50">
        <f>'Monthly Data (14-23) Used'!AC50</f>
        <v>705.60000000000014</v>
      </c>
      <c r="F50">
        <f>'Monthly Data (14-23) Used'!AF50</f>
        <v>0</v>
      </c>
      <c r="G50">
        <f>'Monthly Data (14-23) Used'!DD50</f>
        <v>0</v>
      </c>
      <c r="H50">
        <f>'Monthly Data (14-23) Used'!DG50</f>
        <v>0</v>
      </c>
      <c r="I50">
        <f>'Monthly Data (14-23) Used'!CB50</f>
        <v>31</v>
      </c>
      <c r="J50">
        <f>'Monthly Data (14-23) Used'!CA50</f>
        <v>0</v>
      </c>
      <c r="K50">
        <f>'Monthly Data (14-23) Used'!BJ50</f>
        <v>49</v>
      </c>
      <c r="M50" s="6">
        <f t="shared" si="3"/>
        <v>-7179191.8731795801</v>
      </c>
      <c r="N50" s="6">
        <f t="shared" si="14"/>
        <v>5009090.5526684336</v>
      </c>
      <c r="O50" s="6">
        <f t="shared" si="15"/>
        <v>0</v>
      </c>
      <c r="P50" s="6">
        <f t="shared" si="16"/>
        <v>0</v>
      </c>
      <c r="Q50" s="6">
        <f t="shared" si="17"/>
        <v>0</v>
      </c>
      <c r="R50" s="6">
        <f t="shared" si="22"/>
        <v>23117235.833798315</v>
      </c>
      <c r="S50" s="6">
        <f t="shared" si="23"/>
        <v>0</v>
      </c>
      <c r="T50" s="6">
        <f t="shared" si="24"/>
        <v>1060488.3129641779</v>
      </c>
      <c r="U50" s="6">
        <f t="shared" si="25"/>
        <v>22007622.826251347</v>
      </c>
      <c r="V50" s="6">
        <f t="shared" si="18"/>
        <v>-328539.4195998311</v>
      </c>
      <c r="W50" s="14">
        <f t="shared" si="19"/>
        <v>1.4708857143122495E-2</v>
      </c>
    </row>
    <row r="51" spans="1:23">
      <c r="A51" s="197">
        <v>43132</v>
      </c>
      <c r="B51">
        <f t="shared" si="20"/>
        <v>2</v>
      </c>
      <c r="C51">
        <f t="shared" si="21"/>
        <v>2018</v>
      </c>
      <c r="D51" s="6">
        <f>'Monthly Data (longer 09-23)'!E111</f>
        <v>19216319.245851178</v>
      </c>
      <c r="E51">
        <f>'Monthly Data (14-23) Used'!AC51</f>
        <v>544.49999999999989</v>
      </c>
      <c r="F51">
        <f>'Monthly Data (14-23) Used'!AF51</f>
        <v>0</v>
      </c>
      <c r="G51">
        <f>'Monthly Data (14-23) Used'!DD51</f>
        <v>0</v>
      </c>
      <c r="H51">
        <f>'Monthly Data (14-23) Used'!DG51</f>
        <v>0</v>
      </c>
      <c r="I51">
        <f>'Monthly Data (14-23) Used'!CB51</f>
        <v>28</v>
      </c>
      <c r="J51">
        <f>'Monthly Data (14-23) Used'!CA51</f>
        <v>0</v>
      </c>
      <c r="K51">
        <f>'Monthly Data (14-23) Used'!BJ51</f>
        <v>50</v>
      </c>
      <c r="M51" s="6">
        <f t="shared" si="3"/>
        <v>-7179191.8731795801</v>
      </c>
      <c r="N51" s="6">
        <f t="shared" si="14"/>
        <v>3865433.3984239809</v>
      </c>
      <c r="O51" s="6">
        <f t="shared" si="15"/>
        <v>0</v>
      </c>
      <c r="P51" s="6">
        <f t="shared" si="16"/>
        <v>0</v>
      </c>
      <c r="Q51" s="6">
        <f t="shared" si="17"/>
        <v>0</v>
      </c>
      <c r="R51" s="6">
        <f t="shared" si="22"/>
        <v>20880083.978914607</v>
      </c>
      <c r="S51" s="6">
        <f t="shared" si="23"/>
        <v>0</v>
      </c>
      <c r="T51" s="6">
        <f t="shared" si="24"/>
        <v>1082130.9315960999</v>
      </c>
      <c r="U51" s="6">
        <f t="shared" si="25"/>
        <v>18648456.435755108</v>
      </c>
      <c r="V51" s="6">
        <f t="shared" si="18"/>
        <v>-567862.81009607017</v>
      </c>
      <c r="W51" s="14">
        <f t="shared" si="19"/>
        <v>2.9551070776401279E-2</v>
      </c>
    </row>
    <row r="52" spans="1:23">
      <c r="A52" s="197">
        <v>43160</v>
      </c>
      <c r="B52">
        <f t="shared" si="20"/>
        <v>3</v>
      </c>
      <c r="C52">
        <f t="shared" si="21"/>
        <v>2018</v>
      </c>
      <c r="D52" s="6">
        <f>'Monthly Data (longer 09-23)'!E112</f>
        <v>18321227.245851178</v>
      </c>
      <c r="E52">
        <f>'Monthly Data (14-23) Used'!AC52</f>
        <v>534.40000000000009</v>
      </c>
      <c r="F52">
        <f>'Monthly Data (14-23) Used'!AF52</f>
        <v>0</v>
      </c>
      <c r="G52">
        <f>'Monthly Data (14-23) Used'!DD52</f>
        <v>0</v>
      </c>
      <c r="H52">
        <f>'Monthly Data (14-23) Used'!DG52</f>
        <v>0</v>
      </c>
      <c r="I52">
        <f>'Monthly Data (14-23) Used'!CB52</f>
        <v>31</v>
      </c>
      <c r="J52">
        <f>'Monthly Data (14-23) Used'!CA52</f>
        <v>1</v>
      </c>
      <c r="K52">
        <f>'Monthly Data (14-23) Used'!BJ52</f>
        <v>51</v>
      </c>
      <c r="M52" s="6">
        <f t="shared" si="3"/>
        <v>-7179191.8731795801</v>
      </c>
      <c r="N52" s="6">
        <f t="shared" si="14"/>
        <v>3793732.9809325552</v>
      </c>
      <c r="O52" s="6">
        <f t="shared" si="15"/>
        <v>0</v>
      </c>
      <c r="P52" s="6">
        <f t="shared" si="16"/>
        <v>0</v>
      </c>
      <c r="Q52" s="6">
        <f t="shared" si="17"/>
        <v>0</v>
      </c>
      <c r="R52" s="6">
        <f t="shared" si="22"/>
        <v>23117235.833798315</v>
      </c>
      <c r="S52" s="6">
        <f t="shared" si="23"/>
        <v>-1713930.83126266</v>
      </c>
      <c r="T52" s="6">
        <f t="shared" si="24"/>
        <v>1103773.550228022</v>
      </c>
      <c r="U52" s="6">
        <f t="shared" si="25"/>
        <v>19121619.660516653</v>
      </c>
      <c r="V52" s="6">
        <f t="shared" si="18"/>
        <v>800392.41466547549</v>
      </c>
      <c r="W52" s="14">
        <f t="shared" si="19"/>
        <v>4.3686615744953632E-2</v>
      </c>
    </row>
    <row r="53" spans="1:23">
      <c r="A53" s="197">
        <v>43191</v>
      </c>
      <c r="B53">
        <f t="shared" si="20"/>
        <v>4</v>
      </c>
      <c r="C53">
        <f t="shared" si="21"/>
        <v>2018</v>
      </c>
      <c r="D53" s="6">
        <f>'Monthly Data (longer 09-23)'!E113</f>
        <v>17447768.245851178</v>
      </c>
      <c r="E53">
        <f>'Monthly Data (14-23) Used'!AC53</f>
        <v>395.6</v>
      </c>
      <c r="F53">
        <f>'Monthly Data (14-23) Used'!AF53</f>
        <v>0</v>
      </c>
      <c r="G53">
        <f>'Monthly Data (14-23) Used'!DD53</f>
        <v>0</v>
      </c>
      <c r="H53">
        <f>'Monthly Data (14-23) Used'!DG53</f>
        <v>0</v>
      </c>
      <c r="I53">
        <f>'Monthly Data (14-23) Used'!CB53</f>
        <v>30</v>
      </c>
      <c r="J53">
        <f>'Monthly Data (14-23) Used'!CA53</f>
        <v>1</v>
      </c>
      <c r="K53">
        <f>'Monthly Data (14-23) Used'!BJ53</f>
        <v>52</v>
      </c>
      <c r="M53" s="6">
        <f t="shared" si="3"/>
        <v>-7179191.8731795801</v>
      </c>
      <c r="N53" s="6">
        <f t="shared" si="14"/>
        <v>2808384.6692681862</v>
      </c>
      <c r="O53" s="6">
        <f t="shared" si="15"/>
        <v>0</v>
      </c>
      <c r="P53" s="6">
        <f t="shared" si="16"/>
        <v>0</v>
      </c>
      <c r="Q53" s="6">
        <f t="shared" si="17"/>
        <v>0</v>
      </c>
      <c r="R53" s="6">
        <f t="shared" si="22"/>
        <v>22371518.548837077</v>
      </c>
      <c r="S53" s="6">
        <f t="shared" si="23"/>
        <v>-1713930.83126266</v>
      </c>
      <c r="T53" s="6">
        <f t="shared" si="24"/>
        <v>1125416.168859944</v>
      </c>
      <c r="U53" s="6">
        <f t="shared" si="25"/>
        <v>17412196.682522967</v>
      </c>
      <c r="V53" s="6">
        <f t="shared" si="18"/>
        <v>-35571.563328210264</v>
      </c>
      <c r="W53" s="14">
        <f t="shared" si="19"/>
        <v>2.0387457482803658E-3</v>
      </c>
    </row>
    <row r="54" spans="1:23">
      <c r="A54" s="197">
        <v>43221</v>
      </c>
      <c r="B54">
        <f t="shared" si="20"/>
        <v>5</v>
      </c>
      <c r="C54">
        <f t="shared" si="21"/>
        <v>2018</v>
      </c>
      <c r="D54" s="6">
        <f>'Monthly Data (longer 09-23)'!E114</f>
        <v>20454320.245851178</v>
      </c>
      <c r="E54">
        <f>'Monthly Data (14-23) Used'!AC54</f>
        <v>62.900000000000006</v>
      </c>
      <c r="F54">
        <f>'Monthly Data (14-23) Used'!AF54</f>
        <v>82.1</v>
      </c>
      <c r="G54">
        <f>'Monthly Data (14-23) Used'!DD54</f>
        <v>0</v>
      </c>
      <c r="H54">
        <f>'Monthly Data (14-23) Used'!DG54</f>
        <v>0</v>
      </c>
      <c r="I54">
        <f>'Monthly Data (14-23) Used'!CB54</f>
        <v>31</v>
      </c>
      <c r="J54">
        <f>'Monthly Data (14-23) Used'!CA54</f>
        <v>1</v>
      </c>
      <c r="K54">
        <f>'Monthly Data (14-23) Used'!BJ54</f>
        <v>53</v>
      </c>
      <c r="M54" s="6">
        <f t="shared" ref="M54:M117" si="26">$AA$7</f>
        <v>-7179191.8731795801</v>
      </c>
      <c r="N54" s="6">
        <f t="shared" ref="N54:N85" si="27">E54*$AA$8</f>
        <v>446530.32279314689</v>
      </c>
      <c r="O54" s="6">
        <f t="shared" ref="O54:O85" si="28">F54*$AA$9</f>
        <v>5469128.6875731684</v>
      </c>
      <c r="P54" s="6">
        <f t="shared" ref="P54:P85" si="29">G54*$AA$10</f>
        <v>0</v>
      </c>
      <c r="Q54" s="6">
        <f t="shared" ref="Q54:Q85" si="30">H54*$AA$11</f>
        <v>0</v>
      </c>
      <c r="R54" s="6">
        <f t="shared" si="22"/>
        <v>23117235.833798315</v>
      </c>
      <c r="S54" s="6">
        <f t="shared" si="23"/>
        <v>-1713930.83126266</v>
      </c>
      <c r="T54" s="6">
        <f t="shared" si="24"/>
        <v>1147058.7874918659</v>
      </c>
      <c r="U54" s="6">
        <f t="shared" si="25"/>
        <v>21286830.927214257</v>
      </c>
      <c r="V54" s="6">
        <f t="shared" ref="V54:V85" si="31">U54-D54</f>
        <v>832510.6813630797</v>
      </c>
      <c r="W54" s="14">
        <f t="shared" ref="W54:W85" si="32">ABS(U54-D54)/D54</f>
        <v>4.0700970325911502E-2</v>
      </c>
    </row>
    <row r="55" spans="1:23">
      <c r="A55" s="197">
        <v>43252</v>
      </c>
      <c r="B55">
        <f t="shared" si="20"/>
        <v>6</v>
      </c>
      <c r="C55">
        <f t="shared" si="21"/>
        <v>2018</v>
      </c>
      <c r="D55" s="6">
        <f>'Monthly Data (longer 09-23)'!E115</f>
        <v>25949584.245851178</v>
      </c>
      <c r="E55">
        <f>'Monthly Data (14-23) Used'!AC55</f>
        <v>7.6000000000000014</v>
      </c>
      <c r="F55">
        <f>'Monthly Data (14-23) Used'!AF55</f>
        <v>148.80000000000001</v>
      </c>
      <c r="G55">
        <f>'Monthly Data (14-23) Used'!DD55</f>
        <v>0</v>
      </c>
      <c r="H55">
        <f>'Monthly Data (14-23) Used'!DG55</f>
        <v>0</v>
      </c>
      <c r="I55">
        <f>'Monthly Data (14-23) Used'!CB55</f>
        <v>30</v>
      </c>
      <c r="J55">
        <f>'Monthly Data (14-23) Used'!CA55</f>
        <v>0</v>
      </c>
      <c r="K55">
        <f>'Monthly Data (14-23) Used'!BJ55</f>
        <v>54</v>
      </c>
      <c r="M55" s="6">
        <f t="shared" si="26"/>
        <v>-7179191.8731795801</v>
      </c>
      <c r="N55" s="6">
        <f t="shared" si="27"/>
        <v>53952.789399489935</v>
      </c>
      <c r="O55" s="6">
        <f t="shared" si="28"/>
        <v>9912379.399645403</v>
      </c>
      <c r="P55" s="6">
        <f t="shared" si="29"/>
        <v>0</v>
      </c>
      <c r="Q55" s="6">
        <f t="shared" si="30"/>
        <v>0</v>
      </c>
      <c r="R55" s="6">
        <f t="shared" ref="R55:R115" si="33">I55*$AA$12</f>
        <v>22371518.548837077</v>
      </c>
      <c r="S55" s="6">
        <f t="shared" ref="S55:S115" si="34">J55*$AA$13</f>
        <v>0</v>
      </c>
      <c r="T55" s="6">
        <f t="shared" ref="T55:T115" si="35">K55*$AA$14</f>
        <v>1168701.4061237881</v>
      </c>
      <c r="U55" s="6">
        <f t="shared" ref="U55:U115" si="36">SUM(M55:T55)</f>
        <v>26327360.270826176</v>
      </c>
      <c r="V55" s="6">
        <f t="shared" si="31"/>
        <v>377776.02497499809</v>
      </c>
      <c r="W55" s="14">
        <f t="shared" si="32"/>
        <v>1.4558076206380723E-2</v>
      </c>
    </row>
    <row r="56" spans="1:23">
      <c r="A56" s="197">
        <v>43282</v>
      </c>
      <c r="B56">
        <f t="shared" si="20"/>
        <v>7</v>
      </c>
      <c r="C56">
        <f t="shared" si="21"/>
        <v>2018</v>
      </c>
      <c r="D56" s="6">
        <f>'Monthly Data (longer 09-23)'!E116</f>
        <v>33050239.245851178</v>
      </c>
      <c r="E56">
        <f>'Monthly Data (14-23) Used'!AC56</f>
        <v>0.19999999999999929</v>
      </c>
      <c r="F56">
        <f>'Monthly Data (14-23) Used'!AF56</f>
        <v>225.1</v>
      </c>
      <c r="G56">
        <f>'Monthly Data (14-23) Used'!DD56</f>
        <v>0</v>
      </c>
      <c r="H56">
        <f>'Monthly Data (14-23) Used'!DG56</f>
        <v>0</v>
      </c>
      <c r="I56">
        <f>'Monthly Data (14-23) Used'!CB56</f>
        <v>31</v>
      </c>
      <c r="J56">
        <f>'Monthly Data (14-23) Used'!CA56</f>
        <v>0</v>
      </c>
      <c r="K56">
        <f>'Monthly Data (14-23) Used'!BJ56</f>
        <v>55</v>
      </c>
      <c r="M56" s="6">
        <f t="shared" si="26"/>
        <v>-7179191.8731795801</v>
      </c>
      <c r="N56" s="6">
        <f t="shared" si="27"/>
        <v>1419.810247354993</v>
      </c>
      <c r="O56" s="6">
        <f t="shared" si="28"/>
        <v>14995138.460081855</v>
      </c>
      <c r="P56" s="6">
        <f t="shared" si="29"/>
        <v>0</v>
      </c>
      <c r="Q56" s="6">
        <f t="shared" si="30"/>
        <v>0</v>
      </c>
      <c r="R56" s="6">
        <f t="shared" si="33"/>
        <v>23117235.833798315</v>
      </c>
      <c r="S56" s="6">
        <f t="shared" si="34"/>
        <v>0</v>
      </c>
      <c r="T56" s="6">
        <f t="shared" si="35"/>
        <v>1190344.02475571</v>
      </c>
      <c r="U56" s="6">
        <f t="shared" si="36"/>
        <v>32124946.255703654</v>
      </c>
      <c r="V56" s="6">
        <f t="shared" si="31"/>
        <v>-925292.99014752358</v>
      </c>
      <c r="W56" s="14">
        <f t="shared" si="32"/>
        <v>2.7996559518511696E-2</v>
      </c>
    </row>
    <row r="57" spans="1:23">
      <c r="A57" s="197">
        <v>43313</v>
      </c>
      <c r="B57">
        <f t="shared" si="20"/>
        <v>8</v>
      </c>
      <c r="C57">
        <f t="shared" si="21"/>
        <v>2018</v>
      </c>
      <c r="D57" s="6">
        <f>'Monthly Data (longer 09-23)'!E117</f>
        <v>32860565.245851178</v>
      </c>
      <c r="E57">
        <f>'Monthly Data (14-23) Used'!AC57</f>
        <v>0</v>
      </c>
      <c r="F57">
        <f>'Monthly Data (14-23) Used'!AF57</f>
        <v>221.79999999999995</v>
      </c>
      <c r="G57">
        <f>'Monthly Data (14-23) Used'!DD57</f>
        <v>0</v>
      </c>
      <c r="H57">
        <f>'Monthly Data (14-23) Used'!DG57</f>
        <v>0</v>
      </c>
      <c r="I57">
        <f>'Monthly Data (14-23) Used'!CB57</f>
        <v>31</v>
      </c>
      <c r="J57">
        <f>'Monthly Data (14-23) Used'!CA57</f>
        <v>0</v>
      </c>
      <c r="K57">
        <f>'Monthly Data (14-23) Used'!BJ57</f>
        <v>56</v>
      </c>
      <c r="M57" s="6">
        <f t="shared" si="26"/>
        <v>-7179191.8731795801</v>
      </c>
      <c r="N57" s="6">
        <f t="shared" si="27"/>
        <v>0</v>
      </c>
      <c r="O57" s="6">
        <f t="shared" si="28"/>
        <v>14775307.465331651</v>
      </c>
      <c r="P57" s="6">
        <f t="shared" si="29"/>
        <v>0</v>
      </c>
      <c r="Q57" s="6">
        <f t="shared" si="30"/>
        <v>0</v>
      </c>
      <c r="R57" s="6">
        <f t="shared" si="33"/>
        <v>23117235.833798315</v>
      </c>
      <c r="S57" s="6">
        <f t="shared" si="34"/>
        <v>0</v>
      </c>
      <c r="T57" s="6">
        <f t="shared" si="35"/>
        <v>1211986.643387632</v>
      </c>
      <c r="U57" s="6">
        <f t="shared" si="36"/>
        <v>31925338.069338016</v>
      </c>
      <c r="V57" s="6">
        <f t="shared" si="31"/>
        <v>-935227.17651316151</v>
      </c>
      <c r="W57" s="14">
        <f t="shared" si="32"/>
        <v>2.846047137400471E-2</v>
      </c>
    </row>
    <row r="58" spans="1:23">
      <c r="A58" s="197">
        <v>43344</v>
      </c>
      <c r="B58">
        <f t="shared" si="20"/>
        <v>9</v>
      </c>
      <c r="C58">
        <f t="shared" si="21"/>
        <v>2018</v>
      </c>
      <c r="D58" s="6">
        <f>'Monthly Data (longer 09-23)'!E118</f>
        <v>24883110.245851178</v>
      </c>
      <c r="E58">
        <f>'Monthly Data (14-23) Used'!AC58</f>
        <v>41.400000000000006</v>
      </c>
      <c r="F58">
        <f>'Monthly Data (14-23) Used'!AF58</f>
        <v>125.1</v>
      </c>
      <c r="G58">
        <f>'Monthly Data (14-23) Used'!DD58</f>
        <v>0</v>
      </c>
      <c r="H58">
        <f>'Monthly Data (14-23) Used'!DG58</f>
        <v>0</v>
      </c>
      <c r="I58">
        <f>'Monthly Data (14-23) Used'!CB58</f>
        <v>30</v>
      </c>
      <c r="J58">
        <f>'Monthly Data (14-23) Used'!CA58</f>
        <v>0</v>
      </c>
      <c r="K58">
        <f>'Monthly Data (14-23) Used'!BJ58</f>
        <v>57</v>
      </c>
      <c r="M58" s="6">
        <f t="shared" si="26"/>
        <v>-7179191.8731795801</v>
      </c>
      <c r="N58" s="6">
        <f t="shared" si="27"/>
        <v>293900.72120248462</v>
      </c>
      <c r="O58" s="6">
        <f t="shared" si="28"/>
        <v>8333593.1646212349</v>
      </c>
      <c r="P58" s="6">
        <f t="shared" si="29"/>
        <v>0</v>
      </c>
      <c r="Q58" s="6">
        <f t="shared" si="30"/>
        <v>0</v>
      </c>
      <c r="R58" s="6">
        <f t="shared" si="33"/>
        <v>22371518.548837077</v>
      </c>
      <c r="S58" s="6">
        <f t="shared" si="34"/>
        <v>0</v>
      </c>
      <c r="T58" s="6">
        <f t="shared" si="35"/>
        <v>1233629.2620195539</v>
      </c>
      <c r="U58" s="6">
        <f t="shared" si="36"/>
        <v>25053449.823500767</v>
      </c>
      <c r="V58" s="6">
        <f t="shared" si="31"/>
        <v>170339.57764958963</v>
      </c>
      <c r="W58" s="14">
        <f t="shared" si="32"/>
        <v>6.8455902805796059E-3</v>
      </c>
    </row>
    <row r="59" spans="1:23">
      <c r="A59" s="197">
        <v>43374</v>
      </c>
      <c r="B59">
        <f t="shared" si="20"/>
        <v>10</v>
      </c>
      <c r="C59">
        <f t="shared" si="21"/>
        <v>2018</v>
      </c>
      <c r="D59" s="6">
        <f>'Monthly Data (longer 09-23)'!E119</f>
        <v>18771880.245851178</v>
      </c>
      <c r="E59">
        <f>'Monthly Data (14-23) Used'!AC59</f>
        <v>242.29999999999998</v>
      </c>
      <c r="F59">
        <f>'Monthly Data (14-23) Used'!AF59</f>
        <v>31.8</v>
      </c>
      <c r="G59">
        <f>'Monthly Data (14-23) Used'!DD59</f>
        <v>0</v>
      </c>
      <c r="H59">
        <f>'Monthly Data (14-23) Used'!DG59</f>
        <v>0</v>
      </c>
      <c r="I59">
        <f>'Monthly Data (14-23) Used'!CB59</f>
        <v>31</v>
      </c>
      <c r="J59">
        <f>'Monthly Data (14-23) Used'!CA59</f>
        <v>1</v>
      </c>
      <c r="K59">
        <f>'Monthly Data (14-23) Used'!BJ59</f>
        <v>58</v>
      </c>
      <c r="M59" s="6">
        <f t="shared" si="26"/>
        <v>-7179191.8731795801</v>
      </c>
      <c r="N59" s="6">
        <f t="shared" si="27"/>
        <v>1720100.1146705798</v>
      </c>
      <c r="O59" s="6">
        <f t="shared" si="28"/>
        <v>2118371.4039564771</v>
      </c>
      <c r="P59" s="6">
        <f t="shared" si="29"/>
        <v>0</v>
      </c>
      <c r="Q59" s="6">
        <f t="shared" si="30"/>
        <v>0</v>
      </c>
      <c r="R59" s="6">
        <f t="shared" si="33"/>
        <v>23117235.833798315</v>
      </c>
      <c r="S59" s="6">
        <f t="shared" si="34"/>
        <v>-1713930.83126266</v>
      </c>
      <c r="T59" s="6">
        <f t="shared" si="35"/>
        <v>1255271.8806514759</v>
      </c>
      <c r="U59" s="6">
        <f t="shared" si="36"/>
        <v>19317856.528634608</v>
      </c>
      <c r="V59" s="6">
        <f t="shared" si="31"/>
        <v>545976.28278343007</v>
      </c>
      <c r="W59" s="14">
        <f t="shared" si="32"/>
        <v>2.9084794684011352E-2</v>
      </c>
    </row>
    <row r="60" spans="1:23">
      <c r="A60" s="197">
        <v>43405</v>
      </c>
      <c r="B60">
        <f t="shared" si="20"/>
        <v>11</v>
      </c>
      <c r="C60">
        <f t="shared" si="21"/>
        <v>2018</v>
      </c>
      <c r="D60" s="6">
        <f>'Monthly Data (longer 09-23)'!E120</f>
        <v>18982383.245851178</v>
      </c>
      <c r="E60">
        <f>'Monthly Data (14-23) Used'!AC60</f>
        <v>485.73552299140988</v>
      </c>
      <c r="F60">
        <f>'Monthly Data (14-23) Used'!AF60</f>
        <v>0</v>
      </c>
      <c r="G60">
        <f>'Monthly Data (14-23) Used'!DD60</f>
        <v>0</v>
      </c>
      <c r="H60">
        <f>'Monthly Data (14-23) Used'!DG60</f>
        <v>0</v>
      </c>
      <c r="I60">
        <f>'Monthly Data (14-23) Used'!CB60</f>
        <v>30</v>
      </c>
      <c r="J60">
        <f>'Monthly Data (14-23) Used'!CA60</f>
        <v>1</v>
      </c>
      <c r="K60">
        <f>'Monthly Data (14-23) Used'!BJ60</f>
        <v>59</v>
      </c>
      <c r="M60" s="6">
        <f t="shared" si="26"/>
        <v>-7179191.8731795801</v>
      </c>
      <c r="N60" s="6">
        <f t="shared" si="27"/>
        <v>3448261.3652377147</v>
      </c>
      <c r="O60" s="6">
        <f t="shared" si="28"/>
        <v>0</v>
      </c>
      <c r="P60" s="6">
        <f t="shared" si="29"/>
        <v>0</v>
      </c>
      <c r="Q60" s="6">
        <f t="shared" si="30"/>
        <v>0</v>
      </c>
      <c r="R60" s="6">
        <f t="shared" si="33"/>
        <v>22371518.548837077</v>
      </c>
      <c r="S60" s="6">
        <f t="shared" si="34"/>
        <v>-1713930.83126266</v>
      </c>
      <c r="T60" s="6">
        <f t="shared" si="35"/>
        <v>1276914.499283398</v>
      </c>
      <c r="U60" s="6">
        <f t="shared" si="36"/>
        <v>18203571.708915953</v>
      </c>
      <c r="V60" s="6">
        <f t="shared" si="31"/>
        <v>-778811.53693522513</v>
      </c>
      <c r="W60" s="14">
        <f t="shared" si="32"/>
        <v>4.1028122067098369E-2</v>
      </c>
    </row>
    <row r="61" spans="1:23">
      <c r="A61" s="197">
        <v>43435</v>
      </c>
      <c r="B61">
        <f t="shared" si="20"/>
        <v>12</v>
      </c>
      <c r="C61">
        <f t="shared" si="21"/>
        <v>2018</v>
      </c>
      <c r="D61" s="6">
        <f>'Monthly Data (longer 09-23)'!E121</f>
        <v>21382567.245851178</v>
      </c>
      <c r="E61">
        <f>'Monthly Data (14-23) Used'!AC61</f>
        <v>533.80000000000007</v>
      </c>
      <c r="F61">
        <f>'Monthly Data (14-23) Used'!AF61</f>
        <v>0</v>
      </c>
      <c r="G61">
        <f>'Monthly Data (14-23) Used'!DD61</f>
        <v>0</v>
      </c>
      <c r="H61">
        <f>'Monthly Data (14-23) Used'!DG61</f>
        <v>0</v>
      </c>
      <c r="I61">
        <f>'Monthly Data (14-23) Used'!CB61</f>
        <v>31</v>
      </c>
      <c r="J61">
        <f>'Monthly Data (14-23) Used'!CA61</f>
        <v>0</v>
      </c>
      <c r="K61">
        <f>'Monthly Data (14-23) Used'!BJ61</f>
        <v>60</v>
      </c>
      <c r="M61" s="6">
        <f t="shared" si="26"/>
        <v>-7179191.8731795801</v>
      </c>
      <c r="N61" s="6">
        <f t="shared" si="27"/>
        <v>3789473.5501904902</v>
      </c>
      <c r="O61" s="6">
        <f t="shared" si="28"/>
        <v>0</v>
      </c>
      <c r="P61" s="6">
        <f t="shared" si="29"/>
        <v>0</v>
      </c>
      <c r="Q61" s="6">
        <f t="shared" si="30"/>
        <v>0</v>
      </c>
      <c r="R61" s="6">
        <f t="shared" si="33"/>
        <v>23117235.833798315</v>
      </c>
      <c r="S61" s="6">
        <f t="shared" si="34"/>
        <v>0</v>
      </c>
      <c r="T61" s="6">
        <f t="shared" si="35"/>
        <v>1298557.11791532</v>
      </c>
      <c r="U61" s="6">
        <f t="shared" si="36"/>
        <v>21026074.628724545</v>
      </c>
      <c r="V61" s="6">
        <f t="shared" si="31"/>
        <v>-356492.61712663248</v>
      </c>
      <c r="W61" s="14">
        <f t="shared" si="32"/>
        <v>1.6672114860099511E-2</v>
      </c>
    </row>
    <row r="62" spans="1:23">
      <c r="A62" s="197">
        <v>43466</v>
      </c>
      <c r="B62">
        <f t="shared" ref="B62:B73" si="37">MONTH(A62)</f>
        <v>1</v>
      </c>
      <c r="C62">
        <f t="shared" ref="C62:C73" si="38">YEAR(A62)</f>
        <v>2019</v>
      </c>
      <c r="D62" s="6">
        <f>'Monthly Data (longer 09-23)'!E122</f>
        <v>21716101.81829688</v>
      </c>
      <c r="E62">
        <f>'Monthly Data (14-23) Used'!AC62</f>
        <v>711.8</v>
      </c>
      <c r="F62">
        <f>'Monthly Data (14-23) Used'!AF62</f>
        <v>0</v>
      </c>
      <c r="G62">
        <f>'Monthly Data (14-23) Used'!DD62</f>
        <v>0</v>
      </c>
      <c r="H62">
        <f>'Monthly Data (14-23) Used'!DG62</f>
        <v>0</v>
      </c>
      <c r="I62">
        <f>'Monthly Data (14-23) Used'!CB62</f>
        <v>31</v>
      </c>
      <c r="J62">
        <f>'Monthly Data (14-23) Used'!CA62</f>
        <v>0</v>
      </c>
      <c r="K62">
        <f>'Monthly Data (14-23) Used'!BJ62</f>
        <v>61</v>
      </c>
      <c r="M62" s="6">
        <f t="shared" si="26"/>
        <v>-7179191.8731795801</v>
      </c>
      <c r="N62" s="6">
        <f t="shared" si="27"/>
        <v>5053104.6703364374</v>
      </c>
      <c r="O62" s="6">
        <f t="shared" si="28"/>
        <v>0</v>
      </c>
      <c r="P62" s="6">
        <f t="shared" si="29"/>
        <v>0</v>
      </c>
      <c r="Q62" s="6">
        <f t="shared" si="30"/>
        <v>0</v>
      </c>
      <c r="R62" s="6">
        <f t="shared" si="33"/>
        <v>23117235.833798315</v>
      </c>
      <c r="S62" s="6">
        <f t="shared" si="34"/>
        <v>0</v>
      </c>
      <c r="T62" s="6">
        <f t="shared" si="35"/>
        <v>1320199.7365472419</v>
      </c>
      <c r="U62" s="6">
        <f t="shared" si="36"/>
        <v>22311348.367502417</v>
      </c>
      <c r="V62" s="6">
        <f t="shared" si="31"/>
        <v>595246.54920553789</v>
      </c>
      <c r="W62" s="14">
        <f t="shared" si="32"/>
        <v>2.7410377524755086E-2</v>
      </c>
    </row>
    <row r="63" spans="1:23">
      <c r="A63" s="197">
        <v>43497</v>
      </c>
      <c r="B63">
        <f t="shared" si="37"/>
        <v>2</v>
      </c>
      <c r="C63">
        <f t="shared" si="38"/>
        <v>2019</v>
      </c>
      <c r="D63" s="6">
        <f>'Monthly Data (longer 09-23)'!E123</f>
        <v>19213803.81829688</v>
      </c>
      <c r="E63">
        <f>'Monthly Data (14-23) Used'!AC63</f>
        <v>580.90000000000009</v>
      </c>
      <c r="F63">
        <f>'Monthly Data (14-23) Used'!AF63</f>
        <v>0</v>
      </c>
      <c r="G63">
        <f>'Monthly Data (14-23) Used'!DD63</f>
        <v>0</v>
      </c>
      <c r="H63">
        <f>'Monthly Data (14-23) Used'!DG63</f>
        <v>0</v>
      </c>
      <c r="I63">
        <f>'Monthly Data (14-23) Used'!CB63</f>
        <v>28</v>
      </c>
      <c r="J63">
        <f>'Monthly Data (14-23) Used'!CA63</f>
        <v>0</v>
      </c>
      <c r="K63">
        <f>'Monthly Data (14-23) Used'!BJ63</f>
        <v>62</v>
      </c>
      <c r="M63" s="6">
        <f t="shared" si="26"/>
        <v>-7179191.8731795801</v>
      </c>
      <c r="N63" s="6">
        <f t="shared" si="27"/>
        <v>4123838.8634425923</v>
      </c>
      <c r="O63" s="6">
        <f t="shared" si="28"/>
        <v>0</v>
      </c>
      <c r="P63" s="6">
        <f t="shared" si="29"/>
        <v>0</v>
      </c>
      <c r="Q63" s="6">
        <f t="shared" si="30"/>
        <v>0</v>
      </c>
      <c r="R63" s="6">
        <f t="shared" si="33"/>
        <v>20880083.978914607</v>
      </c>
      <c r="S63" s="6">
        <f t="shared" si="34"/>
        <v>0</v>
      </c>
      <c r="T63" s="6">
        <f t="shared" si="35"/>
        <v>1341842.3551791641</v>
      </c>
      <c r="U63" s="6">
        <f t="shared" si="36"/>
        <v>19166573.324356783</v>
      </c>
      <c r="V63" s="6">
        <f t="shared" si="31"/>
        <v>-47230.493940096349</v>
      </c>
      <c r="W63" s="14">
        <f t="shared" si="32"/>
        <v>2.4581542721446858E-3</v>
      </c>
    </row>
    <row r="64" spans="1:23">
      <c r="A64" s="197">
        <v>43525</v>
      </c>
      <c r="B64">
        <f t="shared" si="37"/>
        <v>3</v>
      </c>
      <c r="C64">
        <f t="shared" si="38"/>
        <v>2019</v>
      </c>
      <c r="D64" s="6">
        <f>'Monthly Data (longer 09-23)'!E124</f>
        <v>19623814.81829688</v>
      </c>
      <c r="E64">
        <f>'Monthly Data (14-23) Used'!AC64</f>
        <v>549.4</v>
      </c>
      <c r="F64">
        <f>'Monthly Data (14-23) Used'!AF64</f>
        <v>0</v>
      </c>
      <c r="G64">
        <f>'Monthly Data (14-23) Used'!DD64</f>
        <v>0</v>
      </c>
      <c r="H64">
        <f>'Monthly Data (14-23) Used'!DG64</f>
        <v>0</v>
      </c>
      <c r="I64">
        <f>'Monthly Data (14-23) Used'!CB64</f>
        <v>31</v>
      </c>
      <c r="J64">
        <f>'Monthly Data (14-23) Used'!CA64</f>
        <v>1</v>
      </c>
      <c r="K64">
        <f>'Monthly Data (14-23) Used'!BJ64</f>
        <v>63</v>
      </c>
      <c r="M64" s="6">
        <f t="shared" si="26"/>
        <v>-7179191.8731795801</v>
      </c>
      <c r="N64" s="6">
        <f t="shared" si="27"/>
        <v>3900218.7494841791</v>
      </c>
      <c r="O64" s="6">
        <f t="shared" si="28"/>
        <v>0</v>
      </c>
      <c r="P64" s="6">
        <f t="shared" si="29"/>
        <v>0</v>
      </c>
      <c r="Q64" s="6">
        <f t="shared" si="30"/>
        <v>0</v>
      </c>
      <c r="R64" s="6">
        <f t="shared" si="33"/>
        <v>23117235.833798315</v>
      </c>
      <c r="S64" s="6">
        <f t="shared" si="34"/>
        <v>-1713930.83126266</v>
      </c>
      <c r="T64" s="6">
        <f t="shared" si="35"/>
        <v>1363484.973811086</v>
      </c>
      <c r="U64" s="6">
        <f t="shared" si="36"/>
        <v>19487816.852651343</v>
      </c>
      <c r="V64" s="6">
        <f t="shared" si="31"/>
        <v>-135997.96564553678</v>
      </c>
      <c r="W64" s="14">
        <f t="shared" si="32"/>
        <v>6.9302511720980373E-3</v>
      </c>
    </row>
    <row r="65" spans="1:23">
      <c r="A65" s="197">
        <v>43556</v>
      </c>
      <c r="B65">
        <f t="shared" si="37"/>
        <v>4</v>
      </c>
      <c r="C65">
        <f t="shared" si="38"/>
        <v>2019</v>
      </c>
      <c r="D65" s="6">
        <f>'Monthly Data (longer 09-23)'!E125</f>
        <v>16928351.81829688</v>
      </c>
      <c r="E65">
        <f>'Monthly Data (14-23) Used'!AC65</f>
        <v>278.40000000000003</v>
      </c>
      <c r="F65">
        <f>'Monthly Data (14-23) Used'!AF65</f>
        <v>0.39999999999999858</v>
      </c>
      <c r="G65">
        <f>'Monthly Data (14-23) Used'!DD65</f>
        <v>0</v>
      </c>
      <c r="H65">
        <f>'Monthly Data (14-23) Used'!DG65</f>
        <v>0</v>
      </c>
      <c r="I65">
        <f>'Monthly Data (14-23) Used'!CB65</f>
        <v>30</v>
      </c>
      <c r="J65">
        <f>'Monthly Data (14-23) Used'!CA65</f>
        <v>1</v>
      </c>
      <c r="K65">
        <f>'Monthly Data (14-23) Used'!BJ65</f>
        <v>64</v>
      </c>
      <c r="M65" s="6">
        <f t="shared" si="26"/>
        <v>-7179191.8731795801</v>
      </c>
      <c r="N65" s="6">
        <f t="shared" si="27"/>
        <v>1976375.8643181573</v>
      </c>
      <c r="O65" s="6">
        <f t="shared" si="28"/>
        <v>26646.181181842385</v>
      </c>
      <c r="P65" s="6">
        <f t="shared" si="29"/>
        <v>0</v>
      </c>
      <c r="Q65" s="6">
        <f t="shared" si="30"/>
        <v>0</v>
      </c>
      <c r="R65" s="6">
        <f t="shared" si="33"/>
        <v>22371518.548837077</v>
      </c>
      <c r="S65" s="6">
        <f t="shared" si="34"/>
        <v>-1713930.83126266</v>
      </c>
      <c r="T65" s="6">
        <f t="shared" si="35"/>
        <v>1385127.592443008</v>
      </c>
      <c r="U65" s="6">
        <f t="shared" si="36"/>
        <v>16866545.482337847</v>
      </c>
      <c r="V65" s="6">
        <f t="shared" si="31"/>
        <v>-61806.335959032178</v>
      </c>
      <c r="W65" s="14">
        <f t="shared" si="32"/>
        <v>3.6510545517035669E-3</v>
      </c>
    </row>
    <row r="66" spans="1:23">
      <c r="A66" s="197">
        <v>43586</v>
      </c>
      <c r="B66">
        <f t="shared" si="37"/>
        <v>5</v>
      </c>
      <c r="C66">
        <f t="shared" si="38"/>
        <v>2019</v>
      </c>
      <c r="D66" s="6">
        <f>'Monthly Data (longer 09-23)'!E126</f>
        <v>17835562.81829688</v>
      </c>
      <c r="E66">
        <f>'Monthly Data (14-23) Used'!AC66</f>
        <v>139.50000000000006</v>
      </c>
      <c r="F66">
        <f>'Monthly Data (14-23) Used'!AF66</f>
        <v>22.3</v>
      </c>
      <c r="G66">
        <f>'Monthly Data (14-23) Used'!DD66</f>
        <v>0</v>
      </c>
      <c r="H66">
        <f>'Monthly Data (14-23) Used'!DG66</f>
        <v>0</v>
      </c>
      <c r="I66">
        <f>'Monthly Data (14-23) Used'!CB66</f>
        <v>31</v>
      </c>
      <c r="J66">
        <f>'Monthly Data (14-23) Used'!CA66</f>
        <v>1</v>
      </c>
      <c r="K66">
        <f>'Monthly Data (14-23) Used'!BJ66</f>
        <v>65</v>
      </c>
      <c r="M66" s="6">
        <f t="shared" si="26"/>
        <v>-7179191.8731795801</v>
      </c>
      <c r="N66" s="6">
        <f t="shared" si="27"/>
        <v>990317.64753011148</v>
      </c>
      <c r="O66" s="6">
        <f t="shared" si="28"/>
        <v>1485524.6008877181</v>
      </c>
      <c r="P66" s="6">
        <f t="shared" si="29"/>
        <v>0</v>
      </c>
      <c r="Q66" s="6">
        <f t="shared" si="30"/>
        <v>0</v>
      </c>
      <c r="R66" s="6">
        <f t="shared" si="33"/>
        <v>23117235.833798315</v>
      </c>
      <c r="S66" s="6">
        <f t="shared" si="34"/>
        <v>-1713930.83126266</v>
      </c>
      <c r="T66" s="6">
        <f t="shared" si="35"/>
        <v>1406770.2110749299</v>
      </c>
      <c r="U66" s="6">
        <f t="shared" si="36"/>
        <v>18106725.588848837</v>
      </c>
      <c r="V66" s="6">
        <f t="shared" si="31"/>
        <v>271162.77055195719</v>
      </c>
      <c r="W66" s="14">
        <f t="shared" si="32"/>
        <v>1.5203488295518255E-2</v>
      </c>
    </row>
    <row r="67" spans="1:23">
      <c r="A67" s="197">
        <v>43617</v>
      </c>
      <c r="B67">
        <f t="shared" si="37"/>
        <v>6</v>
      </c>
      <c r="C67">
        <f t="shared" si="38"/>
        <v>2019</v>
      </c>
      <c r="D67" s="6">
        <f>'Monthly Data (longer 09-23)'!E127</f>
        <v>23514118.81829688</v>
      </c>
      <c r="E67">
        <f>'Monthly Data (14-23) Used'!AC67</f>
        <v>23.9</v>
      </c>
      <c r="F67">
        <f>'Monthly Data (14-23) Used'!AF67</f>
        <v>103.1</v>
      </c>
      <c r="G67">
        <f>'Monthly Data (14-23) Used'!DD67</f>
        <v>0</v>
      </c>
      <c r="H67">
        <f>'Monthly Data (14-23) Used'!DG67</f>
        <v>0</v>
      </c>
      <c r="I67">
        <f>'Monthly Data (14-23) Used'!CB67</f>
        <v>30</v>
      </c>
      <c r="J67">
        <f>'Monthly Data (14-23) Used'!CA67</f>
        <v>0</v>
      </c>
      <c r="K67">
        <f>'Monthly Data (14-23) Used'!BJ67</f>
        <v>66</v>
      </c>
      <c r="M67" s="6">
        <f t="shared" si="26"/>
        <v>-7179191.8731795801</v>
      </c>
      <c r="N67" s="6">
        <f t="shared" si="27"/>
        <v>169667.32455892224</v>
      </c>
      <c r="O67" s="6">
        <f t="shared" si="28"/>
        <v>6868053.1996198986</v>
      </c>
      <c r="P67" s="6">
        <f t="shared" si="29"/>
        <v>0</v>
      </c>
      <c r="Q67" s="6">
        <f t="shared" si="30"/>
        <v>0</v>
      </c>
      <c r="R67" s="6">
        <f t="shared" si="33"/>
        <v>22371518.548837077</v>
      </c>
      <c r="S67" s="6">
        <f t="shared" si="34"/>
        <v>0</v>
      </c>
      <c r="T67" s="6">
        <f t="shared" si="35"/>
        <v>1428412.8297068519</v>
      </c>
      <c r="U67" s="6">
        <f t="shared" si="36"/>
        <v>23658460.029543169</v>
      </c>
      <c r="V67" s="6">
        <f t="shared" si="31"/>
        <v>144341.21124628931</v>
      </c>
      <c r="W67" s="14">
        <f t="shared" si="32"/>
        <v>6.1384911916824237E-3</v>
      </c>
    </row>
    <row r="68" spans="1:23">
      <c r="A68" s="197">
        <v>43647</v>
      </c>
      <c r="B68">
        <f t="shared" si="37"/>
        <v>7</v>
      </c>
      <c r="C68">
        <f t="shared" si="38"/>
        <v>2019</v>
      </c>
      <c r="D68" s="6">
        <f>'Monthly Data (longer 09-23)'!E128</f>
        <v>34879844.81829688</v>
      </c>
      <c r="E68">
        <f>'Monthly Data (14-23) Used'!AC68</f>
        <v>0</v>
      </c>
      <c r="F68">
        <f>'Monthly Data (14-23) Used'!AF68</f>
        <v>252.46447700859022</v>
      </c>
      <c r="G68">
        <f>'Monthly Data (14-23) Used'!DD68</f>
        <v>0</v>
      </c>
      <c r="H68">
        <f>'Monthly Data (14-23) Used'!DG68</f>
        <v>0</v>
      </c>
      <c r="I68">
        <f>'Monthly Data (14-23) Used'!CB68</f>
        <v>31</v>
      </c>
      <c r="J68">
        <f>'Monthly Data (14-23) Used'!CA68</f>
        <v>0</v>
      </c>
      <c r="K68">
        <f>'Monthly Data (14-23) Used'!BJ68</f>
        <v>67</v>
      </c>
      <c r="M68" s="6">
        <f t="shared" si="26"/>
        <v>-7179191.8731795801</v>
      </c>
      <c r="N68" s="6">
        <f t="shared" si="27"/>
        <v>0</v>
      </c>
      <c r="O68" s="6">
        <f t="shared" si="28"/>
        <v>16818035.490874998</v>
      </c>
      <c r="P68" s="6">
        <f t="shared" si="29"/>
        <v>0</v>
      </c>
      <c r="Q68" s="6">
        <f t="shared" si="30"/>
        <v>0</v>
      </c>
      <c r="R68" s="6">
        <f t="shared" si="33"/>
        <v>23117235.833798315</v>
      </c>
      <c r="S68" s="6">
        <f t="shared" si="34"/>
        <v>0</v>
      </c>
      <c r="T68" s="6">
        <f t="shared" si="35"/>
        <v>1450055.448338774</v>
      </c>
      <c r="U68" s="6">
        <f t="shared" si="36"/>
        <v>34206134.899832509</v>
      </c>
      <c r="V68" s="6">
        <f t="shared" si="31"/>
        <v>-673709.91846437007</v>
      </c>
      <c r="W68" s="14">
        <f t="shared" si="32"/>
        <v>1.9315163871112262E-2</v>
      </c>
    </row>
    <row r="69" spans="1:23">
      <c r="A69" s="197">
        <v>43678</v>
      </c>
      <c r="B69">
        <f t="shared" si="37"/>
        <v>8</v>
      </c>
      <c r="C69">
        <f t="shared" si="38"/>
        <v>2019</v>
      </c>
      <c r="D69" s="6">
        <f>'Monthly Data (longer 09-23)'!E129</f>
        <v>30755784.81829688</v>
      </c>
      <c r="E69">
        <f>'Monthly Data (14-23) Used'!AC69</f>
        <v>0.39999999999999858</v>
      </c>
      <c r="F69">
        <f>'Monthly Data (14-23) Used'!AF69</f>
        <v>185.96447700859014</v>
      </c>
      <c r="G69">
        <f>'Monthly Data (14-23) Used'!DD69</f>
        <v>0</v>
      </c>
      <c r="H69">
        <f>'Monthly Data (14-23) Used'!DG69</f>
        <v>0</v>
      </c>
      <c r="I69">
        <f>'Monthly Data (14-23) Used'!CB69</f>
        <v>31</v>
      </c>
      <c r="J69">
        <f>'Monthly Data (14-23) Used'!CA69</f>
        <v>0</v>
      </c>
      <c r="K69">
        <f>'Monthly Data (14-23) Used'!BJ69</f>
        <v>68</v>
      </c>
      <c r="M69" s="6">
        <f t="shared" si="26"/>
        <v>-7179191.8731795801</v>
      </c>
      <c r="N69" s="6">
        <f t="shared" si="27"/>
        <v>2839.6204947099859</v>
      </c>
      <c r="O69" s="6">
        <f t="shared" si="28"/>
        <v>12388107.869393682</v>
      </c>
      <c r="P69" s="6">
        <f t="shared" si="29"/>
        <v>0</v>
      </c>
      <c r="Q69" s="6">
        <f t="shared" si="30"/>
        <v>0</v>
      </c>
      <c r="R69" s="6">
        <f t="shared" si="33"/>
        <v>23117235.833798315</v>
      </c>
      <c r="S69" s="6">
        <f t="shared" si="34"/>
        <v>0</v>
      </c>
      <c r="T69" s="6">
        <f t="shared" si="35"/>
        <v>1471698.066970696</v>
      </c>
      <c r="U69" s="6">
        <f t="shared" si="36"/>
        <v>29800689.517477822</v>
      </c>
      <c r="V69" s="6">
        <f t="shared" si="31"/>
        <v>-955095.30081905797</v>
      </c>
      <c r="W69" s="14">
        <f t="shared" si="32"/>
        <v>3.105416774313181E-2</v>
      </c>
    </row>
    <row r="70" spans="1:23">
      <c r="A70" s="197">
        <v>43709</v>
      </c>
      <c r="B70">
        <f t="shared" si="37"/>
        <v>9</v>
      </c>
      <c r="C70">
        <f t="shared" si="38"/>
        <v>2019</v>
      </c>
      <c r="D70" s="6">
        <f>'Monthly Data (longer 09-23)'!E130</f>
        <v>23830627.81829688</v>
      </c>
      <c r="E70">
        <f>'Monthly Data (14-23) Used'!AC70</f>
        <v>14.699999999999998</v>
      </c>
      <c r="F70">
        <f>'Monthly Data (14-23) Used'!AF70</f>
        <v>98.300000000000011</v>
      </c>
      <c r="G70">
        <f>'Monthly Data (14-23) Used'!DD70</f>
        <v>0</v>
      </c>
      <c r="H70">
        <f>'Monthly Data (14-23) Used'!DG70</f>
        <v>0</v>
      </c>
      <c r="I70">
        <f>'Monthly Data (14-23) Used'!CB70</f>
        <v>30</v>
      </c>
      <c r="J70">
        <f>'Monthly Data (14-23) Used'!CA70</f>
        <v>0</v>
      </c>
      <c r="K70">
        <f>'Monthly Data (14-23) Used'!BJ70</f>
        <v>69</v>
      </c>
      <c r="M70" s="6">
        <f t="shared" si="26"/>
        <v>-7179191.8731795801</v>
      </c>
      <c r="N70" s="6">
        <f t="shared" si="27"/>
        <v>104356.05318059234</v>
      </c>
      <c r="O70" s="6">
        <f t="shared" si="28"/>
        <v>6548299.02543779</v>
      </c>
      <c r="P70" s="6">
        <f t="shared" si="29"/>
        <v>0</v>
      </c>
      <c r="Q70" s="6">
        <f t="shared" si="30"/>
        <v>0</v>
      </c>
      <c r="R70" s="6">
        <f t="shared" si="33"/>
        <v>22371518.548837077</v>
      </c>
      <c r="S70" s="6">
        <f t="shared" si="34"/>
        <v>0</v>
      </c>
      <c r="T70" s="6">
        <f t="shared" si="35"/>
        <v>1493340.6856026179</v>
      </c>
      <c r="U70" s="6">
        <f t="shared" si="36"/>
        <v>23338322.439878497</v>
      </c>
      <c r="V70" s="6">
        <f t="shared" si="31"/>
        <v>-492305.37841838226</v>
      </c>
      <c r="W70" s="14">
        <f t="shared" si="32"/>
        <v>2.0658514839478795E-2</v>
      </c>
    </row>
    <row r="71" spans="1:23">
      <c r="A71" s="197">
        <v>43739</v>
      </c>
      <c r="B71">
        <f t="shared" si="37"/>
        <v>10</v>
      </c>
      <c r="C71">
        <f t="shared" si="38"/>
        <v>2019</v>
      </c>
      <c r="D71" s="6">
        <f>'Monthly Data (longer 09-23)'!E131</f>
        <v>18077838.81829688</v>
      </c>
      <c r="E71">
        <f>'Monthly Data (14-23) Used'!AC71</f>
        <v>204.10000000000002</v>
      </c>
      <c r="F71">
        <f>'Monthly Data (14-23) Used'!AF71</f>
        <v>13.3</v>
      </c>
      <c r="G71">
        <f>'Monthly Data (14-23) Used'!DD71</f>
        <v>0</v>
      </c>
      <c r="H71">
        <f>'Monthly Data (14-23) Used'!DG71</f>
        <v>0</v>
      </c>
      <c r="I71">
        <f>'Monthly Data (14-23) Used'!CB71</f>
        <v>31</v>
      </c>
      <c r="J71">
        <f>'Monthly Data (14-23) Used'!CA71</f>
        <v>1</v>
      </c>
      <c r="K71">
        <f>'Monthly Data (14-23) Used'!BJ71</f>
        <v>70</v>
      </c>
      <c r="M71" s="6">
        <f t="shared" si="26"/>
        <v>-7179191.8731795801</v>
      </c>
      <c r="N71" s="6">
        <f t="shared" si="27"/>
        <v>1448916.3574257756</v>
      </c>
      <c r="O71" s="6">
        <f t="shared" si="28"/>
        <v>885985.52429626242</v>
      </c>
      <c r="P71" s="6">
        <f t="shared" si="29"/>
        <v>0</v>
      </c>
      <c r="Q71" s="6">
        <f t="shared" si="30"/>
        <v>0</v>
      </c>
      <c r="R71" s="6">
        <f t="shared" si="33"/>
        <v>23117235.833798315</v>
      </c>
      <c r="S71" s="6">
        <f t="shared" si="34"/>
        <v>-1713930.83126266</v>
      </c>
      <c r="T71" s="6">
        <f t="shared" si="35"/>
        <v>1514983.3042345401</v>
      </c>
      <c r="U71" s="6">
        <f t="shared" si="36"/>
        <v>18073998.315312654</v>
      </c>
      <c r="V71" s="6">
        <f t="shared" si="31"/>
        <v>-3840.50298422575</v>
      </c>
      <c r="W71" s="14">
        <f t="shared" si="32"/>
        <v>2.1244259465012563E-4</v>
      </c>
    </row>
    <row r="72" spans="1:23">
      <c r="A72" s="197">
        <v>43770</v>
      </c>
      <c r="B72">
        <f t="shared" si="37"/>
        <v>11</v>
      </c>
      <c r="C72">
        <f t="shared" si="38"/>
        <v>2019</v>
      </c>
      <c r="D72" s="6">
        <f>'Monthly Data (longer 09-23)'!E132</f>
        <v>19283634.81829688</v>
      </c>
      <c r="E72">
        <f>'Monthly Data (14-23) Used'!AC72</f>
        <v>495.19999999999993</v>
      </c>
      <c r="F72">
        <f>'Monthly Data (14-23) Used'!AF72</f>
        <v>0</v>
      </c>
      <c r="G72">
        <f>'Monthly Data (14-23) Used'!DD72</f>
        <v>0</v>
      </c>
      <c r="H72">
        <f>'Monthly Data (14-23) Used'!DG72</f>
        <v>0</v>
      </c>
      <c r="I72">
        <f>'Monthly Data (14-23) Used'!CB72</f>
        <v>30</v>
      </c>
      <c r="J72">
        <f>'Monthly Data (14-23) Used'!CA72</f>
        <v>1</v>
      </c>
      <c r="K72">
        <f>'Monthly Data (14-23) Used'!BJ72</f>
        <v>71</v>
      </c>
      <c r="M72" s="6">
        <f t="shared" si="26"/>
        <v>-7179191.8731795801</v>
      </c>
      <c r="N72" s="6">
        <f t="shared" si="27"/>
        <v>3515450.1724509746</v>
      </c>
      <c r="O72" s="6">
        <f t="shared" si="28"/>
        <v>0</v>
      </c>
      <c r="P72" s="6">
        <f t="shared" si="29"/>
        <v>0</v>
      </c>
      <c r="Q72" s="6">
        <f t="shared" si="30"/>
        <v>0</v>
      </c>
      <c r="R72" s="6">
        <f t="shared" si="33"/>
        <v>22371518.548837077</v>
      </c>
      <c r="S72" s="6">
        <f t="shared" si="34"/>
        <v>-1713930.83126266</v>
      </c>
      <c r="T72" s="6">
        <f t="shared" si="35"/>
        <v>1536625.922866462</v>
      </c>
      <c r="U72" s="6">
        <f t="shared" si="36"/>
        <v>18530471.939712275</v>
      </c>
      <c r="V72" s="6">
        <f t="shared" si="31"/>
        <v>-753162.87858460471</v>
      </c>
      <c r="W72" s="14">
        <f t="shared" si="32"/>
        <v>3.9057101302809448E-2</v>
      </c>
    </row>
    <row r="73" spans="1:23">
      <c r="A73" s="197">
        <v>43800</v>
      </c>
      <c r="B73">
        <f t="shared" si="37"/>
        <v>12</v>
      </c>
      <c r="C73">
        <f t="shared" si="38"/>
        <v>2019</v>
      </c>
      <c r="D73" s="6">
        <f>'Monthly Data (longer 09-23)'!E133</f>
        <v>21585918.81829688</v>
      </c>
      <c r="E73">
        <f>'Monthly Data (14-23) Used'!AC73</f>
        <v>527.90000000000009</v>
      </c>
      <c r="F73">
        <f>'Monthly Data (14-23) Used'!AF73</f>
        <v>0</v>
      </c>
      <c r="G73">
        <f>'Monthly Data (14-23) Used'!DD73</f>
        <v>0</v>
      </c>
      <c r="H73">
        <f>'Monthly Data (14-23) Used'!DG73</f>
        <v>0</v>
      </c>
      <c r="I73">
        <f>'Monthly Data (14-23) Used'!CB73</f>
        <v>31</v>
      </c>
      <c r="J73">
        <f>'Monthly Data (14-23) Used'!CA73</f>
        <v>0</v>
      </c>
      <c r="K73">
        <f>'Monthly Data (14-23) Used'!BJ73</f>
        <v>72</v>
      </c>
      <c r="M73" s="6">
        <f t="shared" si="26"/>
        <v>-7179191.8731795801</v>
      </c>
      <c r="N73" s="6">
        <f t="shared" si="27"/>
        <v>3747589.1478935177</v>
      </c>
      <c r="O73" s="6">
        <f t="shared" si="28"/>
        <v>0</v>
      </c>
      <c r="P73" s="6">
        <f t="shared" si="29"/>
        <v>0</v>
      </c>
      <c r="Q73" s="6">
        <f t="shared" si="30"/>
        <v>0</v>
      </c>
      <c r="R73" s="6">
        <f t="shared" si="33"/>
        <v>23117235.833798315</v>
      </c>
      <c r="S73" s="6">
        <f t="shared" si="34"/>
        <v>0</v>
      </c>
      <c r="T73" s="6">
        <f t="shared" si="35"/>
        <v>1558268.541498384</v>
      </c>
      <c r="U73" s="6">
        <f t="shared" si="36"/>
        <v>21243901.650010638</v>
      </c>
      <c r="V73" s="6">
        <f t="shared" si="31"/>
        <v>-342017.16828624159</v>
      </c>
      <c r="W73" s="14">
        <f t="shared" si="32"/>
        <v>1.5844457267037319E-2</v>
      </c>
    </row>
    <row r="74" spans="1:23">
      <c r="A74" s="197">
        <v>43831</v>
      </c>
      <c r="B74">
        <f t="shared" ref="B74:B97" si="39">MONTH(A74)</f>
        <v>1</v>
      </c>
      <c r="C74">
        <f t="shared" ref="C74:C97" si="40">YEAR(A74)</f>
        <v>2020</v>
      </c>
      <c r="D74" s="6">
        <f>'Monthly Data (longer 09-23)'!E134</f>
        <v>20814897.730626732</v>
      </c>
      <c r="E74">
        <f>'Monthly Data (14-23) Used'!AC74</f>
        <v>561.20000000000016</v>
      </c>
      <c r="F74">
        <f>'Monthly Data (14-23) Used'!AF74</f>
        <v>0</v>
      </c>
      <c r="G74">
        <f>'Monthly Data (14-23) Used'!DD74</f>
        <v>0</v>
      </c>
      <c r="H74">
        <f>'Monthly Data (14-23) Used'!DG74</f>
        <v>0</v>
      </c>
      <c r="I74">
        <f>'Monthly Data (14-23) Used'!CB74</f>
        <v>31</v>
      </c>
      <c r="J74">
        <f>'Monthly Data (14-23) Used'!CA74</f>
        <v>0</v>
      </c>
      <c r="K74">
        <f>'Monthly Data (14-23) Used'!BJ74</f>
        <v>73</v>
      </c>
      <c r="M74" s="6">
        <f t="shared" si="26"/>
        <v>-7179191.8731795801</v>
      </c>
      <c r="N74" s="6">
        <f t="shared" si="27"/>
        <v>3983987.5540781254</v>
      </c>
      <c r="O74" s="6">
        <f t="shared" si="28"/>
        <v>0</v>
      </c>
      <c r="P74" s="6">
        <f t="shared" si="29"/>
        <v>0</v>
      </c>
      <c r="Q74" s="6">
        <f t="shared" si="30"/>
        <v>0</v>
      </c>
      <c r="R74" s="6">
        <f t="shared" si="33"/>
        <v>23117235.833798315</v>
      </c>
      <c r="S74" s="6">
        <f t="shared" si="34"/>
        <v>0</v>
      </c>
      <c r="T74" s="6">
        <f t="shared" si="35"/>
        <v>1579911.1601303059</v>
      </c>
      <c r="U74" s="6">
        <f t="shared" si="36"/>
        <v>21501942.674827166</v>
      </c>
      <c r="V74" s="6">
        <f t="shared" si="31"/>
        <v>687044.94420043379</v>
      </c>
      <c r="W74" s="14">
        <f t="shared" si="32"/>
        <v>3.3007365834400719E-2</v>
      </c>
    </row>
    <row r="75" spans="1:23">
      <c r="A75" s="197">
        <v>43862</v>
      </c>
      <c r="B75">
        <f t="shared" si="39"/>
        <v>2</v>
      </c>
      <c r="C75">
        <f t="shared" si="40"/>
        <v>2020</v>
      </c>
      <c r="D75" s="6">
        <f>'Monthly Data (longer 09-23)'!E135</f>
        <v>19314397.730626732</v>
      </c>
      <c r="E75">
        <f>'Monthly Data (14-23) Used'!AC75</f>
        <v>569.29999999999984</v>
      </c>
      <c r="F75">
        <f>'Monthly Data (14-23) Used'!AF75</f>
        <v>0</v>
      </c>
      <c r="G75">
        <f>'Monthly Data (14-23) Used'!DD75</f>
        <v>0</v>
      </c>
      <c r="H75">
        <f>'Monthly Data (14-23) Used'!DG75</f>
        <v>0</v>
      </c>
      <c r="I75">
        <f>'Monthly Data (14-23) Used'!CB75</f>
        <v>29</v>
      </c>
      <c r="J75">
        <f>'Monthly Data (14-23) Used'!CA75</f>
        <v>0</v>
      </c>
      <c r="K75">
        <f>'Monthly Data (14-23) Used'!BJ75</f>
        <v>74</v>
      </c>
      <c r="M75" s="6">
        <f t="shared" si="26"/>
        <v>-7179191.8731795801</v>
      </c>
      <c r="N75" s="6">
        <f t="shared" si="27"/>
        <v>4041489.8690960007</v>
      </c>
      <c r="O75" s="6">
        <f t="shared" si="28"/>
        <v>0</v>
      </c>
      <c r="P75" s="6">
        <f t="shared" si="29"/>
        <v>0</v>
      </c>
      <c r="Q75" s="6">
        <f t="shared" si="30"/>
        <v>0</v>
      </c>
      <c r="R75" s="6">
        <f t="shared" si="33"/>
        <v>21625801.263875842</v>
      </c>
      <c r="S75" s="6">
        <f t="shared" si="34"/>
        <v>0</v>
      </c>
      <c r="T75" s="6">
        <f t="shared" si="35"/>
        <v>1601553.7787622279</v>
      </c>
      <c r="U75" s="6">
        <f t="shared" si="36"/>
        <v>20089653.03855449</v>
      </c>
      <c r="V75" s="6">
        <f t="shared" si="31"/>
        <v>775255.3079277575</v>
      </c>
      <c r="W75" s="14">
        <f t="shared" si="32"/>
        <v>4.0138725459631576E-2</v>
      </c>
    </row>
    <row r="76" spans="1:23">
      <c r="A76" s="197">
        <v>43891</v>
      </c>
      <c r="B76">
        <f t="shared" si="39"/>
        <v>3</v>
      </c>
      <c r="C76">
        <f t="shared" si="40"/>
        <v>2020</v>
      </c>
      <c r="D76" s="6">
        <f>'Monthly Data (longer 09-23)'!E136</f>
        <v>19587303.730626732</v>
      </c>
      <c r="E76">
        <f>'Monthly Data (14-23) Used'!AC76</f>
        <v>422.2</v>
      </c>
      <c r="F76">
        <f>'Monthly Data (14-23) Used'!AF76</f>
        <v>0</v>
      </c>
      <c r="G76">
        <f>'Monthly Data (14-23) Used'!DD76</f>
        <v>211.1</v>
      </c>
      <c r="H76">
        <f>'Monthly Data (14-23) Used'!DG76</f>
        <v>0</v>
      </c>
      <c r="I76">
        <f>'Monthly Data (14-23) Used'!CB76</f>
        <v>31</v>
      </c>
      <c r="J76">
        <f>'Monthly Data (14-23) Used'!CA76</f>
        <v>1</v>
      </c>
      <c r="K76">
        <f>'Monthly Data (14-23) Used'!BJ76</f>
        <v>75</v>
      </c>
      <c r="M76" s="6">
        <f t="shared" si="26"/>
        <v>-7179191.8731795801</v>
      </c>
      <c r="N76" s="6">
        <f t="shared" si="27"/>
        <v>2997219.4321664008</v>
      </c>
      <c r="O76" s="6">
        <f t="shared" si="28"/>
        <v>0</v>
      </c>
      <c r="P76" s="6">
        <f t="shared" si="29"/>
        <v>508380.9833153378</v>
      </c>
      <c r="Q76" s="6">
        <f t="shared" si="30"/>
        <v>0</v>
      </c>
      <c r="R76" s="6">
        <f t="shared" si="33"/>
        <v>23117235.833798315</v>
      </c>
      <c r="S76" s="6">
        <f t="shared" si="34"/>
        <v>-1713930.83126266</v>
      </c>
      <c r="T76" s="6">
        <f t="shared" si="35"/>
        <v>1623196.39739415</v>
      </c>
      <c r="U76" s="6">
        <f t="shared" si="36"/>
        <v>19352909.942231964</v>
      </c>
      <c r="V76" s="6">
        <f t="shared" si="31"/>
        <v>-234393.78839476779</v>
      </c>
      <c r="W76" s="14">
        <f t="shared" si="32"/>
        <v>1.1966618357393896E-2</v>
      </c>
    </row>
    <row r="77" spans="1:23">
      <c r="A77" s="197">
        <v>43922</v>
      </c>
      <c r="B77">
        <f t="shared" si="39"/>
        <v>4</v>
      </c>
      <c r="C77">
        <f t="shared" si="40"/>
        <v>2020</v>
      </c>
      <c r="D77" s="6">
        <f>'Monthly Data (longer 09-23)'!E137</f>
        <v>18859222.730626732</v>
      </c>
      <c r="E77">
        <f>'Monthly Data (14-23) Used'!AC77</f>
        <v>336.5</v>
      </c>
      <c r="F77">
        <f>'Monthly Data (14-23) Used'!AF77</f>
        <v>0</v>
      </c>
      <c r="G77">
        <f>'Monthly Data (14-23) Used'!DD77</f>
        <v>336.5</v>
      </c>
      <c r="H77">
        <f>'Monthly Data (14-23) Used'!DG77</f>
        <v>0</v>
      </c>
      <c r="I77">
        <f>'Monthly Data (14-23) Used'!CB77</f>
        <v>30</v>
      </c>
      <c r="J77">
        <f>'Monthly Data (14-23) Used'!CA77</f>
        <v>1</v>
      </c>
      <c r="K77">
        <f>'Monthly Data (14-23) Used'!BJ77</f>
        <v>76</v>
      </c>
      <c r="M77" s="6">
        <f t="shared" si="26"/>
        <v>-7179191.8731795801</v>
      </c>
      <c r="N77" s="6">
        <f t="shared" si="27"/>
        <v>2388830.741174784</v>
      </c>
      <c r="O77" s="6">
        <f t="shared" si="28"/>
        <v>0</v>
      </c>
      <c r="P77" s="6">
        <f t="shared" si="29"/>
        <v>810375.18183614954</v>
      </c>
      <c r="Q77" s="6">
        <f t="shared" si="30"/>
        <v>0</v>
      </c>
      <c r="R77" s="6">
        <f t="shared" si="33"/>
        <v>22371518.548837077</v>
      </c>
      <c r="S77" s="6">
        <f t="shared" si="34"/>
        <v>-1713930.83126266</v>
      </c>
      <c r="T77" s="6">
        <f t="shared" si="35"/>
        <v>1644839.016026072</v>
      </c>
      <c r="U77" s="6">
        <f t="shared" si="36"/>
        <v>18322440.783431843</v>
      </c>
      <c r="V77" s="6">
        <f t="shared" si="31"/>
        <v>-536781.94719488919</v>
      </c>
      <c r="W77" s="14">
        <f t="shared" si="32"/>
        <v>2.8462570004180166E-2</v>
      </c>
    </row>
    <row r="78" spans="1:23">
      <c r="A78" s="197">
        <v>43952</v>
      </c>
      <c r="B78">
        <f t="shared" si="39"/>
        <v>5</v>
      </c>
      <c r="C78">
        <f t="shared" si="40"/>
        <v>2020</v>
      </c>
      <c r="D78" s="6">
        <f>'Monthly Data (longer 09-23)'!E138</f>
        <v>21309027.730626732</v>
      </c>
      <c r="E78">
        <f>'Monthly Data (14-23) Used'!AC78</f>
        <v>160.50000000000003</v>
      </c>
      <c r="F78">
        <f>'Monthly Data (14-23) Used'!AF78</f>
        <v>43.2</v>
      </c>
      <c r="G78">
        <f>'Monthly Data (14-23) Used'!DD78</f>
        <v>160.50000000000003</v>
      </c>
      <c r="H78">
        <f>'Monthly Data (14-23) Used'!DG78</f>
        <v>43.2</v>
      </c>
      <c r="I78">
        <f>'Monthly Data (14-23) Used'!CB78</f>
        <v>31</v>
      </c>
      <c r="J78">
        <f>'Monthly Data (14-23) Used'!CA78</f>
        <v>1</v>
      </c>
      <c r="K78">
        <f>'Monthly Data (14-23) Used'!BJ78</f>
        <v>77</v>
      </c>
      <c r="M78" s="6">
        <f t="shared" si="26"/>
        <v>-7179191.8731795801</v>
      </c>
      <c r="N78" s="6">
        <f t="shared" si="27"/>
        <v>1139397.7235023861</v>
      </c>
      <c r="O78" s="6">
        <f t="shared" si="28"/>
        <v>2877787.5676389877</v>
      </c>
      <c r="P78" s="6">
        <f t="shared" si="29"/>
        <v>386523.67514027347</v>
      </c>
      <c r="Q78" s="6">
        <f t="shared" si="30"/>
        <v>664309.83708546055</v>
      </c>
      <c r="R78" s="6">
        <f t="shared" si="33"/>
        <v>23117235.833798315</v>
      </c>
      <c r="S78" s="6">
        <f t="shared" si="34"/>
        <v>-1713930.83126266</v>
      </c>
      <c r="T78" s="6">
        <f t="shared" si="35"/>
        <v>1666481.6346579939</v>
      </c>
      <c r="U78" s="6">
        <f t="shared" si="36"/>
        <v>20958613.567381177</v>
      </c>
      <c r="V78" s="6">
        <f t="shared" si="31"/>
        <v>-350414.16324555501</v>
      </c>
      <c r="W78" s="14">
        <f t="shared" si="32"/>
        <v>1.6444399419590448E-2</v>
      </c>
    </row>
    <row r="79" spans="1:23">
      <c r="A79" s="197">
        <v>43983</v>
      </c>
      <c r="B79">
        <f t="shared" si="39"/>
        <v>6</v>
      </c>
      <c r="C79">
        <f t="shared" si="40"/>
        <v>2020</v>
      </c>
      <c r="D79" s="6">
        <f>'Monthly Data (longer 09-23)'!E139</f>
        <v>29738196.730626732</v>
      </c>
      <c r="E79">
        <f>'Monthly Data (14-23) Used'!AC79</f>
        <v>10.799999999999999</v>
      </c>
      <c r="F79">
        <f>'Monthly Data (14-23) Used'!AF79</f>
        <v>164.9</v>
      </c>
      <c r="G79">
        <f>'Monthly Data (14-23) Used'!DD79</f>
        <v>10.799999999999999</v>
      </c>
      <c r="H79">
        <f>'Monthly Data (14-23) Used'!DG79</f>
        <v>164.9</v>
      </c>
      <c r="I79">
        <f>'Monthly Data (14-23) Used'!CB79</f>
        <v>30</v>
      </c>
      <c r="J79">
        <f>'Monthly Data (14-23) Used'!CA79</f>
        <v>0</v>
      </c>
      <c r="K79">
        <f>'Monthly Data (14-23) Used'!BJ79</f>
        <v>78</v>
      </c>
      <c r="M79" s="6">
        <f t="shared" si="26"/>
        <v>-7179191.8731795801</v>
      </c>
      <c r="N79" s="6">
        <f t="shared" si="27"/>
        <v>76669.753357169888</v>
      </c>
      <c r="O79" s="6">
        <f t="shared" si="28"/>
        <v>10984888.192214562</v>
      </c>
      <c r="P79" s="6">
        <f t="shared" si="29"/>
        <v>26009.069729065126</v>
      </c>
      <c r="Q79" s="6">
        <f t="shared" si="30"/>
        <v>2535756.7623933437</v>
      </c>
      <c r="R79" s="6">
        <f t="shared" si="33"/>
        <v>22371518.548837077</v>
      </c>
      <c r="S79" s="6">
        <f t="shared" si="34"/>
        <v>0</v>
      </c>
      <c r="T79" s="6">
        <f t="shared" si="35"/>
        <v>1688124.2532899161</v>
      </c>
      <c r="U79" s="6">
        <f t="shared" si="36"/>
        <v>30503774.706641555</v>
      </c>
      <c r="V79" s="6">
        <f t="shared" si="31"/>
        <v>765577.97601482272</v>
      </c>
      <c r="W79" s="14">
        <f t="shared" si="32"/>
        <v>2.5743927345344728E-2</v>
      </c>
    </row>
    <row r="80" spans="1:23">
      <c r="A80" s="197">
        <v>44013</v>
      </c>
      <c r="B80">
        <f t="shared" si="39"/>
        <v>7</v>
      </c>
      <c r="C80">
        <f t="shared" si="40"/>
        <v>2020</v>
      </c>
      <c r="D80" s="6">
        <f>'Monthly Data (longer 09-23)'!E140</f>
        <v>39172531.730626732</v>
      </c>
      <c r="E80">
        <f>'Monthly Data (14-23) Used'!AC80</f>
        <v>0</v>
      </c>
      <c r="F80">
        <f>'Monthly Data (14-23) Used'!AF80</f>
        <v>267.70000000000005</v>
      </c>
      <c r="G80">
        <f>'Monthly Data (14-23) Used'!DD80</f>
        <v>0</v>
      </c>
      <c r="H80">
        <f>'Monthly Data (14-23) Used'!DG80</f>
        <v>267.70000000000005</v>
      </c>
      <c r="I80">
        <f>'Monthly Data (14-23) Used'!CB80</f>
        <v>31</v>
      </c>
      <c r="J80">
        <f>'Monthly Data (14-23) Used'!CA80</f>
        <v>0</v>
      </c>
      <c r="K80">
        <f>'Monthly Data (14-23) Used'!BJ80</f>
        <v>79</v>
      </c>
      <c r="M80" s="6">
        <f t="shared" si="26"/>
        <v>-7179191.8731795801</v>
      </c>
      <c r="N80" s="6">
        <f t="shared" si="27"/>
        <v>0</v>
      </c>
      <c r="O80" s="6">
        <f t="shared" si="28"/>
        <v>17832956.755948082</v>
      </c>
      <c r="P80" s="6">
        <f t="shared" si="29"/>
        <v>0</v>
      </c>
      <c r="Q80" s="6">
        <f t="shared" si="30"/>
        <v>4116568.133976338</v>
      </c>
      <c r="R80" s="6">
        <f t="shared" si="33"/>
        <v>23117235.833798315</v>
      </c>
      <c r="S80" s="6">
        <f t="shared" si="34"/>
        <v>0</v>
      </c>
      <c r="T80" s="6">
        <f t="shared" si="35"/>
        <v>1709766.871921838</v>
      </c>
      <c r="U80" s="6">
        <f t="shared" si="36"/>
        <v>39597335.722464994</v>
      </c>
      <c r="V80" s="6">
        <f t="shared" si="31"/>
        <v>424803.99183826149</v>
      </c>
      <c r="W80" s="14">
        <f t="shared" si="32"/>
        <v>1.0844435451848313E-2</v>
      </c>
    </row>
    <row r="81" spans="1:23">
      <c r="A81" s="197">
        <v>44044</v>
      </c>
      <c r="B81">
        <f t="shared" si="39"/>
        <v>8</v>
      </c>
      <c r="C81">
        <f t="shared" si="40"/>
        <v>2020</v>
      </c>
      <c r="D81" s="6">
        <f>'Monthly Data (longer 09-23)'!E141</f>
        <v>33842332.730626732</v>
      </c>
      <c r="E81">
        <f>'Monthly Data (14-23) Used'!AC81</f>
        <v>0</v>
      </c>
      <c r="F81">
        <f>'Monthly Data (14-23) Used'!AF81</f>
        <v>182.05790803436074</v>
      </c>
      <c r="G81">
        <f>'Monthly Data (14-23) Used'!DD81</f>
        <v>0</v>
      </c>
      <c r="H81">
        <f>'Monthly Data (14-23) Used'!DG81</f>
        <v>182.05790803436074</v>
      </c>
      <c r="I81">
        <f>'Monthly Data (14-23) Used'!CB81</f>
        <v>31</v>
      </c>
      <c r="J81">
        <f>'Monthly Data (14-23) Used'!CA81</f>
        <v>0</v>
      </c>
      <c r="K81">
        <f>'Monthly Data (14-23) Used'!BJ81</f>
        <v>80</v>
      </c>
      <c r="M81" s="6">
        <f t="shared" si="26"/>
        <v>-7179191.8731795801</v>
      </c>
      <c r="N81" s="6">
        <f t="shared" si="27"/>
        <v>0</v>
      </c>
      <c r="O81" s="6">
        <f t="shared" si="28"/>
        <v>12127870.00767698</v>
      </c>
      <c r="P81" s="6">
        <f t="shared" si="29"/>
        <v>0</v>
      </c>
      <c r="Q81" s="6">
        <f t="shared" si="30"/>
        <v>2799603.2228339338</v>
      </c>
      <c r="R81" s="6">
        <f t="shared" si="33"/>
        <v>23117235.833798315</v>
      </c>
      <c r="S81" s="6">
        <f t="shared" si="34"/>
        <v>0</v>
      </c>
      <c r="T81" s="6">
        <f t="shared" si="35"/>
        <v>1731409.49055376</v>
      </c>
      <c r="U81" s="6">
        <f t="shared" si="36"/>
        <v>32596926.681683406</v>
      </c>
      <c r="V81" s="6">
        <f t="shared" si="31"/>
        <v>-1245406.0489433259</v>
      </c>
      <c r="W81" s="14">
        <f t="shared" si="32"/>
        <v>3.6800242431759285E-2</v>
      </c>
    </row>
    <row r="82" spans="1:23">
      <c r="A82" s="197">
        <v>44075</v>
      </c>
      <c r="B82">
        <f t="shared" si="39"/>
        <v>9</v>
      </c>
      <c r="C82">
        <f t="shared" si="40"/>
        <v>2020</v>
      </c>
      <c r="D82" s="6">
        <f>'Monthly Data (longer 09-23)'!E142</f>
        <v>22476560.730626732</v>
      </c>
      <c r="E82">
        <f>'Monthly Data (14-23) Used'!AC82</f>
        <v>62.1355229914098</v>
      </c>
      <c r="F82">
        <f>'Monthly Data (14-23) Used'!AF82</f>
        <v>55.628954017180384</v>
      </c>
      <c r="G82">
        <f>'Monthly Data (14-23) Used'!DD82</f>
        <v>62.1355229914098</v>
      </c>
      <c r="H82">
        <f>'Monthly Data (14-23) Used'!DG82</f>
        <v>55.628954017180384</v>
      </c>
      <c r="I82">
        <f>'Monthly Data (14-23) Used'!CB82</f>
        <v>30</v>
      </c>
      <c r="J82">
        <f>'Monthly Data (14-23) Used'!CA82</f>
        <v>0</v>
      </c>
      <c r="K82">
        <f>'Monthly Data (14-23) Used'!BJ82</f>
        <v>81</v>
      </c>
      <c r="M82" s="6">
        <f t="shared" si="26"/>
        <v>-7179191.8731795801</v>
      </c>
      <c r="N82" s="6">
        <f t="shared" si="27"/>
        <v>441103.26133982855</v>
      </c>
      <c r="O82" s="6">
        <f t="shared" si="28"/>
        <v>3705747.969245431</v>
      </c>
      <c r="P82" s="6">
        <f t="shared" si="29"/>
        <v>149637.699086621</v>
      </c>
      <c r="Q82" s="6">
        <f t="shared" si="30"/>
        <v>855436.60602749244</v>
      </c>
      <c r="R82" s="6">
        <f t="shared" si="33"/>
        <v>22371518.548837077</v>
      </c>
      <c r="S82" s="6">
        <f t="shared" si="34"/>
        <v>0</v>
      </c>
      <c r="T82" s="6">
        <f t="shared" si="35"/>
        <v>1753052.1091856819</v>
      </c>
      <c r="U82" s="6">
        <f t="shared" si="36"/>
        <v>22097304.320542552</v>
      </c>
      <c r="V82" s="6">
        <f t="shared" si="31"/>
        <v>-379256.41008418053</v>
      </c>
      <c r="W82" s="14">
        <f t="shared" si="32"/>
        <v>1.6873418252437655E-2</v>
      </c>
    </row>
    <row r="83" spans="1:23">
      <c r="A83" s="197">
        <v>44105</v>
      </c>
      <c r="B83">
        <f t="shared" si="39"/>
        <v>10</v>
      </c>
      <c r="C83">
        <f t="shared" si="40"/>
        <v>2020</v>
      </c>
      <c r="D83" s="6">
        <f>'Monthly Data (longer 09-23)'!E143</f>
        <v>18710830.730626732</v>
      </c>
      <c r="E83">
        <f>'Monthly Data (14-23) Used'!AC83</f>
        <v>239.7</v>
      </c>
      <c r="F83">
        <f>'Monthly Data (14-23) Used'!AF83</f>
        <v>4.9000000000000021</v>
      </c>
      <c r="G83">
        <f>'Monthly Data (14-23) Used'!DD83</f>
        <v>239.7</v>
      </c>
      <c r="H83">
        <f>'Monthly Data (14-23) Used'!DG83</f>
        <v>4.9000000000000021</v>
      </c>
      <c r="I83">
        <f>'Monthly Data (14-23) Used'!CB83</f>
        <v>31</v>
      </c>
      <c r="J83">
        <f>'Monthly Data (14-23) Used'!CA83</f>
        <v>1</v>
      </c>
      <c r="K83">
        <f>'Monthly Data (14-23) Used'!BJ83</f>
        <v>82</v>
      </c>
      <c r="M83" s="6">
        <f t="shared" si="26"/>
        <v>-7179191.8731795801</v>
      </c>
      <c r="N83" s="6">
        <f t="shared" si="27"/>
        <v>1701642.5814549651</v>
      </c>
      <c r="O83" s="6">
        <f t="shared" si="28"/>
        <v>326415.7194775705</v>
      </c>
      <c r="P83" s="6">
        <f t="shared" si="29"/>
        <v>577256.8531534177</v>
      </c>
      <c r="Q83" s="6">
        <f t="shared" si="30"/>
        <v>75349.9583731194</v>
      </c>
      <c r="R83" s="6">
        <f t="shared" si="33"/>
        <v>23117235.833798315</v>
      </c>
      <c r="S83" s="6">
        <f t="shared" si="34"/>
        <v>-1713930.83126266</v>
      </c>
      <c r="T83" s="6">
        <f t="shared" si="35"/>
        <v>1774694.7278176039</v>
      </c>
      <c r="U83" s="6">
        <f t="shared" si="36"/>
        <v>18679472.969632752</v>
      </c>
      <c r="V83" s="6">
        <f t="shared" si="31"/>
        <v>-31357.760993979871</v>
      </c>
      <c r="W83" s="14">
        <f t="shared" si="32"/>
        <v>1.6759149524372572E-3</v>
      </c>
    </row>
    <row r="84" spans="1:23">
      <c r="A84" s="197">
        <v>44136</v>
      </c>
      <c r="B84">
        <f t="shared" si="39"/>
        <v>11</v>
      </c>
      <c r="C84">
        <f t="shared" si="40"/>
        <v>2020</v>
      </c>
      <c r="D84" s="6">
        <f>'Monthly Data (longer 09-23)'!E144</f>
        <v>19119222.730626732</v>
      </c>
      <c r="E84">
        <f>'Monthly Data (14-23) Used'!AC84</f>
        <v>330.63552299140986</v>
      </c>
      <c r="F84">
        <f>'Monthly Data (14-23) Used'!AF84</f>
        <v>3.3999999999999986</v>
      </c>
      <c r="G84">
        <f>'Monthly Data (14-23) Used'!DD84</f>
        <v>330.63552299140986</v>
      </c>
      <c r="H84">
        <f>'Monthly Data (14-23) Used'!DG84</f>
        <v>3.3999999999999986</v>
      </c>
      <c r="I84">
        <f>'Monthly Data (14-23) Used'!CB84</f>
        <v>30</v>
      </c>
      <c r="J84">
        <f>'Monthly Data (14-23) Used'!CA84</f>
        <v>1</v>
      </c>
      <c r="K84">
        <f>'Monthly Data (14-23) Used'!BJ84</f>
        <v>83</v>
      </c>
      <c r="M84" s="6">
        <f t="shared" si="26"/>
        <v>-7179191.8731795801</v>
      </c>
      <c r="N84" s="6">
        <f t="shared" si="27"/>
        <v>2347198.5184139139</v>
      </c>
      <c r="O84" s="6">
        <f t="shared" si="28"/>
        <v>226492.54004566098</v>
      </c>
      <c r="P84" s="6">
        <f t="shared" si="29"/>
        <v>796252.07151754585</v>
      </c>
      <c r="Q84" s="6">
        <f t="shared" si="30"/>
        <v>52283.644585429742</v>
      </c>
      <c r="R84" s="6">
        <f t="shared" si="33"/>
        <v>22371518.548837077</v>
      </c>
      <c r="S84" s="6">
        <f t="shared" si="34"/>
        <v>-1713930.83126266</v>
      </c>
      <c r="T84" s="6">
        <f t="shared" si="35"/>
        <v>1796337.346449526</v>
      </c>
      <c r="U84" s="6">
        <f t="shared" si="36"/>
        <v>18696959.965406917</v>
      </c>
      <c r="V84" s="6">
        <f t="shared" si="31"/>
        <v>-422262.76521981508</v>
      </c>
      <c r="W84" s="14">
        <f t="shared" si="32"/>
        <v>2.2085770492301451E-2</v>
      </c>
    </row>
    <row r="85" spans="1:23">
      <c r="A85" s="197">
        <v>44166</v>
      </c>
      <c r="B85">
        <f t="shared" si="39"/>
        <v>12</v>
      </c>
      <c r="C85">
        <f t="shared" si="40"/>
        <v>2020</v>
      </c>
      <c r="D85" s="6">
        <f>'Monthly Data (longer 09-23)'!E145</f>
        <v>23161092.730626732</v>
      </c>
      <c r="E85">
        <f>'Monthly Data (14-23) Used'!AC85</f>
        <v>547.4</v>
      </c>
      <c r="F85">
        <f>'Monthly Data (14-23) Used'!AF85</f>
        <v>0</v>
      </c>
      <c r="G85">
        <f>'Monthly Data (14-23) Used'!DD85</f>
        <v>547.4</v>
      </c>
      <c r="H85">
        <f>'Monthly Data (14-23) Used'!DG85</f>
        <v>0</v>
      </c>
      <c r="I85">
        <f>'Monthly Data (14-23) Used'!CB85</f>
        <v>31</v>
      </c>
      <c r="J85">
        <f>'Monthly Data (14-23) Used'!CA85</f>
        <v>0</v>
      </c>
      <c r="K85">
        <f>'Monthly Data (14-23) Used'!BJ85</f>
        <v>84</v>
      </c>
      <c r="M85" s="6">
        <f t="shared" si="26"/>
        <v>-7179191.8731795801</v>
      </c>
      <c r="N85" s="6">
        <f t="shared" si="27"/>
        <v>3886020.6470106291</v>
      </c>
      <c r="O85" s="6">
        <f t="shared" si="28"/>
        <v>0</v>
      </c>
      <c r="P85" s="6">
        <f t="shared" si="29"/>
        <v>1318274.5157120603</v>
      </c>
      <c r="Q85" s="6">
        <f t="shared" si="30"/>
        <v>0</v>
      </c>
      <c r="R85" s="6">
        <f t="shared" si="33"/>
        <v>23117235.833798315</v>
      </c>
      <c r="S85" s="6">
        <f t="shared" si="34"/>
        <v>0</v>
      </c>
      <c r="T85" s="6">
        <f t="shared" si="35"/>
        <v>1817979.965081448</v>
      </c>
      <c r="U85" s="6">
        <f t="shared" si="36"/>
        <v>22960319.088422876</v>
      </c>
      <c r="V85" s="6">
        <f t="shared" si="31"/>
        <v>-200773.64220385626</v>
      </c>
      <c r="W85" s="14">
        <f t="shared" si="32"/>
        <v>8.6685738250322775E-3</v>
      </c>
    </row>
    <row r="86" spans="1:23">
      <c r="A86" s="197">
        <v>44197</v>
      </c>
      <c r="B86">
        <f t="shared" si="39"/>
        <v>1</v>
      </c>
      <c r="C86">
        <f t="shared" si="40"/>
        <v>2021</v>
      </c>
      <c r="D86" s="6">
        <f>'Monthly Data (longer 09-23)'!E146</f>
        <v>22785374.314028163</v>
      </c>
      <c r="E86">
        <f>'Monthly Data (14-23) Used'!AC86</f>
        <v>610.79999999999995</v>
      </c>
      <c r="F86">
        <f>'Monthly Data (14-23) Used'!AF86</f>
        <v>0</v>
      </c>
      <c r="G86">
        <f>'Monthly Data (14-23) Used'!DD86</f>
        <v>458.09999999999997</v>
      </c>
      <c r="H86">
        <f>'Monthly Data (14-23) Used'!DG86</f>
        <v>0</v>
      </c>
      <c r="I86">
        <f>'Monthly Data (14-23) Used'!CB86</f>
        <v>31</v>
      </c>
      <c r="J86">
        <f>'Monthly Data (14-23) Used'!CA86</f>
        <v>0</v>
      </c>
      <c r="K86">
        <f>'Monthly Data (14-23) Used'!BJ86</f>
        <v>85</v>
      </c>
      <c r="M86" s="6">
        <f t="shared" si="26"/>
        <v>-7179191.8731795801</v>
      </c>
      <c r="N86" s="6">
        <f t="shared" ref="N86:N115" si="41">E86*$AA$8</f>
        <v>4336100.495422163</v>
      </c>
      <c r="O86" s="6">
        <f t="shared" ref="O86:O115" si="42">F86*$AA$9</f>
        <v>0</v>
      </c>
      <c r="P86" s="6">
        <f t="shared" ref="P86:P115" si="43">G86*$AA$10</f>
        <v>1103218.0410078457</v>
      </c>
      <c r="Q86" s="6">
        <f t="shared" ref="Q86:Q115" si="44">H86*$AA$11</f>
        <v>0</v>
      </c>
      <c r="R86" s="6">
        <f t="shared" si="33"/>
        <v>23117235.833798315</v>
      </c>
      <c r="S86" s="6">
        <f t="shared" si="34"/>
        <v>0</v>
      </c>
      <c r="T86" s="6">
        <f t="shared" si="35"/>
        <v>1839622.5837133699</v>
      </c>
      <c r="U86" s="6">
        <f t="shared" si="36"/>
        <v>23216985.080762114</v>
      </c>
      <c r="V86" s="6">
        <f t="shared" ref="V86:V115" si="45">U86-D86</f>
        <v>431610.76673395187</v>
      </c>
      <c r="W86" s="14">
        <f t="shared" ref="W86:W115" si="46">ABS(U86-D86)/D86</f>
        <v>1.8942447939870977E-2</v>
      </c>
    </row>
    <row r="87" spans="1:23">
      <c r="A87" s="197">
        <v>44228</v>
      </c>
      <c r="B87">
        <f t="shared" si="39"/>
        <v>2</v>
      </c>
      <c r="C87">
        <f t="shared" si="40"/>
        <v>2021</v>
      </c>
      <c r="D87" s="6">
        <f>'Monthly Data (longer 09-23)'!E147</f>
        <v>21023404.314028163</v>
      </c>
      <c r="E87">
        <f>'Monthly Data (14-23) Used'!AC87</f>
        <v>654.80000000000018</v>
      </c>
      <c r="F87">
        <f>'Monthly Data (14-23) Used'!AF87</f>
        <v>0</v>
      </c>
      <c r="G87">
        <f>'Monthly Data (14-23) Used'!DD87</f>
        <v>491.10000000000014</v>
      </c>
      <c r="H87">
        <f>'Monthly Data (14-23) Used'!DG87</f>
        <v>0</v>
      </c>
      <c r="I87">
        <f>'Monthly Data (14-23) Used'!CB87</f>
        <v>28</v>
      </c>
      <c r="J87">
        <f>'Monthly Data (14-23) Used'!CA87</f>
        <v>0</v>
      </c>
      <c r="K87">
        <f>'Monthly Data (14-23) Used'!BJ87</f>
        <v>86</v>
      </c>
      <c r="M87" s="6">
        <f t="shared" si="26"/>
        <v>-7179191.8731795801</v>
      </c>
      <c r="N87" s="6">
        <f t="shared" si="41"/>
        <v>4648458.7498402642</v>
      </c>
      <c r="O87" s="6">
        <f t="shared" si="42"/>
        <v>0</v>
      </c>
      <c r="P87" s="6">
        <f t="shared" si="43"/>
        <v>1182690.198513323</v>
      </c>
      <c r="Q87" s="6">
        <f t="shared" si="44"/>
        <v>0</v>
      </c>
      <c r="R87" s="6">
        <f t="shared" si="33"/>
        <v>20880083.978914607</v>
      </c>
      <c r="S87" s="6">
        <f t="shared" si="34"/>
        <v>0</v>
      </c>
      <c r="T87" s="6">
        <f t="shared" si="35"/>
        <v>1861265.2023452921</v>
      </c>
      <c r="U87" s="6">
        <f t="shared" si="36"/>
        <v>21393306.256433908</v>
      </c>
      <c r="V87" s="6">
        <f t="shared" si="45"/>
        <v>369901.94240574539</v>
      </c>
      <c r="W87" s="14">
        <f t="shared" si="46"/>
        <v>1.7594768995567625E-2</v>
      </c>
    </row>
    <row r="88" spans="1:23">
      <c r="A88" s="197">
        <v>44256</v>
      </c>
      <c r="B88">
        <f t="shared" si="39"/>
        <v>3</v>
      </c>
      <c r="C88">
        <f t="shared" si="40"/>
        <v>2021</v>
      </c>
      <c r="D88" s="6">
        <f>'Monthly Data (longer 09-23)'!E148</f>
        <v>19528691.314028163</v>
      </c>
      <c r="E88">
        <f>'Monthly Data (14-23) Used'!AC88</f>
        <v>398.49999999999994</v>
      </c>
      <c r="F88">
        <f>'Monthly Data (14-23) Used'!AF88</f>
        <v>0</v>
      </c>
      <c r="G88">
        <f>'Monthly Data (14-23) Used'!DD88</f>
        <v>298.87499999999994</v>
      </c>
      <c r="H88">
        <f>'Monthly Data (14-23) Used'!DG88</f>
        <v>0</v>
      </c>
      <c r="I88">
        <f>'Monthly Data (14-23) Used'!CB88</f>
        <v>31</v>
      </c>
      <c r="J88">
        <f>'Monthly Data (14-23) Used'!CA88</f>
        <v>1</v>
      </c>
      <c r="K88">
        <f>'Monthly Data (14-23) Used'!BJ88</f>
        <v>87</v>
      </c>
      <c r="M88" s="6">
        <f t="shared" si="26"/>
        <v>-7179191.8731795801</v>
      </c>
      <c r="N88" s="6">
        <f t="shared" si="41"/>
        <v>2828971.917854833</v>
      </c>
      <c r="O88" s="6">
        <f t="shared" si="42"/>
        <v>0</v>
      </c>
      <c r="P88" s="6">
        <f t="shared" si="43"/>
        <v>719764.88104392018</v>
      </c>
      <c r="Q88" s="6">
        <f t="shared" si="44"/>
        <v>0</v>
      </c>
      <c r="R88" s="6">
        <f t="shared" si="33"/>
        <v>23117235.833798315</v>
      </c>
      <c r="S88" s="6">
        <f t="shared" si="34"/>
        <v>-1713930.83126266</v>
      </c>
      <c r="T88" s="6">
        <f t="shared" si="35"/>
        <v>1882907.820977214</v>
      </c>
      <c r="U88" s="6">
        <f t="shared" si="36"/>
        <v>19655757.749232046</v>
      </c>
      <c r="V88" s="6">
        <f t="shared" si="45"/>
        <v>127066.4352038838</v>
      </c>
      <c r="W88" s="14">
        <f t="shared" si="46"/>
        <v>6.5066538848206077E-3</v>
      </c>
    </row>
    <row r="89" spans="1:23">
      <c r="A89" s="197">
        <v>44287</v>
      </c>
      <c r="B89">
        <f t="shared" si="39"/>
        <v>4</v>
      </c>
      <c r="C89">
        <f t="shared" si="40"/>
        <v>2021</v>
      </c>
      <c r="D89" s="6">
        <f>'Monthly Data (longer 09-23)'!E149</f>
        <v>18206323.314028163</v>
      </c>
      <c r="E89">
        <f>'Monthly Data (14-23) Used'!AC89</f>
        <v>254.90000000000003</v>
      </c>
      <c r="F89">
        <f>'Monthly Data (14-23) Used'!AF89</f>
        <v>6.6999999999999957</v>
      </c>
      <c r="G89">
        <f>'Monthly Data (14-23) Used'!DD89</f>
        <v>191.17500000000001</v>
      </c>
      <c r="H89">
        <f>'Monthly Data (14-23) Used'!DG89</f>
        <v>5.0249999999999968</v>
      </c>
      <c r="I89">
        <f>'Monthly Data (14-23) Used'!CB89</f>
        <v>30</v>
      </c>
      <c r="J89">
        <f>'Monthly Data (14-23) Used'!CA89</f>
        <v>1</v>
      </c>
      <c r="K89">
        <f>'Monthly Data (14-23) Used'!BJ89</f>
        <v>88</v>
      </c>
      <c r="M89" s="6">
        <f t="shared" si="26"/>
        <v>-7179191.8731795801</v>
      </c>
      <c r="N89" s="6">
        <f t="shared" si="41"/>
        <v>1809548.160253945</v>
      </c>
      <c r="O89" s="6">
        <f t="shared" si="42"/>
        <v>446323.53479586123</v>
      </c>
      <c r="P89" s="6">
        <f t="shared" si="43"/>
        <v>460396.65791240981</v>
      </c>
      <c r="Q89" s="6">
        <f t="shared" si="44"/>
        <v>77272.151188760108</v>
      </c>
      <c r="R89" s="6">
        <f t="shared" si="33"/>
        <v>22371518.548837077</v>
      </c>
      <c r="S89" s="6">
        <f t="shared" si="34"/>
        <v>-1713930.83126266</v>
      </c>
      <c r="T89" s="6">
        <f t="shared" si="35"/>
        <v>1904550.439609136</v>
      </c>
      <c r="U89" s="6">
        <f t="shared" si="36"/>
        <v>18176486.788154952</v>
      </c>
      <c r="V89" s="6">
        <f t="shared" si="45"/>
        <v>-29836.525873210281</v>
      </c>
      <c r="W89" s="14">
        <f t="shared" si="46"/>
        <v>1.6388001772011226E-3</v>
      </c>
    </row>
    <row r="90" spans="1:23">
      <c r="A90" s="197">
        <v>44317</v>
      </c>
      <c r="B90">
        <f t="shared" si="39"/>
        <v>5</v>
      </c>
      <c r="C90">
        <f t="shared" si="40"/>
        <v>2021</v>
      </c>
      <c r="D90" s="6">
        <f>'Monthly Data (longer 09-23)'!E150</f>
        <v>21868557.314028163</v>
      </c>
      <c r="E90">
        <f>'Monthly Data (14-23) Used'!AC90</f>
        <v>145.83552299140982</v>
      </c>
      <c r="F90">
        <f>'Monthly Data (14-23) Used'!AF90</f>
        <v>58.064477008590188</v>
      </c>
      <c r="G90">
        <f>'Monthly Data (14-23) Used'!DD90</f>
        <v>109.37664224355737</v>
      </c>
      <c r="H90">
        <f>'Monthly Data (14-23) Used'!DG90</f>
        <v>43.548357756442641</v>
      </c>
      <c r="I90">
        <f>'Monthly Data (14-23) Used'!CB90</f>
        <v>31</v>
      </c>
      <c r="J90">
        <f>'Monthly Data (14-23) Used'!CA90</f>
        <v>1</v>
      </c>
      <c r="K90">
        <f>'Monthly Data (14-23) Used'!BJ90</f>
        <v>89</v>
      </c>
      <c r="M90" s="6">
        <f t="shared" si="26"/>
        <v>-7179191.8731795801</v>
      </c>
      <c r="N90" s="6">
        <f t="shared" si="41"/>
        <v>1035293.8498578953</v>
      </c>
      <c r="O90" s="6">
        <f t="shared" si="42"/>
        <v>3867991.4364995528</v>
      </c>
      <c r="P90" s="6">
        <f t="shared" si="43"/>
        <v>263405.99211515684</v>
      </c>
      <c r="Q90" s="6">
        <f t="shared" si="44"/>
        <v>669666.72329911485</v>
      </c>
      <c r="R90" s="6">
        <f t="shared" si="33"/>
        <v>23117235.833798315</v>
      </c>
      <c r="S90" s="6">
        <f t="shared" si="34"/>
        <v>-1713930.83126266</v>
      </c>
      <c r="T90" s="6">
        <f t="shared" si="35"/>
        <v>1926193.0582410579</v>
      </c>
      <c r="U90" s="6">
        <f t="shared" si="36"/>
        <v>21986664.189368855</v>
      </c>
      <c r="V90" s="6">
        <f t="shared" si="45"/>
        <v>118106.8753406927</v>
      </c>
      <c r="W90" s="14">
        <f t="shared" si="46"/>
        <v>5.4007620916506427E-3</v>
      </c>
    </row>
    <row r="91" spans="1:23">
      <c r="A91" s="197">
        <v>44348</v>
      </c>
      <c r="B91">
        <f t="shared" si="39"/>
        <v>6</v>
      </c>
      <c r="C91">
        <f t="shared" si="40"/>
        <v>2021</v>
      </c>
      <c r="D91" s="6">
        <f>'Monthly Data (longer 09-23)'!E151</f>
        <v>30617187.314028163</v>
      </c>
      <c r="E91">
        <f>'Monthly Data (14-23) Used'!AC91</f>
        <v>6.9</v>
      </c>
      <c r="F91">
        <f>'Monthly Data (14-23) Used'!AF91</f>
        <v>190</v>
      </c>
      <c r="G91">
        <f>'Monthly Data (14-23) Used'!DD91</f>
        <v>5.1750000000000007</v>
      </c>
      <c r="H91">
        <f>'Monthly Data (14-23) Used'!DG91</f>
        <v>142.5</v>
      </c>
      <c r="I91">
        <f>'Monthly Data (14-23) Used'!CB91</f>
        <v>30</v>
      </c>
      <c r="J91">
        <f>'Monthly Data (14-23) Used'!CA91</f>
        <v>0</v>
      </c>
      <c r="K91">
        <f>'Monthly Data (14-23) Used'!BJ91</f>
        <v>90</v>
      </c>
      <c r="M91" s="6">
        <f t="shared" si="26"/>
        <v>-7179191.8731795801</v>
      </c>
      <c r="N91" s="6">
        <f t="shared" si="41"/>
        <v>48983.45353374743</v>
      </c>
      <c r="O91" s="6">
        <f t="shared" si="42"/>
        <v>12656936.061375177</v>
      </c>
      <c r="P91" s="6">
        <f t="shared" si="43"/>
        <v>12462.679245177042</v>
      </c>
      <c r="Q91" s="6">
        <f t="shared" si="44"/>
        <v>2191299.8098305119</v>
      </c>
      <c r="R91" s="6">
        <f t="shared" si="33"/>
        <v>22371518.548837077</v>
      </c>
      <c r="S91" s="6">
        <f t="shared" si="34"/>
        <v>0</v>
      </c>
      <c r="T91" s="6">
        <f t="shared" si="35"/>
        <v>1947835.6768729798</v>
      </c>
      <c r="U91" s="6">
        <f t="shared" si="36"/>
        <v>32049844.356515091</v>
      </c>
      <c r="V91" s="6">
        <f t="shared" si="45"/>
        <v>1432657.0424869284</v>
      </c>
      <c r="W91" s="14">
        <f t="shared" si="46"/>
        <v>4.6792575287623317E-2</v>
      </c>
    </row>
    <row r="92" spans="1:23">
      <c r="A92" s="197">
        <v>44378</v>
      </c>
      <c r="B92">
        <f t="shared" si="39"/>
        <v>7</v>
      </c>
      <c r="C92">
        <f t="shared" si="40"/>
        <v>2021</v>
      </c>
      <c r="D92" s="6">
        <f>'Monthly Data (longer 09-23)'!E152</f>
        <v>33247959.314028163</v>
      </c>
      <c r="E92">
        <f>'Monthly Data (14-23) Used'!AC92</f>
        <v>0</v>
      </c>
      <c r="F92">
        <f>'Monthly Data (14-23) Used'!AF92</f>
        <v>192.39999999999998</v>
      </c>
      <c r="G92">
        <f>'Monthly Data (14-23) Used'!DD92</f>
        <v>0</v>
      </c>
      <c r="H92">
        <f>'Monthly Data (14-23) Used'!DG92</f>
        <v>144.29999999999998</v>
      </c>
      <c r="I92">
        <f>'Monthly Data (14-23) Used'!CB92</f>
        <v>31</v>
      </c>
      <c r="J92">
        <f>'Monthly Data (14-23) Used'!CA92</f>
        <v>0</v>
      </c>
      <c r="K92">
        <f>'Monthly Data (14-23) Used'!BJ92</f>
        <v>91</v>
      </c>
      <c r="M92" s="6">
        <f t="shared" si="26"/>
        <v>-7179191.8731795801</v>
      </c>
      <c r="N92" s="6">
        <f t="shared" si="41"/>
        <v>0</v>
      </c>
      <c r="O92" s="6">
        <f t="shared" si="42"/>
        <v>12816813.148466231</v>
      </c>
      <c r="P92" s="6">
        <f t="shared" si="43"/>
        <v>0</v>
      </c>
      <c r="Q92" s="6">
        <f t="shared" si="44"/>
        <v>2218979.3863757392</v>
      </c>
      <c r="R92" s="6">
        <f t="shared" si="33"/>
        <v>23117235.833798315</v>
      </c>
      <c r="S92" s="6">
        <f t="shared" si="34"/>
        <v>0</v>
      </c>
      <c r="T92" s="6">
        <f t="shared" si="35"/>
        <v>1969478.295504902</v>
      </c>
      <c r="U92" s="6">
        <f t="shared" si="36"/>
        <v>32943314.790965606</v>
      </c>
      <c r="V92" s="6">
        <f t="shared" si="45"/>
        <v>-304644.52306255698</v>
      </c>
      <c r="W92" s="14">
        <f t="shared" si="46"/>
        <v>9.162803653155931E-3</v>
      </c>
    </row>
    <row r="93" spans="1:23">
      <c r="A93" s="197">
        <v>44409</v>
      </c>
      <c r="B93">
        <f t="shared" si="39"/>
        <v>8</v>
      </c>
      <c r="C93">
        <f t="shared" si="40"/>
        <v>2021</v>
      </c>
      <c r="D93" s="6">
        <f>'Monthly Data (longer 09-23)'!E153</f>
        <v>36175514.314028166</v>
      </c>
      <c r="E93">
        <f>'Monthly Data (14-23) Used'!AC93</f>
        <v>0</v>
      </c>
      <c r="F93">
        <f>'Monthly Data (14-23) Used'!AF93</f>
        <v>224.29343102577059</v>
      </c>
      <c r="G93">
        <f>'Monthly Data (14-23) Used'!DD93</f>
        <v>0</v>
      </c>
      <c r="H93">
        <f>'Monthly Data (14-23) Used'!DG93</f>
        <v>168.22007326932794</v>
      </c>
      <c r="I93">
        <f>'Monthly Data (14-23) Used'!CB93</f>
        <v>31</v>
      </c>
      <c r="J93">
        <f>'Monthly Data (14-23) Used'!CA93</f>
        <v>0</v>
      </c>
      <c r="K93">
        <f>'Monthly Data (14-23) Used'!BJ93</f>
        <v>92</v>
      </c>
      <c r="M93" s="6">
        <f t="shared" si="26"/>
        <v>-7179191.8731795801</v>
      </c>
      <c r="N93" s="6">
        <f t="shared" si="41"/>
        <v>0</v>
      </c>
      <c r="O93" s="6">
        <f t="shared" si="42"/>
        <v>14941408.50252443</v>
      </c>
      <c r="P93" s="6">
        <f t="shared" si="43"/>
        <v>0</v>
      </c>
      <c r="Q93" s="6">
        <f t="shared" si="44"/>
        <v>2586811.3302789694</v>
      </c>
      <c r="R93" s="6">
        <f t="shared" si="33"/>
        <v>23117235.833798315</v>
      </c>
      <c r="S93" s="6">
        <f t="shared" si="34"/>
        <v>0</v>
      </c>
      <c r="T93" s="6">
        <f t="shared" si="35"/>
        <v>1991120.914136824</v>
      </c>
      <c r="U93" s="6">
        <f t="shared" si="36"/>
        <v>35457384.70755896</v>
      </c>
      <c r="V93" s="6">
        <f t="shared" si="45"/>
        <v>-718129.60646920651</v>
      </c>
      <c r="W93" s="14">
        <f t="shared" si="46"/>
        <v>1.9851261829627386E-2</v>
      </c>
    </row>
    <row r="94" spans="1:23">
      <c r="A94" s="197">
        <v>44440</v>
      </c>
      <c r="B94">
        <f t="shared" si="39"/>
        <v>9</v>
      </c>
      <c r="C94">
        <f t="shared" si="40"/>
        <v>2021</v>
      </c>
      <c r="D94" s="6">
        <f>'Monthly Data (longer 09-23)'!E154</f>
        <v>25045935.314028163</v>
      </c>
      <c r="E94">
        <f>'Monthly Data (14-23) Used'!AC94</f>
        <v>33.400000000000006</v>
      </c>
      <c r="F94">
        <f>'Monthly Data (14-23) Used'!AF94</f>
        <v>90.800000000000011</v>
      </c>
      <c r="G94">
        <f>'Monthly Data (14-23) Used'!DD94</f>
        <v>25.050000000000004</v>
      </c>
      <c r="H94">
        <f>'Monthly Data (14-23) Used'!DG94</f>
        <v>68.100000000000009</v>
      </c>
      <c r="I94">
        <f>'Monthly Data (14-23) Used'!CB94</f>
        <v>30</v>
      </c>
      <c r="J94">
        <f>'Monthly Data (14-23) Used'!CA94</f>
        <v>0</v>
      </c>
      <c r="K94">
        <f>'Monthly Data (14-23) Used'!BJ94</f>
        <v>93</v>
      </c>
      <c r="M94" s="6">
        <f t="shared" si="26"/>
        <v>-7179191.8731795801</v>
      </c>
      <c r="N94" s="6">
        <f t="shared" si="41"/>
        <v>237108.3113082847</v>
      </c>
      <c r="O94" s="6">
        <f t="shared" si="42"/>
        <v>6048683.1282782434</v>
      </c>
      <c r="P94" s="6">
        <f t="shared" si="43"/>
        <v>60326.592288248292</v>
      </c>
      <c r="Q94" s="6">
        <f t="shared" si="44"/>
        <v>1047210.645961108</v>
      </c>
      <c r="R94" s="6">
        <f t="shared" si="33"/>
        <v>22371518.548837077</v>
      </c>
      <c r="S94" s="6">
        <f t="shared" si="34"/>
        <v>0</v>
      </c>
      <c r="T94" s="6">
        <f t="shared" si="35"/>
        <v>2012763.5327687459</v>
      </c>
      <c r="U94" s="6">
        <f t="shared" si="36"/>
        <v>24598418.886262126</v>
      </c>
      <c r="V94" s="6">
        <f t="shared" si="45"/>
        <v>-447516.42776603624</v>
      </c>
      <c r="W94" s="14">
        <f t="shared" si="46"/>
        <v>1.7867826541713677E-2</v>
      </c>
    </row>
    <row r="95" spans="1:23">
      <c r="A95" s="197">
        <v>44470</v>
      </c>
      <c r="B95">
        <f t="shared" si="39"/>
        <v>10</v>
      </c>
      <c r="C95">
        <f t="shared" si="40"/>
        <v>2021</v>
      </c>
      <c r="D95" s="6">
        <f>'Monthly Data (longer 09-23)'!E155</f>
        <v>20811938.314028163</v>
      </c>
      <c r="E95">
        <f>'Monthly Data (14-23) Used'!AC95</f>
        <v>123.80000000000001</v>
      </c>
      <c r="F95">
        <f>'Monthly Data (14-23) Used'!AF95</f>
        <v>51.300000000000011</v>
      </c>
      <c r="G95">
        <f>'Monthly Data (14-23) Used'!DD95</f>
        <v>92.850000000000009</v>
      </c>
      <c r="H95">
        <f>'Monthly Data (14-23) Used'!DG95</f>
        <v>38.475000000000009</v>
      </c>
      <c r="I95">
        <f>'Monthly Data (14-23) Used'!CB95</f>
        <v>31</v>
      </c>
      <c r="J95">
        <f>'Monthly Data (14-23) Used'!CA95</f>
        <v>1</v>
      </c>
      <c r="K95">
        <f>'Monthly Data (14-23) Used'!BJ95</f>
        <v>94</v>
      </c>
      <c r="M95" s="6">
        <f t="shared" si="26"/>
        <v>-7179191.8731795801</v>
      </c>
      <c r="N95" s="6">
        <f t="shared" si="41"/>
        <v>878862.54311274376</v>
      </c>
      <c r="O95" s="6">
        <f t="shared" si="42"/>
        <v>3417372.7365712984</v>
      </c>
      <c r="P95" s="6">
        <f t="shared" si="43"/>
        <v>223605.75225404603</v>
      </c>
      <c r="Q95" s="6">
        <f t="shared" si="44"/>
        <v>591650.94865423837</v>
      </c>
      <c r="R95" s="6">
        <f t="shared" si="33"/>
        <v>23117235.833798315</v>
      </c>
      <c r="S95" s="6">
        <f t="shared" si="34"/>
        <v>-1713930.83126266</v>
      </c>
      <c r="T95" s="6">
        <f t="shared" si="35"/>
        <v>2034406.1514006681</v>
      </c>
      <c r="U95" s="6">
        <f t="shared" si="36"/>
        <v>21370011.261349071</v>
      </c>
      <c r="V95" s="6">
        <f t="shared" si="45"/>
        <v>558072.94732090831</v>
      </c>
      <c r="W95" s="14">
        <f t="shared" si="46"/>
        <v>2.6815039469184981E-2</v>
      </c>
    </row>
    <row r="96" spans="1:23">
      <c r="A96" s="197">
        <v>44501</v>
      </c>
      <c r="B96">
        <f t="shared" si="39"/>
        <v>11</v>
      </c>
      <c r="C96">
        <f t="shared" si="40"/>
        <v>2021</v>
      </c>
      <c r="D96" s="6">
        <f>'Monthly Data (longer 09-23)'!E156</f>
        <v>19647364.314028163</v>
      </c>
      <c r="E96">
        <f>'Monthly Data (14-23) Used'!AC96</f>
        <v>422.90000000000003</v>
      </c>
      <c r="F96">
        <f>'Monthly Data (14-23) Used'!AF96</f>
        <v>0</v>
      </c>
      <c r="G96">
        <f>'Monthly Data (14-23) Used'!DD96</f>
        <v>317.17500000000001</v>
      </c>
      <c r="H96">
        <f>'Monthly Data (14-23) Used'!DG96</f>
        <v>0</v>
      </c>
      <c r="I96">
        <f>'Monthly Data (14-23) Used'!CB96</f>
        <v>30</v>
      </c>
      <c r="J96">
        <f>'Monthly Data (14-23) Used'!CA96</f>
        <v>1</v>
      </c>
      <c r="K96">
        <f>'Monthly Data (14-23) Used'!BJ96</f>
        <v>95</v>
      </c>
      <c r="M96" s="6">
        <f t="shared" si="26"/>
        <v>-7179191.8731795801</v>
      </c>
      <c r="N96" s="6">
        <f t="shared" si="41"/>
        <v>3002188.7680321434</v>
      </c>
      <c r="O96" s="6">
        <f t="shared" si="42"/>
        <v>0</v>
      </c>
      <c r="P96" s="6">
        <f t="shared" si="43"/>
        <v>763835.80475150293</v>
      </c>
      <c r="Q96" s="6">
        <f t="shared" si="44"/>
        <v>0</v>
      </c>
      <c r="R96" s="6">
        <f t="shared" si="33"/>
        <v>22371518.548837077</v>
      </c>
      <c r="S96" s="6">
        <f t="shared" si="34"/>
        <v>-1713930.83126266</v>
      </c>
      <c r="T96" s="6">
        <f t="shared" si="35"/>
        <v>2056048.77003259</v>
      </c>
      <c r="U96" s="6">
        <f t="shared" si="36"/>
        <v>19300469.187211074</v>
      </c>
      <c r="V96" s="6">
        <f t="shared" si="45"/>
        <v>-346895.12681708857</v>
      </c>
      <c r="W96" s="14">
        <f t="shared" si="46"/>
        <v>1.7656064257403035E-2</v>
      </c>
    </row>
    <row r="97" spans="1:23">
      <c r="A97" s="197">
        <v>44531</v>
      </c>
      <c r="B97">
        <f t="shared" si="39"/>
        <v>12</v>
      </c>
      <c r="C97">
        <f t="shared" si="40"/>
        <v>2021</v>
      </c>
      <c r="D97" s="6">
        <f>'Monthly Data (longer 09-23)'!E157</f>
        <v>22395464.314028163</v>
      </c>
      <c r="E97">
        <f>'Monthly Data (14-23) Used'!AC97</f>
        <v>483.4</v>
      </c>
      <c r="F97">
        <f>'Monthly Data (14-23) Used'!AF97</f>
        <v>0</v>
      </c>
      <c r="G97">
        <f>'Monthly Data (14-23) Used'!DD97</f>
        <v>362.54999999999995</v>
      </c>
      <c r="H97">
        <f>'Monthly Data (14-23) Used'!DG97</f>
        <v>0</v>
      </c>
      <c r="I97">
        <f>'Monthly Data (14-23) Used'!CB97</f>
        <v>31</v>
      </c>
      <c r="J97">
        <f>'Monthly Data (14-23) Used'!CA97</f>
        <v>0</v>
      </c>
      <c r="K97">
        <f>'Monthly Data (14-23) Used'!BJ97</f>
        <v>96</v>
      </c>
      <c r="M97" s="6">
        <f t="shared" si="26"/>
        <v>-7179191.8731795801</v>
      </c>
      <c r="N97" s="6">
        <f t="shared" si="41"/>
        <v>3431681.3678570301</v>
      </c>
      <c r="O97" s="6">
        <f t="shared" si="42"/>
        <v>0</v>
      </c>
      <c r="P97" s="6">
        <f t="shared" si="43"/>
        <v>873110.02132153336</v>
      </c>
      <c r="Q97" s="6">
        <f t="shared" si="44"/>
        <v>0</v>
      </c>
      <c r="R97" s="6">
        <f t="shared" si="33"/>
        <v>23117235.833798315</v>
      </c>
      <c r="S97" s="6">
        <f t="shared" si="34"/>
        <v>0</v>
      </c>
      <c r="T97" s="6">
        <f t="shared" si="35"/>
        <v>2077691.388664512</v>
      </c>
      <c r="U97" s="6">
        <f t="shared" si="36"/>
        <v>22320526.738461807</v>
      </c>
      <c r="V97" s="6">
        <f t="shared" si="45"/>
        <v>-74937.575566355139</v>
      </c>
      <c r="W97" s="14">
        <f t="shared" si="46"/>
        <v>3.3461050199979749E-3</v>
      </c>
    </row>
    <row r="98" spans="1:23">
      <c r="A98" s="197">
        <v>44562</v>
      </c>
      <c r="B98">
        <f t="shared" ref="B98:B109" si="47">MONTH(A98)</f>
        <v>1</v>
      </c>
      <c r="C98">
        <f t="shared" ref="C98:C109" si="48">YEAR(A98)</f>
        <v>2022</v>
      </c>
      <c r="D98" s="6">
        <f>'Monthly Data (longer 09-23)'!E158</f>
        <v>24029016.395077039</v>
      </c>
      <c r="E98">
        <f>'Monthly Data (14-23) Used'!AC98</f>
        <v>766.2</v>
      </c>
      <c r="F98">
        <f>'Monthly Data (14-23) Used'!AF98</f>
        <v>0</v>
      </c>
      <c r="G98">
        <f>'Monthly Data (14-23) Used'!DD98</f>
        <v>383.1</v>
      </c>
      <c r="H98">
        <f>'Monthly Data (14-23) Used'!DG98</f>
        <v>0</v>
      </c>
      <c r="I98">
        <f>'Monthly Data (14-23) Used'!CB98</f>
        <v>31</v>
      </c>
      <c r="J98">
        <f>'Monthly Data (14-23) Used'!CA98</f>
        <v>0</v>
      </c>
      <c r="K98">
        <f>'Monthly Data (14-23) Used'!BJ98</f>
        <v>97</v>
      </c>
      <c r="M98" s="6">
        <f t="shared" si="26"/>
        <v>-7179191.8731795801</v>
      </c>
      <c r="N98" s="6">
        <f t="shared" si="41"/>
        <v>5439293.0576169975</v>
      </c>
      <c r="O98" s="6">
        <f t="shared" si="42"/>
        <v>0</v>
      </c>
      <c r="P98" s="6">
        <f t="shared" si="43"/>
        <v>922599.50122267136</v>
      </c>
      <c r="Q98" s="6">
        <f t="shared" si="44"/>
        <v>0</v>
      </c>
      <c r="R98" s="6">
        <f t="shared" si="33"/>
        <v>23117235.833798315</v>
      </c>
      <c r="S98" s="6">
        <f t="shared" si="34"/>
        <v>0</v>
      </c>
      <c r="T98" s="6">
        <f t="shared" si="35"/>
        <v>2099334.0072964341</v>
      </c>
      <c r="U98" s="6">
        <f t="shared" si="36"/>
        <v>24399270.526754841</v>
      </c>
      <c r="V98" s="6">
        <f t="shared" si="45"/>
        <v>370254.13167780265</v>
      </c>
      <c r="W98" s="14">
        <f t="shared" si="46"/>
        <v>1.5408626203844896E-2</v>
      </c>
    </row>
    <row r="99" spans="1:23">
      <c r="A99" s="197">
        <v>44593</v>
      </c>
      <c r="B99">
        <f t="shared" si="47"/>
        <v>2</v>
      </c>
      <c r="C99">
        <f t="shared" si="48"/>
        <v>2022</v>
      </c>
      <c r="D99" s="6">
        <f>'Monthly Data (longer 09-23)'!E159</f>
        <v>20773941.395077039</v>
      </c>
      <c r="E99">
        <f>'Monthly Data (14-23) Used'!AC99</f>
        <v>607.30000000000018</v>
      </c>
      <c r="F99">
        <f>'Monthly Data (14-23) Used'!AF99</f>
        <v>0</v>
      </c>
      <c r="G99">
        <f>'Monthly Data (14-23) Used'!DD99</f>
        <v>303.65000000000009</v>
      </c>
      <c r="H99">
        <f>'Monthly Data (14-23) Used'!DG99</f>
        <v>0</v>
      </c>
      <c r="I99">
        <f>'Monthly Data (14-23) Used'!CB99</f>
        <v>28</v>
      </c>
      <c r="J99">
        <f>'Monthly Data (14-23) Used'!CA99</f>
        <v>0</v>
      </c>
      <c r="K99">
        <f>'Monthly Data (14-23) Used'!BJ99</f>
        <v>98</v>
      </c>
      <c r="M99" s="6">
        <f t="shared" si="26"/>
        <v>-7179191.8731795801</v>
      </c>
      <c r="N99" s="6">
        <f t="shared" si="41"/>
        <v>4311253.8160934523</v>
      </c>
      <c r="O99" s="6">
        <f t="shared" si="42"/>
        <v>0</v>
      </c>
      <c r="P99" s="6">
        <f t="shared" si="43"/>
        <v>731264.26141024334</v>
      </c>
      <c r="Q99" s="6">
        <f t="shared" si="44"/>
        <v>0</v>
      </c>
      <c r="R99" s="6">
        <f t="shared" si="33"/>
        <v>20880083.978914607</v>
      </c>
      <c r="S99" s="6">
        <f t="shared" si="34"/>
        <v>0</v>
      </c>
      <c r="T99" s="6">
        <f t="shared" si="35"/>
        <v>2120976.6259283558</v>
      </c>
      <c r="U99" s="6">
        <f t="shared" si="36"/>
        <v>20864386.80916708</v>
      </c>
      <c r="V99" s="6">
        <f t="shared" si="45"/>
        <v>90445.414090041071</v>
      </c>
      <c r="W99" s="14">
        <f t="shared" si="46"/>
        <v>4.353791722521881E-3</v>
      </c>
    </row>
    <row r="100" spans="1:23">
      <c r="A100" s="197">
        <v>44621</v>
      </c>
      <c r="B100">
        <f t="shared" si="47"/>
        <v>3</v>
      </c>
      <c r="C100">
        <f t="shared" si="48"/>
        <v>2022</v>
      </c>
      <c r="D100" s="6">
        <f>'Monthly Data (longer 09-23)'!E160</f>
        <v>20336375.395077039</v>
      </c>
      <c r="E100">
        <f>'Monthly Data (14-23) Used'!AC100</f>
        <v>465.93552299140975</v>
      </c>
      <c r="F100">
        <f>'Monthly Data (14-23) Used'!AF100</f>
        <v>0</v>
      </c>
      <c r="G100">
        <f>'Monthly Data (14-23) Used'!DD100</f>
        <v>232.96776149570488</v>
      </c>
      <c r="H100">
        <f>'Monthly Data (14-23) Used'!DG100</f>
        <v>0</v>
      </c>
      <c r="I100">
        <f>'Monthly Data (14-23) Used'!CB100</f>
        <v>31</v>
      </c>
      <c r="J100">
        <f>'Monthly Data (14-23) Used'!CA100</f>
        <v>1</v>
      </c>
      <c r="K100">
        <f>'Monthly Data (14-23) Used'!BJ100</f>
        <v>99</v>
      </c>
      <c r="M100" s="6">
        <f t="shared" si="26"/>
        <v>-7179191.8731795801</v>
      </c>
      <c r="N100" s="6">
        <f t="shared" si="41"/>
        <v>3307700.1507495693</v>
      </c>
      <c r="O100" s="6">
        <f t="shared" si="42"/>
        <v>0</v>
      </c>
      <c r="P100" s="6">
        <f t="shared" si="43"/>
        <v>561043.95864500024</v>
      </c>
      <c r="Q100" s="6">
        <f t="shared" si="44"/>
        <v>0</v>
      </c>
      <c r="R100" s="6">
        <f t="shared" si="33"/>
        <v>23117235.833798315</v>
      </c>
      <c r="S100" s="6">
        <f t="shared" si="34"/>
        <v>-1713930.83126266</v>
      </c>
      <c r="T100" s="6">
        <f t="shared" si="35"/>
        <v>2142619.244560278</v>
      </c>
      <c r="U100" s="6">
        <f t="shared" si="36"/>
        <v>20235476.483310923</v>
      </c>
      <c r="V100" s="6">
        <f t="shared" si="45"/>
        <v>-100898.91176611558</v>
      </c>
      <c r="W100" s="14">
        <f t="shared" si="46"/>
        <v>4.9614992743761428E-3</v>
      </c>
    </row>
    <row r="101" spans="1:23">
      <c r="A101" s="197">
        <v>44652</v>
      </c>
      <c r="B101">
        <f t="shared" si="47"/>
        <v>4</v>
      </c>
      <c r="C101">
        <f t="shared" si="48"/>
        <v>2022</v>
      </c>
      <c r="D101" s="6">
        <f>'Monthly Data (longer 09-23)'!E161</f>
        <v>18574452.395077039</v>
      </c>
      <c r="E101">
        <f>'Monthly Data (14-23) Used'!AC101</f>
        <v>333.80000000000007</v>
      </c>
      <c r="F101">
        <f>'Monthly Data (14-23) Used'!AF101</f>
        <v>3.3000000000000007</v>
      </c>
      <c r="G101">
        <f>'Monthly Data (14-23) Used'!DD101</f>
        <v>166.90000000000003</v>
      </c>
      <c r="H101">
        <f>'Monthly Data (14-23) Used'!DG101</f>
        <v>1.6500000000000004</v>
      </c>
      <c r="I101">
        <f>'Monthly Data (14-23) Used'!CB101</f>
        <v>30</v>
      </c>
      <c r="J101">
        <f>'Monthly Data (14-23) Used'!CA101</f>
        <v>1</v>
      </c>
      <c r="K101">
        <f>'Monthly Data (14-23) Used'!BJ101</f>
        <v>100</v>
      </c>
      <c r="M101" s="6">
        <f t="shared" si="26"/>
        <v>-7179191.8731795801</v>
      </c>
      <c r="N101" s="6">
        <f t="shared" si="41"/>
        <v>2369663.302835492</v>
      </c>
      <c r="O101" s="6">
        <f t="shared" si="42"/>
        <v>219830.99475020051</v>
      </c>
      <c r="P101" s="6">
        <f t="shared" si="43"/>
        <v>401936.4572019417</v>
      </c>
      <c r="Q101" s="6">
        <f t="shared" si="44"/>
        <v>25372.945166458565</v>
      </c>
      <c r="R101" s="6">
        <f t="shared" si="33"/>
        <v>22371518.548837077</v>
      </c>
      <c r="S101" s="6">
        <f t="shared" si="34"/>
        <v>-1713930.83126266</v>
      </c>
      <c r="T101" s="6">
        <f t="shared" si="35"/>
        <v>2164261.8631921997</v>
      </c>
      <c r="U101" s="6">
        <f t="shared" si="36"/>
        <v>18659461.40754113</v>
      </c>
      <c r="V101" s="6">
        <f t="shared" si="45"/>
        <v>85009.012464091182</v>
      </c>
      <c r="W101" s="14">
        <f t="shared" si="46"/>
        <v>4.5766631853234024E-3</v>
      </c>
    </row>
    <row r="102" spans="1:23">
      <c r="A102" s="197">
        <v>44682</v>
      </c>
      <c r="B102">
        <f t="shared" si="47"/>
        <v>5</v>
      </c>
      <c r="C102">
        <f t="shared" si="48"/>
        <v>2022</v>
      </c>
      <c r="D102" s="6">
        <f>'Monthly Data (longer 09-23)'!E162</f>
        <v>21615955.395077039</v>
      </c>
      <c r="E102">
        <f>'Monthly Data (14-23) Used'!AC102</f>
        <v>92.700000000000031</v>
      </c>
      <c r="F102">
        <f>'Monthly Data (14-23) Used'!AF102</f>
        <v>72.5</v>
      </c>
      <c r="G102">
        <f>'Monthly Data (14-23) Used'!DD102</f>
        <v>46.350000000000016</v>
      </c>
      <c r="H102">
        <f>'Monthly Data (14-23) Used'!DG102</f>
        <v>36.25</v>
      </c>
      <c r="I102">
        <f>'Monthly Data (14-23) Used'!CB102</f>
        <v>31</v>
      </c>
      <c r="J102">
        <f>'Monthly Data (14-23) Used'!CA102</f>
        <v>1</v>
      </c>
      <c r="K102">
        <f>'Monthly Data (14-23) Used'!BJ102</f>
        <v>101</v>
      </c>
      <c r="M102" s="6">
        <f t="shared" si="26"/>
        <v>-7179191.8731795801</v>
      </c>
      <c r="N102" s="6">
        <f t="shared" si="41"/>
        <v>658082.04964904173</v>
      </c>
      <c r="O102" s="6">
        <f t="shared" si="42"/>
        <v>4829620.3392089494</v>
      </c>
      <c r="P102" s="6">
        <f t="shared" si="43"/>
        <v>111622.25758723788</v>
      </c>
      <c r="Q102" s="6">
        <f t="shared" si="44"/>
        <v>557435.91653583199</v>
      </c>
      <c r="R102" s="6">
        <f t="shared" si="33"/>
        <v>23117235.833798315</v>
      </c>
      <c r="S102" s="6">
        <f t="shared" si="34"/>
        <v>-1713930.83126266</v>
      </c>
      <c r="T102" s="6">
        <f t="shared" si="35"/>
        <v>2185904.4818241219</v>
      </c>
      <c r="U102" s="6">
        <f t="shared" si="36"/>
        <v>22566778.174161259</v>
      </c>
      <c r="V102" s="6">
        <f t="shared" si="45"/>
        <v>950822.77908422053</v>
      </c>
      <c r="W102" s="14">
        <f t="shared" si="46"/>
        <v>4.3987080918050342E-2</v>
      </c>
    </row>
    <row r="103" spans="1:23">
      <c r="A103" s="197">
        <v>44713</v>
      </c>
      <c r="B103">
        <f t="shared" si="47"/>
        <v>6</v>
      </c>
      <c r="C103">
        <f t="shared" si="48"/>
        <v>2022</v>
      </c>
      <c r="D103" s="6">
        <f>'Monthly Data (longer 09-23)'!E163</f>
        <v>28777042.395077039</v>
      </c>
      <c r="E103">
        <f>'Monthly Data (14-23) Used'!AC103</f>
        <v>6.5355229914098061</v>
      </c>
      <c r="F103">
        <f>'Monthly Data (14-23) Used'!AF103</f>
        <v>147.70000000000002</v>
      </c>
      <c r="G103">
        <f>'Monthly Data (14-23) Used'!DD103</f>
        <v>3.267761495704903</v>
      </c>
      <c r="H103">
        <f>'Monthly Data (14-23) Used'!DG103</f>
        <v>73.850000000000009</v>
      </c>
      <c r="I103">
        <f>'Monthly Data (14-23) Used'!CB103</f>
        <v>30</v>
      </c>
      <c r="J103">
        <f>'Monthly Data (14-23) Used'!CA103</f>
        <v>0</v>
      </c>
      <c r="K103">
        <f>'Monthly Data (14-23) Used'!BJ103</f>
        <v>102</v>
      </c>
      <c r="M103" s="6">
        <f t="shared" si="26"/>
        <v>-7179191.8731795801</v>
      </c>
      <c r="N103" s="6">
        <f t="shared" si="41"/>
        <v>46396.012575139168</v>
      </c>
      <c r="O103" s="6">
        <f t="shared" si="42"/>
        <v>9839102.4013953358</v>
      </c>
      <c r="P103" s="6">
        <f t="shared" si="43"/>
        <v>7869.5774629391644</v>
      </c>
      <c r="Q103" s="6">
        <f t="shared" si="44"/>
        <v>1135631.5154805847</v>
      </c>
      <c r="R103" s="6">
        <f t="shared" si="33"/>
        <v>22371518.548837077</v>
      </c>
      <c r="S103" s="6">
        <f t="shared" si="34"/>
        <v>0</v>
      </c>
      <c r="T103" s="6">
        <f t="shared" si="35"/>
        <v>2207547.1004560441</v>
      </c>
      <c r="U103" s="6">
        <f t="shared" si="36"/>
        <v>28428873.283027541</v>
      </c>
      <c r="V103" s="6">
        <f t="shared" si="45"/>
        <v>-348169.11204949766</v>
      </c>
      <c r="W103" s="14">
        <f t="shared" si="46"/>
        <v>1.2098849745207306E-2</v>
      </c>
    </row>
    <row r="104" spans="1:23">
      <c r="A104" s="197">
        <v>44743</v>
      </c>
      <c r="B104">
        <f t="shared" si="47"/>
        <v>7</v>
      </c>
      <c r="C104">
        <f t="shared" si="48"/>
        <v>2022</v>
      </c>
      <c r="D104" s="6">
        <f>'Monthly Data (longer 09-23)'!E164</f>
        <v>34236495.395077035</v>
      </c>
      <c r="E104">
        <f>'Monthly Data (14-23) Used'!AC104</f>
        <v>0</v>
      </c>
      <c r="F104">
        <f>'Monthly Data (14-23) Used'!AF104</f>
        <v>218.60000000000002</v>
      </c>
      <c r="G104">
        <f>'Monthly Data (14-23) Used'!DD104</f>
        <v>0</v>
      </c>
      <c r="H104">
        <f>'Monthly Data (14-23) Used'!DG104</f>
        <v>109.30000000000001</v>
      </c>
      <c r="I104">
        <f>'Monthly Data (14-23) Used'!CB104</f>
        <v>31</v>
      </c>
      <c r="J104">
        <f>'Monthly Data (14-23) Used'!CA104</f>
        <v>0</v>
      </c>
      <c r="K104">
        <f>'Monthly Data (14-23) Used'!BJ104</f>
        <v>103</v>
      </c>
      <c r="M104" s="6">
        <f t="shared" si="26"/>
        <v>-7179191.8731795801</v>
      </c>
      <c r="N104" s="6">
        <f t="shared" si="41"/>
        <v>0</v>
      </c>
      <c r="O104" s="6">
        <f t="shared" si="42"/>
        <v>14562138.015876915</v>
      </c>
      <c r="P104" s="6">
        <f t="shared" si="43"/>
        <v>0</v>
      </c>
      <c r="Q104" s="6">
        <f t="shared" si="44"/>
        <v>1680765.3979963157</v>
      </c>
      <c r="R104" s="6">
        <f t="shared" si="33"/>
        <v>23117235.833798315</v>
      </c>
      <c r="S104" s="6">
        <f t="shared" si="34"/>
        <v>0</v>
      </c>
      <c r="T104" s="6">
        <f t="shared" si="35"/>
        <v>2229189.7190879658</v>
      </c>
      <c r="U104" s="6">
        <f t="shared" si="36"/>
        <v>34410137.093579933</v>
      </c>
      <c r="V104" s="6">
        <f t="shared" si="45"/>
        <v>173641.69850289822</v>
      </c>
      <c r="W104" s="14">
        <f t="shared" si="46"/>
        <v>5.0718304107688151E-3</v>
      </c>
    </row>
    <row r="105" spans="1:23">
      <c r="A105" s="197">
        <v>44774</v>
      </c>
      <c r="B105">
        <f t="shared" si="47"/>
        <v>8</v>
      </c>
      <c r="C105">
        <f t="shared" si="48"/>
        <v>2022</v>
      </c>
      <c r="D105" s="6">
        <f>'Monthly Data (longer 09-23)'!E165</f>
        <v>32874209.395077039</v>
      </c>
      <c r="E105">
        <f>'Monthly Data (14-23) Used'!AC105</f>
        <v>0</v>
      </c>
      <c r="F105">
        <f>'Monthly Data (14-23) Used'!AF105</f>
        <v>198.92895401718039</v>
      </c>
      <c r="G105">
        <f>'Monthly Data (14-23) Used'!DD105</f>
        <v>0</v>
      </c>
      <c r="H105">
        <f>'Monthly Data (14-23) Used'!DG105</f>
        <v>99.464477008590194</v>
      </c>
      <c r="I105">
        <f>'Monthly Data (14-23) Used'!CB105</f>
        <v>31</v>
      </c>
      <c r="J105">
        <f>'Monthly Data (14-23) Used'!CA105</f>
        <v>0</v>
      </c>
      <c r="K105">
        <f>'Monthly Data (14-23) Used'!BJ105</f>
        <v>104</v>
      </c>
      <c r="M105" s="6">
        <f t="shared" si="26"/>
        <v>-7179191.8731795801</v>
      </c>
      <c r="N105" s="6">
        <f t="shared" si="41"/>
        <v>0</v>
      </c>
      <c r="O105" s="6">
        <f t="shared" si="42"/>
        <v>13251742.377640499</v>
      </c>
      <c r="P105" s="6">
        <f t="shared" si="43"/>
        <v>0</v>
      </c>
      <c r="Q105" s="6">
        <f t="shared" si="44"/>
        <v>1529519.2249390529</v>
      </c>
      <c r="R105" s="6">
        <f t="shared" si="33"/>
        <v>23117235.833798315</v>
      </c>
      <c r="S105" s="6">
        <f t="shared" si="34"/>
        <v>0</v>
      </c>
      <c r="T105" s="6">
        <f t="shared" si="35"/>
        <v>2250832.337719888</v>
      </c>
      <c r="U105" s="6">
        <f t="shared" si="36"/>
        <v>32970137.900918175</v>
      </c>
      <c r="V105" s="6">
        <f t="shared" si="45"/>
        <v>95928.505841135979</v>
      </c>
      <c r="W105" s="14">
        <f t="shared" si="46"/>
        <v>2.9180475395858925E-3</v>
      </c>
    </row>
    <row r="106" spans="1:23">
      <c r="A106" s="197">
        <v>44805</v>
      </c>
      <c r="B106">
        <f t="shared" si="47"/>
        <v>9</v>
      </c>
      <c r="C106">
        <f t="shared" si="48"/>
        <v>2022</v>
      </c>
      <c r="D106" s="6">
        <f>'Monthly Data (longer 09-23)'!E166</f>
        <v>25053426.395077039</v>
      </c>
      <c r="E106">
        <f>'Monthly Data (14-23) Used'!AC106</f>
        <v>47.400000000000006</v>
      </c>
      <c r="F106">
        <f>'Monthly Data (14-23) Used'!AF106</f>
        <v>97.999999999999986</v>
      </c>
      <c r="G106">
        <f>'Monthly Data (14-23) Used'!DD106</f>
        <v>23.700000000000003</v>
      </c>
      <c r="H106">
        <f>'Monthly Data (14-23) Used'!DG106</f>
        <v>48.999999999999993</v>
      </c>
      <c r="I106">
        <f>'Monthly Data (14-23) Used'!CB106</f>
        <v>30</v>
      </c>
      <c r="J106">
        <f>'Monthly Data (14-23) Used'!CA106</f>
        <v>0</v>
      </c>
      <c r="K106">
        <f>'Monthly Data (14-23) Used'!BJ106</f>
        <v>105</v>
      </c>
      <c r="M106" s="6">
        <f t="shared" si="26"/>
        <v>-7179191.8731795801</v>
      </c>
      <c r="N106" s="6">
        <f t="shared" si="41"/>
        <v>336495.02862313454</v>
      </c>
      <c r="O106" s="6">
        <f t="shared" si="42"/>
        <v>6528314.3895514067</v>
      </c>
      <c r="P106" s="6">
        <f t="shared" si="43"/>
        <v>57075.458572115145</v>
      </c>
      <c r="Q106" s="6">
        <f t="shared" si="44"/>
        <v>753499.58373119356</v>
      </c>
      <c r="R106" s="6">
        <f t="shared" si="33"/>
        <v>22371518.548837077</v>
      </c>
      <c r="S106" s="6">
        <f t="shared" si="34"/>
        <v>0</v>
      </c>
      <c r="T106" s="6">
        <f t="shared" si="35"/>
        <v>2272474.9563518101</v>
      </c>
      <c r="U106" s="6">
        <f t="shared" si="36"/>
        <v>25140186.092487156</v>
      </c>
      <c r="V106" s="6">
        <f t="shared" si="45"/>
        <v>86759.697410117835</v>
      </c>
      <c r="W106" s="14">
        <f t="shared" si="46"/>
        <v>3.462987299300745E-3</v>
      </c>
    </row>
    <row r="107" spans="1:23">
      <c r="A107" s="197">
        <v>44835</v>
      </c>
      <c r="B107">
        <f t="shared" si="47"/>
        <v>10</v>
      </c>
      <c r="C107">
        <f t="shared" si="48"/>
        <v>2022</v>
      </c>
      <c r="D107" s="6">
        <f>'Monthly Data (longer 09-23)'!E167</f>
        <v>18291228.395077039</v>
      </c>
      <c r="E107">
        <f>'Monthly Data (14-23) Used'!AC107</f>
        <v>209.6420919656392</v>
      </c>
      <c r="F107">
        <f>'Monthly Data (14-23) Used'!AF107</f>
        <v>7.7000000000000028</v>
      </c>
      <c r="G107">
        <f>'Monthly Data (14-23) Used'!DD107</f>
        <v>104.8210459828196</v>
      </c>
      <c r="H107">
        <f>'Monthly Data (14-23) Used'!DG107</f>
        <v>3.8500000000000014</v>
      </c>
      <c r="I107">
        <f>'Monthly Data (14-23) Used'!CB107</f>
        <v>31</v>
      </c>
      <c r="J107">
        <f>'Monthly Data (14-23) Used'!CA107</f>
        <v>1</v>
      </c>
      <c r="K107">
        <f>'Monthly Data (14-23) Used'!BJ107</f>
        <v>106</v>
      </c>
      <c r="M107" s="6">
        <f t="shared" si="26"/>
        <v>-7179191.8731795801</v>
      </c>
      <c r="N107" s="6">
        <f t="shared" si="41"/>
        <v>1488259.952248767</v>
      </c>
      <c r="O107" s="6">
        <f t="shared" si="42"/>
        <v>512938.9877504679</v>
      </c>
      <c r="P107" s="6">
        <f t="shared" si="43"/>
        <v>252434.99018895341</v>
      </c>
      <c r="Q107" s="6">
        <f t="shared" si="44"/>
        <v>59203.538721736666</v>
      </c>
      <c r="R107" s="6">
        <f t="shared" si="33"/>
        <v>23117235.833798315</v>
      </c>
      <c r="S107" s="6">
        <f t="shared" si="34"/>
        <v>-1713930.83126266</v>
      </c>
      <c r="T107" s="6">
        <f t="shared" si="35"/>
        <v>2294117.5749837318</v>
      </c>
      <c r="U107" s="6">
        <f t="shared" si="36"/>
        <v>18831068.173249733</v>
      </c>
      <c r="V107" s="6">
        <f t="shared" si="45"/>
        <v>539839.77817269415</v>
      </c>
      <c r="W107" s="14">
        <f t="shared" si="46"/>
        <v>2.9513587962085062E-2</v>
      </c>
    </row>
    <row r="108" spans="1:23">
      <c r="A108" s="197">
        <v>44866</v>
      </c>
      <c r="B108">
        <f t="shared" si="47"/>
        <v>11</v>
      </c>
      <c r="C108">
        <f t="shared" si="48"/>
        <v>2022</v>
      </c>
      <c r="D108" s="6">
        <f>'Monthly Data (longer 09-23)'!E168</f>
        <v>19004520.395077039</v>
      </c>
      <c r="E108">
        <f>'Monthly Data (14-23) Used'!AC108</f>
        <v>368.6</v>
      </c>
      <c r="F108">
        <f>'Monthly Data (14-23) Used'!AF108</f>
        <v>2.2999999999999972</v>
      </c>
      <c r="G108">
        <f>'Monthly Data (14-23) Used'!DD108</f>
        <v>184.3</v>
      </c>
      <c r="H108">
        <f>'Monthly Data (14-23) Used'!DG108</f>
        <v>1.1499999999999986</v>
      </c>
      <c r="I108">
        <f>'Monthly Data (14-23) Used'!CB108</f>
        <v>30</v>
      </c>
      <c r="J108">
        <f>'Monthly Data (14-23) Used'!CA108</f>
        <v>1</v>
      </c>
      <c r="K108">
        <f>'Monthly Data (14-23) Used'!BJ108</f>
        <v>107</v>
      </c>
      <c r="M108" s="6">
        <f t="shared" si="26"/>
        <v>-7179191.8731795801</v>
      </c>
      <c r="N108" s="6">
        <f t="shared" si="41"/>
        <v>2616710.2858752613</v>
      </c>
      <c r="O108" s="6">
        <f t="shared" si="42"/>
        <v>153215.54179559406</v>
      </c>
      <c r="P108" s="6">
        <f t="shared" si="43"/>
        <v>443839.95843210217</v>
      </c>
      <c r="Q108" s="6">
        <f t="shared" si="44"/>
        <v>17684.173903895338</v>
      </c>
      <c r="R108" s="6">
        <f t="shared" si="33"/>
        <v>22371518.548837077</v>
      </c>
      <c r="S108" s="6">
        <f t="shared" si="34"/>
        <v>-1713930.83126266</v>
      </c>
      <c r="T108" s="6">
        <f t="shared" si="35"/>
        <v>2315760.193615654</v>
      </c>
      <c r="U108" s="6">
        <f t="shared" si="36"/>
        <v>19025605.998017345</v>
      </c>
      <c r="V108" s="6">
        <f t="shared" si="45"/>
        <v>21085.602940306067</v>
      </c>
      <c r="W108" s="14">
        <f t="shared" si="46"/>
        <v>1.1095046074284577E-3</v>
      </c>
    </row>
    <row r="109" spans="1:23">
      <c r="A109" s="197">
        <v>44896</v>
      </c>
      <c r="B109">
        <f t="shared" si="47"/>
        <v>12</v>
      </c>
      <c r="C109">
        <f t="shared" si="48"/>
        <v>2022</v>
      </c>
      <c r="D109" s="6">
        <f>'Monthly Data (longer 09-23)'!E169</f>
        <v>23067827.395077039</v>
      </c>
      <c r="E109">
        <f>'Monthly Data (14-23) Used'!AC109</f>
        <v>556.1</v>
      </c>
      <c r="F109">
        <f>'Monthly Data (14-23) Used'!AF109</f>
        <v>0</v>
      </c>
      <c r="G109">
        <f>'Monthly Data (14-23) Used'!DD109</f>
        <v>278.05</v>
      </c>
      <c r="H109">
        <f>'Monthly Data (14-23) Used'!DG109</f>
        <v>0</v>
      </c>
      <c r="I109">
        <f>'Monthly Data (14-23) Used'!CB109</f>
        <v>31</v>
      </c>
      <c r="J109">
        <f>'Monthly Data (14-23) Used'!CA109</f>
        <v>0</v>
      </c>
      <c r="K109">
        <f>'Monthly Data (14-23) Used'!BJ109</f>
        <v>108</v>
      </c>
      <c r="M109" s="6">
        <f t="shared" si="26"/>
        <v>-7179191.8731795801</v>
      </c>
      <c r="N109" s="6">
        <f t="shared" si="41"/>
        <v>3947782.3927705721</v>
      </c>
      <c r="O109" s="6">
        <f t="shared" si="42"/>
        <v>0</v>
      </c>
      <c r="P109" s="6">
        <f t="shared" si="43"/>
        <v>669613.13316357031</v>
      </c>
      <c r="Q109" s="6">
        <f t="shared" si="44"/>
        <v>0</v>
      </c>
      <c r="R109" s="6">
        <f t="shared" si="33"/>
        <v>23117235.833798315</v>
      </c>
      <c r="S109" s="6">
        <f t="shared" si="34"/>
        <v>0</v>
      </c>
      <c r="T109" s="6">
        <f t="shared" si="35"/>
        <v>2337402.8122475762</v>
      </c>
      <c r="U109" s="6">
        <f t="shared" si="36"/>
        <v>22892842.298800454</v>
      </c>
      <c r="V109" s="6">
        <f t="shared" si="45"/>
        <v>-174985.09627658501</v>
      </c>
      <c r="W109" s="14">
        <f t="shared" si="46"/>
        <v>7.5856773713301236E-3</v>
      </c>
    </row>
    <row r="110" spans="1:23">
      <c r="A110" s="197">
        <v>44927</v>
      </c>
      <c r="B110">
        <f t="shared" ref="B110:B115" si="49">MONTH(A110)</f>
        <v>1</v>
      </c>
      <c r="C110">
        <f t="shared" ref="C110:C115" si="50">YEAR(A110)</f>
        <v>2023</v>
      </c>
      <c r="D110" s="6">
        <f>'Monthly Data (longer 09-23)'!E170</f>
        <v>21739653.020592146</v>
      </c>
      <c r="E110">
        <f>'Monthly Data (14-23) Used'!AC110</f>
        <v>548.70000000000005</v>
      </c>
      <c r="F110">
        <f>'Monthly Data (14-23) Used'!AF110</f>
        <v>0</v>
      </c>
      <c r="G110">
        <f>'Monthly Data (14-23) Used'!DD110</f>
        <v>137.17500000000001</v>
      </c>
      <c r="H110">
        <f>'Monthly Data (14-23) Used'!DG110</f>
        <v>0</v>
      </c>
      <c r="I110">
        <f>'Monthly Data (14-23) Used'!CB110</f>
        <v>31</v>
      </c>
      <c r="J110">
        <f>'Monthly Data (14-23) Used'!CA110</f>
        <v>0</v>
      </c>
      <c r="K110">
        <f>'Monthly Data (14-23) Used'!BJ110</f>
        <v>109</v>
      </c>
      <c r="M110" s="6">
        <f t="shared" si="26"/>
        <v>-7179191.8731795801</v>
      </c>
      <c r="N110" s="6">
        <f t="shared" si="41"/>
        <v>3895249.413618437</v>
      </c>
      <c r="O110" s="6">
        <f t="shared" si="42"/>
        <v>0</v>
      </c>
      <c r="P110" s="6">
        <f t="shared" si="43"/>
        <v>330351.30926708417</v>
      </c>
      <c r="Q110" s="6">
        <f t="shared" si="44"/>
        <v>0</v>
      </c>
      <c r="R110" s="6">
        <f t="shared" si="33"/>
        <v>23117235.833798315</v>
      </c>
      <c r="S110" s="6">
        <f t="shared" si="34"/>
        <v>0</v>
      </c>
      <c r="T110" s="6">
        <f t="shared" si="35"/>
        <v>2359045.4308794979</v>
      </c>
      <c r="U110" s="6">
        <f t="shared" si="36"/>
        <v>22522690.114383757</v>
      </c>
      <c r="V110" s="6">
        <f t="shared" si="45"/>
        <v>783037.09379161149</v>
      </c>
      <c r="W110" s="14">
        <f t="shared" si="46"/>
        <v>3.6018840459408723E-2</v>
      </c>
    </row>
    <row r="111" spans="1:23">
      <c r="A111" s="197">
        <v>44958</v>
      </c>
      <c r="B111">
        <f t="shared" si="49"/>
        <v>2</v>
      </c>
      <c r="C111">
        <f t="shared" si="50"/>
        <v>2023</v>
      </c>
      <c r="D111" s="6">
        <f>'Monthly Data (longer 09-23)'!E171</f>
        <v>19325500.364851363</v>
      </c>
      <c r="E111">
        <f>'Monthly Data (14-23) Used'!AC111</f>
        <v>491.23552299140994</v>
      </c>
      <c r="F111">
        <f>'Monthly Data (14-23) Used'!AF111</f>
        <v>0</v>
      </c>
      <c r="G111">
        <f>'Monthly Data (14-23) Used'!DD111</f>
        <v>122.80888074785248</v>
      </c>
      <c r="H111">
        <f>'Monthly Data (14-23) Used'!DG111</f>
        <v>0</v>
      </c>
      <c r="I111">
        <f>'Monthly Data (14-23) Used'!CB111</f>
        <v>28</v>
      </c>
      <c r="J111">
        <f>'Monthly Data (14-23) Used'!CA111</f>
        <v>0</v>
      </c>
      <c r="K111">
        <f>'Monthly Data (14-23) Used'!BJ111</f>
        <v>110</v>
      </c>
      <c r="M111" s="6">
        <f t="shared" si="26"/>
        <v>-7179191.8731795801</v>
      </c>
      <c r="N111" s="6">
        <f t="shared" si="41"/>
        <v>3487306.1470399778</v>
      </c>
      <c r="O111" s="6">
        <f t="shared" si="42"/>
        <v>0</v>
      </c>
      <c r="P111" s="6">
        <f t="shared" si="43"/>
        <v>295754.14284438326</v>
      </c>
      <c r="Q111" s="6">
        <f t="shared" si="44"/>
        <v>0</v>
      </c>
      <c r="R111" s="6">
        <f t="shared" si="33"/>
        <v>20880083.978914607</v>
      </c>
      <c r="S111" s="6">
        <f t="shared" si="34"/>
        <v>0</v>
      </c>
      <c r="T111" s="6">
        <f t="shared" si="35"/>
        <v>2380688.0495114201</v>
      </c>
      <c r="U111" s="6">
        <f t="shared" si="36"/>
        <v>19864640.44513081</v>
      </c>
      <c r="V111" s="6">
        <f t="shared" si="45"/>
        <v>539140.08027944714</v>
      </c>
      <c r="W111" s="14">
        <f t="shared" si="46"/>
        <v>2.7897858792832027E-2</v>
      </c>
    </row>
    <row r="112" spans="1:23">
      <c r="A112" s="197">
        <v>44986</v>
      </c>
      <c r="B112">
        <f t="shared" si="49"/>
        <v>3</v>
      </c>
      <c r="C112">
        <f t="shared" si="50"/>
        <v>2023</v>
      </c>
      <c r="D112" s="6">
        <f>'Monthly Data (longer 09-23)'!E172</f>
        <v>20403192.423943333</v>
      </c>
      <c r="E112">
        <f>'Monthly Data (14-23) Used'!AC112</f>
        <v>480.09999999999997</v>
      </c>
      <c r="F112">
        <f>'Monthly Data (14-23) Used'!AF112</f>
        <v>0</v>
      </c>
      <c r="G112">
        <f>'Monthly Data (14-23) Used'!DD112</f>
        <v>120.02499999999999</v>
      </c>
      <c r="H112">
        <f>'Monthly Data (14-23) Used'!DG112</f>
        <v>0</v>
      </c>
      <c r="I112">
        <f>'Monthly Data (14-23) Used'!CB112</f>
        <v>31</v>
      </c>
      <c r="J112">
        <f>'Monthly Data (14-23) Used'!CA112</f>
        <v>1</v>
      </c>
      <c r="K112">
        <f>'Monthly Data (14-23) Used'!BJ112</f>
        <v>111</v>
      </c>
      <c r="M112" s="6">
        <f t="shared" si="26"/>
        <v>-7179191.8731795801</v>
      </c>
      <c r="N112" s="6">
        <f t="shared" si="41"/>
        <v>3408254.4987756722</v>
      </c>
      <c r="O112" s="6">
        <f t="shared" si="42"/>
        <v>0</v>
      </c>
      <c r="P112" s="6">
        <f t="shared" si="43"/>
        <v>289049.86983620754</v>
      </c>
      <c r="Q112" s="6">
        <f t="shared" si="44"/>
        <v>0</v>
      </c>
      <c r="R112" s="6">
        <f t="shared" si="33"/>
        <v>23117235.833798315</v>
      </c>
      <c r="S112" s="6">
        <f t="shared" si="34"/>
        <v>-1713930.83126266</v>
      </c>
      <c r="T112" s="6">
        <f t="shared" si="35"/>
        <v>2402330.6681433418</v>
      </c>
      <c r="U112" s="6">
        <f t="shared" si="36"/>
        <v>20323748.166111298</v>
      </c>
      <c r="V112" s="6">
        <f t="shared" si="45"/>
        <v>-79444.257832035422</v>
      </c>
      <c r="W112" s="14">
        <f t="shared" si="46"/>
        <v>3.8937170312037471E-3</v>
      </c>
    </row>
    <row r="113" spans="1:23">
      <c r="A113" s="197">
        <v>45017</v>
      </c>
      <c r="B113">
        <f t="shared" si="49"/>
        <v>4</v>
      </c>
      <c r="C113">
        <f t="shared" si="50"/>
        <v>2023</v>
      </c>
      <c r="D113" s="6">
        <f>'Monthly Data (longer 09-23)'!E173</f>
        <v>18268877.853255227</v>
      </c>
      <c r="E113">
        <f>'Monthly Data (14-23) Used'!AC113</f>
        <v>263.89999999999998</v>
      </c>
      <c r="F113">
        <f>'Monthly Data (14-23) Used'!AF113</f>
        <v>12.2</v>
      </c>
      <c r="G113">
        <f>'Monthly Data (14-23) Used'!DD113</f>
        <v>65.974999999999994</v>
      </c>
      <c r="H113">
        <f>'Monthly Data (14-23) Used'!DG113</f>
        <v>3.05</v>
      </c>
      <c r="I113">
        <f>'Monthly Data (14-23) Used'!CB113</f>
        <v>30</v>
      </c>
      <c r="J113">
        <f>'Monthly Data (14-23) Used'!CA113</f>
        <v>1</v>
      </c>
      <c r="K113">
        <f>'Monthly Data (14-23) Used'!BJ113</f>
        <v>112</v>
      </c>
      <c r="M113" s="6">
        <f t="shared" si="26"/>
        <v>-7179191.8731795801</v>
      </c>
      <c r="N113" s="6">
        <f t="shared" si="41"/>
        <v>1873439.6213849196</v>
      </c>
      <c r="O113" s="6">
        <f t="shared" si="42"/>
        <v>812708.52604619553</v>
      </c>
      <c r="P113" s="6">
        <f t="shared" si="43"/>
        <v>158884.10883102514</v>
      </c>
      <c r="Q113" s="6">
        <f t="shared" si="44"/>
        <v>46901.504701635517</v>
      </c>
      <c r="R113" s="6">
        <f t="shared" si="33"/>
        <v>22371518.548837077</v>
      </c>
      <c r="S113" s="6">
        <f t="shared" si="34"/>
        <v>-1713930.83126266</v>
      </c>
      <c r="T113" s="6">
        <f t="shared" si="35"/>
        <v>2423973.286775264</v>
      </c>
      <c r="U113" s="6">
        <f t="shared" si="36"/>
        <v>18794302.892133877</v>
      </c>
      <c r="V113" s="6">
        <f t="shared" si="45"/>
        <v>525425.03887864947</v>
      </c>
      <c r="W113" s="14">
        <f t="shared" si="46"/>
        <v>2.8760662975532838E-2</v>
      </c>
    </row>
    <row r="114" spans="1:23">
      <c r="A114" s="197">
        <v>45047</v>
      </c>
      <c r="B114">
        <f t="shared" si="49"/>
        <v>5</v>
      </c>
      <c r="C114">
        <f t="shared" si="50"/>
        <v>2023</v>
      </c>
      <c r="D114" s="6">
        <f>'Monthly Data (longer 09-23)'!E174</f>
        <v>19695117.745425321</v>
      </c>
      <c r="E114">
        <f>'Monthly Data (14-23) Used'!AC114</f>
        <v>122.5</v>
      </c>
      <c r="F114">
        <f>'Monthly Data (14-23) Used'!AF114</f>
        <v>33.9</v>
      </c>
      <c r="G114">
        <f>'Monthly Data (14-23) Used'!DD114</f>
        <v>30.625</v>
      </c>
      <c r="H114">
        <f>'Monthly Data (14-23) Used'!DG114</f>
        <v>8.4749999999999996</v>
      </c>
      <c r="I114">
        <f>'Monthly Data (14-23) Used'!CB114</f>
        <v>31</v>
      </c>
      <c r="J114">
        <f>'Monthly Data (14-23) Used'!CA114</f>
        <v>1</v>
      </c>
      <c r="K114">
        <f>'Monthly Data (14-23) Used'!BJ114</f>
        <v>113</v>
      </c>
      <c r="M114" s="6">
        <f t="shared" si="26"/>
        <v>-7179191.8731795801</v>
      </c>
      <c r="N114" s="6">
        <f t="shared" si="41"/>
        <v>869633.77650493628</v>
      </c>
      <c r="O114" s="6">
        <f t="shared" si="42"/>
        <v>2258263.85516115</v>
      </c>
      <c r="P114" s="6">
        <f t="shared" si="43"/>
        <v>73752.570412279587</v>
      </c>
      <c r="Q114" s="6">
        <f t="shared" si="44"/>
        <v>130324.67290044624</v>
      </c>
      <c r="R114" s="6">
        <f t="shared" si="33"/>
        <v>23117235.833798315</v>
      </c>
      <c r="S114" s="6">
        <f t="shared" si="34"/>
        <v>-1713930.83126266</v>
      </c>
      <c r="T114" s="6">
        <f t="shared" si="35"/>
        <v>2445615.9054071861</v>
      </c>
      <c r="U114" s="6">
        <f t="shared" si="36"/>
        <v>20001703.909742076</v>
      </c>
      <c r="V114" s="6">
        <f t="shared" si="45"/>
        <v>306586.16431675479</v>
      </c>
      <c r="W114" s="14">
        <f t="shared" si="46"/>
        <v>1.5566607332823234E-2</v>
      </c>
    </row>
    <row r="115" spans="1:23">
      <c r="A115" s="197">
        <v>45078</v>
      </c>
      <c r="B115">
        <f t="shared" si="49"/>
        <v>6</v>
      </c>
      <c r="C115">
        <f t="shared" si="50"/>
        <v>2023</v>
      </c>
      <c r="D115" s="6">
        <f>'Monthly Data (longer 09-23)'!E175</f>
        <v>25536410.654737167</v>
      </c>
      <c r="E115">
        <f>'Monthly Data (14-23) Used'!AC115</f>
        <v>14.600000000000001</v>
      </c>
      <c r="F115">
        <f>'Monthly Data (14-23) Used'!AF115</f>
        <v>114.10000000000001</v>
      </c>
      <c r="G115">
        <f>'Monthly Data (14-23) Used'!DD115</f>
        <v>3.6500000000000004</v>
      </c>
      <c r="H115">
        <f>'Monthly Data (14-23) Used'!DG115</f>
        <v>28.525000000000002</v>
      </c>
      <c r="I115">
        <f>'Monthly Data (14-23) Used'!CB115</f>
        <v>30</v>
      </c>
      <c r="J115">
        <f>'Monthly Data (14-23) Used'!CA115</f>
        <v>0</v>
      </c>
      <c r="K115">
        <f>'Monthly Data (14-23) Used'!BJ115</f>
        <v>114</v>
      </c>
      <c r="M115" s="6">
        <f t="shared" si="26"/>
        <v>-7179191.8731795801</v>
      </c>
      <c r="N115" s="6">
        <f t="shared" si="41"/>
        <v>103646.14805691486</v>
      </c>
      <c r="O115" s="6">
        <f t="shared" si="42"/>
        <v>7600823.1821205672</v>
      </c>
      <c r="P115" s="6">
        <f t="shared" si="43"/>
        <v>8790.1022695451593</v>
      </c>
      <c r="Q115" s="6">
        <f t="shared" si="44"/>
        <v>438644.4005292306</v>
      </c>
      <c r="R115" s="6">
        <f t="shared" si="33"/>
        <v>22371518.548837077</v>
      </c>
      <c r="S115" s="6">
        <f t="shared" si="34"/>
        <v>0</v>
      </c>
      <c r="T115" s="6">
        <f t="shared" si="35"/>
        <v>2467258.5240391078</v>
      </c>
      <c r="U115" s="6">
        <f t="shared" si="36"/>
        <v>25811489.032672863</v>
      </c>
      <c r="V115" s="6">
        <f t="shared" si="45"/>
        <v>275078.37793569639</v>
      </c>
      <c r="W115" s="14">
        <f t="shared" si="46"/>
        <v>1.0772006358092757E-2</v>
      </c>
    </row>
    <row r="116" spans="1:23">
      <c r="A116" s="197">
        <v>45108</v>
      </c>
      <c r="B116">
        <f t="shared" ref="B116:B121" si="51">MONTH(A116)</f>
        <v>7</v>
      </c>
      <c r="C116">
        <f t="shared" ref="C116:C121" si="52">YEAR(A116)</f>
        <v>2023</v>
      </c>
      <c r="D116" s="6">
        <f>'Monthly Data (longer 09-23)'!E176</f>
        <v>33012016.936593421</v>
      </c>
      <c r="E116">
        <f>'Monthly Data (14-23) Used'!AC116</f>
        <v>0</v>
      </c>
      <c r="F116">
        <f>'Monthly Data (14-23) Used'!AF116</f>
        <v>194.8644770085902</v>
      </c>
      <c r="G116">
        <f>'Monthly Data (14-23) Used'!DD116</f>
        <v>0</v>
      </c>
      <c r="H116">
        <f>'Monthly Data (14-23) Used'!DG116</f>
        <v>48.71611925214755</v>
      </c>
      <c r="I116">
        <f>'Monthly Data (14-23) Used'!CB116</f>
        <v>31</v>
      </c>
      <c r="J116">
        <f>'Monthly Data (14-23) Used'!CA116</f>
        <v>0</v>
      </c>
      <c r="K116">
        <f>'Monthly Data (14-23) Used'!BJ116</f>
        <v>115</v>
      </c>
      <c r="M116" s="6">
        <f t="shared" si="26"/>
        <v>-7179191.8731795801</v>
      </c>
      <c r="N116" s="6">
        <f t="shared" ref="N116:N121" si="53">E116*$AA$8</f>
        <v>0</v>
      </c>
      <c r="O116" s="6">
        <f t="shared" ref="O116:O121" si="54">F116*$AA$9</f>
        <v>12980985.400689682</v>
      </c>
      <c r="P116" s="6">
        <f t="shared" ref="P116:P121" si="55">G116*$AA$10</f>
        <v>0</v>
      </c>
      <c r="Q116" s="6">
        <f t="shared" ref="Q116:Q121" si="56">H116*$AA$11</f>
        <v>749134.19545902789</v>
      </c>
      <c r="R116" s="6">
        <f t="shared" ref="R116:R121" si="57">I116*$AA$12</f>
        <v>23117235.833798315</v>
      </c>
      <c r="S116" s="6">
        <f t="shared" ref="S116:S121" si="58">J116*$AA$13</f>
        <v>0</v>
      </c>
      <c r="T116" s="6">
        <f t="shared" ref="T116:T121" si="59">K116*$AA$14</f>
        <v>2488901.14267103</v>
      </c>
      <c r="U116" s="6">
        <f t="shared" ref="U116:U121" si="60">SUM(M116:T116)</f>
        <v>32157064.699438475</v>
      </c>
      <c r="V116" s="6">
        <f t="shared" ref="V116:V121" si="61">U116-D116</f>
        <v>-854952.23715494573</v>
      </c>
      <c r="W116" s="14">
        <f t="shared" ref="W116:W121" si="62">ABS(U116-D116)/D116</f>
        <v>2.5898212726506921E-2</v>
      </c>
    </row>
    <row r="117" spans="1:23">
      <c r="A117" s="197">
        <v>45139</v>
      </c>
      <c r="B117">
        <f t="shared" si="51"/>
        <v>8</v>
      </c>
      <c r="C117">
        <f t="shared" si="52"/>
        <v>2023</v>
      </c>
      <c r="D117" s="6">
        <f>'Monthly Data (longer 09-23)'!E177</f>
        <v>29791544.592128277</v>
      </c>
      <c r="E117">
        <f>'Monthly Data (14-23) Used'!AC117</f>
        <v>8.5710459828196122</v>
      </c>
      <c r="F117">
        <f>'Monthly Data (14-23) Used'!AF117</f>
        <v>140.01581606872151</v>
      </c>
      <c r="G117">
        <f>'Monthly Data (14-23) Used'!DD117</f>
        <v>2.142761495704903</v>
      </c>
      <c r="H117">
        <f>'Monthly Data (14-23) Used'!DG117</f>
        <v>35.003954017180376</v>
      </c>
      <c r="I117">
        <f>'Monthly Data (14-23) Used'!CB117</f>
        <v>31</v>
      </c>
      <c r="J117">
        <f>'Monthly Data (14-23) Used'!CA117</f>
        <v>0</v>
      </c>
      <c r="K117">
        <f>'Monthly Data (14-23) Used'!BJ117</f>
        <v>116</v>
      </c>
      <c r="M117" s="6">
        <f t="shared" si="26"/>
        <v>-7179191.8731795801</v>
      </c>
      <c r="N117" s="6">
        <f t="shared" si="53"/>
        <v>60846.294584790878</v>
      </c>
      <c r="O117" s="6">
        <f t="shared" si="54"/>
        <v>9327217.0082267113</v>
      </c>
      <c r="P117" s="6">
        <f t="shared" si="55"/>
        <v>5160.2993661615474</v>
      </c>
      <c r="Q117" s="6">
        <f t="shared" si="56"/>
        <v>538274.7914467603</v>
      </c>
      <c r="R117" s="6">
        <f t="shared" si="57"/>
        <v>23117235.833798315</v>
      </c>
      <c r="S117" s="6">
        <f t="shared" si="58"/>
        <v>0</v>
      </c>
      <c r="T117" s="6">
        <f t="shared" si="59"/>
        <v>2510543.7613029517</v>
      </c>
      <c r="U117" s="6">
        <f t="shared" si="60"/>
        <v>28380086.115546111</v>
      </c>
      <c r="V117" s="6">
        <f t="shared" si="61"/>
        <v>-1411458.4765821658</v>
      </c>
      <c r="W117" s="14">
        <f t="shared" si="62"/>
        <v>4.7377821321661545E-2</v>
      </c>
    </row>
    <row r="118" spans="1:23">
      <c r="A118" s="197">
        <v>45170</v>
      </c>
      <c r="B118">
        <f t="shared" si="51"/>
        <v>9</v>
      </c>
      <c r="C118">
        <f t="shared" si="52"/>
        <v>2023</v>
      </c>
      <c r="D118" s="6">
        <f>'Monthly Data (longer 09-23)'!E178</f>
        <v>24279616.849699214</v>
      </c>
      <c r="E118">
        <f>'Monthly Data (14-23) Used'!AC118</f>
        <v>26.171045982819621</v>
      </c>
      <c r="F118">
        <f>'Monthly Data (14-23) Used'!AF118</f>
        <v>74.064477008590188</v>
      </c>
      <c r="G118">
        <f>'Monthly Data (14-23) Used'!DD118</f>
        <v>6.5427614957049052</v>
      </c>
      <c r="H118">
        <f>'Monthly Data (14-23) Used'!DG118</f>
        <v>18.516119252147547</v>
      </c>
      <c r="I118">
        <f>'Monthly Data (14-23) Used'!CB118</f>
        <v>30</v>
      </c>
      <c r="J118">
        <f>'Monthly Data (14-23) Used'!CA118</f>
        <v>0</v>
      </c>
      <c r="K118">
        <f>'Monthly Data (14-23) Used'!BJ118</f>
        <v>117</v>
      </c>
      <c r="M118" s="6">
        <f>$AA$7</f>
        <v>-7179191.8731795801</v>
      </c>
      <c r="N118" s="6">
        <f t="shared" si="53"/>
        <v>185789.59635203076</v>
      </c>
      <c r="O118" s="6">
        <f t="shared" si="54"/>
        <v>4933838.6837732522</v>
      </c>
      <c r="P118" s="6">
        <f t="shared" si="55"/>
        <v>15756.587033558455</v>
      </c>
      <c r="Q118" s="6">
        <f t="shared" si="56"/>
        <v>284732.41120021057</v>
      </c>
      <c r="R118" s="6">
        <f t="shared" si="57"/>
        <v>22371518.548837077</v>
      </c>
      <c r="S118" s="6">
        <f t="shared" si="58"/>
        <v>0</v>
      </c>
      <c r="T118" s="6">
        <f t="shared" si="59"/>
        <v>2532186.3799348739</v>
      </c>
      <c r="U118" s="6">
        <f t="shared" si="60"/>
        <v>23144630.333951421</v>
      </c>
      <c r="V118" s="6">
        <f t="shared" si="61"/>
        <v>-1134986.515747793</v>
      </c>
      <c r="W118" s="14">
        <f t="shared" si="62"/>
        <v>4.6746475563178159E-2</v>
      </c>
    </row>
    <row r="119" spans="1:23">
      <c r="A119" s="197">
        <v>45200</v>
      </c>
      <c r="B119">
        <f t="shared" si="51"/>
        <v>10</v>
      </c>
      <c r="C119">
        <f t="shared" si="52"/>
        <v>2023</v>
      </c>
      <c r="D119" s="6">
        <f>'Monthly Data (longer 09-23)'!E179</f>
        <v>19662271.76550518</v>
      </c>
      <c r="E119">
        <f>'Monthly Data (14-23) Used'!AC119</f>
        <v>191.00000000000003</v>
      </c>
      <c r="F119">
        <f>'Monthly Data (14-23) Used'!AF119</f>
        <v>28.599999999999994</v>
      </c>
      <c r="G119">
        <f>'Monthly Data (14-23) Used'!DD119</f>
        <v>47.750000000000007</v>
      </c>
      <c r="H119">
        <f>'Monthly Data (14-23) Used'!DG119</f>
        <v>7.1499999999999986</v>
      </c>
      <c r="I119">
        <f>'Monthly Data (14-23) Used'!CB119</f>
        <v>31</v>
      </c>
      <c r="J119">
        <f>'Monthly Data (14-23) Used'!CA119</f>
        <v>1</v>
      </c>
      <c r="K119">
        <f>'Monthly Data (14-23) Used'!BJ119</f>
        <v>118</v>
      </c>
      <c r="M119" s="6">
        <f>$AA$7</f>
        <v>-7179191.8731795801</v>
      </c>
      <c r="N119" s="6">
        <f t="shared" si="53"/>
        <v>1355918.7862240232</v>
      </c>
      <c r="O119" s="6">
        <f t="shared" si="54"/>
        <v>1905201.9545017369</v>
      </c>
      <c r="P119" s="6">
        <f t="shared" si="55"/>
        <v>114993.80366322778</v>
      </c>
      <c r="Q119" s="6">
        <f t="shared" si="56"/>
        <v>109949.42905465374</v>
      </c>
      <c r="R119" s="6">
        <f t="shared" si="57"/>
        <v>23117235.833798315</v>
      </c>
      <c r="S119" s="6">
        <f t="shared" si="58"/>
        <v>-1713930.83126266</v>
      </c>
      <c r="T119" s="6">
        <f t="shared" si="59"/>
        <v>2553828.9985667961</v>
      </c>
      <c r="U119" s="6">
        <f t="shared" si="60"/>
        <v>20264006.101366512</v>
      </c>
      <c r="V119" s="6">
        <f t="shared" si="61"/>
        <v>601734.33586133271</v>
      </c>
      <c r="W119" s="14">
        <f t="shared" si="62"/>
        <v>3.0603500095904224E-2</v>
      </c>
    </row>
    <row r="120" spans="1:23">
      <c r="A120" s="197">
        <v>45231</v>
      </c>
      <c r="B120">
        <f t="shared" si="51"/>
        <v>11</v>
      </c>
      <c r="C120">
        <f t="shared" si="52"/>
        <v>2023</v>
      </c>
      <c r="D120" s="6">
        <f>'Monthly Data (longer 09-23)'!E180</f>
        <v>19498370.0278183</v>
      </c>
      <c r="E120">
        <f>'Monthly Data (14-23) Used'!AC120</f>
        <v>402.39999999999992</v>
      </c>
      <c r="F120">
        <f>'Monthly Data (14-23) Used'!AF120</f>
        <v>0</v>
      </c>
      <c r="G120">
        <f>'Monthly Data (14-23) Used'!DD120</f>
        <v>100.59999999999998</v>
      </c>
      <c r="H120">
        <f>'Monthly Data (14-23) Used'!DG120</f>
        <v>0</v>
      </c>
      <c r="I120">
        <f>'Monthly Data (14-23) Used'!CB120</f>
        <v>30</v>
      </c>
      <c r="J120">
        <f>'Monthly Data (14-23) Used'!CA120</f>
        <v>1</v>
      </c>
      <c r="K120">
        <f>'Monthly Data (14-23) Used'!BJ120</f>
        <v>119</v>
      </c>
      <c r="M120" s="6">
        <f>$AA$7</f>
        <v>-7179191.8731795801</v>
      </c>
      <c r="N120" s="6">
        <f t="shared" si="53"/>
        <v>2856658.2176782554</v>
      </c>
      <c r="O120" s="6">
        <f t="shared" si="54"/>
        <v>0</v>
      </c>
      <c r="P120" s="6">
        <f t="shared" si="55"/>
        <v>242269.66803184734</v>
      </c>
      <c r="Q120" s="6">
        <f t="shared" si="56"/>
        <v>0</v>
      </c>
      <c r="R120" s="6">
        <f t="shared" si="57"/>
        <v>22371518.548837077</v>
      </c>
      <c r="S120" s="6">
        <f t="shared" si="58"/>
        <v>-1713930.83126266</v>
      </c>
      <c r="T120" s="6">
        <f t="shared" si="59"/>
        <v>2575471.6171987178</v>
      </c>
      <c r="U120" s="6">
        <f t="shared" si="60"/>
        <v>19152795.347303659</v>
      </c>
      <c r="V120" s="6">
        <f t="shared" si="61"/>
        <v>-345574.68051464111</v>
      </c>
      <c r="W120" s="14">
        <f t="shared" si="62"/>
        <v>1.7723259945401085E-2</v>
      </c>
    </row>
    <row r="121" spans="1:23">
      <c r="A121" s="197">
        <v>45261</v>
      </c>
      <c r="B121">
        <f t="shared" si="51"/>
        <v>12</v>
      </c>
      <c r="C121">
        <f t="shared" si="52"/>
        <v>2023</v>
      </c>
      <c r="D121" s="6">
        <f>'Monthly Data (longer 09-23)'!E181</f>
        <v>21949733.195365354</v>
      </c>
      <c r="E121">
        <f>'Monthly Data (14-23) Used'!AC121</f>
        <v>431.4</v>
      </c>
      <c r="F121">
        <f>'Monthly Data (14-23) Used'!AF121</f>
        <v>0</v>
      </c>
      <c r="G121">
        <f>'Monthly Data (14-23) Used'!DD121</f>
        <v>107.85</v>
      </c>
      <c r="H121">
        <f>'Monthly Data (14-23) Used'!DG121</f>
        <v>0</v>
      </c>
      <c r="I121">
        <f>'Monthly Data (14-23) Used'!CB121</f>
        <v>31</v>
      </c>
      <c r="J121">
        <f>'Monthly Data (14-23) Used'!CA121</f>
        <v>0</v>
      </c>
      <c r="K121">
        <f>'Monthly Data (14-23) Used'!BJ121</f>
        <v>120</v>
      </c>
      <c r="M121" s="6">
        <f>$AA$7</f>
        <v>-7179191.8731795801</v>
      </c>
      <c r="N121" s="6">
        <f t="shared" si="53"/>
        <v>3062530.7035447303</v>
      </c>
      <c r="O121" s="6">
        <f t="shared" si="54"/>
        <v>0</v>
      </c>
      <c r="P121" s="6">
        <f t="shared" si="55"/>
        <v>259729.46021108091</v>
      </c>
      <c r="Q121" s="6">
        <f t="shared" si="56"/>
        <v>0</v>
      </c>
      <c r="R121" s="6">
        <f t="shared" si="57"/>
        <v>23117235.833798315</v>
      </c>
      <c r="S121" s="6">
        <f t="shared" si="58"/>
        <v>0</v>
      </c>
      <c r="T121" s="6">
        <f t="shared" si="59"/>
        <v>2597114.23583064</v>
      </c>
      <c r="U121" s="6">
        <f t="shared" si="60"/>
        <v>21857418.360205185</v>
      </c>
      <c r="V121" s="6">
        <f t="shared" si="61"/>
        <v>-92314.83516016975</v>
      </c>
      <c r="W121" s="14">
        <f t="shared" si="62"/>
        <v>4.2057383722396164E-3</v>
      </c>
    </row>
    <row r="122" spans="1:23">
      <c r="W122" s="15">
        <f>AVERAGE(W2:W121)</f>
        <v>2.5397276264082686E-2</v>
      </c>
    </row>
    <row r="136" spans="21:27">
      <c r="U136" s="6"/>
      <c r="V136" s="67"/>
      <c r="W136" s="6"/>
      <c r="Y136">
        <v>1</v>
      </c>
      <c r="Z136" s="6">
        <f t="shared" ref="Z136:Z147" si="63">SUMIFS(V:V,$B:$B,$Y136)</f>
        <v>2582864.5096053109</v>
      </c>
      <c r="AA136" s="14">
        <f>AVERAGEIFS(W:W,$B:$B,$Y136)</f>
        <v>2.3612033095094173E-2</v>
      </c>
    </row>
    <row r="137" spans="21:27">
      <c r="U137" s="6"/>
      <c r="V137" s="67"/>
      <c r="W137" s="6"/>
      <c r="Y137">
        <f>Y136+1</f>
        <v>2</v>
      </c>
      <c r="Z137" s="6">
        <f t="shared" si="63"/>
        <v>1406209.5249157064</v>
      </c>
      <c r="AA137" s="14">
        <f t="shared" ref="AA137:AA147" si="64">AVERAGEIFS(W:W,$B:$B,$Y137)</f>
        <v>2.3241496032054165E-2</v>
      </c>
    </row>
    <row r="138" spans="21:27">
      <c r="U138" s="6"/>
      <c r="V138" s="67"/>
      <c r="W138" s="6"/>
      <c r="Y138">
        <f t="shared" ref="Y138:Y147" si="65">Y137+1</f>
        <v>3</v>
      </c>
      <c r="Z138" s="6">
        <f t="shared" si="63"/>
        <v>571122.15847786516</v>
      </c>
      <c r="AA138" s="14">
        <f t="shared" si="64"/>
        <v>2.0937307008733089E-2</v>
      </c>
    </row>
    <row r="139" spans="21:27">
      <c r="U139" s="6"/>
      <c r="V139" s="67"/>
      <c r="W139" s="6"/>
      <c r="Y139">
        <f t="shared" si="65"/>
        <v>4</v>
      </c>
      <c r="Z139" s="6">
        <f t="shared" si="63"/>
        <v>-1056297.140058076</v>
      </c>
      <c r="AA139" s="14">
        <f t="shared" si="64"/>
        <v>1.5784931915849253E-2</v>
      </c>
    </row>
    <row r="140" spans="21:27">
      <c r="U140" s="6"/>
      <c r="V140" s="67"/>
      <c r="W140" s="6"/>
      <c r="Y140">
        <f t="shared" si="65"/>
        <v>5</v>
      </c>
      <c r="Z140" s="6">
        <f t="shared" si="63"/>
        <v>7069451.7869130708</v>
      </c>
      <c r="AA140" s="14">
        <f t="shared" si="64"/>
        <v>4.1489106254255462E-2</v>
      </c>
    </row>
    <row r="141" spans="21:27">
      <c r="U141" s="6"/>
      <c r="V141" s="67"/>
      <c r="W141" s="6"/>
      <c r="Y141">
        <f t="shared" si="65"/>
        <v>6</v>
      </c>
      <c r="Z141" s="6">
        <f t="shared" si="63"/>
        <v>9175436.4512025192</v>
      </c>
      <c r="AA141" s="14">
        <f t="shared" si="64"/>
        <v>3.9161773805282643E-2</v>
      </c>
    </row>
    <row r="142" spans="21:27">
      <c r="U142" s="6"/>
      <c r="V142" s="67"/>
      <c r="W142" s="6"/>
      <c r="Y142">
        <f t="shared" si="65"/>
        <v>7</v>
      </c>
      <c r="Z142" s="6">
        <f t="shared" si="63"/>
        <v>-2258053.8796712011</v>
      </c>
      <c r="AA142" s="14">
        <f t="shared" si="64"/>
        <v>1.649017766308071E-2</v>
      </c>
    </row>
    <row r="143" spans="21:27">
      <c r="U143" s="6"/>
      <c r="V143" s="67"/>
      <c r="W143" s="6"/>
      <c r="Y143">
        <f t="shared" si="65"/>
        <v>8</v>
      </c>
      <c r="Z143" s="6">
        <f t="shared" si="63"/>
        <v>-7769134.3287435509</v>
      </c>
      <c r="AA143" s="14">
        <f t="shared" si="64"/>
        <v>2.9469051727583285E-2</v>
      </c>
    </row>
    <row r="144" spans="21:27">
      <c r="U144" s="6"/>
      <c r="V144" s="67"/>
      <c r="W144" s="6"/>
      <c r="Y144">
        <f t="shared" si="65"/>
        <v>9</v>
      </c>
      <c r="Z144" s="6">
        <f t="shared" si="63"/>
        <v>-3157482.2466876656</v>
      </c>
      <c r="AA144" s="14">
        <f t="shared" si="64"/>
        <v>2.4266203392179622E-2</v>
      </c>
    </row>
    <row r="145" spans="21:27">
      <c r="U145" s="6"/>
      <c r="V145" s="67"/>
      <c r="W145" s="6"/>
      <c r="Y145">
        <f t="shared" si="65"/>
        <v>10</v>
      </c>
      <c r="Z145" s="6">
        <f t="shared" si="63"/>
        <v>127515.19134280086</v>
      </c>
      <c r="AA145" s="14">
        <f t="shared" si="64"/>
        <v>2.412042469394619E-2</v>
      </c>
    </row>
    <row r="146" spans="21:27">
      <c r="U146" s="6"/>
      <c r="V146" s="67"/>
      <c r="W146" s="6"/>
      <c r="Y146">
        <f t="shared" si="65"/>
        <v>11</v>
      </c>
      <c r="Z146" s="6">
        <f t="shared" si="63"/>
        <v>-5652920.1506042704</v>
      </c>
      <c r="AA146" s="14">
        <f t="shared" si="64"/>
        <v>3.0873079858870688E-2</v>
      </c>
    </row>
    <row r="147" spans="21:27">
      <c r="U147" s="6"/>
      <c r="V147" s="67"/>
      <c r="W147" s="6"/>
      <c r="Y147">
        <f t="shared" si="65"/>
        <v>12</v>
      </c>
      <c r="Z147" s="6">
        <f t="shared" si="63"/>
        <v>-831538.34897215664</v>
      </c>
      <c r="AA147" s="14">
        <f t="shared" si="64"/>
        <v>1.5321729722062822E-2</v>
      </c>
    </row>
    <row r="148" spans="21:27">
      <c r="Z148" s="6"/>
      <c r="AA148" s="14"/>
    </row>
    <row r="149" spans="21:27">
      <c r="U149" s="6"/>
      <c r="V149" s="67"/>
      <c r="Z149" s="6"/>
      <c r="AA149" s="14"/>
    </row>
    <row r="150" spans="21:27">
      <c r="U150" s="6"/>
      <c r="V150" s="67"/>
      <c r="Y150">
        <v>2013</v>
      </c>
      <c r="Z150" s="6">
        <f t="shared" ref="Z150:Z160" si="66">SUMIFS(V:V,$C:$C,$Y150)</f>
        <v>0</v>
      </c>
      <c r="AA150" s="14" t="e">
        <f>AVERAGEIFS(W:W,$C:$C,$Y150)</f>
        <v>#DIV/0!</v>
      </c>
    </row>
    <row r="151" spans="21:27">
      <c r="U151" s="6"/>
      <c r="V151" s="67"/>
      <c r="Y151">
        <f t="shared" ref="Y151:Y160" si="67">Y150+1</f>
        <v>2014</v>
      </c>
      <c r="Z151" s="6">
        <f t="shared" si="66"/>
        <v>-3900932.3947762381</v>
      </c>
      <c r="AA151" s="14">
        <f t="shared" ref="AA151:AA160" si="68">AVERAGEIFS(W:W,$C:$C,$Y151)</f>
        <v>4.8573581819771873E-2</v>
      </c>
    </row>
    <row r="152" spans="21:27">
      <c r="U152" s="6"/>
      <c r="V152" s="67"/>
      <c r="Y152">
        <f t="shared" si="67"/>
        <v>2015</v>
      </c>
      <c r="Z152" s="6">
        <f t="shared" si="66"/>
        <v>1489046.7410894874</v>
      </c>
      <c r="AA152" s="14">
        <f t="shared" si="68"/>
        <v>3.2260145414754561E-2</v>
      </c>
    </row>
    <row r="153" spans="21:27">
      <c r="U153" s="6"/>
      <c r="V153" s="67"/>
      <c r="Y153">
        <f t="shared" si="67"/>
        <v>2016</v>
      </c>
      <c r="Z153" s="6">
        <f t="shared" si="66"/>
        <v>1897549.5203600358</v>
      </c>
      <c r="AA153" s="14">
        <f t="shared" si="68"/>
        <v>2.2605120530395512E-2</v>
      </c>
    </row>
    <row r="154" spans="21:27">
      <c r="U154" s="6"/>
      <c r="V154" s="67"/>
      <c r="Y154">
        <f t="shared" si="67"/>
        <v>2017</v>
      </c>
      <c r="Z154" s="6">
        <f t="shared" si="66"/>
        <v>3107232.6996534988</v>
      </c>
      <c r="AA154" s="14">
        <f t="shared" si="68"/>
        <v>3.7361783913883125E-2</v>
      </c>
    </row>
    <row r="155" spans="21:27">
      <c r="U155" s="6"/>
      <c r="V155" s="67"/>
      <c r="Y155">
        <f t="shared" si="67"/>
        <v>2018</v>
      </c>
      <c r="Z155" s="6">
        <f t="shared" si="66"/>
        <v>-1200803.1323100813</v>
      </c>
      <c r="AA155" s="14">
        <f t="shared" si="68"/>
        <v>2.4610999060779602E-2</v>
      </c>
    </row>
    <row r="156" spans="21:27">
      <c r="U156" s="6"/>
      <c r="V156" s="67"/>
      <c r="Y156">
        <f t="shared" si="67"/>
        <v>2019</v>
      </c>
      <c r="Z156" s="6">
        <f t="shared" si="66"/>
        <v>-2454415.4120977633</v>
      </c>
      <c r="AA156" s="14">
        <f t="shared" si="68"/>
        <v>1.5661138718843486E-2</v>
      </c>
    </row>
    <row r="157" spans="21:27">
      <c r="U157" s="6"/>
      <c r="V157" s="67"/>
      <c r="Y157">
        <f t="shared" si="67"/>
        <v>2020</v>
      </c>
      <c r="Z157" s="6">
        <f t="shared" si="66"/>
        <v>-747964.30629909411</v>
      </c>
      <c r="AA157" s="14">
        <f t="shared" si="68"/>
        <v>2.1059330152196482E-2</v>
      </c>
    </row>
    <row r="158" spans="21:27">
      <c r="U158" s="6"/>
      <c r="V158" s="67"/>
      <c r="Y158">
        <f t="shared" si="67"/>
        <v>2021</v>
      </c>
      <c r="Z158" s="6">
        <f t="shared" si="66"/>
        <v>1115456.2239376567</v>
      </c>
      <c r="AA158" s="14">
        <f t="shared" si="68"/>
        <v>1.5964592428984774E-2</v>
      </c>
    </row>
    <row r="159" spans="21:27">
      <c r="Y159">
        <f t="shared" si="67"/>
        <v>2022</v>
      </c>
      <c r="Z159" s="6">
        <f t="shared" si="66"/>
        <v>1789733.5000911094</v>
      </c>
      <c r="AA159" s="14">
        <f t="shared" si="68"/>
        <v>1.1254012186651924E-2</v>
      </c>
    </row>
    <row r="160" spans="21:27">
      <c r="Y160">
        <f t="shared" si="67"/>
        <v>2023</v>
      </c>
      <c r="Z160" s="6">
        <f t="shared" si="66"/>
        <v>-887729.91192825884</v>
      </c>
      <c r="AA160" s="14">
        <f t="shared" si="68"/>
        <v>2.4622058414565409E-2</v>
      </c>
    </row>
    <row r="161" spans="27:27">
      <c r="AA161" s="1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EB0C-E59F-41D5-AF12-68587903F720}">
  <sheetPr codeName="Sheet35">
    <tabColor theme="3" tint="0.79998168889431442"/>
  </sheetPr>
  <dimension ref="A1:AB165"/>
  <sheetViews>
    <sheetView topLeftCell="R4" zoomScaleNormal="100" zoomScaleSheetLayoutView="70" workbookViewId="0">
      <selection activeCell="W19" sqref="W19"/>
    </sheetView>
  </sheetViews>
  <sheetFormatPr defaultRowHeight="14.45"/>
  <cols>
    <col min="1" max="1" width="12.28515625" customWidth="1"/>
    <col min="4" max="4" width="16.85546875" style="6" customWidth="1"/>
    <col min="7" max="7" width="18" customWidth="1"/>
    <col min="12" max="15" width="13.42578125" bestFit="1" customWidth="1"/>
    <col min="16" max="18" width="13.42578125" customWidth="1"/>
    <col min="19" max="19" width="14.42578125" bestFit="1" customWidth="1"/>
    <col min="20" max="20" width="13" bestFit="1" customWidth="1"/>
    <col min="21" max="21" width="13" customWidth="1"/>
    <col min="22" max="22" width="12.42578125" customWidth="1"/>
    <col min="23" max="23" width="15.7109375" customWidth="1"/>
    <col min="24" max="24" width="12.7109375" bestFit="1" customWidth="1"/>
    <col min="25" max="25" width="15.28515625" customWidth="1"/>
    <col min="26" max="26" width="13.85546875" customWidth="1"/>
    <col min="27" max="27" width="13.7109375" bestFit="1" customWidth="1"/>
    <col min="28" max="28" width="11.42578125" customWidth="1"/>
  </cols>
  <sheetData>
    <row r="1" spans="1:28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t="str">
        <f>'Monthly Data (14-23) Used'!AC1</f>
        <v>HDD18</v>
      </c>
      <c r="F1" t="str">
        <f>'Monthly Data (14-23) Used'!AH1</f>
        <v>CDD14</v>
      </c>
      <c r="G1" t="str">
        <f>'Monthly Data (14-23) Used'!BC1</f>
        <v>Total_OEA</v>
      </c>
      <c r="H1" t="str">
        <f>'Monthly Data (14-23) Used'!CB1</f>
        <v>Month Days</v>
      </c>
      <c r="I1" t="str">
        <f>'Monthly Data (14-23) Used'!CA1</f>
        <v>Shoulder</v>
      </c>
      <c r="J1" t="str">
        <f>'Monthly Data (14-23) Used'!CG1</f>
        <v>COVID2020</v>
      </c>
      <c r="L1" t="s">
        <v>221</v>
      </c>
      <c r="M1" t="str">
        <f t="shared" ref="M1:R1" si="0">E1</f>
        <v>HDD18</v>
      </c>
      <c r="N1" t="str">
        <f t="shared" si="0"/>
        <v>CDD14</v>
      </c>
      <c r="O1" t="str">
        <f t="shared" si="0"/>
        <v>Total_OEA</v>
      </c>
      <c r="P1" t="str">
        <f t="shared" si="0"/>
        <v>Month Days</v>
      </c>
      <c r="Q1" t="str">
        <f t="shared" si="0"/>
        <v>Shoulder</v>
      </c>
      <c r="R1" t="str">
        <f t="shared" si="0"/>
        <v>COVID2020</v>
      </c>
      <c r="S1" t="s">
        <v>242</v>
      </c>
      <c r="T1" t="s">
        <v>248</v>
      </c>
      <c r="U1" t="s">
        <v>243</v>
      </c>
    </row>
    <row r="2" spans="1:28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Used'!I2</f>
        <v>6183064.0795246102</v>
      </c>
      <c r="E2">
        <f>'Monthly Data (14-23) Used'!AC2</f>
        <v>809.69999999999993</v>
      </c>
      <c r="F2">
        <f>'Monthly Data (14-23) Used'!AH2</f>
        <v>0</v>
      </c>
      <c r="G2">
        <f>'Monthly Data (14-23) Used'!BC2</f>
        <v>699057</v>
      </c>
      <c r="H2">
        <f>'Monthly Data (14-23) Used'!CB2</f>
        <v>31</v>
      </c>
      <c r="I2">
        <f>'Monthly Data (14-23) Used'!CA2</f>
        <v>0</v>
      </c>
      <c r="J2">
        <f>'Monthly Data (14-23) Used'!CG2</f>
        <v>0</v>
      </c>
      <c r="L2" s="6">
        <f t="shared" ref="L2:L54" si="3">$Y$9</f>
        <v>-3155056.29692131</v>
      </c>
      <c r="M2" s="6">
        <f t="shared" ref="M2:M33" si="4">E2*$Y$10</f>
        <v>1384996.6874323932</v>
      </c>
      <c r="N2" s="6">
        <f t="shared" ref="N2:N33" si="5">F2*$Y$11</f>
        <v>0</v>
      </c>
      <c r="O2" s="6">
        <f t="shared" ref="O2:O33" si="6">G2*$Y$12</f>
        <v>4174455.8164347978</v>
      </c>
      <c r="P2" s="6">
        <f t="shared" ref="P2:P33" si="7">H2*$Y$13</f>
        <v>3861595.9081566473</v>
      </c>
      <c r="Q2" s="6">
        <f t="shared" ref="Q2:Q33" si="8">I2*$Y$14</f>
        <v>0</v>
      </c>
      <c r="R2" s="6">
        <f t="shared" ref="R2:R33" si="9">J2*$Y$15</f>
        <v>0</v>
      </c>
      <c r="S2" s="6">
        <f t="shared" ref="S2:S33" si="10">SUM(L2:R2)</f>
        <v>6265992.1151025286</v>
      </c>
      <c r="T2" s="6">
        <f t="shared" ref="T2:T21" si="11">S2-D2</f>
        <v>82928.035577918403</v>
      </c>
      <c r="U2" s="14">
        <f t="shared" ref="U2:U21" si="12">ABS(S2-D2)/D2</f>
        <v>1.3412126174227584E-2</v>
      </c>
    </row>
    <row r="3" spans="1:28">
      <c r="A3" s="197">
        <v>41671</v>
      </c>
      <c r="B3">
        <f t="shared" si="1"/>
        <v>2</v>
      </c>
      <c r="C3">
        <f t="shared" si="2"/>
        <v>2014</v>
      </c>
      <c r="D3" s="6">
        <f>'Monthly Data (14-23) Used'!I3</f>
        <v>5606514.0795246102</v>
      </c>
      <c r="E3">
        <f>'Monthly Data (14-23) Used'!AC3</f>
        <v>705.10000000000014</v>
      </c>
      <c r="F3">
        <f>'Monthly Data (14-23) Used'!AH3</f>
        <v>0</v>
      </c>
      <c r="G3">
        <f>'Monthly Data (14-23) Used'!BC3</f>
        <v>699057</v>
      </c>
      <c r="H3">
        <f>'Monthly Data (14-23) Used'!CB3</f>
        <v>28</v>
      </c>
      <c r="I3">
        <f>'Monthly Data (14-23) Used'!CA3</f>
        <v>0</v>
      </c>
      <c r="J3">
        <f>'Monthly Data (14-23) Used'!CG3</f>
        <v>0</v>
      </c>
      <c r="L3" s="6">
        <f t="shared" si="3"/>
        <v>-3155056.29692131</v>
      </c>
      <c r="M3" s="6">
        <f t="shared" si="4"/>
        <v>1206077.7625152289</v>
      </c>
      <c r="N3" s="6">
        <f t="shared" si="5"/>
        <v>0</v>
      </c>
      <c r="O3" s="6">
        <f t="shared" si="6"/>
        <v>4174455.8164347978</v>
      </c>
      <c r="P3" s="6">
        <f t="shared" si="7"/>
        <v>3487893.0783350361</v>
      </c>
      <c r="Q3" s="6">
        <f t="shared" si="8"/>
        <v>0</v>
      </c>
      <c r="R3" s="6">
        <f t="shared" si="9"/>
        <v>0</v>
      </c>
      <c r="S3" s="6">
        <f t="shared" si="10"/>
        <v>5713370.3603637535</v>
      </c>
      <c r="T3" s="6">
        <f t="shared" si="11"/>
        <v>106856.28083914332</v>
      </c>
      <c r="U3" s="14">
        <f t="shared" si="12"/>
        <v>1.9059308390821685E-2</v>
      </c>
    </row>
    <row r="4" spans="1:28">
      <c r="A4" s="197">
        <v>41699</v>
      </c>
      <c r="B4">
        <f t="shared" si="1"/>
        <v>3</v>
      </c>
      <c r="C4">
        <f t="shared" si="2"/>
        <v>2014</v>
      </c>
      <c r="D4" s="6">
        <f>'Monthly Data (14-23) Used'!I4</f>
        <v>5787989.0795246102</v>
      </c>
      <c r="E4">
        <f>'Monthly Data (14-23) Used'!AC4</f>
        <v>637.10000000000014</v>
      </c>
      <c r="F4">
        <f>'Monthly Data (14-23) Used'!AH4</f>
        <v>0</v>
      </c>
      <c r="G4">
        <f>'Monthly Data (14-23) Used'!BC4</f>
        <v>699057</v>
      </c>
      <c r="H4">
        <f>'Monthly Data (14-23) Used'!CB4</f>
        <v>31</v>
      </c>
      <c r="I4">
        <f>'Monthly Data (14-23) Used'!CA4</f>
        <v>1</v>
      </c>
      <c r="J4">
        <f>'Monthly Data (14-23) Used'!CG4</f>
        <v>0</v>
      </c>
      <c r="L4" s="6">
        <f t="shared" si="3"/>
        <v>-3155056.29692131</v>
      </c>
      <c r="M4" s="6">
        <f t="shared" si="4"/>
        <v>1089763.3562593281</v>
      </c>
      <c r="N4" s="6">
        <f t="shared" si="5"/>
        <v>0</v>
      </c>
      <c r="O4" s="6">
        <f t="shared" si="6"/>
        <v>4174455.8164347978</v>
      </c>
      <c r="P4" s="6">
        <f t="shared" si="7"/>
        <v>3861595.9081566473</v>
      </c>
      <c r="Q4" s="6">
        <f t="shared" si="8"/>
        <v>-115215.035448868</v>
      </c>
      <c r="R4" s="6">
        <f t="shared" si="9"/>
        <v>0</v>
      </c>
      <c r="S4" s="6">
        <f t="shared" si="10"/>
        <v>5855543.7484805956</v>
      </c>
      <c r="T4" s="6">
        <f t="shared" si="11"/>
        <v>67554.668955985457</v>
      </c>
      <c r="U4" s="14">
        <f t="shared" si="12"/>
        <v>1.1671526678404511E-2</v>
      </c>
      <c r="X4" t="s">
        <v>249</v>
      </c>
    </row>
    <row r="5" spans="1:28">
      <c r="A5" s="197">
        <v>41730</v>
      </c>
      <c r="B5">
        <f t="shared" si="1"/>
        <v>4</v>
      </c>
      <c r="C5">
        <f t="shared" si="2"/>
        <v>2014</v>
      </c>
      <c r="D5" s="6">
        <f>'Monthly Data (14-23) Used'!I5</f>
        <v>5070172.0795246102</v>
      </c>
      <c r="E5">
        <f>'Monthly Data (14-23) Used'!AC5</f>
        <v>283.40000000000003</v>
      </c>
      <c r="F5">
        <f>'Monthly Data (14-23) Used'!AH5</f>
        <v>4.6000000000000014</v>
      </c>
      <c r="G5">
        <f>'Monthly Data (14-23) Used'!BC5</f>
        <v>705966</v>
      </c>
      <c r="H5">
        <f>'Monthly Data (14-23) Used'!CB5</f>
        <v>30</v>
      </c>
      <c r="I5">
        <f>'Monthly Data (14-23) Used'!CA5</f>
        <v>1</v>
      </c>
      <c r="J5">
        <f>'Monthly Data (14-23) Used'!CG5</f>
        <v>0</v>
      </c>
      <c r="L5" s="6">
        <f t="shared" si="3"/>
        <v>-3155056.29692131</v>
      </c>
      <c r="M5" s="6">
        <f t="shared" si="4"/>
        <v>484757.39313120948</v>
      </c>
      <c r="N5" s="6">
        <f t="shared" si="5"/>
        <v>34074.853365276329</v>
      </c>
      <c r="O5" s="6">
        <f t="shared" si="6"/>
        <v>4215713.2750336649</v>
      </c>
      <c r="P5" s="6">
        <f t="shared" si="7"/>
        <v>3737028.2982161101</v>
      </c>
      <c r="Q5" s="6">
        <f t="shared" si="8"/>
        <v>-115215.035448868</v>
      </c>
      <c r="R5" s="6">
        <f t="shared" si="9"/>
        <v>0</v>
      </c>
      <c r="S5" s="6">
        <f t="shared" si="10"/>
        <v>5201302.4873760827</v>
      </c>
      <c r="T5" s="6">
        <f t="shared" si="11"/>
        <v>131130.4078514725</v>
      </c>
      <c r="U5" s="14">
        <f t="shared" si="12"/>
        <v>2.5863107956637155E-2</v>
      </c>
      <c r="X5" t="s">
        <v>250</v>
      </c>
    </row>
    <row r="6" spans="1:28">
      <c r="A6" s="197">
        <v>41760</v>
      </c>
      <c r="B6">
        <f t="shared" si="1"/>
        <v>5</v>
      </c>
      <c r="C6">
        <f t="shared" si="2"/>
        <v>2014</v>
      </c>
      <c r="D6" s="6">
        <f>'Monthly Data (14-23) Used'!I6</f>
        <v>5364456.0795246102</v>
      </c>
      <c r="E6">
        <f>'Monthly Data (14-23) Used'!AC6</f>
        <v>103.4</v>
      </c>
      <c r="F6">
        <f>'Monthly Data (14-23) Used'!AH6</f>
        <v>88.8</v>
      </c>
      <c r="G6">
        <f>'Monthly Data (14-23) Used'!BC6</f>
        <v>705966</v>
      </c>
      <c r="H6">
        <f>'Monthly Data (14-23) Used'!CB6</f>
        <v>31</v>
      </c>
      <c r="I6">
        <f>'Monthly Data (14-23) Used'!CA6</f>
        <v>1</v>
      </c>
      <c r="J6">
        <f>'Monthly Data (14-23) Used'!CG6</f>
        <v>0</v>
      </c>
      <c r="L6" s="6">
        <f t="shared" si="3"/>
        <v>-3155056.29692131</v>
      </c>
      <c r="M6" s="6">
        <f t="shared" si="4"/>
        <v>176866.31774794305</v>
      </c>
      <c r="N6" s="6">
        <f t="shared" si="5"/>
        <v>657792.8214862037</v>
      </c>
      <c r="O6" s="6">
        <f t="shared" si="6"/>
        <v>4215713.2750336649</v>
      </c>
      <c r="P6" s="6">
        <f t="shared" si="7"/>
        <v>3861595.9081566473</v>
      </c>
      <c r="Q6" s="6">
        <f t="shared" si="8"/>
        <v>-115215.035448868</v>
      </c>
      <c r="R6" s="6">
        <f t="shared" si="9"/>
        <v>0</v>
      </c>
      <c r="S6" s="6">
        <f t="shared" si="10"/>
        <v>5641696.9900542814</v>
      </c>
      <c r="T6" s="6">
        <f t="shared" si="11"/>
        <v>277240.91052967124</v>
      </c>
      <c r="U6" s="14">
        <f t="shared" si="12"/>
        <v>5.1681084982289557E-2</v>
      </c>
      <c r="X6" t="s">
        <v>251</v>
      </c>
    </row>
    <row r="7" spans="1:28">
      <c r="A7" s="197">
        <v>41791</v>
      </c>
      <c r="B7">
        <f t="shared" si="1"/>
        <v>6</v>
      </c>
      <c r="C7">
        <f t="shared" si="2"/>
        <v>2014</v>
      </c>
      <c r="D7" s="6">
        <f>'Monthly Data (14-23) Used'!I7</f>
        <v>5896764.0795246102</v>
      </c>
      <c r="E7">
        <f>'Monthly Data (14-23) Used'!AC7</f>
        <v>4.9999999999999964</v>
      </c>
      <c r="F7">
        <f>'Monthly Data (14-23) Used'!AH7</f>
        <v>220.5</v>
      </c>
      <c r="G7">
        <f>'Monthly Data (14-23) Used'!BC7</f>
        <v>705966</v>
      </c>
      <c r="H7">
        <f>'Monthly Data (14-23) Used'!CB7</f>
        <v>30</v>
      </c>
      <c r="I7">
        <f>'Monthly Data (14-23) Used'!CA7</f>
        <v>0</v>
      </c>
      <c r="J7">
        <f>'Monthly Data (14-23) Used'!CG7</f>
        <v>0</v>
      </c>
      <c r="L7" s="6">
        <f t="shared" si="3"/>
        <v>-3155056.29692131</v>
      </c>
      <c r="M7" s="6">
        <f t="shared" si="4"/>
        <v>8552.5298717573951</v>
      </c>
      <c r="N7" s="6">
        <f t="shared" si="5"/>
        <v>1633370.6884877018</v>
      </c>
      <c r="O7" s="6">
        <f t="shared" si="6"/>
        <v>4215713.2750336649</v>
      </c>
      <c r="P7" s="6">
        <f t="shared" si="7"/>
        <v>3737028.2982161101</v>
      </c>
      <c r="Q7" s="6">
        <f t="shared" si="8"/>
        <v>0</v>
      </c>
      <c r="R7" s="6">
        <f t="shared" si="9"/>
        <v>0</v>
      </c>
      <c r="S7" s="6">
        <f t="shared" si="10"/>
        <v>6439608.4946879242</v>
      </c>
      <c r="T7" s="6">
        <f t="shared" si="11"/>
        <v>542844.41516331397</v>
      </c>
      <c r="U7" s="14">
        <f t="shared" si="12"/>
        <v>9.2058018235499334E-2</v>
      </c>
    </row>
    <row r="8" spans="1:28">
      <c r="A8" s="197">
        <v>41821</v>
      </c>
      <c r="B8">
        <f t="shared" si="1"/>
        <v>7</v>
      </c>
      <c r="C8">
        <f t="shared" si="2"/>
        <v>2014</v>
      </c>
      <c r="D8" s="6">
        <f>'Monthly Data (14-23) Used'!I8</f>
        <v>6190188.0795246102</v>
      </c>
      <c r="E8">
        <f>'Monthly Data (14-23) Used'!AC8</f>
        <v>4.4000000000000021</v>
      </c>
      <c r="F8">
        <f>'Monthly Data (14-23) Used'!AH8</f>
        <v>204.1</v>
      </c>
      <c r="G8">
        <f>'Monthly Data (14-23) Used'!BC8</f>
        <v>713152</v>
      </c>
      <c r="H8">
        <f>'Monthly Data (14-23) Used'!CB8</f>
        <v>31</v>
      </c>
      <c r="I8">
        <f>'Monthly Data (14-23) Used'!CA8</f>
        <v>0</v>
      </c>
      <c r="J8">
        <f>'Monthly Data (14-23) Used'!CG8</f>
        <v>0</v>
      </c>
      <c r="L8" s="6">
        <f t="shared" si="3"/>
        <v>-3155056.29692131</v>
      </c>
      <c r="M8" s="6">
        <f t="shared" si="4"/>
        <v>7526.2262871465164</v>
      </c>
      <c r="N8" s="6">
        <f t="shared" si="5"/>
        <v>1511886.4286636731</v>
      </c>
      <c r="O8" s="6">
        <f t="shared" si="6"/>
        <v>4258624.8537703063</v>
      </c>
      <c r="P8" s="6">
        <f t="shared" si="7"/>
        <v>3861595.9081566473</v>
      </c>
      <c r="Q8" s="6">
        <f t="shared" si="8"/>
        <v>0</v>
      </c>
      <c r="R8" s="6">
        <f t="shared" si="9"/>
        <v>0</v>
      </c>
      <c r="S8" s="6">
        <f t="shared" si="10"/>
        <v>6484577.1199564636</v>
      </c>
      <c r="T8" s="6">
        <f t="shared" si="11"/>
        <v>294389.04043185338</v>
      </c>
      <c r="U8" s="14">
        <f t="shared" si="12"/>
        <v>4.7557366052512845E-2</v>
      </c>
      <c r="Y8" t="s">
        <v>217</v>
      </c>
      <c r="Z8" t="s">
        <v>218</v>
      </c>
      <c r="AA8" t="s">
        <v>219</v>
      </c>
      <c r="AB8" t="s">
        <v>220</v>
      </c>
    </row>
    <row r="9" spans="1:28">
      <c r="A9" s="197">
        <v>41852</v>
      </c>
      <c r="B9">
        <f t="shared" si="1"/>
        <v>8</v>
      </c>
      <c r="C9">
        <f t="shared" si="2"/>
        <v>2014</v>
      </c>
      <c r="D9" s="6">
        <f>'Monthly Data (14-23) Used'!I9</f>
        <v>6212359.0795246102</v>
      </c>
      <c r="E9">
        <f>'Monthly Data (14-23) Used'!AC9</f>
        <v>3.8000000000000007</v>
      </c>
      <c r="F9">
        <f>'Monthly Data (14-23) Used'!AH9</f>
        <v>216.00000000000003</v>
      </c>
      <c r="G9">
        <f>'Monthly Data (14-23) Used'!BC9</f>
        <v>713152</v>
      </c>
      <c r="H9">
        <f>'Monthly Data (14-23) Used'!CB9</f>
        <v>31</v>
      </c>
      <c r="I9">
        <f>'Monthly Data (14-23) Used'!CA9</f>
        <v>0</v>
      </c>
      <c r="J9">
        <f>'Monthly Data (14-23) Used'!CG9</f>
        <v>0</v>
      </c>
      <c r="L9" s="6">
        <f t="shared" si="3"/>
        <v>-3155056.29692131</v>
      </c>
      <c r="M9" s="6">
        <f t="shared" si="4"/>
        <v>6499.9227025356258</v>
      </c>
      <c r="N9" s="6">
        <f t="shared" si="5"/>
        <v>1600036.5928042796</v>
      </c>
      <c r="O9" s="6">
        <f t="shared" si="6"/>
        <v>4258624.8537703063</v>
      </c>
      <c r="P9" s="6">
        <f t="shared" si="7"/>
        <v>3861595.9081566473</v>
      </c>
      <c r="Q9" s="6">
        <f t="shared" si="8"/>
        <v>0</v>
      </c>
      <c r="R9" s="6">
        <f t="shared" si="9"/>
        <v>0</v>
      </c>
      <c r="S9" s="6">
        <f t="shared" si="10"/>
        <v>6571700.9805124588</v>
      </c>
      <c r="T9" s="6">
        <f t="shared" si="11"/>
        <v>359341.90098784864</v>
      </c>
      <c r="U9" s="14">
        <f t="shared" si="12"/>
        <v>5.7843066762223706E-2</v>
      </c>
      <c r="X9" t="s">
        <v>221</v>
      </c>
      <c r="Y9" s="6">
        <v>-3155056.29692131</v>
      </c>
      <c r="Z9" s="6">
        <v>795990.62951777701</v>
      </c>
      <c r="AA9" s="105">
        <v>-3.9636852243256699</v>
      </c>
      <c r="AB9" s="105">
        <v>1.29112412352355E-4</v>
      </c>
    </row>
    <row r="10" spans="1:28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Used'!I10</f>
        <v>5457268.0795246102</v>
      </c>
      <c r="E10">
        <f>'Monthly Data (14-23) Used'!AC10</f>
        <v>76.799999999999983</v>
      </c>
      <c r="F10">
        <f>'Monthly Data (14-23) Used'!AH10</f>
        <v>92.5</v>
      </c>
      <c r="G10">
        <f>'Monthly Data (14-23) Used'!BC10</f>
        <v>713152</v>
      </c>
      <c r="H10">
        <f>'Monthly Data (14-23) Used'!CB10</f>
        <v>30</v>
      </c>
      <c r="I10">
        <f>'Monthly Data (14-23) Used'!CA10</f>
        <v>0</v>
      </c>
      <c r="J10">
        <f>'Monthly Data (14-23) Used'!CG10</f>
        <v>0</v>
      </c>
      <c r="L10" s="6">
        <f t="shared" si="3"/>
        <v>-3155056.29692131</v>
      </c>
      <c r="M10" s="6">
        <f t="shared" si="4"/>
        <v>131366.85883019364</v>
      </c>
      <c r="N10" s="6">
        <f t="shared" si="5"/>
        <v>685200.85571479553</v>
      </c>
      <c r="O10" s="6">
        <f t="shared" si="6"/>
        <v>4258624.8537703063</v>
      </c>
      <c r="P10" s="6">
        <f t="shared" si="7"/>
        <v>3737028.2982161101</v>
      </c>
      <c r="Q10" s="6">
        <f t="shared" si="8"/>
        <v>0</v>
      </c>
      <c r="R10" s="6">
        <f t="shared" si="9"/>
        <v>0</v>
      </c>
      <c r="S10" s="6">
        <f t="shared" si="10"/>
        <v>5657164.5696100956</v>
      </c>
      <c r="T10" s="6">
        <f t="shared" si="11"/>
        <v>199896.49008548539</v>
      </c>
      <c r="U10" s="14">
        <f t="shared" si="12"/>
        <v>3.6629406357273665E-2</v>
      </c>
      <c r="X10" t="s">
        <v>28</v>
      </c>
      <c r="Y10" s="6">
        <v>1710.5059743514801</v>
      </c>
      <c r="Z10" s="6">
        <v>140.87095036202601</v>
      </c>
      <c r="AA10" s="105">
        <v>12.142361288509999</v>
      </c>
      <c r="AB10" s="105">
        <v>2.8036710512419902E-22</v>
      </c>
    </row>
    <row r="11" spans="1:28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Used'!I11</f>
        <v>5117528.0795246102</v>
      </c>
      <c r="E11">
        <f>'Monthly Data (14-23) Used'!AC11</f>
        <v>219.2</v>
      </c>
      <c r="F11">
        <f>'Monthly Data (14-23) Used'!AH11</f>
        <v>12.499999999999998</v>
      </c>
      <c r="G11">
        <f>'Monthly Data (14-23) Used'!BC11</f>
        <v>716976</v>
      </c>
      <c r="H11">
        <f>'Monthly Data (14-23) Used'!CB11</f>
        <v>31</v>
      </c>
      <c r="I11">
        <f>'Monthly Data (14-23) Used'!CA11</f>
        <v>1</v>
      </c>
      <c r="J11">
        <f>'Monthly Data (14-23) Used'!CG11</f>
        <v>0</v>
      </c>
      <c r="L11" s="6">
        <f t="shared" si="3"/>
        <v>-3155056.29692131</v>
      </c>
      <c r="M11" s="6">
        <f t="shared" si="4"/>
        <v>374942.90957784443</v>
      </c>
      <c r="N11" s="6">
        <f t="shared" si="5"/>
        <v>92594.710231729114</v>
      </c>
      <c r="O11" s="6">
        <f t="shared" si="6"/>
        <v>4281460.0718455799</v>
      </c>
      <c r="P11" s="6">
        <f t="shared" si="7"/>
        <v>3861595.9081566473</v>
      </c>
      <c r="Q11" s="6">
        <f t="shared" si="8"/>
        <v>-115215.035448868</v>
      </c>
      <c r="R11" s="6">
        <f t="shared" si="9"/>
        <v>0</v>
      </c>
      <c r="S11" s="6">
        <f t="shared" si="10"/>
        <v>5340322.2674416229</v>
      </c>
      <c r="T11" s="6">
        <f t="shared" si="11"/>
        <v>222794.18791701272</v>
      </c>
      <c r="U11" s="14">
        <f t="shared" si="12"/>
        <v>4.3535508639106296E-2</v>
      </c>
      <c r="X11" t="s">
        <v>33</v>
      </c>
      <c r="Y11" s="6">
        <v>7407.5768185383304</v>
      </c>
      <c r="Z11" s="6">
        <v>361.080857585751</v>
      </c>
      <c r="AA11" s="105">
        <v>20.515008378086499</v>
      </c>
      <c r="AB11" s="105">
        <v>4.54160585117297E-40</v>
      </c>
    </row>
    <row r="12" spans="1:28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Used'!I12</f>
        <v>5344942.0795246102</v>
      </c>
      <c r="E12">
        <f>'Monthly Data (14-23) Used'!AC12</f>
        <v>479.30000000000013</v>
      </c>
      <c r="F12">
        <f>'Monthly Data (14-23) Used'!AH12</f>
        <v>0</v>
      </c>
      <c r="G12">
        <f>'Monthly Data (14-23) Used'!BC12</f>
        <v>716976</v>
      </c>
      <c r="H12">
        <f>'Monthly Data (14-23) Used'!CB12</f>
        <v>30</v>
      </c>
      <c r="I12">
        <f>'Monthly Data (14-23) Used'!CA12</f>
        <v>1</v>
      </c>
      <c r="J12">
        <f>'Monthly Data (14-23) Used'!CG12</f>
        <v>0</v>
      </c>
      <c r="L12" s="6">
        <f t="shared" si="3"/>
        <v>-3155056.29692131</v>
      </c>
      <c r="M12" s="6">
        <f t="shared" si="4"/>
        <v>819845.51350666466</v>
      </c>
      <c r="N12" s="6">
        <f t="shared" si="5"/>
        <v>0</v>
      </c>
      <c r="O12" s="6">
        <f t="shared" si="6"/>
        <v>4281460.0718455799</v>
      </c>
      <c r="P12" s="6">
        <f t="shared" si="7"/>
        <v>3737028.2982161101</v>
      </c>
      <c r="Q12" s="6">
        <f t="shared" si="8"/>
        <v>-115215.035448868</v>
      </c>
      <c r="R12" s="6">
        <f t="shared" si="9"/>
        <v>0</v>
      </c>
      <c r="S12" s="6">
        <f t="shared" si="10"/>
        <v>5568062.551198177</v>
      </c>
      <c r="T12" s="6">
        <f t="shared" si="11"/>
        <v>223120.47167356685</v>
      </c>
      <c r="U12" s="14">
        <f t="shared" si="12"/>
        <v>4.1744226289803246E-2</v>
      </c>
      <c r="X12" t="s">
        <v>54</v>
      </c>
      <c r="Y12" s="6">
        <v>5.9715528439523498</v>
      </c>
      <c r="Z12" s="6">
        <v>0.89666609532294606</v>
      </c>
      <c r="AA12" s="105">
        <v>6.6597286047730098</v>
      </c>
      <c r="AB12" s="105">
        <v>1.01106218112295E-9</v>
      </c>
    </row>
    <row r="13" spans="1:28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Used'!I13</f>
        <v>5630353.0795246102</v>
      </c>
      <c r="E13">
        <f>'Monthly Data (14-23) Used'!AC13</f>
        <v>545.20000000000005</v>
      </c>
      <c r="F13">
        <f>'Monthly Data (14-23) Used'!AH13</f>
        <v>0</v>
      </c>
      <c r="G13">
        <f>'Monthly Data (14-23) Used'!BC13</f>
        <v>716976</v>
      </c>
      <c r="H13">
        <f>'Monthly Data (14-23) Used'!CB13</f>
        <v>31</v>
      </c>
      <c r="I13">
        <f>'Monthly Data (14-23) Used'!CA13</f>
        <v>0</v>
      </c>
      <c r="J13">
        <f>'Monthly Data (14-23) Used'!CG13</f>
        <v>0</v>
      </c>
      <c r="L13" s="6">
        <f t="shared" si="3"/>
        <v>-3155056.29692131</v>
      </c>
      <c r="M13" s="6">
        <f t="shared" si="4"/>
        <v>932567.85721642699</v>
      </c>
      <c r="N13" s="6">
        <f t="shared" si="5"/>
        <v>0</v>
      </c>
      <c r="O13" s="6">
        <f t="shared" si="6"/>
        <v>4281460.0718455799</v>
      </c>
      <c r="P13" s="6">
        <f t="shared" si="7"/>
        <v>3861595.9081566473</v>
      </c>
      <c r="Q13" s="6">
        <f t="shared" si="8"/>
        <v>0</v>
      </c>
      <c r="R13" s="6">
        <f t="shared" si="9"/>
        <v>0</v>
      </c>
      <c r="S13" s="6">
        <f t="shared" si="10"/>
        <v>5920567.5402973443</v>
      </c>
      <c r="T13" s="6">
        <f t="shared" si="11"/>
        <v>290214.46077273414</v>
      </c>
      <c r="U13" s="14">
        <f t="shared" si="12"/>
        <v>5.1544629026575708E-2</v>
      </c>
      <c r="X13" t="s">
        <v>240</v>
      </c>
      <c r="Y13" s="64">
        <v>124567.609940537</v>
      </c>
      <c r="Z13" s="64">
        <v>14353.328351845599</v>
      </c>
      <c r="AA13" s="105">
        <v>8.6786567468526901</v>
      </c>
      <c r="AB13" s="105">
        <v>3.24100884878617E-14</v>
      </c>
    </row>
    <row r="14" spans="1:28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Used'!I14</f>
        <v>6341995.2771220542</v>
      </c>
      <c r="E14">
        <f>'Monthly Data (14-23) Used'!AC14</f>
        <v>766.90000000000009</v>
      </c>
      <c r="F14">
        <f>'Monthly Data (14-23) Used'!AH14</f>
        <v>0</v>
      </c>
      <c r="G14">
        <f>'Monthly Data (14-23) Used'!BC14</f>
        <v>718587</v>
      </c>
      <c r="H14">
        <f>'Monthly Data (14-23) Used'!CB14</f>
        <v>31</v>
      </c>
      <c r="I14">
        <f>'Monthly Data (14-23) Used'!CA14</f>
        <v>0</v>
      </c>
      <c r="J14">
        <f>'Monthly Data (14-23) Used'!CG14</f>
        <v>0</v>
      </c>
      <c r="L14" s="6">
        <f t="shared" si="3"/>
        <v>-3155056.29692131</v>
      </c>
      <c r="M14" s="6">
        <f t="shared" si="4"/>
        <v>1311787.0317301501</v>
      </c>
      <c r="N14" s="6">
        <f t="shared" si="5"/>
        <v>0</v>
      </c>
      <c r="O14" s="6">
        <f t="shared" si="6"/>
        <v>4291080.2434771871</v>
      </c>
      <c r="P14" s="6">
        <f t="shared" si="7"/>
        <v>3861595.9081566473</v>
      </c>
      <c r="Q14" s="6">
        <f t="shared" si="8"/>
        <v>0</v>
      </c>
      <c r="R14" s="6">
        <f t="shared" si="9"/>
        <v>0</v>
      </c>
      <c r="S14" s="6">
        <f t="shared" si="10"/>
        <v>6309406.8864426743</v>
      </c>
      <c r="T14" s="6">
        <f t="shared" si="11"/>
        <v>-32588.390679379925</v>
      </c>
      <c r="U14" s="14">
        <f t="shared" si="12"/>
        <v>5.1385075603790535E-3</v>
      </c>
      <c r="X14" t="s">
        <v>78</v>
      </c>
      <c r="Y14" s="6">
        <v>-115215.035448868</v>
      </c>
      <c r="Z14" s="6">
        <v>40249.224186277701</v>
      </c>
      <c r="AA14" s="105">
        <v>-2.86254052787802</v>
      </c>
      <c r="AB14" s="105">
        <v>5.0022898522437496E-3</v>
      </c>
    </row>
    <row r="15" spans="1:28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Used'!I15</f>
        <v>5968288.2771220542</v>
      </c>
      <c r="E15">
        <f>'Monthly Data (14-23) Used'!AC15</f>
        <v>811.10000000000014</v>
      </c>
      <c r="F15">
        <f>'Monthly Data (14-23) Used'!AH15</f>
        <v>0</v>
      </c>
      <c r="G15">
        <f>'Monthly Data (14-23) Used'!BC15</f>
        <v>718587</v>
      </c>
      <c r="H15">
        <f>'Monthly Data (14-23) Used'!CB15</f>
        <v>28</v>
      </c>
      <c r="I15">
        <f>'Monthly Data (14-23) Used'!CA15</f>
        <v>0</v>
      </c>
      <c r="J15">
        <f>'Monthly Data (14-23) Used'!CG15</f>
        <v>0</v>
      </c>
      <c r="L15" s="6">
        <f t="shared" si="3"/>
        <v>-3155056.29692131</v>
      </c>
      <c r="M15" s="6">
        <f t="shared" si="4"/>
        <v>1387391.3957964857</v>
      </c>
      <c r="N15" s="6">
        <f t="shared" si="5"/>
        <v>0</v>
      </c>
      <c r="O15" s="6">
        <f t="shared" si="6"/>
        <v>4291080.2434771871</v>
      </c>
      <c r="P15" s="6">
        <f t="shared" si="7"/>
        <v>3487893.0783350361</v>
      </c>
      <c r="Q15" s="6">
        <f t="shared" si="8"/>
        <v>0</v>
      </c>
      <c r="R15" s="6">
        <f t="shared" si="9"/>
        <v>0</v>
      </c>
      <c r="S15" s="6">
        <f t="shared" si="10"/>
        <v>6011308.4206873989</v>
      </c>
      <c r="T15" s="6">
        <f t="shared" si="11"/>
        <v>43020.143565344624</v>
      </c>
      <c r="U15" s="14">
        <f t="shared" si="12"/>
        <v>7.2081209163859638E-3</v>
      </c>
      <c r="Y15" s="6"/>
      <c r="Z15" s="6"/>
      <c r="AA15" s="105"/>
      <c r="AB15" s="105"/>
    </row>
    <row r="16" spans="1:28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Used'!I16</f>
        <v>6080630.2771220542</v>
      </c>
      <c r="E16">
        <f>'Monthly Data (14-23) Used'!AC16</f>
        <v>565.29999999999995</v>
      </c>
      <c r="F16">
        <f>'Monthly Data (14-23) Used'!AH16</f>
        <v>0</v>
      </c>
      <c r="G16">
        <f>'Monthly Data (14-23) Used'!BC16</f>
        <v>718587</v>
      </c>
      <c r="H16">
        <f>'Monthly Data (14-23) Used'!CB16</f>
        <v>31</v>
      </c>
      <c r="I16">
        <f>'Monthly Data (14-23) Used'!CA16</f>
        <v>1</v>
      </c>
      <c r="J16">
        <f>'Monthly Data (14-23) Used'!CG16</f>
        <v>0</v>
      </c>
      <c r="L16" s="6">
        <f t="shared" si="3"/>
        <v>-3155056.29692131</v>
      </c>
      <c r="M16" s="6">
        <f t="shared" si="4"/>
        <v>966949.02730089158</v>
      </c>
      <c r="N16" s="6">
        <f t="shared" si="5"/>
        <v>0</v>
      </c>
      <c r="O16" s="6">
        <f t="shared" si="6"/>
        <v>4291080.2434771871</v>
      </c>
      <c r="P16" s="6">
        <f t="shared" si="7"/>
        <v>3861595.9081566473</v>
      </c>
      <c r="Q16" s="6">
        <f t="shared" si="8"/>
        <v>-115215.035448868</v>
      </c>
      <c r="R16" s="6">
        <f t="shared" si="9"/>
        <v>0</v>
      </c>
      <c r="S16" s="6">
        <f t="shared" si="10"/>
        <v>5849353.8465645481</v>
      </c>
      <c r="T16" s="6">
        <f t="shared" si="11"/>
        <v>-231276.43055750616</v>
      </c>
      <c r="U16" s="14">
        <f t="shared" si="12"/>
        <v>3.8034943750431191E-2</v>
      </c>
      <c r="X16" t="s">
        <v>223</v>
      </c>
      <c r="Y16" s="6"/>
      <c r="Z16" s="64"/>
      <c r="AA16" s="75"/>
      <c r="AB16" s="192"/>
    </row>
    <row r="17" spans="1:27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Used'!I17</f>
        <v>5459994.2771220542</v>
      </c>
      <c r="E17">
        <f>'Monthly Data (14-23) Used'!AC17</f>
        <v>283.2</v>
      </c>
      <c r="F17">
        <f>'Monthly Data (14-23) Used'!AH17</f>
        <v>0.90000000000000036</v>
      </c>
      <c r="G17">
        <f>'Monthly Data (14-23) Used'!BC17</f>
        <v>723726</v>
      </c>
      <c r="H17">
        <f>'Monthly Data (14-23) Used'!CB17</f>
        <v>30</v>
      </c>
      <c r="I17">
        <f>'Monthly Data (14-23) Used'!CA17</f>
        <v>1</v>
      </c>
      <c r="J17">
        <f>'Monthly Data (14-23) Used'!CG17</f>
        <v>0</v>
      </c>
      <c r="L17" s="6">
        <f t="shared" si="3"/>
        <v>-3155056.29692131</v>
      </c>
      <c r="M17" s="6">
        <f t="shared" si="4"/>
        <v>484415.29193633911</v>
      </c>
      <c r="N17" s="6">
        <f t="shared" si="5"/>
        <v>6666.8191366845003</v>
      </c>
      <c r="O17" s="6">
        <f t="shared" si="6"/>
        <v>4321768.0535422582</v>
      </c>
      <c r="P17" s="6">
        <f t="shared" si="7"/>
        <v>3737028.2982161101</v>
      </c>
      <c r="Q17" s="6">
        <f t="shared" si="8"/>
        <v>-115215.035448868</v>
      </c>
      <c r="R17" s="6">
        <f t="shared" si="9"/>
        <v>0</v>
      </c>
      <c r="S17" s="6">
        <f t="shared" si="10"/>
        <v>5279607.1304612141</v>
      </c>
      <c r="T17" s="6">
        <f t="shared" si="11"/>
        <v>-180387.14666084014</v>
      </c>
      <c r="U17" s="14">
        <f t="shared" si="12"/>
        <v>3.3037973577496431E-2</v>
      </c>
      <c r="X17" t="s">
        <v>226</v>
      </c>
      <c r="Y17" s="193">
        <v>3138407392490.8799</v>
      </c>
      <c r="Z17" t="s">
        <v>227</v>
      </c>
      <c r="AA17" s="193">
        <v>165921.33499889201</v>
      </c>
    </row>
    <row r="18" spans="1:27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Used'!I18</f>
        <v>5727225.2771220542</v>
      </c>
      <c r="E18">
        <f>'Monthly Data (14-23) Used'!AC18</f>
        <v>79.599999999999994</v>
      </c>
      <c r="F18">
        <f>'Monthly Data (14-23) Used'!AH18</f>
        <v>112.99999999999999</v>
      </c>
      <c r="G18">
        <f>'Monthly Data (14-23) Used'!BC18</f>
        <v>723726</v>
      </c>
      <c r="H18">
        <f>'Monthly Data (14-23) Used'!CB18</f>
        <v>31</v>
      </c>
      <c r="I18">
        <f>'Monthly Data (14-23) Used'!CA18</f>
        <v>1</v>
      </c>
      <c r="J18">
        <f>'Monthly Data (14-23) Used'!CG18</f>
        <v>0</v>
      </c>
      <c r="L18" s="6">
        <f t="shared" si="3"/>
        <v>-3155056.29692131</v>
      </c>
      <c r="M18" s="6">
        <f t="shared" si="4"/>
        <v>136156.27555837779</v>
      </c>
      <c r="N18" s="6">
        <f t="shared" si="5"/>
        <v>837056.18049483118</v>
      </c>
      <c r="O18" s="6">
        <f t="shared" si="6"/>
        <v>4321768.0535422582</v>
      </c>
      <c r="P18" s="6">
        <f t="shared" si="7"/>
        <v>3861595.9081566473</v>
      </c>
      <c r="Q18" s="6">
        <f t="shared" si="8"/>
        <v>-115215.035448868</v>
      </c>
      <c r="R18" s="6">
        <f t="shared" si="9"/>
        <v>0</v>
      </c>
      <c r="S18" s="6">
        <f t="shared" si="10"/>
        <v>5886305.0853819363</v>
      </c>
      <c r="T18" s="6">
        <f t="shared" si="11"/>
        <v>159079.80825988203</v>
      </c>
      <c r="U18" s="14">
        <f t="shared" si="12"/>
        <v>2.7776069660703142E-2</v>
      </c>
      <c r="X18" t="s">
        <v>228</v>
      </c>
      <c r="Y18" s="105">
        <v>0.93966126630222202</v>
      </c>
      <c r="Z18" t="s">
        <v>229</v>
      </c>
      <c r="AA18" s="105">
        <v>0.93701483061372304</v>
      </c>
    </row>
    <row r="19" spans="1:27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Used'!I19</f>
        <v>6014804.2771220542</v>
      </c>
      <c r="E19">
        <f>'Monthly Data (14-23) Used'!AC19</f>
        <v>18.900000000000002</v>
      </c>
      <c r="F19">
        <f>'Monthly Data (14-23) Used'!AH19</f>
        <v>167.7</v>
      </c>
      <c r="G19">
        <f>'Monthly Data (14-23) Used'!BC19</f>
        <v>723726</v>
      </c>
      <c r="H19">
        <f>'Monthly Data (14-23) Used'!CB19</f>
        <v>30</v>
      </c>
      <c r="I19">
        <f>'Monthly Data (14-23) Used'!CA19</f>
        <v>0</v>
      </c>
      <c r="J19">
        <f>'Monthly Data (14-23) Used'!CG19</f>
        <v>0</v>
      </c>
      <c r="L19" s="6">
        <f t="shared" si="3"/>
        <v>-3155056.29692131</v>
      </c>
      <c r="M19" s="6">
        <f t="shared" si="4"/>
        <v>32328.562915242976</v>
      </c>
      <c r="N19" s="6">
        <f t="shared" si="5"/>
        <v>1242250.6324688778</v>
      </c>
      <c r="O19" s="6">
        <f t="shared" si="6"/>
        <v>4321768.0535422582</v>
      </c>
      <c r="P19" s="6">
        <f t="shared" si="7"/>
        <v>3737028.2982161101</v>
      </c>
      <c r="Q19" s="6">
        <f t="shared" si="8"/>
        <v>0</v>
      </c>
      <c r="R19" s="6">
        <f t="shared" si="9"/>
        <v>0</v>
      </c>
      <c r="S19" s="6">
        <f t="shared" si="10"/>
        <v>6178319.2502211798</v>
      </c>
      <c r="T19" s="6">
        <f t="shared" si="11"/>
        <v>163514.97309912555</v>
      </c>
      <c r="U19" s="14">
        <f t="shared" si="12"/>
        <v>2.7185418770993446E-2</v>
      </c>
      <c r="X19" t="s">
        <v>252</v>
      </c>
      <c r="Y19" s="75">
        <v>239.99322972153399</v>
      </c>
      <c r="Z19" t="s">
        <v>231</v>
      </c>
      <c r="AA19" s="105">
        <v>8.9231864602597901E-59</v>
      </c>
    </row>
    <row r="20" spans="1:27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Used'!I20</f>
        <v>6767750.2771220542</v>
      </c>
      <c r="E20">
        <f>'Monthly Data (14-23) Used'!AC20</f>
        <v>2.8999999999999986</v>
      </c>
      <c r="F20">
        <f>'Monthly Data (14-23) Used'!AH20</f>
        <v>241.60000000000002</v>
      </c>
      <c r="G20">
        <f>'Monthly Data (14-23) Used'!BC20</f>
        <v>730341</v>
      </c>
      <c r="H20">
        <f>'Monthly Data (14-23) Used'!CB20</f>
        <v>31</v>
      </c>
      <c r="I20">
        <f>'Monthly Data (14-23) Used'!CA20</f>
        <v>0</v>
      </c>
      <c r="J20">
        <f>'Monthly Data (14-23) Used'!CG20</f>
        <v>0</v>
      </c>
      <c r="L20" s="6">
        <f t="shared" si="3"/>
        <v>-3155056.29692131</v>
      </c>
      <c r="M20" s="6">
        <f t="shared" si="4"/>
        <v>4960.46732561929</v>
      </c>
      <c r="N20" s="6">
        <f t="shared" si="5"/>
        <v>1789670.5593588608</v>
      </c>
      <c r="O20" s="6">
        <f t="shared" si="6"/>
        <v>4361269.875605003</v>
      </c>
      <c r="P20" s="6">
        <f t="shared" si="7"/>
        <v>3861595.9081566473</v>
      </c>
      <c r="Q20" s="6">
        <f t="shared" si="8"/>
        <v>0</v>
      </c>
      <c r="R20" s="6">
        <f t="shared" si="9"/>
        <v>0</v>
      </c>
      <c r="S20" s="6">
        <f t="shared" si="10"/>
        <v>6862440.513524821</v>
      </c>
      <c r="T20" s="6">
        <f t="shared" si="11"/>
        <v>94690.236402766779</v>
      </c>
      <c r="U20" s="14">
        <f t="shared" si="12"/>
        <v>1.399139042154984E-2</v>
      </c>
      <c r="X20" t="s">
        <v>232</v>
      </c>
      <c r="Y20" s="75">
        <v>-7.1018788360495494E-2</v>
      </c>
      <c r="Z20" t="s">
        <v>233</v>
      </c>
      <c r="AA20" s="105">
        <v>2.1326890262842202</v>
      </c>
    </row>
    <row r="21" spans="1:27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Used'!I21</f>
        <v>6819987.2771220542</v>
      </c>
      <c r="E21">
        <f>'Monthly Data (14-23) Used'!AC21</f>
        <v>8.5000000000000018</v>
      </c>
      <c r="F21">
        <f>'Monthly Data (14-23) Used'!AH21</f>
        <v>218.3</v>
      </c>
      <c r="G21">
        <f>'Monthly Data (14-23) Used'!BC21</f>
        <v>730341</v>
      </c>
      <c r="H21">
        <f>'Monthly Data (14-23) Used'!CB21</f>
        <v>31</v>
      </c>
      <c r="I21">
        <f>'Monthly Data (14-23) Used'!CA21</f>
        <v>0</v>
      </c>
      <c r="J21">
        <f>'Monthly Data (14-23) Used'!CG21</f>
        <v>0</v>
      </c>
      <c r="L21" s="6">
        <f t="shared" si="3"/>
        <v>-3155056.29692131</v>
      </c>
      <c r="M21" s="6">
        <f t="shared" si="4"/>
        <v>14539.300781987584</v>
      </c>
      <c r="N21" s="6">
        <f t="shared" si="5"/>
        <v>1617074.0194869176</v>
      </c>
      <c r="O21" s="6">
        <f t="shared" si="6"/>
        <v>4361269.875605003</v>
      </c>
      <c r="P21" s="6">
        <f t="shared" si="7"/>
        <v>3861595.9081566473</v>
      </c>
      <c r="Q21" s="6">
        <f t="shared" si="8"/>
        <v>0</v>
      </c>
      <c r="R21" s="6">
        <f t="shared" si="9"/>
        <v>0</v>
      </c>
      <c r="S21" s="6">
        <f t="shared" si="10"/>
        <v>6699422.807109246</v>
      </c>
      <c r="T21" s="6">
        <f t="shared" si="11"/>
        <v>-120564.47001280822</v>
      </c>
      <c r="U21" s="14">
        <f t="shared" si="12"/>
        <v>1.767810776088205E-2</v>
      </c>
      <c r="Y21" s="195"/>
      <c r="AA21" s="105"/>
    </row>
    <row r="22" spans="1:27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Used'!I22</f>
        <v>6180848.2771220542</v>
      </c>
      <c r="E22">
        <f>'Monthly Data (14-23) Used'!AC22</f>
        <v>23.099999999999998</v>
      </c>
      <c r="F22">
        <f>'Monthly Data (14-23) Used'!AH22</f>
        <v>167.50000000000003</v>
      </c>
      <c r="G22">
        <f>'Monthly Data (14-23) Used'!BC22</f>
        <v>730341</v>
      </c>
      <c r="H22">
        <f>'Monthly Data (14-23) Used'!CB22</f>
        <v>30</v>
      </c>
      <c r="I22">
        <f>'Monthly Data (14-23) Used'!CA22</f>
        <v>0</v>
      </c>
      <c r="J22">
        <f>'Monthly Data (14-23) Used'!CG22</f>
        <v>0</v>
      </c>
      <c r="L22" s="6">
        <f t="shared" si="3"/>
        <v>-3155056.29692131</v>
      </c>
      <c r="M22" s="6">
        <f t="shared" si="4"/>
        <v>39512.688007519188</v>
      </c>
      <c r="N22" s="6">
        <f t="shared" si="5"/>
        <v>1240769.1171051706</v>
      </c>
      <c r="O22" s="6">
        <f t="shared" si="6"/>
        <v>4361269.875605003</v>
      </c>
      <c r="P22" s="6">
        <f t="shared" si="7"/>
        <v>3737028.2982161101</v>
      </c>
      <c r="Q22" s="6">
        <f t="shared" si="8"/>
        <v>0</v>
      </c>
      <c r="R22" s="6">
        <f t="shared" si="9"/>
        <v>0</v>
      </c>
      <c r="S22" s="6">
        <f t="shared" si="10"/>
        <v>6223523.6820124928</v>
      </c>
      <c r="T22" s="6">
        <f t="shared" ref="T22:T53" si="13">S22-D22</f>
        <v>42675.404890438542</v>
      </c>
      <c r="U22" s="14">
        <f t="shared" ref="U22:U53" si="14">ABS(S22-D22)/D22</f>
        <v>6.9044576046945446E-3</v>
      </c>
      <c r="X22" t="s">
        <v>247</v>
      </c>
    </row>
    <row r="23" spans="1:27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Used'!I23</f>
        <v>5577053.2771220542</v>
      </c>
      <c r="E23">
        <f>'Monthly Data (14-23) Used'!AC23</f>
        <v>194.50000000000003</v>
      </c>
      <c r="F23">
        <f>'Monthly Data (14-23) Used'!AH23</f>
        <v>22.999999999999996</v>
      </c>
      <c r="G23">
        <f>'Monthly Data (14-23) Used'!BC23</f>
        <v>737784</v>
      </c>
      <c r="H23">
        <f>'Monthly Data (14-23) Used'!CB23</f>
        <v>31</v>
      </c>
      <c r="I23">
        <f>'Monthly Data (14-23) Used'!CA23</f>
        <v>1</v>
      </c>
      <c r="J23">
        <f>'Monthly Data (14-23) Used'!CG23</f>
        <v>0</v>
      </c>
      <c r="L23" s="6">
        <f t="shared" si="3"/>
        <v>-3155056.29692131</v>
      </c>
      <c r="M23" s="6">
        <f t="shared" si="4"/>
        <v>332693.4120113629</v>
      </c>
      <c r="N23" s="6">
        <f t="shared" si="5"/>
        <v>170374.26682638159</v>
      </c>
      <c r="O23" s="6">
        <f t="shared" si="6"/>
        <v>4405716.1434225403</v>
      </c>
      <c r="P23" s="6">
        <f t="shared" si="7"/>
        <v>3861595.9081566473</v>
      </c>
      <c r="Q23" s="6">
        <f t="shared" si="8"/>
        <v>-115215.035448868</v>
      </c>
      <c r="R23" s="6">
        <f t="shared" si="9"/>
        <v>0</v>
      </c>
      <c r="S23" s="6">
        <f t="shared" si="10"/>
        <v>5500108.3980467543</v>
      </c>
      <c r="T23" s="6">
        <f t="shared" si="13"/>
        <v>-76944.879075299948</v>
      </c>
      <c r="U23" s="14">
        <f t="shared" si="14"/>
        <v>1.3796690698821166E-2</v>
      </c>
      <c r="X23" t="s">
        <v>224</v>
      </c>
      <c r="Y23" s="6">
        <v>6353996.4045529701</v>
      </c>
      <c r="Z23" t="s">
        <v>225</v>
      </c>
      <c r="AA23" s="6">
        <v>650493.57014649198</v>
      </c>
    </row>
    <row r="24" spans="1:27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Used'!I24</f>
        <v>5401075.2771220542</v>
      </c>
      <c r="E24">
        <f>'Monthly Data (14-23) Used'!AC24</f>
        <v>325.2</v>
      </c>
      <c r="F24">
        <f>'Monthly Data (14-23) Used'!AH24</f>
        <v>5.2999999999999972</v>
      </c>
      <c r="G24">
        <f>'Monthly Data (14-23) Used'!BC24</f>
        <v>737784</v>
      </c>
      <c r="H24">
        <f>'Monthly Data (14-23) Used'!CB24</f>
        <v>30</v>
      </c>
      <c r="I24">
        <f>'Monthly Data (14-23) Used'!CA24</f>
        <v>1</v>
      </c>
      <c r="J24">
        <f>'Monthly Data (14-23) Used'!CG24</f>
        <v>0</v>
      </c>
      <c r="L24" s="6">
        <f t="shared" si="3"/>
        <v>-3155056.29692131</v>
      </c>
      <c r="M24" s="6">
        <f t="shared" si="4"/>
        <v>556256.54285910132</v>
      </c>
      <c r="N24" s="6">
        <f t="shared" si="5"/>
        <v>39260.157138253133</v>
      </c>
      <c r="O24" s="6">
        <f t="shared" si="6"/>
        <v>4405716.1434225403</v>
      </c>
      <c r="P24" s="6">
        <f t="shared" si="7"/>
        <v>3737028.2982161101</v>
      </c>
      <c r="Q24" s="6">
        <f t="shared" si="8"/>
        <v>-115215.035448868</v>
      </c>
      <c r="R24" s="6">
        <f t="shared" si="9"/>
        <v>0</v>
      </c>
      <c r="S24" s="6">
        <f t="shared" si="10"/>
        <v>5467989.8092658268</v>
      </c>
      <c r="T24" s="6">
        <f t="shared" si="13"/>
        <v>66914.53214377258</v>
      </c>
      <c r="U24" s="14">
        <f t="shared" si="14"/>
        <v>1.238911303962195E-2</v>
      </c>
    </row>
    <row r="25" spans="1:27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Used'!I25</f>
        <v>5640305.2771220542</v>
      </c>
      <c r="E25">
        <f>'Monthly Data (14-23) Used'!AC25</f>
        <v>417.30000000000007</v>
      </c>
      <c r="F25">
        <f>'Monthly Data (14-23) Used'!AH25</f>
        <v>0</v>
      </c>
      <c r="G25">
        <f>'Monthly Data (14-23) Used'!BC25</f>
        <v>737784</v>
      </c>
      <c r="H25">
        <f>'Monthly Data (14-23) Used'!CB25</f>
        <v>31</v>
      </c>
      <c r="I25">
        <f>'Monthly Data (14-23) Used'!CA25</f>
        <v>0</v>
      </c>
      <c r="J25">
        <f>'Monthly Data (14-23) Used'!CG25</f>
        <v>0</v>
      </c>
      <c r="L25" s="6">
        <f t="shared" si="3"/>
        <v>-3155056.29692131</v>
      </c>
      <c r="M25" s="6">
        <f t="shared" si="4"/>
        <v>713794.14309687272</v>
      </c>
      <c r="N25" s="6">
        <f t="shared" si="5"/>
        <v>0</v>
      </c>
      <c r="O25" s="6">
        <f t="shared" si="6"/>
        <v>4405716.1434225403</v>
      </c>
      <c r="P25" s="6">
        <f t="shared" si="7"/>
        <v>3861595.9081566473</v>
      </c>
      <c r="Q25" s="6">
        <f t="shared" si="8"/>
        <v>0</v>
      </c>
      <c r="R25" s="6">
        <f t="shared" si="9"/>
        <v>0</v>
      </c>
      <c r="S25" s="6">
        <f t="shared" si="10"/>
        <v>5826049.8977547502</v>
      </c>
      <c r="T25" s="6">
        <f t="shared" si="13"/>
        <v>185744.62063269597</v>
      </c>
      <c r="U25" s="14">
        <f t="shared" si="14"/>
        <v>3.2931660877666448E-2</v>
      </c>
    </row>
    <row r="26" spans="1:27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Used'!I26</f>
        <v>6408605.2854596768</v>
      </c>
      <c r="E26">
        <f>'Monthly Data (14-23) Used'!AC26</f>
        <v>644.9</v>
      </c>
      <c r="F26">
        <f>'Monthly Data (14-23) Used'!AH26</f>
        <v>0</v>
      </c>
      <c r="G26">
        <f>'Monthly Data (14-23) Used'!BC26</f>
        <v>743287</v>
      </c>
      <c r="H26">
        <f>'Monthly Data (14-23) Used'!CB26</f>
        <v>31</v>
      </c>
      <c r="I26">
        <f>'Monthly Data (14-23) Used'!CA26</f>
        <v>0</v>
      </c>
      <c r="J26">
        <f>'Monthly Data (14-23) Used'!CG26</f>
        <v>0</v>
      </c>
      <c r="L26" s="6">
        <f t="shared" si="3"/>
        <v>-3155056.29692131</v>
      </c>
      <c r="M26" s="6">
        <f t="shared" si="4"/>
        <v>1103105.3028592695</v>
      </c>
      <c r="N26" s="6">
        <f t="shared" si="5"/>
        <v>0</v>
      </c>
      <c r="O26" s="6">
        <f t="shared" si="6"/>
        <v>4438577.5987228099</v>
      </c>
      <c r="P26" s="6">
        <f t="shared" si="7"/>
        <v>3861595.9081566473</v>
      </c>
      <c r="Q26" s="6">
        <f t="shared" si="8"/>
        <v>0</v>
      </c>
      <c r="R26" s="6">
        <f t="shared" si="9"/>
        <v>0</v>
      </c>
      <c r="S26" s="6">
        <f t="shared" si="10"/>
        <v>6248222.5128174163</v>
      </c>
      <c r="T26" s="6">
        <f t="shared" si="13"/>
        <v>-160382.77264226042</v>
      </c>
      <c r="U26" s="14">
        <f t="shared" si="14"/>
        <v>2.5026158656728144E-2</v>
      </c>
    </row>
    <row r="27" spans="1:27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Used'!I27</f>
        <v>6083562.2854596768</v>
      </c>
      <c r="E27">
        <f>'Monthly Data (14-23) Used'!AC27</f>
        <v>550.19999999999993</v>
      </c>
      <c r="F27">
        <f>'Monthly Data (14-23) Used'!AH27</f>
        <v>0</v>
      </c>
      <c r="G27">
        <f>'Monthly Data (14-23) Used'!BC27</f>
        <v>743287</v>
      </c>
      <c r="H27">
        <f>'Monthly Data (14-23) Used'!CB27</f>
        <v>29</v>
      </c>
      <c r="I27">
        <f>'Monthly Data (14-23) Used'!CA27</f>
        <v>0</v>
      </c>
      <c r="J27">
        <f>'Monthly Data (14-23) Used'!CG27</f>
        <v>0</v>
      </c>
      <c r="L27" s="6">
        <f t="shared" si="3"/>
        <v>-3155056.29692131</v>
      </c>
      <c r="M27" s="6">
        <f t="shared" si="4"/>
        <v>941120.38708818424</v>
      </c>
      <c r="N27" s="6">
        <f t="shared" si="5"/>
        <v>0</v>
      </c>
      <c r="O27" s="6">
        <f t="shared" si="6"/>
        <v>4438577.5987228099</v>
      </c>
      <c r="P27" s="6">
        <f t="shared" si="7"/>
        <v>3612460.6882755733</v>
      </c>
      <c r="Q27" s="6">
        <f t="shared" si="8"/>
        <v>0</v>
      </c>
      <c r="R27" s="6">
        <f t="shared" si="9"/>
        <v>0</v>
      </c>
      <c r="S27" s="6">
        <f t="shared" si="10"/>
        <v>5837102.3771652579</v>
      </c>
      <c r="T27" s="6">
        <f t="shared" si="13"/>
        <v>-246459.90829441883</v>
      </c>
      <c r="U27" s="14">
        <f t="shared" si="14"/>
        <v>4.0512432803307151E-2</v>
      </c>
    </row>
    <row r="28" spans="1:27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Used'!I28</f>
        <v>6103345.2854596768</v>
      </c>
      <c r="E28">
        <f>'Monthly Data (14-23) Used'!AC28</f>
        <v>404.4</v>
      </c>
      <c r="F28">
        <f>'Monthly Data (14-23) Used'!AH28</f>
        <v>0.59999999999999964</v>
      </c>
      <c r="G28">
        <f>'Monthly Data (14-23) Used'!BC28</f>
        <v>743287</v>
      </c>
      <c r="H28">
        <f>'Monthly Data (14-23) Used'!CB28</f>
        <v>31</v>
      </c>
      <c r="I28">
        <f>'Monthly Data (14-23) Used'!CA28</f>
        <v>1</v>
      </c>
      <c r="J28">
        <f>'Monthly Data (14-23) Used'!CG28</f>
        <v>0</v>
      </c>
      <c r="L28" s="6">
        <f t="shared" si="3"/>
        <v>-3155056.29692131</v>
      </c>
      <c r="M28" s="6">
        <f t="shared" si="4"/>
        <v>691728.61602773855</v>
      </c>
      <c r="N28" s="6">
        <f t="shared" si="5"/>
        <v>4444.5460911229957</v>
      </c>
      <c r="O28" s="6">
        <f t="shared" si="6"/>
        <v>4438577.5987228099</v>
      </c>
      <c r="P28" s="6">
        <f t="shared" si="7"/>
        <v>3861595.9081566473</v>
      </c>
      <c r="Q28" s="6">
        <f t="shared" si="8"/>
        <v>-115215.035448868</v>
      </c>
      <c r="R28" s="6">
        <f t="shared" si="9"/>
        <v>0</v>
      </c>
      <c r="S28" s="6">
        <f t="shared" si="10"/>
        <v>5726075.3366281409</v>
      </c>
      <c r="T28" s="6">
        <f t="shared" si="13"/>
        <v>-377269.94883153588</v>
      </c>
      <c r="U28" s="14">
        <f t="shared" si="14"/>
        <v>6.1813633538041195E-2</v>
      </c>
    </row>
    <row r="29" spans="1:27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Used'!I29</f>
        <v>5803136.2854596768</v>
      </c>
      <c r="E29">
        <f>'Monthly Data (14-23) Used'!AC29</f>
        <v>332.09999999999997</v>
      </c>
      <c r="F29">
        <f>'Monthly Data (14-23) Used'!AH29</f>
        <v>2.5</v>
      </c>
      <c r="G29">
        <f>'Monthly Data (14-23) Used'!BC29</f>
        <v>740632</v>
      </c>
      <c r="H29">
        <f>'Monthly Data (14-23) Used'!CB29</f>
        <v>30</v>
      </c>
      <c r="I29">
        <f>'Monthly Data (14-23) Used'!CA29</f>
        <v>1</v>
      </c>
      <c r="J29">
        <f>'Monthly Data (14-23) Used'!CG29</f>
        <v>0</v>
      </c>
      <c r="L29" s="6">
        <f t="shared" si="3"/>
        <v>-3155056.29692131</v>
      </c>
      <c r="M29" s="6">
        <f t="shared" si="4"/>
        <v>568059.03408212645</v>
      </c>
      <c r="N29" s="6">
        <f t="shared" si="5"/>
        <v>18518.942046345826</v>
      </c>
      <c r="O29" s="6">
        <f t="shared" si="6"/>
        <v>4422723.1259221165</v>
      </c>
      <c r="P29" s="6">
        <f t="shared" si="7"/>
        <v>3737028.2982161101</v>
      </c>
      <c r="Q29" s="6">
        <f t="shared" si="8"/>
        <v>-115215.035448868</v>
      </c>
      <c r="R29" s="6">
        <f t="shared" si="9"/>
        <v>0</v>
      </c>
      <c r="S29" s="6">
        <f t="shared" si="10"/>
        <v>5476058.0678965207</v>
      </c>
      <c r="T29" s="6">
        <f t="shared" si="13"/>
        <v>-327078.21756315604</v>
      </c>
      <c r="U29" s="14">
        <f t="shared" si="14"/>
        <v>5.6362318834848386E-2</v>
      </c>
    </row>
    <row r="30" spans="1:27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Used'!I30</f>
        <v>6228245.2854596768</v>
      </c>
      <c r="E30">
        <f>'Monthly Data (14-23) Used'!AC30</f>
        <v>126.6</v>
      </c>
      <c r="F30">
        <f>'Monthly Data (14-23) Used'!AH30</f>
        <v>80.900000000000006</v>
      </c>
      <c r="G30">
        <f>'Monthly Data (14-23) Used'!BC30</f>
        <v>740632</v>
      </c>
      <c r="H30">
        <f>'Monthly Data (14-23) Used'!CB30</f>
        <v>31</v>
      </c>
      <c r="I30">
        <f>'Monthly Data (14-23) Used'!CA30</f>
        <v>1</v>
      </c>
      <c r="J30">
        <f>'Monthly Data (14-23) Used'!CG30</f>
        <v>0</v>
      </c>
      <c r="L30" s="6">
        <f t="shared" si="3"/>
        <v>-3155056.29692131</v>
      </c>
      <c r="M30" s="6">
        <f t="shared" si="4"/>
        <v>216550.05635289737</v>
      </c>
      <c r="N30" s="6">
        <f t="shared" si="5"/>
        <v>599272.96461975097</v>
      </c>
      <c r="O30" s="6">
        <f t="shared" si="6"/>
        <v>4422723.1259221165</v>
      </c>
      <c r="P30" s="6">
        <f t="shared" si="7"/>
        <v>3861595.9081566473</v>
      </c>
      <c r="Q30" s="6">
        <f t="shared" si="8"/>
        <v>-115215.035448868</v>
      </c>
      <c r="R30" s="6">
        <f t="shared" si="9"/>
        <v>0</v>
      </c>
      <c r="S30" s="6">
        <f t="shared" si="10"/>
        <v>5829870.7226812346</v>
      </c>
      <c r="T30" s="6">
        <f t="shared" si="13"/>
        <v>-398374.56277844217</v>
      </c>
      <c r="U30" s="14">
        <f t="shared" si="14"/>
        <v>6.3962568029951969E-2</v>
      </c>
    </row>
    <row r="31" spans="1:27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Used'!I31</f>
        <v>6777772.2854596768</v>
      </c>
      <c r="E31">
        <f>'Monthly Data (14-23) Used'!AC31</f>
        <v>6.7999999999999989</v>
      </c>
      <c r="F31">
        <f>'Monthly Data (14-23) Used'!AH31</f>
        <v>214.49999999999991</v>
      </c>
      <c r="G31">
        <f>'Monthly Data (14-23) Used'!BC31</f>
        <v>740632</v>
      </c>
      <c r="H31">
        <f>'Monthly Data (14-23) Used'!CB31</f>
        <v>30</v>
      </c>
      <c r="I31">
        <f>'Monthly Data (14-23) Used'!CA31</f>
        <v>0</v>
      </c>
      <c r="J31">
        <f>'Monthly Data (14-23) Used'!CG31</f>
        <v>0</v>
      </c>
      <c r="L31" s="6">
        <f t="shared" si="3"/>
        <v>-3155056.29692131</v>
      </c>
      <c r="M31" s="6">
        <f t="shared" si="4"/>
        <v>11631.440625590063</v>
      </c>
      <c r="N31" s="6">
        <f t="shared" si="5"/>
        <v>1588925.2275764712</v>
      </c>
      <c r="O31" s="6">
        <f t="shared" si="6"/>
        <v>4422723.1259221165</v>
      </c>
      <c r="P31" s="6">
        <f t="shared" si="7"/>
        <v>3737028.2982161101</v>
      </c>
      <c r="Q31" s="6">
        <f t="shared" si="8"/>
        <v>0</v>
      </c>
      <c r="R31" s="6">
        <f t="shared" si="9"/>
        <v>0</v>
      </c>
      <c r="S31" s="6">
        <f t="shared" si="10"/>
        <v>6605251.7954189777</v>
      </c>
      <c r="T31" s="6">
        <f t="shared" si="13"/>
        <v>-172520.49004069902</v>
      </c>
      <c r="U31" s="14">
        <f t="shared" si="14"/>
        <v>2.5453863419224988E-2</v>
      </c>
    </row>
    <row r="32" spans="1:27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Used'!I32</f>
        <v>7694152.2854596768</v>
      </c>
      <c r="E32">
        <f>'Monthly Data (14-23) Used'!AC32</f>
        <v>0</v>
      </c>
      <c r="F32">
        <f>'Monthly Data (14-23) Used'!AH32</f>
        <v>302.3</v>
      </c>
      <c r="G32">
        <f>'Monthly Data (14-23) Used'!BC32</f>
        <v>746606</v>
      </c>
      <c r="H32">
        <f>'Monthly Data (14-23) Used'!CB32</f>
        <v>31</v>
      </c>
      <c r="I32">
        <f>'Monthly Data (14-23) Used'!CA32</f>
        <v>0</v>
      </c>
      <c r="J32">
        <f>'Monthly Data (14-23) Used'!CG32</f>
        <v>0</v>
      </c>
      <c r="L32" s="6">
        <f t="shared" si="3"/>
        <v>-3155056.29692131</v>
      </c>
      <c r="M32" s="6">
        <f t="shared" si="4"/>
        <v>0</v>
      </c>
      <c r="N32" s="6">
        <f t="shared" si="5"/>
        <v>2239310.4722441374</v>
      </c>
      <c r="O32" s="6">
        <f t="shared" si="6"/>
        <v>4458397.1826118883</v>
      </c>
      <c r="P32" s="6">
        <f t="shared" si="7"/>
        <v>3861595.9081566473</v>
      </c>
      <c r="Q32" s="6">
        <f t="shared" si="8"/>
        <v>0</v>
      </c>
      <c r="R32" s="6">
        <f t="shared" si="9"/>
        <v>0</v>
      </c>
      <c r="S32" s="6">
        <f t="shared" si="10"/>
        <v>7404247.2660913635</v>
      </c>
      <c r="T32" s="6">
        <f t="shared" si="13"/>
        <v>-289905.01936831325</v>
      </c>
      <c r="U32" s="14">
        <f t="shared" si="14"/>
        <v>3.7678617294353858E-2</v>
      </c>
    </row>
    <row r="33" spans="1:21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Used'!I33</f>
        <v>7705048.2854596768</v>
      </c>
      <c r="E33">
        <f>'Monthly Data (14-23) Used'!AC33</f>
        <v>0</v>
      </c>
      <c r="F33">
        <f>'Monthly Data (14-23) Used'!AH33</f>
        <v>298.89999999999992</v>
      </c>
      <c r="G33">
        <f>'Monthly Data (14-23) Used'!BC33</f>
        <v>746606</v>
      </c>
      <c r="H33">
        <f>'Monthly Data (14-23) Used'!CB33</f>
        <v>31</v>
      </c>
      <c r="I33">
        <f>'Monthly Data (14-23) Used'!CA33</f>
        <v>0</v>
      </c>
      <c r="J33">
        <f>'Monthly Data (14-23) Used'!CG33</f>
        <v>0</v>
      </c>
      <c r="L33" s="6">
        <f t="shared" si="3"/>
        <v>-3155056.29692131</v>
      </c>
      <c r="M33" s="6">
        <f t="shared" si="4"/>
        <v>0</v>
      </c>
      <c r="N33" s="6">
        <f t="shared" si="5"/>
        <v>2214124.7110611065</v>
      </c>
      <c r="O33" s="6">
        <f t="shared" si="6"/>
        <v>4458397.1826118883</v>
      </c>
      <c r="P33" s="6">
        <f t="shared" si="7"/>
        <v>3861595.9081566473</v>
      </c>
      <c r="Q33" s="6">
        <f t="shared" si="8"/>
        <v>0</v>
      </c>
      <c r="R33" s="6">
        <f t="shared" si="9"/>
        <v>0</v>
      </c>
      <c r="S33" s="6">
        <f t="shared" si="10"/>
        <v>7379061.5049083326</v>
      </c>
      <c r="T33" s="6">
        <f t="shared" si="13"/>
        <v>-325986.78055134416</v>
      </c>
      <c r="U33" s="14">
        <f t="shared" si="14"/>
        <v>4.2308207356275648E-2</v>
      </c>
    </row>
    <row r="34" spans="1:21">
      <c r="A34" s="197">
        <v>42614</v>
      </c>
      <c r="B34">
        <f t="shared" ref="B34:B61" si="15">MONTH(A34)</f>
        <v>9</v>
      </c>
      <c r="C34">
        <f t="shared" ref="C34:C61" si="16">YEAR(A34)</f>
        <v>2016</v>
      </c>
      <c r="D34" s="6">
        <f>'Monthly Data (14-23) Used'!I34</f>
        <v>6690629.2854596768</v>
      </c>
      <c r="E34">
        <f>'Monthly Data (14-23) Used'!AC34</f>
        <v>19.399999999999995</v>
      </c>
      <c r="F34">
        <f>'Monthly Data (14-23) Used'!AH34</f>
        <v>161.5</v>
      </c>
      <c r="G34">
        <f>'Monthly Data (14-23) Used'!BC34</f>
        <v>746606</v>
      </c>
      <c r="H34">
        <f>'Monthly Data (14-23) Used'!CB34</f>
        <v>30</v>
      </c>
      <c r="I34">
        <f>'Monthly Data (14-23) Used'!CA34</f>
        <v>0</v>
      </c>
      <c r="J34">
        <f>'Monthly Data (14-23) Used'!CG34</f>
        <v>0</v>
      </c>
      <c r="L34" s="6">
        <f t="shared" si="3"/>
        <v>-3155056.29692131</v>
      </c>
      <c r="M34" s="6">
        <f t="shared" ref="M34:M54" si="17">E34*$Y$10</f>
        <v>33183.815902418704</v>
      </c>
      <c r="N34" s="6">
        <f t="shared" ref="N34:N54" si="18">F34*$Y$11</f>
        <v>1196323.6561939404</v>
      </c>
      <c r="O34" s="6">
        <f t="shared" ref="O34:O54" si="19">G34*$Y$12</f>
        <v>4458397.1826118883</v>
      </c>
      <c r="P34" s="6">
        <f t="shared" ref="P34:P54" si="20">H34*$Y$13</f>
        <v>3737028.2982161101</v>
      </c>
      <c r="Q34" s="6">
        <f t="shared" ref="Q34:Q54" si="21">I34*$Y$14</f>
        <v>0</v>
      </c>
      <c r="R34" s="6">
        <f t="shared" ref="R34:R54" si="22">J34*$Y$15</f>
        <v>0</v>
      </c>
      <c r="S34" s="6">
        <f t="shared" ref="S34:S54" si="23">SUM(L34:R34)</f>
        <v>6269876.6560030477</v>
      </c>
      <c r="T34" s="6">
        <f t="shared" si="13"/>
        <v>-420752.62945662905</v>
      </c>
      <c r="U34" s="14">
        <f t="shared" si="14"/>
        <v>6.2886854360773542E-2</v>
      </c>
    </row>
    <row r="35" spans="1:21">
      <c r="A35" s="197">
        <v>42644</v>
      </c>
      <c r="B35">
        <f t="shared" si="15"/>
        <v>10</v>
      </c>
      <c r="C35">
        <f t="shared" si="16"/>
        <v>2016</v>
      </c>
      <c r="D35" s="6">
        <f>'Monthly Data (14-23) Used'!I35</f>
        <v>6031579.2854596768</v>
      </c>
      <c r="E35">
        <f>'Monthly Data (14-23) Used'!AC35</f>
        <v>173.20000000000002</v>
      </c>
      <c r="F35">
        <f>'Monthly Data (14-23) Used'!AH35</f>
        <v>53.79999999999999</v>
      </c>
      <c r="G35">
        <f>'Monthly Data (14-23) Used'!BC35</f>
        <v>745380</v>
      </c>
      <c r="H35">
        <f>'Monthly Data (14-23) Used'!CB35</f>
        <v>31</v>
      </c>
      <c r="I35">
        <f>'Monthly Data (14-23) Used'!CA35</f>
        <v>1</v>
      </c>
      <c r="J35">
        <f>'Monthly Data (14-23) Used'!CG35</f>
        <v>0</v>
      </c>
      <c r="L35" s="6">
        <f t="shared" si="3"/>
        <v>-3155056.29692131</v>
      </c>
      <c r="M35" s="6">
        <f t="shared" si="17"/>
        <v>296259.63475767639</v>
      </c>
      <c r="N35" s="6">
        <f t="shared" si="18"/>
        <v>398527.63283736212</v>
      </c>
      <c r="O35" s="6">
        <f t="shared" si="19"/>
        <v>4451076.0588252023</v>
      </c>
      <c r="P35" s="6">
        <f t="shared" si="20"/>
        <v>3861595.9081566473</v>
      </c>
      <c r="Q35" s="6">
        <f t="shared" si="21"/>
        <v>-115215.035448868</v>
      </c>
      <c r="R35" s="6">
        <f t="shared" si="22"/>
        <v>0</v>
      </c>
      <c r="S35" s="6">
        <f t="shared" si="23"/>
        <v>5737187.9022067096</v>
      </c>
      <c r="T35" s="6">
        <f t="shared" si="13"/>
        <v>-294391.38325296715</v>
      </c>
      <c r="U35" s="14">
        <f t="shared" si="14"/>
        <v>4.880834178250068E-2</v>
      </c>
    </row>
    <row r="36" spans="1:21">
      <c r="A36" s="197">
        <v>42675</v>
      </c>
      <c r="B36">
        <f t="shared" si="15"/>
        <v>11</v>
      </c>
      <c r="C36">
        <f t="shared" si="16"/>
        <v>2016</v>
      </c>
      <c r="D36" s="6">
        <f>'Monthly Data (14-23) Used'!I36</f>
        <v>5805354.2854596768</v>
      </c>
      <c r="E36">
        <f>'Monthly Data (14-23) Used'!AC36</f>
        <v>315.30000000000007</v>
      </c>
      <c r="F36">
        <f>'Monthly Data (14-23) Used'!AH36</f>
        <v>5.0000000000000018</v>
      </c>
      <c r="G36">
        <f>'Monthly Data (14-23) Used'!BC36</f>
        <v>745380</v>
      </c>
      <c r="H36">
        <f>'Monthly Data (14-23) Used'!CB36</f>
        <v>30</v>
      </c>
      <c r="I36">
        <f>'Monthly Data (14-23) Used'!CA36</f>
        <v>1</v>
      </c>
      <c r="J36">
        <f>'Monthly Data (14-23) Used'!CG36</f>
        <v>0</v>
      </c>
      <c r="L36" s="6">
        <f t="shared" si="3"/>
        <v>-3155056.29692131</v>
      </c>
      <c r="M36" s="6">
        <f t="shared" si="17"/>
        <v>539322.53371302178</v>
      </c>
      <c r="N36" s="6">
        <f t="shared" si="18"/>
        <v>37037.884092691667</v>
      </c>
      <c r="O36" s="6">
        <f t="shared" si="19"/>
        <v>4451076.0588252023</v>
      </c>
      <c r="P36" s="6">
        <f t="shared" si="20"/>
        <v>3737028.2982161101</v>
      </c>
      <c r="Q36" s="6">
        <f t="shared" si="21"/>
        <v>-115215.035448868</v>
      </c>
      <c r="R36" s="6">
        <f t="shared" si="22"/>
        <v>0</v>
      </c>
      <c r="S36" s="6">
        <f t="shared" si="23"/>
        <v>5494193.4424768481</v>
      </c>
      <c r="T36" s="6">
        <f t="shared" si="13"/>
        <v>-311160.84298282862</v>
      </c>
      <c r="U36" s="14">
        <f t="shared" si="14"/>
        <v>5.3598941198502656E-2</v>
      </c>
    </row>
    <row r="37" spans="1:21">
      <c r="A37" s="197">
        <v>42705</v>
      </c>
      <c r="B37">
        <f t="shared" si="15"/>
        <v>12</v>
      </c>
      <c r="C37">
        <f t="shared" si="16"/>
        <v>2016</v>
      </c>
      <c r="D37" s="6">
        <f>'Monthly Data (14-23) Used'!I37</f>
        <v>6367639.2854596768</v>
      </c>
      <c r="E37">
        <f>'Monthly Data (14-23) Used'!AC37</f>
        <v>623.19999999999993</v>
      </c>
      <c r="F37">
        <f>'Monthly Data (14-23) Used'!AH37</f>
        <v>0</v>
      </c>
      <c r="G37">
        <f>'Monthly Data (14-23) Used'!BC37</f>
        <v>745380</v>
      </c>
      <c r="H37">
        <f>'Monthly Data (14-23) Used'!CB37</f>
        <v>31</v>
      </c>
      <c r="I37">
        <f>'Monthly Data (14-23) Used'!CA37</f>
        <v>0</v>
      </c>
      <c r="J37">
        <f>'Monthly Data (14-23) Used'!CG37</f>
        <v>0</v>
      </c>
      <c r="L37" s="6">
        <f t="shared" si="3"/>
        <v>-3155056.29692131</v>
      </c>
      <c r="M37" s="6">
        <f t="shared" si="17"/>
        <v>1065987.3232158422</v>
      </c>
      <c r="N37" s="6">
        <f t="shared" si="18"/>
        <v>0</v>
      </c>
      <c r="O37" s="6">
        <f t="shared" si="19"/>
        <v>4451076.0588252023</v>
      </c>
      <c r="P37" s="6">
        <f t="shared" si="20"/>
        <v>3861595.9081566473</v>
      </c>
      <c r="Q37" s="6">
        <f t="shared" si="21"/>
        <v>0</v>
      </c>
      <c r="R37" s="6">
        <f t="shared" si="22"/>
        <v>0</v>
      </c>
      <c r="S37" s="6">
        <f t="shared" si="23"/>
        <v>6223602.9932763819</v>
      </c>
      <c r="T37" s="6">
        <f t="shared" si="13"/>
        <v>-144036.29218329489</v>
      </c>
      <c r="U37" s="14">
        <f t="shared" si="14"/>
        <v>2.2620045785601842E-2</v>
      </c>
    </row>
    <row r="38" spans="1:21">
      <c r="A38" s="197">
        <v>42736</v>
      </c>
      <c r="B38">
        <f t="shared" si="15"/>
        <v>1</v>
      </c>
      <c r="C38">
        <f t="shared" si="16"/>
        <v>2017</v>
      </c>
      <c r="D38" s="6">
        <f>'Monthly Data (14-23) Used'!I38</f>
        <v>6836192.372558577</v>
      </c>
      <c r="E38">
        <f>'Monthly Data (14-23) Used'!AC38</f>
        <v>584.19999999999993</v>
      </c>
      <c r="F38">
        <f>'Monthly Data (14-23) Used'!AH38</f>
        <v>0</v>
      </c>
      <c r="G38">
        <f>'Monthly Data (14-23) Used'!BC38</f>
        <v>756702</v>
      </c>
      <c r="H38">
        <f>'Monthly Data (14-23) Used'!CB38</f>
        <v>31</v>
      </c>
      <c r="I38">
        <f>'Monthly Data (14-23) Used'!CA38</f>
        <v>0</v>
      </c>
      <c r="J38">
        <f>'Monthly Data (14-23) Used'!CG38</f>
        <v>0</v>
      </c>
      <c r="L38" s="6">
        <f t="shared" si="3"/>
        <v>-3155056.29692131</v>
      </c>
      <c r="M38" s="6">
        <f t="shared" si="17"/>
        <v>999277.59021613456</v>
      </c>
      <c r="N38" s="6">
        <f t="shared" si="18"/>
        <v>0</v>
      </c>
      <c r="O38" s="6">
        <f t="shared" si="19"/>
        <v>4518685.9801244307</v>
      </c>
      <c r="P38" s="6">
        <f t="shared" si="20"/>
        <v>3861595.9081566473</v>
      </c>
      <c r="Q38" s="6">
        <f t="shared" si="21"/>
        <v>0</v>
      </c>
      <c r="R38" s="6">
        <f t="shared" si="22"/>
        <v>0</v>
      </c>
      <c r="S38" s="6">
        <f t="shared" si="23"/>
        <v>6224503.1815759027</v>
      </c>
      <c r="T38" s="6">
        <f t="shared" si="13"/>
        <v>-611689.19098267425</v>
      </c>
      <c r="U38" s="14">
        <f t="shared" si="14"/>
        <v>8.9478054104808316E-2</v>
      </c>
    </row>
    <row r="39" spans="1:21">
      <c r="A39" s="197">
        <v>42767</v>
      </c>
      <c r="B39">
        <f t="shared" si="15"/>
        <v>2</v>
      </c>
      <c r="C39">
        <f t="shared" si="16"/>
        <v>2017</v>
      </c>
      <c r="D39" s="6">
        <f>'Monthly Data (14-23) Used'!I39</f>
        <v>5952762.372558577</v>
      </c>
      <c r="E39">
        <f>'Monthly Data (14-23) Used'!AC39</f>
        <v>440.69999999999987</v>
      </c>
      <c r="F39">
        <f>'Monthly Data (14-23) Used'!AH39</f>
        <v>0</v>
      </c>
      <c r="G39">
        <f>'Monthly Data (14-23) Used'!BC39</f>
        <v>756702</v>
      </c>
      <c r="H39">
        <f>'Monthly Data (14-23) Used'!CB39</f>
        <v>28</v>
      </c>
      <c r="I39">
        <f>'Monthly Data (14-23) Used'!CA39</f>
        <v>0</v>
      </c>
      <c r="J39">
        <f>'Monthly Data (14-23) Used'!CG39</f>
        <v>0</v>
      </c>
      <c r="L39" s="6">
        <f t="shared" si="3"/>
        <v>-3155056.29692131</v>
      </c>
      <c r="M39" s="6">
        <f t="shared" si="17"/>
        <v>753819.98289669701</v>
      </c>
      <c r="N39" s="6">
        <f t="shared" si="18"/>
        <v>0</v>
      </c>
      <c r="O39" s="6">
        <f t="shared" si="19"/>
        <v>4518685.9801244307</v>
      </c>
      <c r="P39" s="6">
        <f t="shared" si="20"/>
        <v>3487893.0783350361</v>
      </c>
      <c r="Q39" s="6">
        <f t="shared" si="21"/>
        <v>0</v>
      </c>
      <c r="R39" s="6">
        <f t="shared" si="22"/>
        <v>0</v>
      </c>
      <c r="S39" s="6">
        <f t="shared" si="23"/>
        <v>5605342.744434854</v>
      </c>
      <c r="T39" s="6">
        <f t="shared" si="13"/>
        <v>-347419.62812372297</v>
      </c>
      <c r="U39" s="14">
        <f t="shared" si="14"/>
        <v>5.8362757721571436E-2</v>
      </c>
    </row>
    <row r="40" spans="1:21">
      <c r="A40" s="197">
        <v>42795</v>
      </c>
      <c r="B40">
        <f t="shared" si="15"/>
        <v>3</v>
      </c>
      <c r="C40">
        <f t="shared" si="16"/>
        <v>2017</v>
      </c>
      <c r="D40" s="6">
        <f>'Monthly Data (14-23) Used'!I40</f>
        <v>6081790.372558577</v>
      </c>
      <c r="E40">
        <f>'Monthly Data (14-23) Used'!AC40</f>
        <v>507.30000000000007</v>
      </c>
      <c r="F40">
        <f>'Monthly Data (14-23) Used'!AH40</f>
        <v>0</v>
      </c>
      <c r="G40">
        <f>'Monthly Data (14-23) Used'!BC40</f>
        <v>756702</v>
      </c>
      <c r="H40">
        <f>'Monthly Data (14-23) Used'!CB40</f>
        <v>31</v>
      </c>
      <c r="I40">
        <f>'Monthly Data (14-23) Used'!CA40</f>
        <v>1</v>
      </c>
      <c r="J40">
        <f>'Monthly Data (14-23) Used'!CG40</f>
        <v>0</v>
      </c>
      <c r="L40" s="6">
        <f t="shared" si="3"/>
        <v>-3155056.29692131</v>
      </c>
      <c r="M40" s="6">
        <f t="shared" si="17"/>
        <v>867739.68078850594</v>
      </c>
      <c r="N40" s="6">
        <f t="shared" si="18"/>
        <v>0</v>
      </c>
      <c r="O40" s="6">
        <f t="shared" si="19"/>
        <v>4518685.9801244307</v>
      </c>
      <c r="P40" s="6">
        <f t="shared" si="20"/>
        <v>3861595.9081566473</v>
      </c>
      <c r="Q40" s="6">
        <f t="shared" si="21"/>
        <v>-115215.035448868</v>
      </c>
      <c r="R40" s="6">
        <f t="shared" si="22"/>
        <v>0</v>
      </c>
      <c r="S40" s="6">
        <f t="shared" si="23"/>
        <v>5977750.2366994061</v>
      </c>
      <c r="T40" s="6">
        <f t="shared" si="13"/>
        <v>-104040.13585917093</v>
      </c>
      <c r="U40" s="14">
        <f t="shared" si="14"/>
        <v>1.7106827017354397E-2</v>
      </c>
    </row>
    <row r="41" spans="1:21">
      <c r="A41" s="197">
        <v>42826</v>
      </c>
      <c r="B41">
        <f t="shared" si="15"/>
        <v>4</v>
      </c>
      <c r="C41">
        <f t="shared" si="16"/>
        <v>2017</v>
      </c>
      <c r="D41" s="6">
        <f>'Monthly Data (14-23) Used'!I41</f>
        <v>5859659.372558577</v>
      </c>
      <c r="E41">
        <f>'Monthly Data (14-23) Used'!AC41</f>
        <v>200.50000000000003</v>
      </c>
      <c r="F41">
        <f>'Monthly Data (14-23) Used'!AH41</f>
        <v>21.300000000000004</v>
      </c>
      <c r="G41">
        <f>'Monthly Data (14-23) Used'!BC41</f>
        <v>764644</v>
      </c>
      <c r="H41">
        <f>'Monthly Data (14-23) Used'!CB41</f>
        <v>30</v>
      </c>
      <c r="I41">
        <f>'Monthly Data (14-23) Used'!CA41</f>
        <v>1</v>
      </c>
      <c r="J41">
        <f>'Monthly Data (14-23) Used'!CG41</f>
        <v>0</v>
      </c>
      <c r="L41" s="6">
        <f t="shared" si="3"/>
        <v>-3155056.29692131</v>
      </c>
      <c r="M41" s="6">
        <f t="shared" si="17"/>
        <v>342956.44785747182</v>
      </c>
      <c r="N41" s="6">
        <f t="shared" si="18"/>
        <v>157781.38623486646</v>
      </c>
      <c r="O41" s="6">
        <f t="shared" si="19"/>
        <v>4566112.0528111001</v>
      </c>
      <c r="P41" s="6">
        <f t="shared" si="20"/>
        <v>3737028.2982161101</v>
      </c>
      <c r="Q41" s="6">
        <f t="shared" si="21"/>
        <v>-115215.035448868</v>
      </c>
      <c r="R41" s="6">
        <f t="shared" si="22"/>
        <v>0</v>
      </c>
      <c r="S41" s="6">
        <f t="shared" si="23"/>
        <v>5533606.85274937</v>
      </c>
      <c r="T41" s="6">
        <f t="shared" si="13"/>
        <v>-326052.51980920695</v>
      </c>
      <c r="U41" s="14">
        <f t="shared" si="14"/>
        <v>5.5643596168088949E-2</v>
      </c>
    </row>
    <row r="42" spans="1:21">
      <c r="A42" s="197">
        <v>42856</v>
      </c>
      <c r="B42">
        <f t="shared" si="15"/>
        <v>5</v>
      </c>
      <c r="C42">
        <f t="shared" si="16"/>
        <v>2017</v>
      </c>
      <c r="D42" s="6">
        <f>'Monthly Data (14-23) Used'!I42</f>
        <v>6077082.372558577</v>
      </c>
      <c r="E42">
        <f>'Monthly Data (14-23) Used'!AC42</f>
        <v>135.5</v>
      </c>
      <c r="F42">
        <f>'Monthly Data (14-23) Used'!AH42</f>
        <v>64.7</v>
      </c>
      <c r="G42">
        <f>'Monthly Data (14-23) Used'!BC42</f>
        <v>764644</v>
      </c>
      <c r="H42">
        <f>'Monthly Data (14-23) Used'!CB42</f>
        <v>31</v>
      </c>
      <c r="I42">
        <f>'Monthly Data (14-23) Used'!CA42</f>
        <v>1</v>
      </c>
      <c r="J42">
        <f>'Monthly Data (14-23) Used'!CG42</f>
        <v>0</v>
      </c>
      <c r="L42" s="6">
        <f t="shared" si="3"/>
        <v>-3155056.29692131</v>
      </c>
      <c r="M42" s="6">
        <f t="shared" si="17"/>
        <v>231773.55952462554</v>
      </c>
      <c r="N42" s="6">
        <f t="shared" si="18"/>
        <v>479270.22015943</v>
      </c>
      <c r="O42" s="6">
        <f t="shared" si="19"/>
        <v>4566112.0528111001</v>
      </c>
      <c r="P42" s="6">
        <f t="shared" si="20"/>
        <v>3861595.9081566473</v>
      </c>
      <c r="Q42" s="6">
        <f t="shared" si="21"/>
        <v>-115215.035448868</v>
      </c>
      <c r="R42" s="6">
        <f t="shared" si="22"/>
        <v>0</v>
      </c>
      <c r="S42" s="6">
        <f t="shared" si="23"/>
        <v>5868480.4082816252</v>
      </c>
      <c r="T42" s="6">
        <f t="shared" si="13"/>
        <v>-208601.96427695174</v>
      </c>
      <c r="U42" s="14">
        <f t="shared" si="14"/>
        <v>3.4326005719275118E-2</v>
      </c>
    </row>
    <row r="43" spans="1:21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Used'!I43</f>
        <v>6771723.372558577</v>
      </c>
      <c r="E43">
        <f>'Monthly Data (14-23) Used'!AC43</f>
        <v>9.1999999999999957</v>
      </c>
      <c r="F43">
        <f>'Monthly Data (14-23) Used'!AH43</f>
        <v>213.29999999999998</v>
      </c>
      <c r="G43">
        <f>'Monthly Data (14-23) Used'!BC43</f>
        <v>764644</v>
      </c>
      <c r="H43">
        <f>'Monthly Data (14-23) Used'!CB43</f>
        <v>30</v>
      </c>
      <c r="I43">
        <f>'Monthly Data (14-23) Used'!CA43</f>
        <v>0</v>
      </c>
      <c r="J43">
        <f>'Monthly Data (14-23) Used'!CG43</f>
        <v>0</v>
      </c>
      <c r="L43" s="6">
        <f t="shared" si="3"/>
        <v>-3155056.29692131</v>
      </c>
      <c r="M43" s="6">
        <f t="shared" si="17"/>
        <v>15736.654964033609</v>
      </c>
      <c r="N43" s="6">
        <f t="shared" si="18"/>
        <v>1580036.1353942258</v>
      </c>
      <c r="O43" s="6">
        <f t="shared" si="19"/>
        <v>4566112.0528111001</v>
      </c>
      <c r="P43" s="6">
        <f t="shared" si="20"/>
        <v>3737028.2982161101</v>
      </c>
      <c r="Q43" s="6">
        <f t="shared" si="21"/>
        <v>0</v>
      </c>
      <c r="R43" s="6">
        <f t="shared" si="22"/>
        <v>0</v>
      </c>
      <c r="S43" s="6">
        <f t="shared" si="23"/>
        <v>6743856.8444641596</v>
      </c>
      <c r="T43" s="6">
        <f t="shared" si="13"/>
        <v>-27866.528094417416</v>
      </c>
      <c r="U43" s="14">
        <f t="shared" si="14"/>
        <v>4.1151308996676475E-3</v>
      </c>
    </row>
    <row r="44" spans="1:21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Used'!I44</f>
        <v>7412106.372558577</v>
      </c>
      <c r="E44">
        <f>'Monthly Data (14-23) Used'!AC44</f>
        <v>0</v>
      </c>
      <c r="F44">
        <f>'Monthly Data (14-23) Used'!AH44</f>
        <v>260.99999999999994</v>
      </c>
      <c r="G44">
        <f>'Monthly Data (14-23) Used'!BC44</f>
        <v>765060</v>
      </c>
      <c r="H44">
        <f>'Monthly Data (14-23) Used'!CB44</f>
        <v>31</v>
      </c>
      <c r="I44">
        <f>'Monthly Data (14-23) Used'!CA44</f>
        <v>0</v>
      </c>
      <c r="J44">
        <f>'Monthly Data (14-23) Used'!CG44</f>
        <v>0</v>
      </c>
      <c r="L44" s="6">
        <f t="shared" si="3"/>
        <v>-3155056.29692131</v>
      </c>
      <c r="M44" s="6">
        <f t="shared" si="17"/>
        <v>0</v>
      </c>
      <c r="N44" s="6">
        <f t="shared" si="18"/>
        <v>1933377.5496385037</v>
      </c>
      <c r="O44" s="6">
        <f t="shared" si="19"/>
        <v>4568596.2187941847</v>
      </c>
      <c r="P44" s="6">
        <f t="shared" si="20"/>
        <v>3861595.9081566473</v>
      </c>
      <c r="Q44" s="6">
        <f t="shared" si="21"/>
        <v>0</v>
      </c>
      <c r="R44" s="6">
        <f t="shared" si="22"/>
        <v>0</v>
      </c>
      <c r="S44" s="6">
        <f t="shared" si="23"/>
        <v>7208513.3796680253</v>
      </c>
      <c r="T44" s="6">
        <f t="shared" si="13"/>
        <v>-203592.99289055169</v>
      </c>
      <c r="U44" s="14">
        <f t="shared" si="14"/>
        <v>2.7467629666555048E-2</v>
      </c>
    </row>
    <row r="45" spans="1:21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Used'!I45</f>
        <v>7040296.372558577</v>
      </c>
      <c r="E45">
        <f>'Monthly Data (14-23) Used'!AC45</f>
        <v>6.6999999999999957</v>
      </c>
      <c r="F45">
        <f>'Monthly Data (14-23) Used'!AH45</f>
        <v>197.89999999999998</v>
      </c>
      <c r="G45">
        <f>'Monthly Data (14-23) Used'!BC45</f>
        <v>765060</v>
      </c>
      <c r="H45">
        <f>'Monthly Data (14-23) Used'!CB45</f>
        <v>31</v>
      </c>
      <c r="I45">
        <f>'Monthly Data (14-23) Used'!CA45</f>
        <v>0</v>
      </c>
      <c r="J45">
        <f>'Monthly Data (14-23) Used'!CG45</f>
        <v>0</v>
      </c>
      <c r="L45" s="6">
        <f t="shared" si="3"/>
        <v>-3155056.29692131</v>
      </c>
      <c r="M45" s="6">
        <f t="shared" si="17"/>
        <v>11460.390028154909</v>
      </c>
      <c r="N45" s="6">
        <f t="shared" si="18"/>
        <v>1465959.4523887355</v>
      </c>
      <c r="O45" s="6">
        <f t="shared" si="19"/>
        <v>4568596.2187941847</v>
      </c>
      <c r="P45" s="6">
        <f t="shared" si="20"/>
        <v>3861595.9081566473</v>
      </c>
      <c r="Q45" s="6">
        <f t="shared" si="21"/>
        <v>0</v>
      </c>
      <c r="R45" s="6">
        <f t="shared" si="22"/>
        <v>0</v>
      </c>
      <c r="S45" s="6">
        <f t="shared" si="23"/>
        <v>6752555.672446413</v>
      </c>
      <c r="T45" s="6">
        <f t="shared" si="13"/>
        <v>-287740.70011216402</v>
      </c>
      <c r="U45" s="14">
        <f t="shared" si="14"/>
        <v>4.0870537955434626E-2</v>
      </c>
    </row>
    <row r="46" spans="1:21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Used'!I46</f>
        <v>6606889.372558577</v>
      </c>
      <c r="E46">
        <f>'Monthly Data (14-23) Used'!AC46</f>
        <v>47.5</v>
      </c>
      <c r="F46">
        <f>'Monthly Data (14-23) Used'!AH46</f>
        <v>133.70000000000002</v>
      </c>
      <c r="G46">
        <f>'Monthly Data (14-23) Used'!BC46</f>
        <v>765060</v>
      </c>
      <c r="H46">
        <f>'Monthly Data (14-23) Used'!CB46</f>
        <v>30</v>
      </c>
      <c r="I46">
        <f>'Monthly Data (14-23) Used'!CA46</f>
        <v>0</v>
      </c>
      <c r="J46">
        <f>'Monthly Data (14-23) Used'!CG46</f>
        <v>0</v>
      </c>
      <c r="L46" s="6">
        <f t="shared" si="3"/>
        <v>-3155056.29692131</v>
      </c>
      <c r="M46" s="6">
        <f t="shared" si="17"/>
        <v>81249.033781695296</v>
      </c>
      <c r="N46" s="6">
        <f t="shared" si="18"/>
        <v>990393.02063857485</v>
      </c>
      <c r="O46" s="6">
        <f t="shared" si="19"/>
        <v>4568596.2187941847</v>
      </c>
      <c r="P46" s="6">
        <f t="shared" si="20"/>
        <v>3737028.2982161101</v>
      </c>
      <c r="Q46" s="6">
        <f t="shared" si="21"/>
        <v>0</v>
      </c>
      <c r="R46" s="6">
        <f t="shared" si="22"/>
        <v>0</v>
      </c>
      <c r="S46" s="6">
        <f t="shared" si="23"/>
        <v>6222210.2745092548</v>
      </c>
      <c r="T46" s="6">
        <f t="shared" si="13"/>
        <v>-384679.09804932214</v>
      </c>
      <c r="U46" s="14">
        <f t="shared" si="14"/>
        <v>5.8223935101300438E-2</v>
      </c>
    </row>
    <row r="47" spans="1:21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Used'!I47</f>
        <v>6052502.372558577</v>
      </c>
      <c r="E47">
        <f>'Monthly Data (14-23) Used'!AC47</f>
        <v>151.59999999999997</v>
      </c>
      <c r="F47">
        <f>'Monthly Data (14-23) Used'!AH47</f>
        <v>55.4</v>
      </c>
      <c r="G47">
        <f>'Monthly Data (14-23) Used'!BC47</f>
        <v>771453</v>
      </c>
      <c r="H47">
        <f>'Monthly Data (14-23) Used'!CB47</f>
        <v>31</v>
      </c>
      <c r="I47">
        <f>'Monthly Data (14-23) Used'!CA47</f>
        <v>1</v>
      </c>
      <c r="J47">
        <f>'Monthly Data (14-23) Used'!CG47</f>
        <v>0</v>
      </c>
      <c r="L47" s="6">
        <f t="shared" si="3"/>
        <v>-3155056.29692131</v>
      </c>
      <c r="M47" s="6">
        <f t="shared" si="17"/>
        <v>259312.70571168431</v>
      </c>
      <c r="N47" s="6">
        <f t="shared" si="18"/>
        <v>410379.7557470235</v>
      </c>
      <c r="O47" s="6">
        <f t="shared" si="19"/>
        <v>4606772.3561255718</v>
      </c>
      <c r="P47" s="6">
        <f t="shared" si="20"/>
        <v>3861595.9081566473</v>
      </c>
      <c r="Q47" s="6">
        <f t="shared" si="21"/>
        <v>-115215.035448868</v>
      </c>
      <c r="R47" s="6">
        <f t="shared" si="22"/>
        <v>0</v>
      </c>
      <c r="S47" s="6">
        <f t="shared" si="23"/>
        <v>5867789.3933707494</v>
      </c>
      <c r="T47" s="6">
        <f t="shared" si="13"/>
        <v>-184712.97918782756</v>
      </c>
      <c r="U47" s="14">
        <f t="shared" si="14"/>
        <v>3.0518448043126294E-2</v>
      </c>
    </row>
    <row r="48" spans="1:21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Used'!I48</f>
        <v>5976394.372558577</v>
      </c>
      <c r="E48">
        <f>'Monthly Data (14-23) Used'!AC48</f>
        <v>414.93552299140981</v>
      </c>
      <c r="F48">
        <f>'Monthly Data (14-23) Used'!AH48</f>
        <v>0</v>
      </c>
      <c r="G48">
        <f>'Monthly Data (14-23) Used'!BC48</f>
        <v>771453</v>
      </c>
      <c r="H48">
        <f>'Monthly Data (14-23) Used'!CB48</f>
        <v>30</v>
      </c>
      <c r="I48">
        <f>'Monthly Data (14-23) Used'!CA48</f>
        <v>1</v>
      </c>
      <c r="J48">
        <f>'Monthly Data (14-23) Used'!CG48</f>
        <v>0</v>
      </c>
      <c r="L48" s="6">
        <f t="shared" si="3"/>
        <v>-3155056.29692131</v>
      </c>
      <c r="M48" s="6">
        <f t="shared" si="17"/>
        <v>709749.6910474624</v>
      </c>
      <c r="N48" s="6">
        <f t="shared" si="18"/>
        <v>0</v>
      </c>
      <c r="O48" s="6">
        <f t="shared" si="19"/>
        <v>4606772.3561255718</v>
      </c>
      <c r="P48" s="6">
        <f t="shared" si="20"/>
        <v>3737028.2982161101</v>
      </c>
      <c r="Q48" s="6">
        <f t="shared" si="21"/>
        <v>-115215.035448868</v>
      </c>
      <c r="R48" s="6">
        <f t="shared" si="22"/>
        <v>0</v>
      </c>
      <c r="S48" s="6">
        <f t="shared" si="23"/>
        <v>5783279.0130189667</v>
      </c>
      <c r="T48" s="6">
        <f t="shared" si="13"/>
        <v>-193115.35953961033</v>
      </c>
      <c r="U48" s="14">
        <f t="shared" si="14"/>
        <v>3.2313021447568056E-2</v>
      </c>
    </row>
    <row r="49" spans="1:21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Used'!I49</f>
        <v>6548924.372558577</v>
      </c>
      <c r="E49">
        <f>'Monthly Data (14-23) Used'!AC49</f>
        <v>672.00000000000011</v>
      </c>
      <c r="F49">
        <f>'Monthly Data (14-23) Used'!AH49</f>
        <v>0</v>
      </c>
      <c r="G49">
        <f>'Monthly Data (14-23) Used'!BC49</f>
        <v>771453</v>
      </c>
      <c r="H49">
        <f>'Monthly Data (14-23) Used'!CB49</f>
        <v>31</v>
      </c>
      <c r="I49">
        <f>'Monthly Data (14-23) Used'!CA49</f>
        <v>0</v>
      </c>
      <c r="J49">
        <f>'Monthly Data (14-23) Used'!CG49</f>
        <v>0</v>
      </c>
      <c r="L49" s="6">
        <f t="shared" si="3"/>
        <v>-3155056.29692131</v>
      </c>
      <c r="M49" s="6">
        <f t="shared" si="17"/>
        <v>1149460.0147641948</v>
      </c>
      <c r="N49" s="6">
        <f t="shared" si="18"/>
        <v>0</v>
      </c>
      <c r="O49" s="6">
        <f t="shared" si="19"/>
        <v>4606772.3561255718</v>
      </c>
      <c r="P49" s="6">
        <f t="shared" si="20"/>
        <v>3861595.9081566473</v>
      </c>
      <c r="Q49" s="6">
        <f t="shared" si="21"/>
        <v>0</v>
      </c>
      <c r="R49" s="6">
        <f t="shared" si="22"/>
        <v>0</v>
      </c>
      <c r="S49" s="6">
        <f t="shared" si="23"/>
        <v>6462771.9821251035</v>
      </c>
      <c r="T49" s="6">
        <f t="shared" si="13"/>
        <v>-86152.390433473513</v>
      </c>
      <c r="U49" s="14">
        <f t="shared" si="14"/>
        <v>1.3155197026624836E-2</v>
      </c>
    </row>
    <row r="50" spans="1:21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Used'!I50</f>
        <v>6961673.0655590976</v>
      </c>
      <c r="E50">
        <f>'Monthly Data (14-23) Used'!AC50</f>
        <v>705.60000000000014</v>
      </c>
      <c r="F50">
        <f>'Monthly Data (14-23) Used'!AH50</f>
        <v>0</v>
      </c>
      <c r="G50">
        <f>'Monthly Data (14-23) Used'!BC50</f>
        <v>779459</v>
      </c>
      <c r="H50">
        <f>'Monthly Data (14-23) Used'!CB50</f>
        <v>31</v>
      </c>
      <c r="I50">
        <f>'Monthly Data (14-23) Used'!CA50</f>
        <v>0</v>
      </c>
      <c r="J50">
        <f>'Monthly Data (14-23) Used'!CG50</f>
        <v>0</v>
      </c>
      <c r="L50" s="6">
        <f t="shared" si="3"/>
        <v>-3155056.29692131</v>
      </c>
      <c r="M50" s="6">
        <f t="shared" si="17"/>
        <v>1206933.0155024047</v>
      </c>
      <c r="N50" s="6">
        <f t="shared" si="18"/>
        <v>0</v>
      </c>
      <c r="O50" s="6">
        <f t="shared" si="19"/>
        <v>4654580.6081942543</v>
      </c>
      <c r="P50" s="6">
        <f t="shared" si="20"/>
        <v>3861595.9081566473</v>
      </c>
      <c r="Q50" s="6">
        <f t="shared" si="21"/>
        <v>0</v>
      </c>
      <c r="R50" s="6">
        <f t="shared" si="22"/>
        <v>0</v>
      </c>
      <c r="S50" s="6">
        <f t="shared" si="23"/>
        <v>6568053.2349319961</v>
      </c>
      <c r="T50" s="6">
        <f t="shared" si="13"/>
        <v>-393619.83062710147</v>
      </c>
      <c r="U50" s="14">
        <f t="shared" si="14"/>
        <v>5.6540981876098712E-2</v>
      </c>
    </row>
    <row r="51" spans="1:21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Used'!I51</f>
        <v>6369392.0655590976</v>
      </c>
      <c r="E51">
        <f>'Monthly Data (14-23) Used'!AC51</f>
        <v>544.49999999999989</v>
      </c>
      <c r="F51">
        <f>'Monthly Data (14-23) Used'!AH51</f>
        <v>0</v>
      </c>
      <c r="G51">
        <f>'Monthly Data (14-23) Used'!BC51</f>
        <v>779459</v>
      </c>
      <c r="H51">
        <f>'Monthly Data (14-23) Used'!CB51</f>
        <v>28</v>
      </c>
      <c r="I51">
        <f>'Monthly Data (14-23) Used'!CA51</f>
        <v>0</v>
      </c>
      <c r="J51">
        <f>'Monthly Data (14-23) Used'!CG51</f>
        <v>0</v>
      </c>
      <c r="L51" s="6">
        <f t="shared" si="3"/>
        <v>-3155056.29692131</v>
      </c>
      <c r="M51" s="6">
        <f t="shared" si="17"/>
        <v>931370.50303438073</v>
      </c>
      <c r="N51" s="6">
        <f t="shared" si="18"/>
        <v>0</v>
      </c>
      <c r="O51" s="6">
        <f t="shared" si="19"/>
        <v>4654580.6081942543</v>
      </c>
      <c r="P51" s="6">
        <f t="shared" si="20"/>
        <v>3487893.0783350361</v>
      </c>
      <c r="Q51" s="6">
        <f t="shared" si="21"/>
        <v>0</v>
      </c>
      <c r="R51" s="6">
        <f t="shared" si="22"/>
        <v>0</v>
      </c>
      <c r="S51" s="6">
        <f t="shared" si="23"/>
        <v>5918787.8926423611</v>
      </c>
      <c r="T51" s="6">
        <f t="shared" si="13"/>
        <v>-450604.17291673645</v>
      </c>
      <c r="U51" s="14">
        <f t="shared" si="14"/>
        <v>7.0745240405794205E-2</v>
      </c>
    </row>
    <row r="52" spans="1:21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Used'!I52</f>
        <v>6287610.0655590976</v>
      </c>
      <c r="E52">
        <f>'Monthly Data (14-23) Used'!AC52</f>
        <v>534.40000000000009</v>
      </c>
      <c r="F52">
        <f>'Monthly Data (14-23) Used'!AH52</f>
        <v>0</v>
      </c>
      <c r="G52">
        <f>'Monthly Data (14-23) Used'!BC52</f>
        <v>779459</v>
      </c>
      <c r="H52">
        <f>'Monthly Data (14-23) Used'!CB52</f>
        <v>31</v>
      </c>
      <c r="I52">
        <f>'Monthly Data (14-23) Used'!CA52</f>
        <v>1</v>
      </c>
      <c r="J52">
        <f>'Monthly Data (14-23) Used'!CG52</f>
        <v>0</v>
      </c>
      <c r="L52" s="6">
        <f t="shared" si="3"/>
        <v>-3155056.29692131</v>
      </c>
      <c r="M52" s="6">
        <f t="shared" si="17"/>
        <v>914094.39269343112</v>
      </c>
      <c r="N52" s="6">
        <f t="shared" si="18"/>
        <v>0</v>
      </c>
      <c r="O52" s="6">
        <f t="shared" si="19"/>
        <v>4654580.6081942543</v>
      </c>
      <c r="P52" s="6">
        <f t="shared" si="20"/>
        <v>3861595.9081566473</v>
      </c>
      <c r="Q52" s="6">
        <f t="shared" si="21"/>
        <v>-115215.035448868</v>
      </c>
      <c r="R52" s="6">
        <f t="shared" si="22"/>
        <v>0</v>
      </c>
      <c r="S52" s="6">
        <f t="shared" si="23"/>
        <v>6159999.576674155</v>
      </c>
      <c r="T52" s="6">
        <f t="shared" si="13"/>
        <v>-127610.48888494261</v>
      </c>
      <c r="U52" s="14">
        <f t="shared" si="14"/>
        <v>2.0295547521933584E-2</v>
      </c>
    </row>
    <row r="53" spans="1:21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Used'!I53</f>
        <v>5925059.0655590976</v>
      </c>
      <c r="E53">
        <f>'Monthly Data (14-23) Used'!AC53</f>
        <v>395.6</v>
      </c>
      <c r="F53">
        <f>'Monthly Data (14-23) Used'!AH53</f>
        <v>9.9999999999999645E-2</v>
      </c>
      <c r="G53">
        <f>'Monthly Data (14-23) Used'!BC53</f>
        <v>784896</v>
      </c>
      <c r="H53">
        <f>'Monthly Data (14-23) Used'!CB53</f>
        <v>30</v>
      </c>
      <c r="I53">
        <f>'Monthly Data (14-23) Used'!CA53</f>
        <v>1</v>
      </c>
      <c r="J53">
        <f>'Monthly Data (14-23) Used'!CG53</f>
        <v>0</v>
      </c>
      <c r="L53" s="6">
        <f t="shared" si="3"/>
        <v>-3155056.29692131</v>
      </c>
      <c r="M53" s="6">
        <f t="shared" si="17"/>
        <v>676676.16345344554</v>
      </c>
      <c r="N53" s="6">
        <f t="shared" si="18"/>
        <v>740.75768185383038</v>
      </c>
      <c r="O53" s="6">
        <f t="shared" si="19"/>
        <v>4687047.9410068234</v>
      </c>
      <c r="P53" s="6">
        <f t="shared" si="20"/>
        <v>3737028.2982161101</v>
      </c>
      <c r="Q53" s="6">
        <f t="shared" si="21"/>
        <v>-115215.035448868</v>
      </c>
      <c r="R53" s="6">
        <f t="shared" si="22"/>
        <v>0</v>
      </c>
      <c r="S53" s="6">
        <f t="shared" si="23"/>
        <v>5831221.8279880546</v>
      </c>
      <c r="T53" s="6">
        <f t="shared" si="13"/>
        <v>-93837.237571042962</v>
      </c>
      <c r="U53" s="14">
        <f t="shared" si="14"/>
        <v>1.5837350570308339E-2</v>
      </c>
    </row>
    <row r="54" spans="1:21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Used'!I54</f>
        <v>6527889.0655590976</v>
      </c>
      <c r="E54">
        <f>'Monthly Data (14-23) Used'!AC54</f>
        <v>62.900000000000006</v>
      </c>
      <c r="F54">
        <f>'Monthly Data (14-23) Used'!AH54</f>
        <v>127.69999999999999</v>
      </c>
      <c r="G54">
        <f>'Monthly Data (14-23) Used'!BC54</f>
        <v>784896</v>
      </c>
      <c r="H54">
        <f>'Monthly Data (14-23) Used'!CB54</f>
        <v>31</v>
      </c>
      <c r="I54">
        <f>'Monthly Data (14-23) Used'!CA54</f>
        <v>1</v>
      </c>
      <c r="J54">
        <f>'Monthly Data (14-23) Used'!CG54</f>
        <v>0</v>
      </c>
      <c r="L54" s="6">
        <f t="shared" si="3"/>
        <v>-3155056.29692131</v>
      </c>
      <c r="M54" s="6">
        <f t="shared" si="17"/>
        <v>107590.82578670811</v>
      </c>
      <c r="N54" s="6">
        <f t="shared" si="18"/>
        <v>945947.55972734466</v>
      </c>
      <c r="O54" s="6">
        <f t="shared" si="19"/>
        <v>4687047.9410068234</v>
      </c>
      <c r="P54" s="6">
        <f t="shared" si="20"/>
        <v>3861595.9081566473</v>
      </c>
      <c r="Q54" s="6">
        <f t="shared" si="21"/>
        <v>-115215.035448868</v>
      </c>
      <c r="R54" s="6">
        <f t="shared" si="22"/>
        <v>0</v>
      </c>
      <c r="S54" s="6">
        <f t="shared" si="23"/>
        <v>6331910.9023073455</v>
      </c>
      <c r="T54" s="6">
        <f t="shared" ref="T54:T85" si="24">S54-D54</f>
        <v>-195978.16325175203</v>
      </c>
      <c r="U54" s="14">
        <f t="shared" ref="U54:U85" si="25">ABS(S54-D54)/D54</f>
        <v>3.0021674891156716E-2</v>
      </c>
    </row>
    <row r="55" spans="1:21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Used'!I55</f>
        <v>6961182.0655590976</v>
      </c>
      <c r="E55">
        <f>'Monthly Data (14-23) Used'!AC55</f>
        <v>7.6000000000000014</v>
      </c>
      <c r="F55">
        <f>'Monthly Data (14-23) Used'!AH55</f>
        <v>206.29999999999998</v>
      </c>
      <c r="G55">
        <f>'Monthly Data (14-23) Used'!BC55</f>
        <v>784896</v>
      </c>
      <c r="H55">
        <f>'Monthly Data (14-23) Used'!CB55</f>
        <v>30</v>
      </c>
      <c r="I55">
        <f>'Monthly Data (14-23) Used'!CA55</f>
        <v>0</v>
      </c>
      <c r="J55">
        <f>'Monthly Data (14-23) Used'!CG55</f>
        <v>0</v>
      </c>
      <c r="L55" s="6">
        <f t="shared" ref="L55:L118" si="26">$Y$9</f>
        <v>-3155056.29692131</v>
      </c>
      <c r="M55" s="6">
        <f t="shared" ref="M55:M118" si="27">E55*$Y$10</f>
        <v>12999.845405071252</v>
      </c>
      <c r="N55" s="6">
        <f t="shared" ref="N55:N118" si="28">F55*$Y$11</f>
        <v>1528183.0976644575</v>
      </c>
      <c r="O55" s="6">
        <f t="shared" ref="O55:O118" si="29">G55*$Y$12</f>
        <v>4687047.9410068234</v>
      </c>
      <c r="P55" s="6">
        <f t="shared" ref="P55:P118" si="30">H55*$Y$13</f>
        <v>3737028.2982161101</v>
      </c>
      <c r="Q55" s="6">
        <f t="shared" ref="Q55:Q118" si="31">I55*$Y$14</f>
        <v>0</v>
      </c>
      <c r="R55" s="6">
        <f t="shared" ref="R55:R118" si="32">J55*$Y$15</f>
        <v>0</v>
      </c>
      <c r="S55" s="6">
        <f t="shared" ref="S55:S115" si="33">SUM(L55:R55)</f>
        <v>6810202.8853711523</v>
      </c>
      <c r="T55" s="6">
        <f t="shared" si="24"/>
        <v>-150979.18018794525</v>
      </c>
      <c r="U55" s="14">
        <f t="shared" si="25"/>
        <v>2.1688727398026925E-2</v>
      </c>
    </row>
    <row r="56" spans="1:21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Used'!I56</f>
        <v>7850728.0655590976</v>
      </c>
      <c r="E56">
        <f>'Monthly Data (14-23) Used'!AC56</f>
        <v>0.19999999999999929</v>
      </c>
      <c r="F56">
        <f>'Monthly Data (14-23) Used'!AH56</f>
        <v>287.10000000000008</v>
      </c>
      <c r="G56">
        <f>'Monthly Data (14-23) Used'!BC56</f>
        <v>794140</v>
      </c>
      <c r="H56">
        <f>'Monthly Data (14-23) Used'!CB56</f>
        <v>31</v>
      </c>
      <c r="I56">
        <f>'Monthly Data (14-23) Used'!CA56</f>
        <v>0</v>
      </c>
      <c r="J56">
        <f>'Monthly Data (14-23) Used'!CG56</f>
        <v>0</v>
      </c>
      <c r="L56" s="6">
        <f t="shared" si="26"/>
        <v>-3155056.29692131</v>
      </c>
      <c r="M56" s="6">
        <f t="shared" si="27"/>
        <v>342.10119487029482</v>
      </c>
      <c r="N56" s="6">
        <f t="shared" si="28"/>
        <v>2126715.3046023552</v>
      </c>
      <c r="O56" s="6">
        <f t="shared" si="29"/>
        <v>4742248.9754963191</v>
      </c>
      <c r="P56" s="6">
        <f t="shared" si="30"/>
        <v>3861595.9081566473</v>
      </c>
      <c r="Q56" s="6">
        <f t="shared" si="31"/>
        <v>0</v>
      </c>
      <c r="R56" s="6">
        <f t="shared" si="32"/>
        <v>0</v>
      </c>
      <c r="S56" s="6">
        <f t="shared" si="33"/>
        <v>7575845.9925288819</v>
      </c>
      <c r="T56" s="6">
        <f t="shared" si="24"/>
        <v>-274882.07303021569</v>
      </c>
      <c r="U56" s="14">
        <f t="shared" si="25"/>
        <v>3.5013577178416723E-2</v>
      </c>
    </row>
    <row r="57" spans="1:21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Used'!I57</f>
        <v>7800585.0655590976</v>
      </c>
      <c r="E57">
        <f>'Monthly Data (14-23) Used'!AC57</f>
        <v>0</v>
      </c>
      <c r="F57">
        <f>'Monthly Data (14-23) Used'!AH57</f>
        <v>283.79999999999995</v>
      </c>
      <c r="G57">
        <f>'Monthly Data (14-23) Used'!BC57</f>
        <v>794140</v>
      </c>
      <c r="H57">
        <f>'Monthly Data (14-23) Used'!CB57</f>
        <v>31</v>
      </c>
      <c r="I57">
        <f>'Monthly Data (14-23) Used'!CA57</f>
        <v>0</v>
      </c>
      <c r="J57">
        <f>'Monthly Data (14-23) Used'!CG57</f>
        <v>0</v>
      </c>
      <c r="L57" s="6">
        <f t="shared" si="26"/>
        <v>-3155056.29692131</v>
      </c>
      <c r="M57" s="6">
        <f t="shared" si="27"/>
        <v>0</v>
      </c>
      <c r="N57" s="6">
        <f t="shared" si="28"/>
        <v>2102270.3011011779</v>
      </c>
      <c r="O57" s="6">
        <f t="shared" si="29"/>
        <v>4742248.9754963191</v>
      </c>
      <c r="P57" s="6">
        <f t="shared" si="30"/>
        <v>3861595.9081566473</v>
      </c>
      <c r="Q57" s="6">
        <f t="shared" si="31"/>
        <v>0</v>
      </c>
      <c r="R57" s="6">
        <f t="shared" si="32"/>
        <v>0</v>
      </c>
      <c r="S57" s="6">
        <f t="shared" si="33"/>
        <v>7551058.8878328344</v>
      </c>
      <c r="T57" s="6">
        <f t="shared" si="24"/>
        <v>-249526.17772626318</v>
      </c>
      <c r="U57" s="14">
        <f t="shared" si="25"/>
        <v>3.1988136226853481E-2</v>
      </c>
    </row>
    <row r="58" spans="1:21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Used'!I58</f>
        <v>6842448.0655590976</v>
      </c>
      <c r="E58">
        <f>'Monthly Data (14-23) Used'!AC58</f>
        <v>41.400000000000006</v>
      </c>
      <c r="F58">
        <f>'Monthly Data (14-23) Used'!AH58</f>
        <v>171.29999999999995</v>
      </c>
      <c r="G58">
        <f>'Monthly Data (14-23) Used'!BC58</f>
        <v>794140</v>
      </c>
      <c r="H58">
        <f>'Monthly Data (14-23) Used'!CB58</f>
        <v>30</v>
      </c>
      <c r="I58">
        <f>'Monthly Data (14-23) Used'!CA58</f>
        <v>0</v>
      </c>
      <c r="J58">
        <f>'Monthly Data (14-23) Used'!CG58</f>
        <v>0</v>
      </c>
      <c r="L58" s="6">
        <f t="shared" si="26"/>
        <v>-3155056.29692131</v>
      </c>
      <c r="M58" s="6">
        <f t="shared" si="27"/>
        <v>70814.94733815128</v>
      </c>
      <c r="N58" s="6">
        <f t="shared" si="28"/>
        <v>1268917.9090156157</v>
      </c>
      <c r="O58" s="6">
        <f t="shared" si="29"/>
        <v>4742248.9754963191</v>
      </c>
      <c r="P58" s="6">
        <f t="shared" si="30"/>
        <v>3737028.2982161101</v>
      </c>
      <c r="Q58" s="6">
        <f t="shared" si="31"/>
        <v>0</v>
      </c>
      <c r="R58" s="6">
        <f t="shared" si="32"/>
        <v>0</v>
      </c>
      <c r="S58" s="6">
        <f t="shared" si="33"/>
        <v>6663953.8331448864</v>
      </c>
      <c r="T58" s="6">
        <f t="shared" si="24"/>
        <v>-178494.23241421115</v>
      </c>
      <c r="U58" s="14">
        <f t="shared" si="25"/>
        <v>2.608631161011616E-2</v>
      </c>
    </row>
    <row r="59" spans="1:21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Used'!I59</f>
        <v>5904622.0655590976</v>
      </c>
      <c r="E59">
        <f>'Monthly Data (14-23) Used'!AC59</f>
        <v>242.29999999999998</v>
      </c>
      <c r="F59">
        <f>'Monthly Data (14-23) Used'!AH59</f>
        <v>47.3</v>
      </c>
      <c r="G59">
        <f>'Monthly Data (14-23) Used'!BC59</f>
        <v>799632</v>
      </c>
      <c r="H59">
        <f>'Monthly Data (14-23) Used'!CB59</f>
        <v>31</v>
      </c>
      <c r="I59">
        <f>'Monthly Data (14-23) Used'!CA59</f>
        <v>1</v>
      </c>
      <c r="J59">
        <f>'Monthly Data (14-23) Used'!CG59</f>
        <v>0</v>
      </c>
      <c r="L59" s="6">
        <f t="shared" si="26"/>
        <v>-3155056.29692131</v>
      </c>
      <c r="M59" s="6">
        <f t="shared" si="27"/>
        <v>414455.5975853636</v>
      </c>
      <c r="N59" s="6">
        <f t="shared" si="28"/>
        <v>350378.38351686299</v>
      </c>
      <c r="O59" s="6">
        <f t="shared" si="29"/>
        <v>4775044.7437153049</v>
      </c>
      <c r="P59" s="6">
        <f t="shared" si="30"/>
        <v>3861595.9081566473</v>
      </c>
      <c r="Q59" s="6">
        <f t="shared" si="31"/>
        <v>-115215.035448868</v>
      </c>
      <c r="R59" s="6">
        <f t="shared" si="32"/>
        <v>0</v>
      </c>
      <c r="S59" s="6">
        <f t="shared" si="33"/>
        <v>6131203.3006040007</v>
      </c>
      <c r="T59" s="6">
        <f t="shared" si="24"/>
        <v>226581.23504490312</v>
      </c>
      <c r="U59" s="14">
        <f t="shared" si="25"/>
        <v>3.8373537294879953E-2</v>
      </c>
    </row>
    <row r="60" spans="1:21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Used'!I60</f>
        <v>6010558.0655590976</v>
      </c>
      <c r="E60">
        <f>'Monthly Data (14-23) Used'!AC60</f>
        <v>485.73552299140988</v>
      </c>
      <c r="F60">
        <f>'Monthly Data (14-23) Used'!AH60</f>
        <v>0</v>
      </c>
      <c r="G60">
        <f>'Monthly Data (14-23) Used'!BC60</f>
        <v>799632</v>
      </c>
      <c r="H60">
        <f>'Monthly Data (14-23) Used'!CB60</f>
        <v>30</v>
      </c>
      <c r="I60">
        <f>'Monthly Data (14-23) Used'!CA60</f>
        <v>1</v>
      </c>
      <c r="J60">
        <f>'Monthly Data (14-23) Used'!CG60</f>
        <v>0</v>
      </c>
      <c r="L60" s="6">
        <f t="shared" si="26"/>
        <v>-3155056.29692131</v>
      </c>
      <c r="M60" s="6">
        <f t="shared" si="27"/>
        <v>830853.51403154735</v>
      </c>
      <c r="N60" s="6">
        <f t="shared" si="28"/>
        <v>0</v>
      </c>
      <c r="O60" s="6">
        <f t="shared" si="29"/>
        <v>4775044.7437153049</v>
      </c>
      <c r="P60" s="6">
        <f t="shared" si="30"/>
        <v>3737028.2982161101</v>
      </c>
      <c r="Q60" s="6">
        <f t="shared" si="31"/>
        <v>-115215.035448868</v>
      </c>
      <c r="R60" s="6">
        <f t="shared" si="32"/>
        <v>0</v>
      </c>
      <c r="S60" s="6">
        <f t="shared" si="33"/>
        <v>6072655.2235927843</v>
      </c>
      <c r="T60" s="6">
        <f t="shared" si="24"/>
        <v>62097.15803368669</v>
      </c>
      <c r="U60" s="14">
        <f t="shared" si="25"/>
        <v>1.0331346500004316E-2</v>
      </c>
    </row>
    <row r="61" spans="1:21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Used'!I61</f>
        <v>6187164.0655590976</v>
      </c>
      <c r="E61">
        <f>'Monthly Data (14-23) Used'!AC61</f>
        <v>533.80000000000007</v>
      </c>
      <c r="F61">
        <f>'Monthly Data (14-23) Used'!AH61</f>
        <v>0</v>
      </c>
      <c r="G61">
        <f>'Monthly Data (14-23) Used'!BC61</f>
        <v>799632</v>
      </c>
      <c r="H61">
        <f>'Monthly Data (14-23) Used'!CB61</f>
        <v>31</v>
      </c>
      <c r="I61">
        <f>'Monthly Data (14-23) Used'!CA61</f>
        <v>0</v>
      </c>
      <c r="J61">
        <f>'Monthly Data (14-23) Used'!CG61</f>
        <v>0</v>
      </c>
      <c r="L61" s="6">
        <f t="shared" si="26"/>
        <v>-3155056.29692131</v>
      </c>
      <c r="M61" s="6">
        <f t="shared" si="27"/>
        <v>913068.08910882019</v>
      </c>
      <c r="N61" s="6">
        <f t="shared" si="28"/>
        <v>0</v>
      </c>
      <c r="O61" s="6">
        <f t="shared" si="29"/>
        <v>4775044.7437153049</v>
      </c>
      <c r="P61" s="6">
        <f t="shared" si="30"/>
        <v>3861595.9081566473</v>
      </c>
      <c r="Q61" s="6">
        <f t="shared" si="31"/>
        <v>0</v>
      </c>
      <c r="R61" s="6">
        <f t="shared" si="32"/>
        <v>0</v>
      </c>
      <c r="S61" s="6">
        <f t="shared" si="33"/>
        <v>6394652.4440594623</v>
      </c>
      <c r="T61" s="6">
        <f t="shared" si="24"/>
        <v>207488.37850036472</v>
      </c>
      <c r="U61" s="14">
        <f t="shared" si="25"/>
        <v>3.3535296026066384E-2</v>
      </c>
    </row>
    <row r="62" spans="1:21">
      <c r="A62" s="197">
        <v>43466</v>
      </c>
      <c r="B62">
        <f t="shared" ref="B62:B73" si="34">MONTH(A62)</f>
        <v>1</v>
      </c>
      <c r="C62">
        <f t="shared" ref="C62:C73" si="35">YEAR(A62)</f>
        <v>2019</v>
      </c>
      <c r="D62" s="6">
        <f>'Monthly Data (14-23) Used'!I62</f>
        <v>6704950.0149666099</v>
      </c>
      <c r="E62">
        <f>'Monthly Data (14-23) Used'!AC62</f>
        <v>711.8</v>
      </c>
      <c r="F62">
        <f>'Monthly Data (14-23) Used'!AH62</f>
        <v>0</v>
      </c>
      <c r="G62">
        <f>'Monthly Data (14-23) Used'!BC62</f>
        <v>800724</v>
      </c>
      <c r="H62">
        <f>'Monthly Data (14-23) Used'!CB62</f>
        <v>31</v>
      </c>
      <c r="I62">
        <f>'Monthly Data (14-23) Used'!CA62</f>
        <v>0</v>
      </c>
      <c r="J62">
        <f>'Monthly Data (14-23) Used'!CG62</f>
        <v>0</v>
      </c>
      <c r="L62" s="6">
        <f t="shared" si="26"/>
        <v>-3155056.29692131</v>
      </c>
      <c r="M62" s="6">
        <f t="shared" si="27"/>
        <v>1217538.1525433834</v>
      </c>
      <c r="N62" s="6">
        <f t="shared" si="28"/>
        <v>0</v>
      </c>
      <c r="O62" s="6">
        <f t="shared" si="29"/>
        <v>4781565.6794209015</v>
      </c>
      <c r="P62" s="6">
        <f t="shared" si="30"/>
        <v>3861595.9081566473</v>
      </c>
      <c r="Q62" s="6">
        <f t="shared" si="31"/>
        <v>0</v>
      </c>
      <c r="R62" s="6">
        <f t="shared" si="32"/>
        <v>0</v>
      </c>
      <c r="S62" s="6">
        <f t="shared" si="33"/>
        <v>6705643.4431996224</v>
      </c>
      <c r="T62" s="6">
        <f t="shared" si="24"/>
        <v>693.42823301255703</v>
      </c>
      <c r="U62" s="14">
        <f t="shared" si="25"/>
        <v>1.0342034339774422E-4</v>
      </c>
    </row>
    <row r="63" spans="1:21">
      <c r="A63" s="197">
        <v>43497</v>
      </c>
      <c r="B63">
        <f t="shared" si="34"/>
        <v>2</v>
      </c>
      <c r="C63">
        <f t="shared" si="35"/>
        <v>2019</v>
      </c>
      <c r="D63" s="6">
        <f>'Monthly Data (14-23) Used'!I63</f>
        <v>6155541.0149666099</v>
      </c>
      <c r="E63">
        <f>'Monthly Data (14-23) Used'!AC63</f>
        <v>580.90000000000009</v>
      </c>
      <c r="F63">
        <f>'Monthly Data (14-23) Used'!AH63</f>
        <v>0</v>
      </c>
      <c r="G63">
        <f>'Monthly Data (14-23) Used'!BC63</f>
        <v>800724</v>
      </c>
      <c r="H63">
        <f>'Monthly Data (14-23) Used'!CB63</f>
        <v>28</v>
      </c>
      <c r="I63">
        <f>'Monthly Data (14-23) Used'!CA63</f>
        <v>0</v>
      </c>
      <c r="J63">
        <f>'Monthly Data (14-23) Used'!CG63</f>
        <v>0</v>
      </c>
      <c r="L63" s="6">
        <f t="shared" si="26"/>
        <v>-3155056.29692131</v>
      </c>
      <c r="M63" s="6">
        <f t="shared" si="27"/>
        <v>993632.92050077487</v>
      </c>
      <c r="N63" s="6">
        <f t="shared" si="28"/>
        <v>0</v>
      </c>
      <c r="O63" s="6">
        <f t="shared" si="29"/>
        <v>4781565.6794209015</v>
      </c>
      <c r="P63" s="6">
        <f t="shared" si="30"/>
        <v>3487893.0783350361</v>
      </c>
      <c r="Q63" s="6">
        <f t="shared" si="31"/>
        <v>0</v>
      </c>
      <c r="R63" s="6">
        <f t="shared" si="32"/>
        <v>0</v>
      </c>
      <c r="S63" s="6">
        <f t="shared" si="33"/>
        <v>6108035.3813354019</v>
      </c>
      <c r="T63" s="6">
        <f t="shared" si="24"/>
        <v>-47505.63363120798</v>
      </c>
      <c r="U63" s="14">
        <f t="shared" si="25"/>
        <v>7.7175399393331259E-3</v>
      </c>
    </row>
    <row r="64" spans="1:21">
      <c r="A64" s="197">
        <v>43525</v>
      </c>
      <c r="B64">
        <f t="shared" si="34"/>
        <v>3</v>
      </c>
      <c r="C64">
        <f t="shared" si="35"/>
        <v>2019</v>
      </c>
      <c r="D64" s="6">
        <f>'Monthly Data (14-23) Used'!I64</f>
        <v>6397986.0149666099</v>
      </c>
      <c r="E64">
        <f>'Monthly Data (14-23) Used'!AC64</f>
        <v>549.4</v>
      </c>
      <c r="F64">
        <f>'Monthly Data (14-23) Used'!AH64</f>
        <v>0</v>
      </c>
      <c r="G64">
        <f>'Monthly Data (14-23) Used'!BC64</f>
        <v>800724</v>
      </c>
      <c r="H64">
        <f>'Monthly Data (14-23) Used'!CB64</f>
        <v>31</v>
      </c>
      <c r="I64">
        <f>'Monthly Data (14-23) Used'!CA64</f>
        <v>1</v>
      </c>
      <c r="J64">
        <f>'Monthly Data (14-23) Used'!CG64</f>
        <v>0</v>
      </c>
      <c r="L64" s="6">
        <f t="shared" si="26"/>
        <v>-3155056.29692131</v>
      </c>
      <c r="M64" s="6">
        <f t="shared" si="27"/>
        <v>939751.98230870313</v>
      </c>
      <c r="N64" s="6">
        <f t="shared" si="28"/>
        <v>0</v>
      </c>
      <c r="O64" s="6">
        <f t="shared" si="29"/>
        <v>4781565.6794209015</v>
      </c>
      <c r="P64" s="6">
        <f t="shared" si="30"/>
        <v>3861595.9081566473</v>
      </c>
      <c r="Q64" s="6">
        <f t="shared" si="31"/>
        <v>-115215.035448868</v>
      </c>
      <c r="R64" s="6">
        <f t="shared" si="32"/>
        <v>0</v>
      </c>
      <c r="S64" s="6">
        <f t="shared" si="33"/>
        <v>6312642.2375160735</v>
      </c>
      <c r="T64" s="6">
        <f t="shared" si="24"/>
        <v>-85343.777450536378</v>
      </c>
      <c r="U64" s="14">
        <f t="shared" si="25"/>
        <v>1.3339162863265773E-2</v>
      </c>
    </row>
    <row r="65" spans="1:21">
      <c r="A65" s="197">
        <v>43556</v>
      </c>
      <c r="B65">
        <f t="shared" si="34"/>
        <v>4</v>
      </c>
      <c r="C65">
        <f t="shared" si="35"/>
        <v>2019</v>
      </c>
      <c r="D65" s="6">
        <f>'Monthly Data (14-23) Used'!I65</f>
        <v>5860082.0149666099</v>
      </c>
      <c r="E65">
        <f>'Monthly Data (14-23) Used'!AC65</f>
        <v>278.40000000000003</v>
      </c>
      <c r="F65">
        <f>'Monthly Data (14-23) Used'!AH65</f>
        <v>3.8999999999999986</v>
      </c>
      <c r="G65">
        <f>'Monthly Data (14-23) Used'!BC65</f>
        <v>806630</v>
      </c>
      <c r="H65">
        <f>'Monthly Data (14-23) Used'!CB65</f>
        <v>30</v>
      </c>
      <c r="I65">
        <f>'Monthly Data (14-23) Used'!CA65</f>
        <v>1</v>
      </c>
      <c r="J65">
        <f>'Monthly Data (14-23) Used'!CG65</f>
        <v>0</v>
      </c>
      <c r="L65" s="6">
        <f t="shared" si="26"/>
        <v>-3155056.29692131</v>
      </c>
      <c r="M65" s="6">
        <f t="shared" si="27"/>
        <v>476204.8632594521</v>
      </c>
      <c r="N65" s="6">
        <f t="shared" si="28"/>
        <v>28889.549592299478</v>
      </c>
      <c r="O65" s="6">
        <f t="shared" si="29"/>
        <v>4816833.6705172835</v>
      </c>
      <c r="P65" s="6">
        <f t="shared" si="30"/>
        <v>3737028.2982161101</v>
      </c>
      <c r="Q65" s="6">
        <f t="shared" si="31"/>
        <v>-115215.035448868</v>
      </c>
      <c r="R65" s="6">
        <f t="shared" si="32"/>
        <v>0</v>
      </c>
      <c r="S65" s="6">
        <f t="shared" si="33"/>
        <v>5788685.0492149666</v>
      </c>
      <c r="T65" s="6">
        <f t="shared" si="24"/>
        <v>-71396.965751643293</v>
      </c>
      <c r="U65" s="14">
        <f t="shared" si="25"/>
        <v>1.2183612032953792E-2</v>
      </c>
    </row>
    <row r="66" spans="1:21">
      <c r="A66" s="197">
        <v>43586</v>
      </c>
      <c r="B66">
        <f t="shared" si="34"/>
        <v>5</v>
      </c>
      <c r="C66">
        <f t="shared" si="35"/>
        <v>2019</v>
      </c>
      <c r="D66" s="6">
        <f>'Monthly Data (14-23) Used'!I66</f>
        <v>6045338.0149666099</v>
      </c>
      <c r="E66">
        <f>'Monthly Data (14-23) Used'!AC66</f>
        <v>139.50000000000006</v>
      </c>
      <c r="F66">
        <f>'Monthly Data (14-23) Used'!AH66</f>
        <v>47.5</v>
      </c>
      <c r="G66">
        <f>'Monthly Data (14-23) Used'!BC66</f>
        <v>806630</v>
      </c>
      <c r="H66">
        <f>'Monthly Data (14-23) Used'!CB66</f>
        <v>31</v>
      </c>
      <c r="I66">
        <f>'Monthly Data (14-23) Used'!CA66</f>
        <v>1</v>
      </c>
      <c r="J66">
        <f>'Monthly Data (14-23) Used'!CG66</f>
        <v>0</v>
      </c>
      <c r="L66" s="6">
        <f t="shared" si="26"/>
        <v>-3155056.29692131</v>
      </c>
      <c r="M66" s="6">
        <f t="shared" si="27"/>
        <v>238615.58342203157</v>
      </c>
      <c r="N66" s="6">
        <f t="shared" si="28"/>
        <v>351859.89888057072</v>
      </c>
      <c r="O66" s="6">
        <f t="shared" si="29"/>
        <v>4816833.6705172835</v>
      </c>
      <c r="P66" s="6">
        <f t="shared" si="30"/>
        <v>3861595.9081566473</v>
      </c>
      <c r="Q66" s="6">
        <f t="shared" si="31"/>
        <v>-115215.035448868</v>
      </c>
      <c r="R66" s="6">
        <f t="shared" si="32"/>
        <v>0</v>
      </c>
      <c r="S66" s="6">
        <f t="shared" si="33"/>
        <v>5998633.7286063554</v>
      </c>
      <c r="T66" s="6">
        <f t="shared" si="24"/>
        <v>-46704.286360254511</v>
      </c>
      <c r="U66" s="14">
        <f t="shared" si="25"/>
        <v>7.7256699699218513E-3</v>
      </c>
    </row>
    <row r="67" spans="1:21">
      <c r="A67" s="197">
        <v>43617</v>
      </c>
      <c r="B67">
        <f t="shared" si="34"/>
        <v>6</v>
      </c>
      <c r="C67">
        <f t="shared" si="35"/>
        <v>2019</v>
      </c>
      <c r="D67" s="6">
        <f>'Monthly Data (14-23) Used'!I67</f>
        <v>6608458.0149666099</v>
      </c>
      <c r="E67">
        <f>'Monthly Data (14-23) Used'!AC67</f>
        <v>23.9</v>
      </c>
      <c r="F67">
        <f>'Monthly Data (14-23) Used'!AH67</f>
        <v>157.4</v>
      </c>
      <c r="G67">
        <f>'Monthly Data (14-23) Used'!BC67</f>
        <v>806630</v>
      </c>
      <c r="H67">
        <f>'Monthly Data (14-23) Used'!CB67</f>
        <v>30</v>
      </c>
      <c r="I67">
        <f>'Monthly Data (14-23) Used'!CA67</f>
        <v>0</v>
      </c>
      <c r="J67">
        <f>'Monthly Data (14-23) Used'!CG67</f>
        <v>0</v>
      </c>
      <c r="L67" s="6">
        <f t="shared" si="26"/>
        <v>-3155056.29692131</v>
      </c>
      <c r="M67" s="6">
        <f t="shared" si="27"/>
        <v>40881.092787000372</v>
      </c>
      <c r="N67" s="6">
        <f t="shared" si="28"/>
        <v>1165952.5912379331</v>
      </c>
      <c r="O67" s="6">
        <f t="shared" si="29"/>
        <v>4816833.6705172835</v>
      </c>
      <c r="P67" s="6">
        <f t="shared" si="30"/>
        <v>3737028.2982161101</v>
      </c>
      <c r="Q67" s="6">
        <f t="shared" si="31"/>
        <v>0</v>
      </c>
      <c r="R67" s="6">
        <f t="shared" si="32"/>
        <v>0</v>
      </c>
      <c r="S67" s="6">
        <f t="shared" si="33"/>
        <v>6605639.3558370173</v>
      </c>
      <c r="T67" s="6">
        <f t="shared" si="24"/>
        <v>-2818.65912959259</v>
      </c>
      <c r="U67" s="14">
        <f t="shared" si="25"/>
        <v>4.2652296847600261E-4</v>
      </c>
    </row>
    <row r="68" spans="1:21">
      <c r="A68" s="197">
        <v>43647</v>
      </c>
      <c r="B68">
        <f t="shared" si="34"/>
        <v>7</v>
      </c>
      <c r="C68">
        <f t="shared" si="35"/>
        <v>2019</v>
      </c>
      <c r="D68" s="6">
        <f>'Monthly Data (14-23) Used'!I68</f>
        <v>7890313.0149666099</v>
      </c>
      <c r="E68">
        <f>'Monthly Data (14-23) Used'!AC68</f>
        <v>0</v>
      </c>
      <c r="F68">
        <f>'Monthly Data (14-23) Used'!AH68</f>
        <v>314.46447700859017</v>
      </c>
      <c r="G68">
        <f>'Monthly Data (14-23) Used'!BC68</f>
        <v>810347</v>
      </c>
      <c r="H68">
        <f>'Monthly Data (14-23) Used'!CB68</f>
        <v>31</v>
      </c>
      <c r="I68">
        <f>'Monthly Data (14-23) Used'!CA68</f>
        <v>0</v>
      </c>
      <c r="J68">
        <f>'Monthly Data (14-23) Used'!CG68</f>
        <v>0</v>
      </c>
      <c r="L68" s="6">
        <f t="shared" si="26"/>
        <v>-3155056.29692131</v>
      </c>
      <c r="M68" s="6">
        <f t="shared" si="27"/>
        <v>0</v>
      </c>
      <c r="N68" s="6">
        <f t="shared" si="28"/>
        <v>2329419.770142612</v>
      </c>
      <c r="O68" s="6">
        <f t="shared" si="29"/>
        <v>4839029.9324382544</v>
      </c>
      <c r="P68" s="6">
        <f t="shared" si="30"/>
        <v>3861595.9081566473</v>
      </c>
      <c r="Q68" s="6">
        <f t="shared" si="31"/>
        <v>0</v>
      </c>
      <c r="R68" s="6">
        <f t="shared" si="32"/>
        <v>0</v>
      </c>
      <c r="S68" s="6">
        <f t="shared" si="33"/>
        <v>7874989.3138162037</v>
      </c>
      <c r="T68" s="6">
        <f t="shared" si="24"/>
        <v>-15323.701150406152</v>
      </c>
      <c r="U68" s="14">
        <f t="shared" si="25"/>
        <v>1.9420903988649934E-3</v>
      </c>
    </row>
    <row r="69" spans="1:21">
      <c r="A69" s="197">
        <v>43678</v>
      </c>
      <c r="B69">
        <f t="shared" si="34"/>
        <v>8</v>
      </c>
      <c r="C69">
        <f t="shared" si="35"/>
        <v>2019</v>
      </c>
      <c r="D69" s="6">
        <f>'Monthly Data (14-23) Used'!I69</f>
        <v>7517234.0149666099</v>
      </c>
      <c r="E69">
        <f>'Monthly Data (14-23) Used'!AC69</f>
        <v>0.39999999999999858</v>
      </c>
      <c r="F69">
        <f>'Monthly Data (14-23) Used'!AH69</f>
        <v>247.96447700859014</v>
      </c>
      <c r="G69">
        <f>'Monthly Data (14-23) Used'!BC69</f>
        <v>810347</v>
      </c>
      <c r="H69">
        <f>'Monthly Data (14-23) Used'!CB69</f>
        <v>31</v>
      </c>
      <c r="I69">
        <f>'Monthly Data (14-23) Used'!CA69</f>
        <v>0</v>
      </c>
      <c r="J69">
        <f>'Monthly Data (14-23) Used'!CG69</f>
        <v>0</v>
      </c>
      <c r="L69" s="6">
        <f t="shared" si="26"/>
        <v>-3155056.29692131</v>
      </c>
      <c r="M69" s="6">
        <f t="shared" si="27"/>
        <v>684.20238974058964</v>
      </c>
      <c r="N69" s="6">
        <f t="shared" si="28"/>
        <v>1836815.9117098132</v>
      </c>
      <c r="O69" s="6">
        <f t="shared" si="29"/>
        <v>4839029.9324382544</v>
      </c>
      <c r="P69" s="6">
        <f t="shared" si="30"/>
        <v>3861595.9081566473</v>
      </c>
      <c r="Q69" s="6">
        <f t="shared" si="31"/>
        <v>0</v>
      </c>
      <c r="R69" s="6">
        <f t="shared" si="32"/>
        <v>0</v>
      </c>
      <c r="S69" s="6">
        <f t="shared" si="33"/>
        <v>7383069.6577731455</v>
      </c>
      <c r="T69" s="6">
        <f t="shared" si="24"/>
        <v>-134164.35719346441</v>
      </c>
      <c r="U69" s="14">
        <f t="shared" si="25"/>
        <v>1.7847569588274995E-2</v>
      </c>
    </row>
    <row r="70" spans="1:21">
      <c r="A70" s="197">
        <v>43709</v>
      </c>
      <c r="B70">
        <f t="shared" si="34"/>
        <v>9</v>
      </c>
      <c r="C70">
        <f t="shared" si="35"/>
        <v>2019</v>
      </c>
      <c r="D70" s="6">
        <f>'Monthly Data (14-23) Used'!I70</f>
        <v>6658916.0149666099</v>
      </c>
      <c r="E70">
        <f>'Monthly Data (14-23) Used'!AC70</f>
        <v>14.699999999999998</v>
      </c>
      <c r="F70">
        <f>'Monthly Data (14-23) Used'!AH70</f>
        <v>156.19999999999999</v>
      </c>
      <c r="G70">
        <f>'Monthly Data (14-23) Used'!BC70</f>
        <v>810347</v>
      </c>
      <c r="H70">
        <f>'Monthly Data (14-23) Used'!CB70</f>
        <v>30</v>
      </c>
      <c r="I70">
        <f>'Monthly Data (14-23) Used'!CA70</f>
        <v>0</v>
      </c>
      <c r="J70">
        <f>'Monthly Data (14-23) Used'!CG70</f>
        <v>0</v>
      </c>
      <c r="L70" s="6">
        <f t="shared" si="26"/>
        <v>-3155056.29692131</v>
      </c>
      <c r="M70" s="6">
        <f t="shared" si="27"/>
        <v>25144.437822966753</v>
      </c>
      <c r="N70" s="6">
        <f t="shared" si="28"/>
        <v>1157063.4990556871</v>
      </c>
      <c r="O70" s="6">
        <f t="shared" si="29"/>
        <v>4839029.9324382544</v>
      </c>
      <c r="P70" s="6">
        <f t="shared" si="30"/>
        <v>3737028.2982161101</v>
      </c>
      <c r="Q70" s="6">
        <f t="shared" si="31"/>
        <v>0</v>
      </c>
      <c r="R70" s="6">
        <f t="shared" si="32"/>
        <v>0</v>
      </c>
      <c r="S70" s="6">
        <f t="shared" si="33"/>
        <v>6603209.8706117086</v>
      </c>
      <c r="T70" s="6">
        <f t="shared" si="24"/>
        <v>-55706.144354901277</v>
      </c>
      <c r="U70" s="14">
        <f t="shared" si="25"/>
        <v>8.3656475362800624E-3</v>
      </c>
    </row>
    <row r="71" spans="1:21">
      <c r="A71" s="197">
        <v>43739</v>
      </c>
      <c r="B71">
        <f t="shared" si="34"/>
        <v>10</v>
      </c>
      <c r="C71">
        <f t="shared" si="35"/>
        <v>2019</v>
      </c>
      <c r="D71" s="6">
        <f>'Monthly Data (14-23) Used'!I71</f>
        <v>6052514.0149666099</v>
      </c>
      <c r="E71">
        <f>'Monthly Data (14-23) Used'!AC71</f>
        <v>204.10000000000002</v>
      </c>
      <c r="F71">
        <f>'Monthly Data (14-23) Used'!AH71</f>
        <v>23.799999999999997</v>
      </c>
      <c r="G71">
        <f>'Monthly Data (14-23) Used'!BC71</f>
        <v>811397</v>
      </c>
      <c r="H71">
        <f>'Monthly Data (14-23) Used'!CB71</f>
        <v>31</v>
      </c>
      <c r="I71">
        <f>'Monthly Data (14-23) Used'!CA71</f>
        <v>1</v>
      </c>
      <c r="J71">
        <f>'Monthly Data (14-23) Used'!CG71</f>
        <v>0</v>
      </c>
      <c r="L71" s="6">
        <f t="shared" si="26"/>
        <v>-3155056.29692131</v>
      </c>
      <c r="M71" s="6">
        <f t="shared" si="27"/>
        <v>349114.26936513709</v>
      </c>
      <c r="N71" s="6">
        <f t="shared" si="28"/>
        <v>176300.32828121225</v>
      </c>
      <c r="O71" s="6">
        <f t="shared" si="29"/>
        <v>4845300.0629244046</v>
      </c>
      <c r="P71" s="6">
        <f t="shared" si="30"/>
        <v>3861595.9081566473</v>
      </c>
      <c r="Q71" s="6">
        <f t="shared" si="31"/>
        <v>-115215.035448868</v>
      </c>
      <c r="R71" s="6">
        <f t="shared" si="32"/>
        <v>0</v>
      </c>
      <c r="S71" s="6">
        <f t="shared" si="33"/>
        <v>5962039.2363572232</v>
      </c>
      <c r="T71" s="6">
        <f t="shared" si="24"/>
        <v>-90474.778609386645</v>
      </c>
      <c r="U71" s="14">
        <f t="shared" si="25"/>
        <v>1.4948297250640199E-2</v>
      </c>
    </row>
    <row r="72" spans="1:21">
      <c r="A72" s="197">
        <v>43770</v>
      </c>
      <c r="B72">
        <f t="shared" si="34"/>
        <v>11</v>
      </c>
      <c r="C72">
        <f t="shared" si="35"/>
        <v>2019</v>
      </c>
      <c r="D72" s="6">
        <f>'Monthly Data (14-23) Used'!I72</f>
        <v>6307866.0149666099</v>
      </c>
      <c r="E72">
        <f>'Monthly Data (14-23) Used'!AC72</f>
        <v>495.19999999999993</v>
      </c>
      <c r="F72">
        <f>'Monthly Data (14-23) Used'!AH72</f>
        <v>0</v>
      </c>
      <c r="G72">
        <f>'Monthly Data (14-23) Used'!BC72</f>
        <v>811397</v>
      </c>
      <c r="H72">
        <f>'Monthly Data (14-23) Used'!CB72</f>
        <v>30</v>
      </c>
      <c r="I72">
        <f>'Monthly Data (14-23) Used'!CA72</f>
        <v>1</v>
      </c>
      <c r="J72">
        <f>'Monthly Data (14-23) Used'!CG72</f>
        <v>0</v>
      </c>
      <c r="L72" s="6">
        <f t="shared" si="26"/>
        <v>-3155056.29692131</v>
      </c>
      <c r="M72" s="6">
        <f t="shared" si="27"/>
        <v>847042.55849885277</v>
      </c>
      <c r="N72" s="6">
        <f t="shared" si="28"/>
        <v>0</v>
      </c>
      <c r="O72" s="6">
        <f t="shared" si="29"/>
        <v>4845300.0629244046</v>
      </c>
      <c r="P72" s="6">
        <f t="shared" si="30"/>
        <v>3737028.2982161101</v>
      </c>
      <c r="Q72" s="6">
        <f t="shared" si="31"/>
        <v>-115215.035448868</v>
      </c>
      <c r="R72" s="6">
        <f t="shared" si="32"/>
        <v>0</v>
      </c>
      <c r="S72" s="6">
        <f t="shared" si="33"/>
        <v>6159099.5872691898</v>
      </c>
      <c r="T72" s="6">
        <f t="shared" si="24"/>
        <v>-148766.42769742012</v>
      </c>
      <c r="U72" s="14">
        <f t="shared" si="25"/>
        <v>2.3584271977946825E-2</v>
      </c>
    </row>
    <row r="73" spans="1:21">
      <c r="A73" s="197">
        <v>43800</v>
      </c>
      <c r="B73">
        <f t="shared" si="34"/>
        <v>12</v>
      </c>
      <c r="C73">
        <f t="shared" si="35"/>
        <v>2019</v>
      </c>
      <c r="D73" s="6">
        <f>'Monthly Data (14-23) Used'!I73</f>
        <v>6513521.0149666099</v>
      </c>
      <c r="E73">
        <f>'Monthly Data (14-23) Used'!AC73</f>
        <v>527.90000000000009</v>
      </c>
      <c r="F73">
        <f>'Monthly Data (14-23) Used'!AH73</f>
        <v>0</v>
      </c>
      <c r="G73">
        <f>'Monthly Data (14-23) Used'!BC73</f>
        <v>811397</v>
      </c>
      <c r="H73">
        <f>'Monthly Data (14-23) Used'!CB73</f>
        <v>31</v>
      </c>
      <c r="I73">
        <f>'Monthly Data (14-23) Used'!CA73</f>
        <v>0</v>
      </c>
      <c r="J73">
        <f>'Monthly Data (14-23) Used'!CG73</f>
        <v>0</v>
      </c>
      <c r="L73" s="6">
        <f t="shared" si="26"/>
        <v>-3155056.29692131</v>
      </c>
      <c r="M73" s="6">
        <f t="shared" si="27"/>
        <v>902976.10386014648</v>
      </c>
      <c r="N73" s="6">
        <f t="shared" si="28"/>
        <v>0</v>
      </c>
      <c r="O73" s="6">
        <f t="shared" si="29"/>
        <v>4845300.0629244046</v>
      </c>
      <c r="P73" s="6">
        <f t="shared" si="30"/>
        <v>3861595.9081566473</v>
      </c>
      <c r="Q73" s="6">
        <f t="shared" si="31"/>
        <v>0</v>
      </c>
      <c r="R73" s="6">
        <f t="shared" si="32"/>
        <v>0</v>
      </c>
      <c r="S73" s="6">
        <f t="shared" si="33"/>
        <v>6454815.7780198883</v>
      </c>
      <c r="T73" s="6">
        <f t="shared" si="24"/>
        <v>-58705.236946721561</v>
      </c>
      <c r="U73" s="14">
        <f t="shared" si="25"/>
        <v>9.0128268277372709E-3</v>
      </c>
    </row>
    <row r="74" spans="1:21">
      <c r="A74" s="197">
        <v>43831</v>
      </c>
      <c r="B74">
        <f t="shared" ref="B74:B97" si="36">MONTH(A74)</f>
        <v>1</v>
      </c>
      <c r="C74">
        <f t="shared" ref="C74:C97" si="37">YEAR(A74)</f>
        <v>2020</v>
      </c>
      <c r="D74" s="6">
        <f>'Monthly Data (14-23) Used'!I74</f>
        <v>6672503.2109814025</v>
      </c>
      <c r="E74">
        <f>'Monthly Data (14-23) Used'!AC74</f>
        <v>561.20000000000016</v>
      </c>
      <c r="F74">
        <f>'Monthly Data (14-23) Used'!AH74</f>
        <v>0</v>
      </c>
      <c r="G74">
        <f>'Monthly Data (14-23) Used'!BC74</f>
        <v>800126</v>
      </c>
      <c r="H74">
        <f>'Monthly Data (14-23) Used'!CB74</f>
        <v>31</v>
      </c>
      <c r="I74">
        <f>'Monthly Data (14-23) Used'!CA74</f>
        <v>0</v>
      </c>
      <c r="J74">
        <f>'Monthly Data (14-23) Used'!CG74</f>
        <v>0</v>
      </c>
      <c r="L74" s="6">
        <f t="shared" si="26"/>
        <v>-3155056.29692131</v>
      </c>
      <c r="M74" s="6">
        <f t="shared" si="27"/>
        <v>959935.95280605089</v>
      </c>
      <c r="N74" s="6">
        <f t="shared" si="28"/>
        <v>0</v>
      </c>
      <c r="O74" s="6">
        <f t="shared" si="29"/>
        <v>4777994.6908202181</v>
      </c>
      <c r="P74" s="6">
        <f t="shared" si="30"/>
        <v>3861595.9081566473</v>
      </c>
      <c r="Q74" s="6">
        <f t="shared" si="31"/>
        <v>0</v>
      </c>
      <c r="R74" s="6">
        <f t="shared" si="32"/>
        <v>0</v>
      </c>
      <c r="S74" s="6">
        <f t="shared" si="33"/>
        <v>6444470.2548616063</v>
      </c>
      <c r="T74" s="6">
        <f t="shared" si="24"/>
        <v>-228032.95611979626</v>
      </c>
      <c r="U74" s="14">
        <f t="shared" si="25"/>
        <v>3.4175023811829207E-2</v>
      </c>
    </row>
    <row r="75" spans="1:21">
      <c r="A75" s="197">
        <v>43862</v>
      </c>
      <c r="B75">
        <f t="shared" si="36"/>
        <v>2</v>
      </c>
      <c r="C75">
        <f t="shared" si="37"/>
        <v>2020</v>
      </c>
      <c r="D75" s="6">
        <f>'Monthly Data (14-23) Used'!I75</f>
        <v>6362184.2109814025</v>
      </c>
      <c r="E75">
        <f>'Monthly Data (14-23) Used'!AC75</f>
        <v>569.29999999999984</v>
      </c>
      <c r="F75">
        <f>'Monthly Data (14-23) Used'!AH75</f>
        <v>0</v>
      </c>
      <c r="G75">
        <f>'Monthly Data (14-23) Used'!BC75</f>
        <v>800126</v>
      </c>
      <c r="H75">
        <f>'Monthly Data (14-23) Used'!CB75</f>
        <v>29</v>
      </c>
      <c r="I75">
        <f>'Monthly Data (14-23) Used'!CA75</f>
        <v>0</v>
      </c>
      <c r="J75">
        <f>'Monthly Data (14-23) Used'!CG75</f>
        <v>0</v>
      </c>
      <c r="L75" s="6">
        <f t="shared" si="26"/>
        <v>-3155056.29692131</v>
      </c>
      <c r="M75" s="6">
        <f t="shared" si="27"/>
        <v>973791.0511982973</v>
      </c>
      <c r="N75" s="6">
        <f t="shared" si="28"/>
        <v>0</v>
      </c>
      <c r="O75" s="6">
        <f t="shared" si="29"/>
        <v>4777994.6908202181</v>
      </c>
      <c r="P75" s="6">
        <f t="shared" si="30"/>
        <v>3612460.6882755733</v>
      </c>
      <c r="Q75" s="6">
        <f t="shared" si="31"/>
        <v>0</v>
      </c>
      <c r="R75" s="6">
        <f t="shared" si="32"/>
        <v>0</v>
      </c>
      <c r="S75" s="6">
        <f t="shared" si="33"/>
        <v>6209190.1333727781</v>
      </c>
      <c r="T75" s="6">
        <f t="shared" si="24"/>
        <v>-152994.07760862447</v>
      </c>
      <c r="U75" s="14">
        <f t="shared" si="25"/>
        <v>2.4047413991023732E-2</v>
      </c>
    </row>
    <row r="76" spans="1:21">
      <c r="A76" s="197">
        <v>43891</v>
      </c>
      <c r="B76">
        <f t="shared" si="36"/>
        <v>3</v>
      </c>
      <c r="C76">
        <f t="shared" si="37"/>
        <v>2020</v>
      </c>
      <c r="D76" s="6">
        <f>'Monthly Data (14-23) Used'!I76</f>
        <v>6097155.2109814025</v>
      </c>
      <c r="E76">
        <f>'Monthly Data (14-23) Used'!AC76</f>
        <v>422.2</v>
      </c>
      <c r="F76">
        <f>'Monthly Data (14-23) Used'!AH76</f>
        <v>0</v>
      </c>
      <c r="G76">
        <f>'Monthly Data (14-23) Used'!BC76</f>
        <v>800126</v>
      </c>
      <c r="H76">
        <f>'Monthly Data (14-23) Used'!CB76</f>
        <v>31</v>
      </c>
      <c r="I76">
        <f>'Monthly Data (14-23) Used'!CA76</f>
        <v>1</v>
      </c>
      <c r="J76">
        <f>'Monthly Data (14-23) Used'!CG76</f>
        <v>0.5</v>
      </c>
      <c r="L76" s="6">
        <f t="shared" si="26"/>
        <v>-3155056.29692131</v>
      </c>
      <c r="M76" s="6">
        <f t="shared" si="27"/>
        <v>722175.62237119488</v>
      </c>
      <c r="N76" s="6">
        <f t="shared" si="28"/>
        <v>0</v>
      </c>
      <c r="O76" s="6">
        <f t="shared" si="29"/>
        <v>4777994.6908202181</v>
      </c>
      <c r="P76" s="6">
        <f t="shared" si="30"/>
        <v>3861595.9081566473</v>
      </c>
      <c r="Q76" s="6">
        <f t="shared" si="31"/>
        <v>-115215.035448868</v>
      </c>
      <c r="R76" s="6">
        <f t="shared" si="32"/>
        <v>0</v>
      </c>
      <c r="S76" s="6">
        <f t="shared" si="33"/>
        <v>6091494.8889778825</v>
      </c>
      <c r="T76" s="6">
        <f t="shared" si="24"/>
        <v>-5660.3220035200939</v>
      </c>
      <c r="U76" s="14">
        <f t="shared" si="25"/>
        <v>9.2835458630370084E-4</v>
      </c>
    </row>
    <row r="77" spans="1:21">
      <c r="A77" s="197">
        <v>43922</v>
      </c>
      <c r="B77">
        <f t="shared" si="36"/>
        <v>4</v>
      </c>
      <c r="C77">
        <f t="shared" si="37"/>
        <v>2020</v>
      </c>
      <c r="D77" s="6">
        <f>'Monthly Data (14-23) Used'!I77</f>
        <v>5171692.2109814025</v>
      </c>
      <c r="E77">
        <f>'Monthly Data (14-23) Used'!AC77</f>
        <v>336.5</v>
      </c>
      <c r="F77">
        <f>'Monthly Data (14-23) Used'!AH77</f>
        <v>2.7000000000000011</v>
      </c>
      <c r="G77">
        <f>'Monthly Data (14-23) Used'!BC77</f>
        <v>706539</v>
      </c>
      <c r="H77">
        <f>'Monthly Data (14-23) Used'!CB77</f>
        <v>30</v>
      </c>
      <c r="I77">
        <f>'Monthly Data (14-23) Used'!CA77</f>
        <v>1</v>
      </c>
      <c r="J77">
        <f>'Monthly Data (14-23) Used'!CG77</f>
        <v>1</v>
      </c>
      <c r="L77" s="6">
        <f t="shared" si="26"/>
        <v>-3155056.29692131</v>
      </c>
      <c r="M77" s="6">
        <f t="shared" si="27"/>
        <v>575585.26036927302</v>
      </c>
      <c r="N77" s="6">
        <f t="shared" si="28"/>
        <v>20000.457410053499</v>
      </c>
      <c r="O77" s="6">
        <f t="shared" si="29"/>
        <v>4219134.974813249</v>
      </c>
      <c r="P77" s="6">
        <f t="shared" si="30"/>
        <v>3737028.2982161101</v>
      </c>
      <c r="Q77" s="6">
        <f t="shared" si="31"/>
        <v>-115215.035448868</v>
      </c>
      <c r="R77" s="6">
        <f t="shared" si="32"/>
        <v>0</v>
      </c>
      <c r="S77" s="6">
        <f t="shared" si="33"/>
        <v>5281477.6584385075</v>
      </c>
      <c r="T77" s="6">
        <f t="shared" si="24"/>
        <v>109785.44745710492</v>
      </c>
      <c r="U77" s="14">
        <f t="shared" si="25"/>
        <v>2.1228147959770322E-2</v>
      </c>
    </row>
    <row r="78" spans="1:21">
      <c r="A78" s="197">
        <v>43952</v>
      </c>
      <c r="B78">
        <f t="shared" si="36"/>
        <v>5</v>
      </c>
      <c r="C78">
        <f t="shared" si="37"/>
        <v>2020</v>
      </c>
      <c r="D78" s="6">
        <f>'Monthly Data (14-23) Used'!I78</f>
        <v>5319220.2109814025</v>
      </c>
      <c r="E78">
        <f>'Monthly Data (14-23) Used'!AC78</f>
        <v>160.50000000000003</v>
      </c>
      <c r="F78">
        <f>'Monthly Data (14-23) Used'!AH78</f>
        <v>69.8</v>
      </c>
      <c r="G78">
        <f>'Monthly Data (14-23) Used'!BC78</f>
        <v>706539</v>
      </c>
      <c r="H78">
        <f>'Monthly Data (14-23) Used'!CB78</f>
        <v>31</v>
      </c>
      <c r="I78">
        <f>'Monthly Data (14-23) Used'!CA78</f>
        <v>1</v>
      </c>
      <c r="J78">
        <f>'Monthly Data (14-23) Used'!CG78</f>
        <v>1</v>
      </c>
      <c r="L78" s="6">
        <f t="shared" si="26"/>
        <v>-3155056.29692131</v>
      </c>
      <c r="M78" s="6">
        <f t="shared" si="27"/>
        <v>274536.20888341259</v>
      </c>
      <c r="N78" s="6">
        <f t="shared" si="28"/>
        <v>517048.86193397542</v>
      </c>
      <c r="O78" s="6">
        <f t="shared" si="29"/>
        <v>4219134.974813249</v>
      </c>
      <c r="P78" s="6">
        <f t="shared" si="30"/>
        <v>3861595.9081566473</v>
      </c>
      <c r="Q78" s="6">
        <f t="shared" si="31"/>
        <v>-115215.035448868</v>
      </c>
      <c r="R78" s="6">
        <f t="shared" si="32"/>
        <v>0</v>
      </c>
      <c r="S78" s="6">
        <f t="shared" si="33"/>
        <v>5602044.6214171071</v>
      </c>
      <c r="T78" s="6">
        <f t="shared" si="24"/>
        <v>282824.41043570451</v>
      </c>
      <c r="U78" s="14">
        <f t="shared" si="25"/>
        <v>5.3170276698043126E-2</v>
      </c>
    </row>
    <row r="79" spans="1:21">
      <c r="A79" s="197">
        <v>43983</v>
      </c>
      <c r="B79">
        <f t="shared" si="36"/>
        <v>6</v>
      </c>
      <c r="C79">
        <f t="shared" si="37"/>
        <v>2020</v>
      </c>
      <c r="D79" s="6">
        <f>'Monthly Data (14-23) Used'!I79</f>
        <v>6239078.2109814025</v>
      </c>
      <c r="E79">
        <f>'Monthly Data (14-23) Used'!AC79</f>
        <v>10.799999999999999</v>
      </c>
      <c r="F79">
        <f>'Monthly Data (14-23) Used'!AH79</f>
        <v>220.5</v>
      </c>
      <c r="G79">
        <f>'Monthly Data (14-23) Used'!BC79</f>
        <v>706539</v>
      </c>
      <c r="H79">
        <f>'Monthly Data (14-23) Used'!CB79</f>
        <v>30</v>
      </c>
      <c r="I79">
        <f>'Monthly Data (14-23) Used'!CA79</f>
        <v>0</v>
      </c>
      <c r="J79">
        <f>'Monthly Data (14-23) Used'!CG79</f>
        <v>0.5</v>
      </c>
      <c r="L79" s="6">
        <f t="shared" si="26"/>
        <v>-3155056.29692131</v>
      </c>
      <c r="M79" s="6">
        <f t="shared" si="27"/>
        <v>18473.464522995982</v>
      </c>
      <c r="N79" s="6">
        <f t="shared" si="28"/>
        <v>1633370.6884877018</v>
      </c>
      <c r="O79" s="6">
        <f t="shared" si="29"/>
        <v>4219134.974813249</v>
      </c>
      <c r="P79" s="6">
        <f t="shared" si="30"/>
        <v>3737028.2982161101</v>
      </c>
      <c r="Q79" s="6">
        <f t="shared" si="31"/>
        <v>0</v>
      </c>
      <c r="R79" s="6">
        <f t="shared" si="32"/>
        <v>0</v>
      </c>
      <c r="S79" s="6">
        <f t="shared" si="33"/>
        <v>6452951.1291187471</v>
      </c>
      <c r="T79" s="6">
        <f t="shared" si="24"/>
        <v>213872.91813734453</v>
      </c>
      <c r="U79" s="14">
        <f t="shared" si="25"/>
        <v>3.427956997892842E-2</v>
      </c>
    </row>
    <row r="80" spans="1:21">
      <c r="A80" s="197">
        <v>44013</v>
      </c>
      <c r="B80">
        <f t="shared" si="36"/>
        <v>7</v>
      </c>
      <c r="C80">
        <f t="shared" si="37"/>
        <v>2020</v>
      </c>
      <c r="D80" s="6">
        <f>'Monthly Data (14-23) Used'!I80</f>
        <v>7576613.2109814025</v>
      </c>
      <c r="E80">
        <f>'Monthly Data (14-23) Used'!AC80</f>
        <v>0</v>
      </c>
      <c r="F80">
        <f>'Monthly Data (14-23) Used'!AH80</f>
        <v>329.7</v>
      </c>
      <c r="G80">
        <f>'Monthly Data (14-23) Used'!BC80</f>
        <v>777225</v>
      </c>
      <c r="H80">
        <f>'Monthly Data (14-23) Used'!CB80</f>
        <v>31</v>
      </c>
      <c r="I80">
        <f>'Monthly Data (14-23) Used'!CA80</f>
        <v>0</v>
      </c>
      <c r="J80">
        <f>'Monthly Data (14-23) Used'!CG80</f>
        <v>0</v>
      </c>
      <c r="L80" s="6">
        <f t="shared" si="26"/>
        <v>-3155056.29692131</v>
      </c>
      <c r="M80" s="6">
        <f t="shared" si="27"/>
        <v>0</v>
      </c>
      <c r="N80" s="6">
        <f t="shared" si="28"/>
        <v>2442278.0770720872</v>
      </c>
      <c r="O80" s="6">
        <f t="shared" si="29"/>
        <v>4641240.1591408653</v>
      </c>
      <c r="P80" s="6">
        <f t="shared" si="30"/>
        <v>3861595.9081566473</v>
      </c>
      <c r="Q80" s="6">
        <f t="shared" si="31"/>
        <v>0</v>
      </c>
      <c r="R80" s="6">
        <f t="shared" si="32"/>
        <v>0</v>
      </c>
      <c r="S80" s="6">
        <f t="shared" si="33"/>
        <v>7790057.8474482894</v>
      </c>
      <c r="T80" s="6">
        <f t="shared" si="24"/>
        <v>213444.63646688685</v>
      </c>
      <c r="U80" s="14">
        <f t="shared" si="25"/>
        <v>2.8171510214817903E-2</v>
      </c>
    </row>
    <row r="81" spans="1:21">
      <c r="A81" s="197">
        <v>44044</v>
      </c>
      <c r="B81">
        <f t="shared" si="36"/>
        <v>8</v>
      </c>
      <c r="C81">
        <f t="shared" si="37"/>
        <v>2020</v>
      </c>
      <c r="D81" s="6">
        <f>'Monthly Data (14-23) Used'!I81</f>
        <v>7200130.2109814025</v>
      </c>
      <c r="E81">
        <f>'Monthly Data (14-23) Used'!AC81</f>
        <v>0</v>
      </c>
      <c r="F81">
        <f>'Monthly Data (14-23) Used'!AH81</f>
        <v>244.05790803436074</v>
      </c>
      <c r="G81">
        <f>'Monthly Data (14-23) Used'!BC81</f>
        <v>777225</v>
      </c>
      <c r="H81">
        <f>'Monthly Data (14-23) Used'!CB81</f>
        <v>31</v>
      </c>
      <c r="I81">
        <f>'Monthly Data (14-23) Used'!CA81</f>
        <v>0</v>
      </c>
      <c r="J81">
        <f>'Monthly Data (14-23) Used'!CG81</f>
        <v>0</v>
      </c>
      <c r="L81" s="6">
        <f t="shared" si="26"/>
        <v>-3155056.29692131</v>
      </c>
      <c r="M81" s="6">
        <f t="shared" si="27"/>
        <v>0</v>
      </c>
      <c r="N81" s="6">
        <f t="shared" si="28"/>
        <v>1807877.7019362904</v>
      </c>
      <c r="O81" s="6">
        <f t="shared" si="29"/>
        <v>4641240.1591408653</v>
      </c>
      <c r="P81" s="6">
        <f t="shared" si="30"/>
        <v>3861595.9081566473</v>
      </c>
      <c r="Q81" s="6">
        <f t="shared" si="31"/>
        <v>0</v>
      </c>
      <c r="R81" s="6">
        <f t="shared" si="32"/>
        <v>0</v>
      </c>
      <c r="S81" s="6">
        <f t="shared" si="33"/>
        <v>7155657.4723124932</v>
      </c>
      <c r="T81" s="6">
        <f t="shared" si="24"/>
        <v>-44472.738668909296</v>
      </c>
      <c r="U81" s="14">
        <f t="shared" si="25"/>
        <v>6.176657555592666E-3</v>
      </c>
    </row>
    <row r="82" spans="1:21">
      <c r="A82" s="197">
        <v>44075</v>
      </c>
      <c r="B82">
        <f t="shared" si="36"/>
        <v>9</v>
      </c>
      <c r="C82">
        <f t="shared" si="37"/>
        <v>2020</v>
      </c>
      <c r="D82" s="6">
        <f>'Monthly Data (14-23) Used'!I82</f>
        <v>6081058.2109814025</v>
      </c>
      <c r="E82">
        <f>'Monthly Data (14-23) Used'!AC82</f>
        <v>62.1355229914098</v>
      </c>
      <c r="F82">
        <f>'Monthly Data (14-23) Used'!AH82</f>
        <v>96.328954017180365</v>
      </c>
      <c r="G82">
        <f>'Monthly Data (14-23) Used'!BC82</f>
        <v>777225</v>
      </c>
      <c r="H82">
        <f>'Monthly Data (14-23) Used'!CB82</f>
        <v>30</v>
      </c>
      <c r="I82">
        <f>'Monthly Data (14-23) Used'!CA82</f>
        <v>0</v>
      </c>
      <c r="J82">
        <f>'Monthly Data (14-23) Used'!CG82</f>
        <v>0</v>
      </c>
      <c r="L82" s="6">
        <f t="shared" si="26"/>
        <v>-3155056.29692131</v>
      </c>
      <c r="M82" s="6">
        <f t="shared" si="27"/>
        <v>106283.18329626021</v>
      </c>
      <c r="N82" s="6">
        <f t="shared" si="28"/>
        <v>713564.12673171004</v>
      </c>
      <c r="O82" s="6">
        <f t="shared" si="29"/>
        <v>4641240.1591408653</v>
      </c>
      <c r="P82" s="6">
        <f t="shared" si="30"/>
        <v>3737028.2982161101</v>
      </c>
      <c r="Q82" s="6">
        <f t="shared" si="31"/>
        <v>0</v>
      </c>
      <c r="R82" s="6">
        <f t="shared" si="32"/>
        <v>0</v>
      </c>
      <c r="S82" s="6">
        <f t="shared" si="33"/>
        <v>6043059.4704636354</v>
      </c>
      <c r="T82" s="6">
        <f t="shared" si="24"/>
        <v>-37998.740517767146</v>
      </c>
      <c r="U82" s="14">
        <f t="shared" si="25"/>
        <v>6.2487052745437621E-3</v>
      </c>
    </row>
    <row r="83" spans="1:21">
      <c r="A83" s="197">
        <v>44105</v>
      </c>
      <c r="B83">
        <f t="shared" si="36"/>
        <v>10</v>
      </c>
      <c r="C83">
        <f t="shared" si="37"/>
        <v>2020</v>
      </c>
      <c r="D83" s="6">
        <f>'Monthly Data (14-23) Used'!I83</f>
        <v>5728973.2109814025</v>
      </c>
      <c r="E83">
        <f>'Monthly Data (14-23) Used'!AC83</f>
        <v>239.7</v>
      </c>
      <c r="F83">
        <f>'Monthly Data (14-23) Used'!AH83</f>
        <v>14.500000000000002</v>
      </c>
      <c r="G83">
        <f>'Monthly Data (14-23) Used'!BC83</f>
        <v>795879</v>
      </c>
      <c r="H83">
        <f>'Monthly Data (14-23) Used'!CB83</f>
        <v>31</v>
      </c>
      <c r="I83">
        <f>'Monthly Data (14-23) Used'!CA83</f>
        <v>1</v>
      </c>
      <c r="J83">
        <f>'Monthly Data (14-23) Used'!CG83</f>
        <v>0</v>
      </c>
      <c r="L83" s="6">
        <f t="shared" si="26"/>
        <v>-3155056.29692131</v>
      </c>
      <c r="M83" s="6">
        <f t="shared" si="27"/>
        <v>410008.28205204976</v>
      </c>
      <c r="N83" s="6">
        <f t="shared" si="28"/>
        <v>107409.8638688058</v>
      </c>
      <c r="O83" s="6">
        <f t="shared" si="29"/>
        <v>4752633.5058919517</v>
      </c>
      <c r="P83" s="6">
        <f t="shared" si="30"/>
        <v>3861595.9081566473</v>
      </c>
      <c r="Q83" s="6">
        <f t="shared" si="31"/>
        <v>-115215.035448868</v>
      </c>
      <c r="R83" s="6">
        <f t="shared" si="32"/>
        <v>0</v>
      </c>
      <c r="S83" s="6">
        <f t="shared" si="33"/>
        <v>5861376.2275992762</v>
      </c>
      <c r="T83" s="6">
        <f t="shared" si="24"/>
        <v>132403.01661787368</v>
      </c>
      <c r="U83" s="14">
        <f t="shared" si="25"/>
        <v>2.3111125107738523E-2</v>
      </c>
    </row>
    <row r="84" spans="1:21">
      <c r="A84" s="197">
        <v>44136</v>
      </c>
      <c r="B84">
        <f t="shared" si="36"/>
        <v>11</v>
      </c>
      <c r="C84">
        <f t="shared" si="37"/>
        <v>2020</v>
      </c>
      <c r="D84" s="6">
        <f>'Monthly Data (14-23) Used'!I84</f>
        <v>5802395.2109814025</v>
      </c>
      <c r="E84">
        <f>'Monthly Data (14-23) Used'!AC84</f>
        <v>330.63552299140986</v>
      </c>
      <c r="F84">
        <f>'Monthly Data (14-23) Used'!AH84</f>
        <v>6.3999999999999986</v>
      </c>
      <c r="G84">
        <f>'Monthly Data (14-23) Used'!BC84</f>
        <v>795879</v>
      </c>
      <c r="H84">
        <f>'Monthly Data (14-23) Used'!CB84</f>
        <v>30</v>
      </c>
      <c r="I84">
        <f>'Monthly Data (14-23) Used'!CA84</f>
        <v>1</v>
      </c>
      <c r="J84">
        <f>'Monthly Data (14-23) Used'!CG84</f>
        <v>0</v>
      </c>
      <c r="L84" s="6">
        <f t="shared" si="26"/>
        <v>-3155056.29692131</v>
      </c>
      <c r="M84" s="6">
        <f t="shared" si="27"/>
        <v>565554.0374096327</v>
      </c>
      <c r="N84" s="6">
        <f t="shared" si="28"/>
        <v>47408.491638645304</v>
      </c>
      <c r="O84" s="6">
        <f t="shared" si="29"/>
        <v>4752633.5058919517</v>
      </c>
      <c r="P84" s="6">
        <f t="shared" si="30"/>
        <v>3737028.2982161101</v>
      </c>
      <c r="Q84" s="6">
        <f t="shared" si="31"/>
        <v>-115215.035448868</v>
      </c>
      <c r="R84" s="6">
        <f t="shared" si="32"/>
        <v>0</v>
      </c>
      <c r="S84" s="6">
        <f t="shared" si="33"/>
        <v>5832353.000786162</v>
      </c>
      <c r="T84" s="6">
        <f t="shared" si="24"/>
        <v>29957.789804759435</v>
      </c>
      <c r="U84" s="14">
        <f t="shared" si="25"/>
        <v>5.1630040208330537E-3</v>
      </c>
    </row>
    <row r="85" spans="1:21">
      <c r="A85" s="197">
        <v>44166</v>
      </c>
      <c r="B85">
        <f t="shared" si="36"/>
        <v>12</v>
      </c>
      <c r="C85">
        <f t="shared" si="37"/>
        <v>2020</v>
      </c>
      <c r="D85" s="6">
        <f>'Monthly Data (14-23) Used'!I85</f>
        <v>6153468.2109814025</v>
      </c>
      <c r="E85">
        <f>'Monthly Data (14-23) Used'!AC85</f>
        <v>547.4</v>
      </c>
      <c r="F85">
        <f>'Monthly Data (14-23) Used'!AH85</f>
        <v>0</v>
      </c>
      <c r="G85">
        <f>'Monthly Data (14-23) Used'!BC85</f>
        <v>795879</v>
      </c>
      <c r="H85">
        <f>'Monthly Data (14-23) Used'!CB85</f>
        <v>31</v>
      </c>
      <c r="I85">
        <f>'Monthly Data (14-23) Used'!CA85</f>
        <v>0</v>
      </c>
      <c r="J85">
        <f>'Monthly Data (14-23) Used'!CG85</f>
        <v>0</v>
      </c>
      <c r="L85" s="6">
        <f t="shared" si="26"/>
        <v>-3155056.29692131</v>
      </c>
      <c r="M85" s="6">
        <f t="shared" si="27"/>
        <v>936330.97036000015</v>
      </c>
      <c r="N85" s="6">
        <f t="shared" si="28"/>
        <v>0</v>
      </c>
      <c r="O85" s="6">
        <f t="shared" si="29"/>
        <v>4752633.5058919517</v>
      </c>
      <c r="P85" s="6">
        <f t="shared" si="30"/>
        <v>3861595.9081566473</v>
      </c>
      <c r="Q85" s="6">
        <f t="shared" si="31"/>
        <v>0</v>
      </c>
      <c r="R85" s="6">
        <f t="shared" si="32"/>
        <v>0</v>
      </c>
      <c r="S85" s="6">
        <f t="shared" si="33"/>
        <v>6395504.0874872897</v>
      </c>
      <c r="T85" s="6">
        <f t="shared" si="24"/>
        <v>242035.87650588714</v>
      </c>
      <c r="U85" s="14">
        <f t="shared" si="25"/>
        <v>3.9333245611629701E-2</v>
      </c>
    </row>
    <row r="86" spans="1:21">
      <c r="A86" s="197">
        <v>44197</v>
      </c>
      <c r="B86">
        <f t="shared" si="36"/>
        <v>1</v>
      </c>
      <c r="C86">
        <f t="shared" si="37"/>
        <v>2021</v>
      </c>
      <c r="D86" s="6">
        <f>'Monthly Data (14-23) Used'!I86</f>
        <v>6115554.9338399861</v>
      </c>
      <c r="E86">
        <f>'Monthly Data (14-23) Used'!AC86</f>
        <v>610.79999999999995</v>
      </c>
      <c r="F86">
        <f>'Monthly Data (14-23) Used'!AH86</f>
        <v>0</v>
      </c>
      <c r="G86">
        <f>'Monthly Data (14-23) Used'!BC86</f>
        <v>805455</v>
      </c>
      <c r="H86">
        <f>'Monthly Data (14-23) Used'!CB86</f>
        <v>31</v>
      </c>
      <c r="I86">
        <f>'Monthly Data (14-23) Used'!CA86</f>
        <v>0</v>
      </c>
      <c r="J86">
        <f>'Monthly Data (14-23) Used'!CG86</f>
        <v>0</v>
      </c>
      <c r="L86" s="6">
        <f t="shared" si="26"/>
        <v>-3155056.29692131</v>
      </c>
      <c r="M86" s="6">
        <f t="shared" si="27"/>
        <v>1044777.0491338839</v>
      </c>
      <c r="N86" s="6">
        <f t="shared" si="28"/>
        <v>0</v>
      </c>
      <c r="O86" s="6">
        <f t="shared" si="29"/>
        <v>4809817.0959256403</v>
      </c>
      <c r="P86" s="6">
        <f t="shared" si="30"/>
        <v>3861595.9081566473</v>
      </c>
      <c r="Q86" s="6">
        <f t="shared" si="31"/>
        <v>0</v>
      </c>
      <c r="R86" s="6">
        <f t="shared" si="32"/>
        <v>0</v>
      </c>
      <c r="S86" s="6">
        <f t="shared" si="33"/>
        <v>6561133.7562948614</v>
      </c>
      <c r="T86" s="6">
        <f t="shared" ref="T86:T115" si="38">S86-D86</f>
        <v>445578.82245487534</v>
      </c>
      <c r="U86" s="14">
        <f t="shared" ref="U86:U115" si="39">ABS(S86-D86)/D86</f>
        <v>7.2859916602056304E-2</v>
      </c>
    </row>
    <row r="87" spans="1:21">
      <c r="A87" s="197">
        <v>44228</v>
      </c>
      <c r="B87">
        <f t="shared" si="36"/>
        <v>2</v>
      </c>
      <c r="C87">
        <f t="shared" si="37"/>
        <v>2021</v>
      </c>
      <c r="D87" s="6">
        <f>'Monthly Data (14-23) Used'!I87</f>
        <v>5910651.9338399861</v>
      </c>
      <c r="E87">
        <f>'Monthly Data (14-23) Used'!AC87</f>
        <v>654.80000000000018</v>
      </c>
      <c r="F87">
        <f>'Monthly Data (14-23) Used'!AH87</f>
        <v>0</v>
      </c>
      <c r="G87">
        <f>'Monthly Data (14-23) Used'!BC87</f>
        <v>805455</v>
      </c>
      <c r="H87">
        <f>'Monthly Data (14-23) Used'!CB87</f>
        <v>28</v>
      </c>
      <c r="I87">
        <f>'Monthly Data (14-23) Used'!CA87</f>
        <v>0</v>
      </c>
      <c r="J87">
        <f>'Monthly Data (14-23) Used'!CG87</f>
        <v>0</v>
      </c>
      <c r="L87" s="6">
        <f t="shared" si="26"/>
        <v>-3155056.29692131</v>
      </c>
      <c r="M87" s="6">
        <f t="shared" si="27"/>
        <v>1120039.3120053494</v>
      </c>
      <c r="N87" s="6">
        <f t="shared" si="28"/>
        <v>0</v>
      </c>
      <c r="O87" s="6">
        <f t="shared" si="29"/>
        <v>4809817.0959256403</v>
      </c>
      <c r="P87" s="6">
        <f t="shared" si="30"/>
        <v>3487893.0783350361</v>
      </c>
      <c r="Q87" s="6">
        <f t="shared" si="31"/>
        <v>0</v>
      </c>
      <c r="R87" s="6">
        <f t="shared" si="32"/>
        <v>0</v>
      </c>
      <c r="S87" s="6">
        <f t="shared" si="33"/>
        <v>6262693.1893447153</v>
      </c>
      <c r="T87" s="6">
        <f t="shared" si="38"/>
        <v>352041.25550472923</v>
      </c>
      <c r="U87" s="14">
        <f t="shared" si="39"/>
        <v>5.9560478174869931E-2</v>
      </c>
    </row>
    <row r="88" spans="1:21">
      <c r="A88" s="197">
        <v>44256</v>
      </c>
      <c r="B88">
        <f t="shared" si="36"/>
        <v>3</v>
      </c>
      <c r="C88">
        <f t="shared" si="37"/>
        <v>2021</v>
      </c>
      <c r="D88" s="6">
        <f>'Monthly Data (14-23) Used'!I88</f>
        <v>6044444.9338399861</v>
      </c>
      <c r="E88">
        <f>'Monthly Data (14-23) Used'!AC88</f>
        <v>398.49999999999994</v>
      </c>
      <c r="F88">
        <f>'Monthly Data (14-23) Used'!AH88</f>
        <v>1.0999999999999996</v>
      </c>
      <c r="G88">
        <f>'Monthly Data (14-23) Used'!BC88</f>
        <v>805455</v>
      </c>
      <c r="H88">
        <f>'Monthly Data (14-23) Used'!CB88</f>
        <v>31</v>
      </c>
      <c r="I88">
        <f>'Monthly Data (14-23) Used'!CA88</f>
        <v>1</v>
      </c>
      <c r="J88">
        <f>'Monthly Data (14-23) Used'!CG88</f>
        <v>0</v>
      </c>
      <c r="L88" s="6">
        <f t="shared" si="26"/>
        <v>-3155056.29692131</v>
      </c>
      <c r="M88" s="6">
        <f t="shared" si="27"/>
        <v>681636.63077906473</v>
      </c>
      <c r="N88" s="6">
        <f t="shared" si="28"/>
        <v>8148.3345003921604</v>
      </c>
      <c r="O88" s="6">
        <f t="shared" si="29"/>
        <v>4809817.0959256403</v>
      </c>
      <c r="P88" s="6">
        <f t="shared" si="30"/>
        <v>3861595.9081566473</v>
      </c>
      <c r="Q88" s="6">
        <f t="shared" si="31"/>
        <v>-115215.035448868</v>
      </c>
      <c r="R88" s="6">
        <f t="shared" si="32"/>
        <v>0</v>
      </c>
      <c r="S88" s="6">
        <f t="shared" si="33"/>
        <v>6090926.636991566</v>
      </c>
      <c r="T88" s="6">
        <f t="shared" si="38"/>
        <v>46481.703151579946</v>
      </c>
      <c r="U88" s="14">
        <f t="shared" si="39"/>
        <v>7.6899870311252063E-3</v>
      </c>
    </row>
    <row r="89" spans="1:21">
      <c r="A89" s="197">
        <v>44287</v>
      </c>
      <c r="B89">
        <f t="shared" si="36"/>
        <v>4</v>
      </c>
      <c r="C89">
        <f t="shared" si="37"/>
        <v>2021</v>
      </c>
      <c r="D89" s="6">
        <f>'Monthly Data (14-23) Used'!I89</f>
        <v>5428045.9338399861</v>
      </c>
      <c r="E89">
        <f>'Monthly Data (14-23) Used'!AC89</f>
        <v>254.90000000000003</v>
      </c>
      <c r="F89">
        <f>'Monthly Data (14-23) Used'!AH89</f>
        <v>18.999999999999993</v>
      </c>
      <c r="G89">
        <f>'Monthly Data (14-23) Used'!BC89</f>
        <v>795824</v>
      </c>
      <c r="H89">
        <f>'Monthly Data (14-23) Used'!CB89</f>
        <v>30</v>
      </c>
      <c r="I89">
        <f>'Monthly Data (14-23) Used'!CA89</f>
        <v>1</v>
      </c>
      <c r="J89">
        <f>'Monthly Data (14-23) Used'!CG89</f>
        <v>0</v>
      </c>
      <c r="L89" s="6">
        <f t="shared" si="26"/>
        <v>-3155056.29692131</v>
      </c>
      <c r="M89" s="6">
        <f t="shared" si="27"/>
        <v>436007.97286219231</v>
      </c>
      <c r="N89" s="6">
        <f t="shared" si="28"/>
        <v>140743.95955222822</v>
      </c>
      <c r="O89" s="6">
        <f t="shared" si="29"/>
        <v>4752305.0704855351</v>
      </c>
      <c r="P89" s="6">
        <f t="shared" si="30"/>
        <v>3737028.2982161101</v>
      </c>
      <c r="Q89" s="6">
        <f t="shared" si="31"/>
        <v>-115215.035448868</v>
      </c>
      <c r="R89" s="6">
        <f t="shared" si="32"/>
        <v>0</v>
      </c>
      <c r="S89" s="6">
        <f t="shared" si="33"/>
        <v>5795813.9687458882</v>
      </c>
      <c r="T89" s="6">
        <f t="shared" si="38"/>
        <v>367768.03490590211</v>
      </c>
      <c r="U89" s="14">
        <f t="shared" si="39"/>
        <v>6.7753301904306173E-2</v>
      </c>
    </row>
    <row r="90" spans="1:21">
      <c r="A90" s="197">
        <v>44317</v>
      </c>
      <c r="B90">
        <f t="shared" si="36"/>
        <v>5</v>
      </c>
      <c r="C90">
        <f t="shared" si="37"/>
        <v>2021</v>
      </c>
      <c r="D90" s="6">
        <f>'Monthly Data (14-23) Used'!I90</f>
        <v>5680903.9338399861</v>
      </c>
      <c r="E90">
        <f>'Monthly Data (14-23) Used'!AC90</f>
        <v>145.83552299140982</v>
      </c>
      <c r="F90">
        <f>'Monthly Data (14-23) Used'!AH90</f>
        <v>85.764477008590191</v>
      </c>
      <c r="G90">
        <f>'Monthly Data (14-23) Used'!BC90</f>
        <v>795824</v>
      </c>
      <c r="H90">
        <f>'Monthly Data (14-23) Used'!CB90</f>
        <v>31</v>
      </c>
      <c r="I90">
        <f>'Monthly Data (14-23) Used'!CA90</f>
        <v>1</v>
      </c>
      <c r="J90">
        <f>'Monthly Data (14-23) Used'!CG90</f>
        <v>0</v>
      </c>
      <c r="L90" s="6">
        <f t="shared" si="26"/>
        <v>-3155056.29692131</v>
      </c>
      <c r="M90" s="6">
        <f t="shared" si="27"/>
        <v>249452.53334947911</v>
      </c>
      <c r="N90" s="6">
        <f t="shared" si="28"/>
        <v>635306.95174289634</v>
      </c>
      <c r="O90" s="6">
        <f t="shared" si="29"/>
        <v>4752305.0704855351</v>
      </c>
      <c r="P90" s="6">
        <f t="shared" si="30"/>
        <v>3861595.9081566473</v>
      </c>
      <c r="Q90" s="6">
        <f t="shared" si="31"/>
        <v>-115215.035448868</v>
      </c>
      <c r="R90" s="6">
        <f t="shared" si="32"/>
        <v>0</v>
      </c>
      <c r="S90" s="6">
        <f t="shared" si="33"/>
        <v>6228389.13136438</v>
      </c>
      <c r="T90" s="6">
        <f t="shared" si="38"/>
        <v>547485.19752439391</v>
      </c>
      <c r="U90" s="14">
        <f t="shared" si="39"/>
        <v>9.6372901900899297E-2</v>
      </c>
    </row>
    <row r="91" spans="1:21">
      <c r="A91" s="197">
        <v>44348</v>
      </c>
      <c r="B91">
        <f t="shared" si="36"/>
        <v>6</v>
      </c>
      <c r="C91">
        <f t="shared" si="37"/>
        <v>2021</v>
      </c>
      <c r="D91" s="6">
        <f>'Monthly Data (14-23) Used'!I91</f>
        <v>6714011.9338399861</v>
      </c>
      <c r="E91">
        <f>'Monthly Data (14-23) Used'!AC91</f>
        <v>6.9</v>
      </c>
      <c r="F91">
        <f>'Monthly Data (14-23) Used'!AH91</f>
        <v>248.09999999999994</v>
      </c>
      <c r="G91">
        <f>'Monthly Data (14-23) Used'!BC91</f>
        <v>795824</v>
      </c>
      <c r="H91">
        <f>'Monthly Data (14-23) Used'!CB91</f>
        <v>30</v>
      </c>
      <c r="I91">
        <f>'Monthly Data (14-23) Used'!CA91</f>
        <v>0</v>
      </c>
      <c r="J91">
        <f>'Monthly Data (14-23) Used'!CG91</f>
        <v>0</v>
      </c>
      <c r="L91" s="6">
        <f t="shared" si="26"/>
        <v>-3155056.29692131</v>
      </c>
      <c r="M91" s="6">
        <f t="shared" si="27"/>
        <v>11802.491223025214</v>
      </c>
      <c r="N91" s="6">
        <f t="shared" si="28"/>
        <v>1837819.8086793593</v>
      </c>
      <c r="O91" s="6">
        <f t="shared" si="29"/>
        <v>4752305.0704855351</v>
      </c>
      <c r="P91" s="6">
        <f t="shared" si="30"/>
        <v>3737028.2982161101</v>
      </c>
      <c r="Q91" s="6">
        <f t="shared" si="31"/>
        <v>0</v>
      </c>
      <c r="R91" s="6">
        <f t="shared" si="32"/>
        <v>0</v>
      </c>
      <c r="S91" s="6">
        <f t="shared" si="33"/>
        <v>7183899.3716827193</v>
      </c>
      <c r="T91" s="6">
        <f t="shared" si="38"/>
        <v>469887.43784273323</v>
      </c>
      <c r="U91" s="14">
        <f t="shared" si="39"/>
        <v>6.998608916293475E-2</v>
      </c>
    </row>
    <row r="92" spans="1:21">
      <c r="A92" s="197">
        <v>44378</v>
      </c>
      <c r="B92">
        <f t="shared" si="36"/>
        <v>7</v>
      </c>
      <c r="C92">
        <f t="shared" si="37"/>
        <v>2021</v>
      </c>
      <c r="D92" s="6">
        <f>'Monthly Data (14-23) Used'!I92</f>
        <v>7218985.9338399861</v>
      </c>
      <c r="E92">
        <f>'Monthly Data (14-23) Used'!AC92</f>
        <v>0</v>
      </c>
      <c r="F92">
        <f>'Monthly Data (14-23) Used'!AH92</f>
        <v>254.40000000000003</v>
      </c>
      <c r="G92">
        <f>'Monthly Data (14-23) Used'!BC92</f>
        <v>810982</v>
      </c>
      <c r="H92">
        <f>'Monthly Data (14-23) Used'!CB92</f>
        <v>31</v>
      </c>
      <c r="I92">
        <f>'Monthly Data (14-23) Used'!CA92</f>
        <v>0</v>
      </c>
      <c r="J92">
        <f>'Monthly Data (14-23) Used'!CG92</f>
        <v>0</v>
      </c>
      <c r="L92" s="6">
        <f t="shared" si="26"/>
        <v>-3155056.29692131</v>
      </c>
      <c r="M92" s="6">
        <f t="shared" si="27"/>
        <v>0</v>
      </c>
      <c r="N92" s="6">
        <f t="shared" si="28"/>
        <v>1884487.5426361514</v>
      </c>
      <c r="O92" s="6">
        <f t="shared" si="29"/>
        <v>4842821.8684941642</v>
      </c>
      <c r="P92" s="6">
        <f t="shared" si="30"/>
        <v>3861595.9081566473</v>
      </c>
      <c r="Q92" s="6">
        <f t="shared" si="31"/>
        <v>0</v>
      </c>
      <c r="R92" s="6">
        <f t="shared" si="32"/>
        <v>0</v>
      </c>
      <c r="S92" s="6">
        <f t="shared" si="33"/>
        <v>7433849.022365653</v>
      </c>
      <c r="T92" s="6">
        <f t="shared" si="38"/>
        <v>214863.08852566686</v>
      </c>
      <c r="U92" s="14">
        <f t="shared" si="39"/>
        <v>2.9763610913614152E-2</v>
      </c>
    </row>
    <row r="93" spans="1:21">
      <c r="A93" s="197">
        <v>44409</v>
      </c>
      <c r="B93">
        <f t="shared" si="36"/>
        <v>8</v>
      </c>
      <c r="C93">
        <f t="shared" si="37"/>
        <v>2021</v>
      </c>
      <c r="D93" s="6">
        <f>'Monthly Data (14-23) Used'!I93</f>
        <v>7769864.9338399861</v>
      </c>
      <c r="E93">
        <f>'Monthly Data (14-23) Used'!AC93</f>
        <v>0</v>
      </c>
      <c r="F93">
        <f>'Monthly Data (14-23) Used'!AH93</f>
        <v>286.29343102577059</v>
      </c>
      <c r="G93">
        <f>'Monthly Data (14-23) Used'!BC93</f>
        <v>810982</v>
      </c>
      <c r="H93">
        <f>'Monthly Data (14-23) Used'!CB93</f>
        <v>31</v>
      </c>
      <c r="I93">
        <f>'Monthly Data (14-23) Used'!CA93</f>
        <v>0</v>
      </c>
      <c r="J93">
        <f>'Monthly Data (14-23) Used'!CG93</f>
        <v>0</v>
      </c>
      <c r="L93" s="6">
        <f t="shared" si="26"/>
        <v>-3155056.29692131</v>
      </c>
      <c r="M93" s="6">
        <f t="shared" si="27"/>
        <v>0</v>
      </c>
      <c r="N93" s="6">
        <f t="shared" si="28"/>
        <v>2120740.5829663007</v>
      </c>
      <c r="O93" s="6">
        <f t="shared" si="29"/>
        <v>4842821.8684941642</v>
      </c>
      <c r="P93" s="6">
        <f t="shared" si="30"/>
        <v>3861595.9081566473</v>
      </c>
      <c r="Q93" s="6">
        <f t="shared" si="31"/>
        <v>0</v>
      </c>
      <c r="R93" s="6">
        <f t="shared" si="32"/>
        <v>0</v>
      </c>
      <c r="S93" s="6">
        <f t="shared" si="33"/>
        <v>7670102.0626958022</v>
      </c>
      <c r="T93" s="6">
        <f t="shared" si="38"/>
        <v>-99762.871144183911</v>
      </c>
      <c r="U93" s="14">
        <f t="shared" si="39"/>
        <v>1.283971754897412E-2</v>
      </c>
    </row>
    <row r="94" spans="1:21">
      <c r="A94" s="197">
        <v>44440</v>
      </c>
      <c r="B94">
        <f t="shared" si="36"/>
        <v>9</v>
      </c>
      <c r="C94">
        <f t="shared" si="37"/>
        <v>2021</v>
      </c>
      <c r="D94" s="6">
        <f>'Monthly Data (14-23) Used'!I94</f>
        <v>6525829.9338399861</v>
      </c>
      <c r="E94">
        <f>'Monthly Data (14-23) Used'!AC94</f>
        <v>33.400000000000006</v>
      </c>
      <c r="F94">
        <f>'Monthly Data (14-23) Used'!AH94</f>
        <v>141.39999999999998</v>
      </c>
      <c r="G94">
        <f>'Monthly Data (14-23) Used'!BC94</f>
        <v>810982</v>
      </c>
      <c r="H94">
        <f>'Monthly Data (14-23) Used'!CB94</f>
        <v>30</v>
      </c>
      <c r="I94">
        <f>'Monthly Data (14-23) Used'!CA94</f>
        <v>0</v>
      </c>
      <c r="J94">
        <f>'Monthly Data (14-23) Used'!CG94</f>
        <v>0</v>
      </c>
      <c r="L94" s="6">
        <f t="shared" si="26"/>
        <v>-3155056.29692131</v>
      </c>
      <c r="M94" s="6">
        <f t="shared" si="27"/>
        <v>57130.899543339445</v>
      </c>
      <c r="N94" s="6">
        <f t="shared" si="28"/>
        <v>1047431.3621413198</v>
      </c>
      <c r="O94" s="6">
        <f t="shared" si="29"/>
        <v>4842821.8684941642</v>
      </c>
      <c r="P94" s="6">
        <f t="shared" si="30"/>
        <v>3737028.2982161101</v>
      </c>
      <c r="Q94" s="6">
        <f t="shared" si="31"/>
        <v>0</v>
      </c>
      <c r="R94" s="6">
        <f t="shared" si="32"/>
        <v>0</v>
      </c>
      <c r="S94" s="6">
        <f t="shared" si="33"/>
        <v>6529356.1314736232</v>
      </c>
      <c r="T94" s="6">
        <f t="shared" si="38"/>
        <v>3526.1976336371154</v>
      </c>
      <c r="U94" s="14">
        <f t="shared" si="39"/>
        <v>5.4034470241889974E-4</v>
      </c>
    </row>
    <row r="95" spans="1:21">
      <c r="A95" s="197">
        <v>44470</v>
      </c>
      <c r="B95">
        <f t="shared" si="36"/>
        <v>10</v>
      </c>
      <c r="C95">
        <f t="shared" si="37"/>
        <v>2021</v>
      </c>
      <c r="D95" s="6">
        <f>'Monthly Data (14-23) Used'!I95</f>
        <v>5883672.9338399861</v>
      </c>
      <c r="E95">
        <f>'Monthly Data (14-23) Used'!AC95</f>
        <v>123.80000000000001</v>
      </c>
      <c r="F95">
        <f>'Monthly Data (14-23) Used'!AH95</f>
        <v>80.799999999999983</v>
      </c>
      <c r="G95">
        <f>'Monthly Data (14-23) Used'!BC95</f>
        <v>826374</v>
      </c>
      <c r="H95">
        <f>'Monthly Data (14-23) Used'!CB95</f>
        <v>31</v>
      </c>
      <c r="I95">
        <f>'Monthly Data (14-23) Used'!CA95</f>
        <v>1</v>
      </c>
      <c r="J95">
        <f>'Monthly Data (14-23) Used'!CG95</f>
        <v>0</v>
      </c>
      <c r="L95" s="6">
        <f t="shared" si="26"/>
        <v>-3155056.29692131</v>
      </c>
      <c r="M95" s="6">
        <f t="shared" si="27"/>
        <v>211760.63962471325</v>
      </c>
      <c r="N95" s="6">
        <f t="shared" si="28"/>
        <v>598532.20693789702</v>
      </c>
      <c r="O95" s="6">
        <f t="shared" si="29"/>
        <v>4934736.0098682791</v>
      </c>
      <c r="P95" s="6">
        <f t="shared" si="30"/>
        <v>3861595.9081566473</v>
      </c>
      <c r="Q95" s="6">
        <f t="shared" si="31"/>
        <v>-115215.035448868</v>
      </c>
      <c r="R95" s="6">
        <f t="shared" si="32"/>
        <v>0</v>
      </c>
      <c r="S95" s="6">
        <f t="shared" si="33"/>
        <v>6336353.4322173595</v>
      </c>
      <c r="T95" s="6">
        <f t="shared" si="38"/>
        <v>452680.49837737344</v>
      </c>
      <c r="U95" s="14">
        <f t="shared" si="39"/>
        <v>7.6938419838699465E-2</v>
      </c>
    </row>
    <row r="96" spans="1:21">
      <c r="A96" s="197">
        <v>44501</v>
      </c>
      <c r="B96">
        <f t="shared" si="36"/>
        <v>11</v>
      </c>
      <c r="C96">
        <f t="shared" si="37"/>
        <v>2021</v>
      </c>
      <c r="D96" s="6">
        <f>'Monthly Data (14-23) Used'!I96</f>
        <v>5929416.9338399861</v>
      </c>
      <c r="E96">
        <f>'Monthly Data (14-23) Used'!AC96</f>
        <v>422.90000000000003</v>
      </c>
      <c r="F96">
        <f>'Monthly Data (14-23) Used'!AH96</f>
        <v>0</v>
      </c>
      <c r="G96">
        <f>'Monthly Data (14-23) Used'!BC96</f>
        <v>826374</v>
      </c>
      <c r="H96">
        <f>'Monthly Data (14-23) Used'!CB96</f>
        <v>30</v>
      </c>
      <c r="I96">
        <f>'Monthly Data (14-23) Used'!CA96</f>
        <v>1</v>
      </c>
      <c r="J96">
        <f>'Monthly Data (14-23) Used'!CG96</f>
        <v>0</v>
      </c>
      <c r="L96" s="6">
        <f t="shared" si="26"/>
        <v>-3155056.29692131</v>
      </c>
      <c r="M96" s="6">
        <f t="shared" si="27"/>
        <v>723372.97655324102</v>
      </c>
      <c r="N96" s="6">
        <f t="shared" si="28"/>
        <v>0</v>
      </c>
      <c r="O96" s="6">
        <f t="shared" si="29"/>
        <v>4934736.0098682791</v>
      </c>
      <c r="P96" s="6">
        <f t="shared" si="30"/>
        <v>3737028.2982161101</v>
      </c>
      <c r="Q96" s="6">
        <f t="shared" si="31"/>
        <v>-115215.035448868</v>
      </c>
      <c r="R96" s="6">
        <f t="shared" si="32"/>
        <v>0</v>
      </c>
      <c r="S96" s="6">
        <f t="shared" si="33"/>
        <v>6124865.9522674521</v>
      </c>
      <c r="T96" s="6">
        <f t="shared" si="38"/>
        <v>195449.01842746604</v>
      </c>
      <c r="U96" s="14">
        <f t="shared" si="39"/>
        <v>3.2962603339969566E-2</v>
      </c>
    </row>
    <row r="97" spans="1:21">
      <c r="A97" s="197">
        <v>44531</v>
      </c>
      <c r="B97">
        <f t="shared" si="36"/>
        <v>12</v>
      </c>
      <c r="C97">
        <f t="shared" si="37"/>
        <v>2021</v>
      </c>
      <c r="D97" s="6">
        <f>'Monthly Data (14-23) Used'!I97</f>
        <v>6454484.9338399861</v>
      </c>
      <c r="E97">
        <f>'Monthly Data (14-23) Used'!AC97</f>
        <v>483.4</v>
      </c>
      <c r="F97">
        <f>'Monthly Data (14-23) Used'!AH97</f>
        <v>0</v>
      </c>
      <c r="G97">
        <f>'Monthly Data (14-23) Used'!BC97</f>
        <v>826374</v>
      </c>
      <c r="H97">
        <f>'Monthly Data (14-23) Used'!CB97</f>
        <v>31</v>
      </c>
      <c r="I97">
        <f>'Monthly Data (14-23) Used'!CA97</f>
        <v>0</v>
      </c>
      <c r="J97">
        <f>'Monthly Data (14-23) Used'!CG97</f>
        <v>0</v>
      </c>
      <c r="L97" s="6">
        <f t="shared" si="26"/>
        <v>-3155056.29692131</v>
      </c>
      <c r="M97" s="6">
        <f t="shared" si="27"/>
        <v>826858.58800150547</v>
      </c>
      <c r="N97" s="6">
        <f t="shared" si="28"/>
        <v>0</v>
      </c>
      <c r="O97" s="6">
        <f t="shared" si="29"/>
        <v>4934736.0098682791</v>
      </c>
      <c r="P97" s="6">
        <f t="shared" si="30"/>
        <v>3861595.9081566473</v>
      </c>
      <c r="Q97" s="6">
        <f t="shared" si="31"/>
        <v>0</v>
      </c>
      <c r="R97" s="6">
        <f t="shared" si="32"/>
        <v>0</v>
      </c>
      <c r="S97" s="6">
        <f t="shared" si="33"/>
        <v>6468134.2091051219</v>
      </c>
      <c r="T97" s="6">
        <f t="shared" si="38"/>
        <v>13649.275265135802</v>
      </c>
      <c r="U97" s="14">
        <f t="shared" si="39"/>
        <v>2.114696277866342E-3</v>
      </c>
    </row>
    <row r="98" spans="1:21">
      <c r="A98" s="197">
        <v>44562</v>
      </c>
      <c r="B98">
        <f t="shared" ref="B98:B109" si="40">MONTH(A98)</f>
        <v>1</v>
      </c>
      <c r="C98">
        <f t="shared" ref="C98:C109" si="41">YEAR(A98)</f>
        <v>2022</v>
      </c>
      <c r="D98" s="6">
        <f>'Monthly Data (14-23) Used'!I98</f>
        <v>6893379.3523487775</v>
      </c>
      <c r="E98">
        <f>'Monthly Data (14-23) Used'!AC98</f>
        <v>766.2</v>
      </c>
      <c r="F98">
        <f>'Monthly Data (14-23) Used'!AH98</f>
        <v>0</v>
      </c>
      <c r="G98">
        <f>'Monthly Data (14-23) Used'!BC98</f>
        <v>833713</v>
      </c>
      <c r="H98">
        <f>'Monthly Data (14-23) Used'!CB98</f>
        <v>31</v>
      </c>
      <c r="I98">
        <f>'Monthly Data (14-23) Used'!CA98</f>
        <v>0</v>
      </c>
      <c r="J98">
        <f>'Monthly Data (14-23) Used'!CG98</f>
        <v>0</v>
      </c>
      <c r="L98" s="6">
        <f t="shared" si="26"/>
        <v>-3155056.29692131</v>
      </c>
      <c r="M98" s="6">
        <f t="shared" si="27"/>
        <v>1310589.6775481042</v>
      </c>
      <c r="N98" s="6">
        <f t="shared" si="28"/>
        <v>0</v>
      </c>
      <c r="O98" s="6">
        <f t="shared" si="29"/>
        <v>4978561.2361900453</v>
      </c>
      <c r="P98" s="6">
        <f t="shared" si="30"/>
        <v>3861595.9081566473</v>
      </c>
      <c r="Q98" s="6">
        <f t="shared" si="31"/>
        <v>0</v>
      </c>
      <c r="R98" s="6">
        <f t="shared" si="32"/>
        <v>0</v>
      </c>
      <c r="S98" s="6">
        <f t="shared" si="33"/>
        <v>6995690.5249734866</v>
      </c>
      <c r="T98" s="6">
        <f t="shared" si="38"/>
        <v>102311.17262470908</v>
      </c>
      <c r="U98" s="14">
        <f t="shared" si="39"/>
        <v>1.4841947235915379E-2</v>
      </c>
    </row>
    <row r="99" spans="1:21">
      <c r="A99" s="197">
        <v>44593</v>
      </c>
      <c r="B99">
        <f t="shared" si="40"/>
        <v>2</v>
      </c>
      <c r="C99">
        <f t="shared" si="41"/>
        <v>2022</v>
      </c>
      <c r="D99" s="6">
        <f>'Monthly Data (14-23) Used'!I99</f>
        <v>6371811.3523487775</v>
      </c>
      <c r="E99">
        <f>'Monthly Data (14-23) Used'!AC99</f>
        <v>607.30000000000018</v>
      </c>
      <c r="F99">
        <f>'Monthly Data (14-23) Used'!AH99</f>
        <v>0</v>
      </c>
      <c r="G99">
        <f>'Monthly Data (14-23) Used'!BC99</f>
        <v>833713</v>
      </c>
      <c r="H99">
        <f>'Monthly Data (14-23) Used'!CB99</f>
        <v>28</v>
      </c>
      <c r="I99">
        <f>'Monthly Data (14-23) Used'!CA99</f>
        <v>0</v>
      </c>
      <c r="J99">
        <f>'Monthly Data (14-23) Used'!CG99</f>
        <v>0</v>
      </c>
      <c r="L99" s="6">
        <f t="shared" si="26"/>
        <v>-3155056.29692131</v>
      </c>
      <c r="M99" s="6">
        <f t="shared" si="27"/>
        <v>1038790.2782236541</v>
      </c>
      <c r="N99" s="6">
        <f t="shared" si="28"/>
        <v>0</v>
      </c>
      <c r="O99" s="6">
        <f t="shared" si="29"/>
        <v>4978561.2361900453</v>
      </c>
      <c r="P99" s="6">
        <f t="shared" si="30"/>
        <v>3487893.0783350361</v>
      </c>
      <c r="Q99" s="6">
        <f t="shared" si="31"/>
        <v>0</v>
      </c>
      <c r="R99" s="6">
        <f t="shared" si="32"/>
        <v>0</v>
      </c>
      <c r="S99" s="6">
        <f t="shared" si="33"/>
        <v>6350188.295827426</v>
      </c>
      <c r="T99" s="6">
        <f t="shared" si="38"/>
        <v>-21623.056521351449</v>
      </c>
      <c r="U99" s="14">
        <f t="shared" si="39"/>
        <v>3.3935493889631174E-3</v>
      </c>
    </row>
    <row r="100" spans="1:21">
      <c r="A100" s="197">
        <v>44621</v>
      </c>
      <c r="B100">
        <f t="shared" si="40"/>
        <v>3</v>
      </c>
      <c r="C100">
        <f t="shared" si="41"/>
        <v>2022</v>
      </c>
      <c r="D100" s="6">
        <f>'Monthly Data (14-23) Used'!I100</f>
        <v>6579535.3523487775</v>
      </c>
      <c r="E100">
        <f>'Monthly Data (14-23) Used'!AC100</f>
        <v>465.93552299140975</v>
      </c>
      <c r="F100">
        <f>'Monthly Data (14-23) Used'!AH100</f>
        <v>0</v>
      </c>
      <c r="G100">
        <f>'Monthly Data (14-23) Used'!BC100</f>
        <v>833713</v>
      </c>
      <c r="H100">
        <f>'Monthly Data (14-23) Used'!CB100</f>
        <v>31</v>
      </c>
      <c r="I100">
        <f>'Monthly Data (14-23) Used'!CA100</f>
        <v>1</v>
      </c>
      <c r="J100">
        <f>'Monthly Data (14-23) Used'!CG100</f>
        <v>0</v>
      </c>
      <c r="L100" s="6">
        <f t="shared" si="26"/>
        <v>-3155056.29692131</v>
      </c>
      <c r="M100" s="6">
        <f t="shared" si="27"/>
        <v>796985.49573938781</v>
      </c>
      <c r="N100" s="6">
        <f t="shared" si="28"/>
        <v>0</v>
      </c>
      <c r="O100" s="6">
        <f t="shared" si="29"/>
        <v>4978561.2361900453</v>
      </c>
      <c r="P100" s="6">
        <f t="shared" si="30"/>
        <v>3861595.9081566473</v>
      </c>
      <c r="Q100" s="6">
        <f t="shared" si="31"/>
        <v>-115215.035448868</v>
      </c>
      <c r="R100" s="6">
        <f t="shared" si="32"/>
        <v>0</v>
      </c>
      <c r="S100" s="6">
        <f t="shared" si="33"/>
        <v>6366871.3077159021</v>
      </c>
      <c r="T100" s="6">
        <f t="shared" si="38"/>
        <v>-212664.04463287536</v>
      </c>
      <c r="U100" s="14">
        <f t="shared" si="39"/>
        <v>3.2322046047971772E-2</v>
      </c>
    </row>
    <row r="101" spans="1:21">
      <c r="A101" s="197">
        <v>44652</v>
      </c>
      <c r="B101">
        <f t="shared" si="40"/>
        <v>4</v>
      </c>
      <c r="C101">
        <f t="shared" si="41"/>
        <v>2022</v>
      </c>
      <c r="D101" s="6">
        <f>'Monthly Data (14-23) Used'!I101</f>
        <v>6070000.3523487775</v>
      </c>
      <c r="E101">
        <f>'Monthly Data (14-23) Used'!AC101</f>
        <v>333.80000000000007</v>
      </c>
      <c r="F101">
        <f>'Monthly Data (14-23) Used'!AH101</f>
        <v>8.1</v>
      </c>
      <c r="G101">
        <f>'Monthly Data (14-23) Used'!BC101</f>
        <v>840190</v>
      </c>
      <c r="H101">
        <f>'Monthly Data (14-23) Used'!CB101</f>
        <v>30</v>
      </c>
      <c r="I101">
        <f>'Monthly Data (14-23) Used'!CA101</f>
        <v>1</v>
      </c>
      <c r="J101">
        <f>'Monthly Data (14-23) Used'!CG101</f>
        <v>0</v>
      </c>
      <c r="L101" s="6">
        <f t="shared" si="26"/>
        <v>-3155056.29692131</v>
      </c>
      <c r="M101" s="6">
        <f t="shared" si="27"/>
        <v>570966.89423852414</v>
      </c>
      <c r="N101" s="6">
        <f t="shared" si="28"/>
        <v>60001.372230160472</v>
      </c>
      <c r="O101" s="6">
        <f t="shared" si="29"/>
        <v>5017238.9839603249</v>
      </c>
      <c r="P101" s="6">
        <f t="shared" si="30"/>
        <v>3737028.2982161101</v>
      </c>
      <c r="Q101" s="6">
        <f t="shared" si="31"/>
        <v>-115215.035448868</v>
      </c>
      <c r="R101" s="6">
        <f t="shared" si="32"/>
        <v>0</v>
      </c>
      <c r="S101" s="6">
        <f t="shared" si="33"/>
        <v>6114964.2162749413</v>
      </c>
      <c r="T101" s="6">
        <f t="shared" si="38"/>
        <v>44963.863926163875</v>
      </c>
      <c r="U101" s="14">
        <f t="shared" si="39"/>
        <v>7.4075554062801949E-3</v>
      </c>
    </row>
    <row r="102" spans="1:21">
      <c r="A102" s="197">
        <v>44682</v>
      </c>
      <c r="B102">
        <f t="shared" si="40"/>
        <v>5</v>
      </c>
      <c r="C102">
        <f t="shared" si="41"/>
        <v>2022</v>
      </c>
      <c r="D102" s="6">
        <f>'Monthly Data (14-23) Used'!I102</f>
        <v>6515619.3523487775</v>
      </c>
      <c r="E102">
        <f>'Monthly Data (14-23) Used'!AC102</f>
        <v>92.700000000000031</v>
      </c>
      <c r="F102">
        <f>'Monthly Data (14-23) Used'!AH102</f>
        <v>106.6</v>
      </c>
      <c r="G102">
        <f>'Monthly Data (14-23) Used'!BC102</f>
        <v>840190</v>
      </c>
      <c r="H102">
        <f>'Monthly Data (14-23) Used'!CB102</f>
        <v>31</v>
      </c>
      <c r="I102">
        <f>'Monthly Data (14-23) Used'!CA102</f>
        <v>1</v>
      </c>
      <c r="J102">
        <f>'Monthly Data (14-23) Used'!CG102</f>
        <v>0</v>
      </c>
      <c r="L102" s="6">
        <f t="shared" si="26"/>
        <v>-3155056.29692131</v>
      </c>
      <c r="M102" s="6">
        <f t="shared" si="27"/>
        <v>158563.90382238224</v>
      </c>
      <c r="N102" s="6">
        <f t="shared" si="28"/>
        <v>789647.688856186</v>
      </c>
      <c r="O102" s="6">
        <f t="shared" si="29"/>
        <v>5017238.9839603249</v>
      </c>
      <c r="P102" s="6">
        <f t="shared" si="30"/>
        <v>3861595.9081566473</v>
      </c>
      <c r="Q102" s="6">
        <f t="shared" si="31"/>
        <v>-115215.035448868</v>
      </c>
      <c r="R102" s="6">
        <f t="shared" si="32"/>
        <v>0</v>
      </c>
      <c r="S102" s="6">
        <f t="shared" si="33"/>
        <v>6556775.1524253627</v>
      </c>
      <c r="T102" s="6">
        <f t="shared" si="38"/>
        <v>41155.800076585263</v>
      </c>
      <c r="U102" s="14">
        <f t="shared" si="39"/>
        <v>6.3164831846337444E-3</v>
      </c>
    </row>
    <row r="103" spans="1:21">
      <c r="A103" s="197">
        <v>44713</v>
      </c>
      <c r="B103">
        <f t="shared" si="40"/>
        <v>6</v>
      </c>
      <c r="C103">
        <f t="shared" si="41"/>
        <v>2022</v>
      </c>
      <c r="D103" s="6">
        <f>'Monthly Data (14-23) Used'!I103</f>
        <v>7534710.3523487775</v>
      </c>
      <c r="E103">
        <f>'Monthly Data (14-23) Used'!AC103</f>
        <v>6.5355229914098061</v>
      </c>
      <c r="F103">
        <f>'Monthly Data (14-23) Used'!AH103</f>
        <v>207.3644770085902</v>
      </c>
      <c r="G103">
        <f>'Monthly Data (14-23) Used'!BC103</f>
        <v>840190</v>
      </c>
      <c r="H103">
        <f>'Monthly Data (14-23) Used'!CB103</f>
        <v>30</v>
      </c>
      <c r="I103">
        <f>'Monthly Data (14-23) Used'!CA103</f>
        <v>0</v>
      </c>
      <c r="J103">
        <f>'Monthly Data (14-23) Used'!CG103</f>
        <v>0</v>
      </c>
      <c r="L103" s="6">
        <f t="shared" si="26"/>
        <v>-3155056.29692131</v>
      </c>
      <c r="M103" s="6">
        <f t="shared" si="27"/>
        <v>11179.051122317929</v>
      </c>
      <c r="N103" s="6">
        <f t="shared" si="28"/>
        <v>1536068.2928771575</v>
      </c>
      <c r="O103" s="6">
        <f t="shared" si="29"/>
        <v>5017238.9839603249</v>
      </c>
      <c r="P103" s="6">
        <f t="shared" si="30"/>
        <v>3737028.2982161101</v>
      </c>
      <c r="Q103" s="6">
        <f t="shared" si="31"/>
        <v>0</v>
      </c>
      <c r="R103" s="6">
        <f t="shared" si="32"/>
        <v>0</v>
      </c>
      <c r="S103" s="6">
        <f t="shared" si="33"/>
        <v>7146458.3292546002</v>
      </c>
      <c r="T103" s="6">
        <f t="shared" si="38"/>
        <v>-388252.02309417725</v>
      </c>
      <c r="U103" s="14">
        <f t="shared" si="39"/>
        <v>5.1528460277593599E-2</v>
      </c>
    </row>
    <row r="104" spans="1:21">
      <c r="A104" s="197">
        <v>44743</v>
      </c>
      <c r="B104">
        <f t="shared" si="40"/>
        <v>7</v>
      </c>
      <c r="C104">
        <f t="shared" si="41"/>
        <v>2022</v>
      </c>
      <c r="D104" s="6">
        <f>'Monthly Data (14-23) Used'!I104</f>
        <v>7972148.3523487775</v>
      </c>
      <c r="E104">
        <f>'Monthly Data (14-23) Used'!AC104</f>
        <v>0</v>
      </c>
      <c r="F104">
        <f>'Monthly Data (14-23) Used'!AH104</f>
        <v>280.60000000000002</v>
      </c>
      <c r="G104">
        <f>'Monthly Data (14-23) Used'!BC104</f>
        <v>842100</v>
      </c>
      <c r="H104">
        <f>'Monthly Data (14-23) Used'!CB104</f>
        <v>31</v>
      </c>
      <c r="I104">
        <f>'Monthly Data (14-23) Used'!CA104</f>
        <v>0</v>
      </c>
      <c r="J104">
        <f>'Monthly Data (14-23) Used'!CG104</f>
        <v>0</v>
      </c>
      <c r="L104" s="6">
        <f t="shared" si="26"/>
        <v>-3155056.29692131</v>
      </c>
      <c r="M104" s="6">
        <f t="shared" si="27"/>
        <v>0</v>
      </c>
      <c r="N104" s="6">
        <f t="shared" si="28"/>
        <v>2078566.0552818556</v>
      </c>
      <c r="O104" s="6">
        <f t="shared" si="29"/>
        <v>5028644.6498922734</v>
      </c>
      <c r="P104" s="6">
        <f t="shared" si="30"/>
        <v>3861595.9081566473</v>
      </c>
      <c r="Q104" s="6">
        <f t="shared" si="31"/>
        <v>0</v>
      </c>
      <c r="R104" s="6">
        <f t="shared" si="32"/>
        <v>0</v>
      </c>
      <c r="S104" s="6">
        <f t="shared" si="33"/>
        <v>7813750.3164094668</v>
      </c>
      <c r="T104" s="6">
        <f t="shared" si="38"/>
        <v>-158398.03593931068</v>
      </c>
      <c r="U104" s="14">
        <f t="shared" si="39"/>
        <v>1.9868927287666815E-2</v>
      </c>
    </row>
    <row r="105" spans="1:21">
      <c r="A105" s="197">
        <v>44774</v>
      </c>
      <c r="B105">
        <f t="shared" si="40"/>
        <v>8</v>
      </c>
      <c r="C105">
        <f t="shared" si="41"/>
        <v>2022</v>
      </c>
      <c r="D105" s="6">
        <f>'Monthly Data (14-23) Used'!I105</f>
        <v>7910079.3523487775</v>
      </c>
      <c r="E105">
        <f>'Monthly Data (14-23) Used'!AC105</f>
        <v>0</v>
      </c>
      <c r="F105">
        <f>'Monthly Data (14-23) Used'!AH105</f>
        <v>260.92895401718039</v>
      </c>
      <c r="G105">
        <f>'Monthly Data (14-23) Used'!BC105</f>
        <v>842100</v>
      </c>
      <c r="H105">
        <f>'Monthly Data (14-23) Used'!CB105</f>
        <v>31</v>
      </c>
      <c r="I105">
        <f>'Monthly Data (14-23) Used'!CA105</f>
        <v>0</v>
      </c>
      <c r="J105">
        <f>'Monthly Data (14-23) Used'!CG105</f>
        <v>0</v>
      </c>
      <c r="L105" s="6">
        <f t="shared" si="26"/>
        <v>-3155056.29692131</v>
      </c>
      <c r="M105" s="6">
        <f t="shared" si="27"/>
        <v>0</v>
      </c>
      <c r="N105" s="6">
        <f t="shared" si="28"/>
        <v>1932851.2710631194</v>
      </c>
      <c r="O105" s="6">
        <f t="shared" si="29"/>
        <v>5028644.6498922734</v>
      </c>
      <c r="P105" s="6">
        <f t="shared" si="30"/>
        <v>3861595.9081566473</v>
      </c>
      <c r="Q105" s="6">
        <f t="shared" si="31"/>
        <v>0</v>
      </c>
      <c r="R105" s="6">
        <f t="shared" si="32"/>
        <v>0</v>
      </c>
      <c r="S105" s="6">
        <f t="shared" si="33"/>
        <v>7668035.5321907299</v>
      </c>
      <c r="T105" s="6">
        <f t="shared" si="38"/>
        <v>-242043.8201580476</v>
      </c>
      <c r="U105" s="14">
        <f t="shared" si="39"/>
        <v>3.059941744910263E-2</v>
      </c>
    </row>
    <row r="106" spans="1:21">
      <c r="A106" s="197">
        <v>44805</v>
      </c>
      <c r="B106">
        <f t="shared" si="40"/>
        <v>9</v>
      </c>
      <c r="C106">
        <f t="shared" si="41"/>
        <v>2022</v>
      </c>
      <c r="D106" s="6">
        <f>'Monthly Data (14-23) Used'!I106</f>
        <v>6898117.3523487775</v>
      </c>
      <c r="E106">
        <f>'Monthly Data (14-23) Used'!AC106</f>
        <v>47.400000000000006</v>
      </c>
      <c r="F106">
        <f>'Monthly Data (14-23) Used'!AH106</f>
        <v>141.1</v>
      </c>
      <c r="G106">
        <f>'Monthly Data (14-23) Used'!BC106</f>
        <v>842100</v>
      </c>
      <c r="H106">
        <f>'Monthly Data (14-23) Used'!CB106</f>
        <v>30</v>
      </c>
      <c r="I106">
        <f>'Monthly Data (14-23) Used'!CA106</f>
        <v>0</v>
      </c>
      <c r="J106">
        <f>'Monthly Data (14-23) Used'!CG106</f>
        <v>0</v>
      </c>
      <c r="L106" s="6">
        <f t="shared" si="26"/>
        <v>-3155056.29692131</v>
      </c>
      <c r="M106" s="6">
        <f t="shared" si="27"/>
        <v>81077.983184260171</v>
      </c>
      <c r="N106" s="6">
        <f t="shared" si="28"/>
        <v>1045209.0890957584</v>
      </c>
      <c r="O106" s="6">
        <f t="shared" si="29"/>
        <v>5028644.6498922734</v>
      </c>
      <c r="P106" s="6">
        <f t="shared" si="30"/>
        <v>3737028.2982161101</v>
      </c>
      <c r="Q106" s="6">
        <f t="shared" si="31"/>
        <v>0</v>
      </c>
      <c r="R106" s="6">
        <f t="shared" si="32"/>
        <v>0</v>
      </c>
      <c r="S106" s="6">
        <f t="shared" si="33"/>
        <v>6736903.723467092</v>
      </c>
      <c r="T106" s="6">
        <f t="shared" si="38"/>
        <v>-161213.62888168544</v>
      </c>
      <c r="U106" s="14">
        <f t="shared" si="39"/>
        <v>2.3370670669554922E-2</v>
      </c>
    </row>
    <row r="107" spans="1:21">
      <c r="A107" s="197">
        <v>44835</v>
      </c>
      <c r="B107">
        <f t="shared" si="40"/>
        <v>10</v>
      </c>
      <c r="C107">
        <f t="shared" si="41"/>
        <v>2022</v>
      </c>
      <c r="D107" s="6">
        <f>'Monthly Data (14-23) Used'!I107</f>
        <v>6096244.3523487775</v>
      </c>
      <c r="E107">
        <f>'Monthly Data (14-23) Used'!AC107</f>
        <v>209.6420919656392</v>
      </c>
      <c r="F107">
        <f>'Monthly Data (14-23) Used'!AH107</f>
        <v>23.8644770085902</v>
      </c>
      <c r="G107">
        <f>'Monthly Data (14-23) Used'!BC107</f>
        <v>841987</v>
      </c>
      <c r="H107">
        <f>'Monthly Data (14-23) Used'!CB107</f>
        <v>31</v>
      </c>
      <c r="I107">
        <f>'Monthly Data (14-23) Used'!CA107</f>
        <v>1</v>
      </c>
      <c r="J107">
        <f>'Monthly Data (14-23) Used'!CG107</f>
        <v>0</v>
      </c>
      <c r="L107" s="6">
        <f t="shared" si="26"/>
        <v>-3155056.29692131</v>
      </c>
      <c r="M107" s="6">
        <f t="shared" si="27"/>
        <v>358594.05078276829</v>
      </c>
      <c r="N107" s="6">
        <f t="shared" si="28"/>
        <v>176777.94667537374</v>
      </c>
      <c r="O107" s="6">
        <f t="shared" si="29"/>
        <v>5027969.8644209076</v>
      </c>
      <c r="P107" s="6">
        <f t="shared" si="30"/>
        <v>3861595.9081566473</v>
      </c>
      <c r="Q107" s="6">
        <f t="shared" si="31"/>
        <v>-115215.035448868</v>
      </c>
      <c r="R107" s="6">
        <f t="shared" si="32"/>
        <v>0</v>
      </c>
      <c r="S107" s="6">
        <f t="shared" si="33"/>
        <v>6154666.4376655184</v>
      </c>
      <c r="T107" s="6">
        <f t="shared" si="38"/>
        <v>58422.085316740908</v>
      </c>
      <c r="U107" s="14">
        <f t="shared" si="39"/>
        <v>9.5832912757560142E-3</v>
      </c>
    </row>
    <row r="108" spans="1:21">
      <c r="A108" s="197">
        <v>44866</v>
      </c>
      <c r="B108">
        <f t="shared" si="40"/>
        <v>11</v>
      </c>
      <c r="C108">
        <f t="shared" si="41"/>
        <v>2022</v>
      </c>
      <c r="D108" s="6">
        <f>'Monthly Data (14-23) Used'!I108</f>
        <v>6165537.3523487775</v>
      </c>
      <c r="E108">
        <f>'Monthly Data (14-23) Used'!AC108</f>
        <v>368.6</v>
      </c>
      <c r="F108">
        <f>'Monthly Data (14-23) Used'!AH108</f>
        <v>7.4999999999999964</v>
      </c>
      <c r="G108">
        <f>'Monthly Data (14-23) Used'!BC108</f>
        <v>841987</v>
      </c>
      <c r="H108">
        <f>'Monthly Data (14-23) Used'!CB108</f>
        <v>30</v>
      </c>
      <c r="I108">
        <f>'Monthly Data (14-23) Used'!CA108</f>
        <v>1</v>
      </c>
      <c r="J108">
        <f>'Monthly Data (14-23) Used'!CG108</f>
        <v>0</v>
      </c>
      <c r="L108" s="6">
        <f t="shared" si="26"/>
        <v>-3155056.29692131</v>
      </c>
      <c r="M108" s="6">
        <f t="shared" si="27"/>
        <v>630492.50214595557</v>
      </c>
      <c r="N108" s="6">
        <f t="shared" si="28"/>
        <v>55556.826139037454</v>
      </c>
      <c r="O108" s="6">
        <f t="shared" si="29"/>
        <v>5027969.8644209076</v>
      </c>
      <c r="P108" s="6">
        <f t="shared" si="30"/>
        <v>3737028.2982161101</v>
      </c>
      <c r="Q108" s="6">
        <f t="shared" si="31"/>
        <v>-115215.035448868</v>
      </c>
      <c r="R108" s="6">
        <f t="shared" si="32"/>
        <v>0</v>
      </c>
      <c r="S108" s="6">
        <f t="shared" si="33"/>
        <v>6180776.1585518327</v>
      </c>
      <c r="T108" s="6">
        <f t="shared" si="38"/>
        <v>15238.806203055196</v>
      </c>
      <c r="U108" s="14">
        <f t="shared" si="39"/>
        <v>2.4716103937396363E-3</v>
      </c>
    </row>
    <row r="109" spans="1:21">
      <c r="A109" s="197">
        <v>44896</v>
      </c>
      <c r="B109">
        <f t="shared" si="40"/>
        <v>12</v>
      </c>
      <c r="C109">
        <f t="shared" si="41"/>
        <v>2022</v>
      </c>
      <c r="D109" s="6">
        <f>'Monthly Data (14-23) Used'!I109</f>
        <v>6634550.3523487775</v>
      </c>
      <c r="E109">
        <f>'Monthly Data (14-23) Used'!AC109</f>
        <v>556.1</v>
      </c>
      <c r="F109">
        <f>'Monthly Data (14-23) Used'!AH109</f>
        <v>0</v>
      </c>
      <c r="G109">
        <f>'Monthly Data (14-23) Used'!BC109</f>
        <v>841987</v>
      </c>
      <c r="H109">
        <f>'Monthly Data (14-23) Used'!CB109</f>
        <v>31</v>
      </c>
      <c r="I109">
        <f>'Monthly Data (14-23) Used'!CA109</f>
        <v>0</v>
      </c>
      <c r="J109">
        <f>'Monthly Data (14-23) Used'!CG109</f>
        <v>0</v>
      </c>
      <c r="L109" s="6">
        <f t="shared" si="26"/>
        <v>-3155056.29692131</v>
      </c>
      <c r="M109" s="6">
        <f t="shared" si="27"/>
        <v>951212.37233685807</v>
      </c>
      <c r="N109" s="6">
        <f t="shared" si="28"/>
        <v>0</v>
      </c>
      <c r="O109" s="6">
        <f t="shared" si="29"/>
        <v>5027969.8644209076</v>
      </c>
      <c r="P109" s="6">
        <f t="shared" si="30"/>
        <v>3861595.9081566473</v>
      </c>
      <c r="Q109" s="6">
        <f t="shared" si="31"/>
        <v>0</v>
      </c>
      <c r="R109" s="6">
        <f t="shared" si="32"/>
        <v>0</v>
      </c>
      <c r="S109" s="6">
        <f t="shared" si="33"/>
        <v>6685721.8479931029</v>
      </c>
      <c r="T109" s="6">
        <f t="shared" si="38"/>
        <v>51171.49564432539</v>
      </c>
      <c r="U109" s="14">
        <f t="shared" si="39"/>
        <v>7.7128807419796809E-3</v>
      </c>
    </row>
    <row r="110" spans="1:21">
      <c r="A110" s="197">
        <v>44927</v>
      </c>
      <c r="B110">
        <f t="shared" ref="B110:B115" si="42">MONTH(A110)</f>
        <v>1</v>
      </c>
      <c r="C110">
        <f t="shared" ref="C110:C115" si="43">YEAR(A110)</f>
        <v>2023</v>
      </c>
      <c r="D110" s="6">
        <f>'Monthly Data (14-23) Used'!I110</f>
        <v>6632556.9823921332</v>
      </c>
      <c r="E110">
        <f>'Monthly Data (14-23) Used'!AC110</f>
        <v>548.70000000000005</v>
      </c>
      <c r="F110">
        <f>'Monthly Data (14-23) Used'!AH110</f>
        <v>0</v>
      </c>
      <c r="G110">
        <f>'Monthly Data (14-23) Used'!BC110</f>
        <v>848873</v>
      </c>
      <c r="H110">
        <f>'Monthly Data (14-23) Used'!CB110</f>
        <v>31</v>
      </c>
      <c r="I110">
        <f>'Monthly Data (14-23) Used'!CA110</f>
        <v>0</v>
      </c>
      <c r="J110">
        <f>'Monthly Data (14-23) Used'!CG110</f>
        <v>0</v>
      </c>
      <c r="L110" s="6">
        <f t="shared" si="26"/>
        <v>-3155056.29692131</v>
      </c>
      <c r="M110" s="6">
        <f t="shared" si="27"/>
        <v>938554.62812665722</v>
      </c>
      <c r="N110" s="6">
        <f t="shared" si="28"/>
        <v>0</v>
      </c>
      <c r="O110" s="6">
        <f t="shared" si="29"/>
        <v>5069089.9773043627</v>
      </c>
      <c r="P110" s="6">
        <f t="shared" si="30"/>
        <v>3861595.9081566473</v>
      </c>
      <c r="Q110" s="6">
        <f t="shared" si="31"/>
        <v>0</v>
      </c>
      <c r="R110" s="6">
        <f t="shared" si="32"/>
        <v>0</v>
      </c>
      <c r="S110" s="6">
        <f t="shared" si="33"/>
        <v>6714184.2166663576</v>
      </c>
      <c r="T110" s="6">
        <f t="shared" si="38"/>
        <v>81627.234274224378</v>
      </c>
      <c r="U110" s="14">
        <f t="shared" si="39"/>
        <v>1.2307053598020392E-2</v>
      </c>
    </row>
    <row r="111" spans="1:21">
      <c r="A111" s="197">
        <v>44958</v>
      </c>
      <c r="B111">
        <f t="shared" si="42"/>
        <v>2</v>
      </c>
      <c r="C111">
        <f t="shared" si="43"/>
        <v>2023</v>
      </c>
      <c r="D111" s="6">
        <f>'Monthly Data (14-23) Used'!I111</f>
        <v>6092001.2530621132</v>
      </c>
      <c r="E111">
        <f>'Monthly Data (14-23) Used'!AC111</f>
        <v>491.23552299140994</v>
      </c>
      <c r="F111">
        <f>'Monthly Data (14-23) Used'!AH111</f>
        <v>0</v>
      </c>
      <c r="G111">
        <f>'Monthly Data (14-23) Used'!BC111</f>
        <v>848873</v>
      </c>
      <c r="H111">
        <f>'Monthly Data (14-23) Used'!CB111</f>
        <v>28</v>
      </c>
      <c r="I111">
        <f>'Monthly Data (14-23) Used'!CA111</f>
        <v>0</v>
      </c>
      <c r="J111">
        <f>'Monthly Data (14-23) Used'!CG111</f>
        <v>0</v>
      </c>
      <c r="L111" s="6">
        <f t="shared" si="26"/>
        <v>-3155056.29692131</v>
      </c>
      <c r="M111" s="6">
        <f t="shared" si="27"/>
        <v>840261.29689048056</v>
      </c>
      <c r="N111" s="6">
        <f t="shared" si="28"/>
        <v>0</v>
      </c>
      <c r="O111" s="6">
        <f t="shared" si="29"/>
        <v>5069089.9773043627</v>
      </c>
      <c r="P111" s="6">
        <f t="shared" si="30"/>
        <v>3487893.0783350361</v>
      </c>
      <c r="Q111" s="6">
        <f t="shared" si="31"/>
        <v>0</v>
      </c>
      <c r="R111" s="6">
        <f t="shared" si="32"/>
        <v>0</v>
      </c>
      <c r="S111" s="6">
        <f t="shared" si="33"/>
        <v>6242188.0556085687</v>
      </c>
      <c r="T111" s="6">
        <f t="shared" si="38"/>
        <v>150186.80254645552</v>
      </c>
      <c r="U111" s="14">
        <f t="shared" si="39"/>
        <v>2.4653114191492475E-2</v>
      </c>
    </row>
    <row r="112" spans="1:21">
      <c r="A112" s="197">
        <v>44986</v>
      </c>
      <c r="B112">
        <f t="shared" si="42"/>
        <v>3</v>
      </c>
      <c r="C112">
        <f t="shared" si="43"/>
        <v>2023</v>
      </c>
      <c r="D112" s="6">
        <f>'Monthly Data (14-23) Used'!I112</f>
        <v>6511113.9685091265</v>
      </c>
      <c r="E112">
        <f>'Monthly Data (14-23) Used'!AC112</f>
        <v>480.09999999999997</v>
      </c>
      <c r="F112">
        <f>'Monthly Data (14-23) Used'!AH112</f>
        <v>0</v>
      </c>
      <c r="G112">
        <f>'Monthly Data (14-23) Used'!BC112</f>
        <v>848873</v>
      </c>
      <c r="H112">
        <f>'Monthly Data (14-23) Used'!CB112</f>
        <v>31</v>
      </c>
      <c r="I112">
        <f>'Monthly Data (14-23) Used'!CA112</f>
        <v>1</v>
      </c>
      <c r="J112">
        <f>'Monthly Data (14-23) Used'!CG112</f>
        <v>0</v>
      </c>
      <c r="L112" s="6">
        <f t="shared" si="26"/>
        <v>-3155056.29692131</v>
      </c>
      <c r="M112" s="6">
        <f t="shared" si="27"/>
        <v>821213.91828614555</v>
      </c>
      <c r="N112" s="6">
        <f t="shared" si="28"/>
        <v>0</v>
      </c>
      <c r="O112" s="6">
        <f t="shared" si="29"/>
        <v>5069089.9773043627</v>
      </c>
      <c r="P112" s="6">
        <f t="shared" si="30"/>
        <v>3861595.9081566473</v>
      </c>
      <c r="Q112" s="6">
        <f t="shared" si="31"/>
        <v>-115215.035448868</v>
      </c>
      <c r="R112" s="6">
        <f t="shared" si="32"/>
        <v>0</v>
      </c>
      <c r="S112" s="6">
        <f t="shared" si="33"/>
        <v>6481628.4713769779</v>
      </c>
      <c r="T112" s="6">
        <f t="shared" si="38"/>
        <v>-29485.497132148594</v>
      </c>
      <c r="U112" s="14">
        <f t="shared" si="39"/>
        <v>4.5284873333126426E-3</v>
      </c>
    </row>
    <row r="113" spans="1:21">
      <c r="A113" s="197">
        <v>45017</v>
      </c>
      <c r="B113">
        <f t="shared" si="42"/>
        <v>4</v>
      </c>
      <c r="C113">
        <f t="shared" si="43"/>
        <v>2023</v>
      </c>
      <c r="D113" s="6">
        <f>'Monthly Data (14-23) Used'!I113</f>
        <v>5983004.3456301186</v>
      </c>
      <c r="E113">
        <f>'Monthly Data (14-23) Used'!AC113</f>
        <v>263.89999999999998</v>
      </c>
      <c r="F113">
        <f>'Monthly Data (14-23) Used'!AH113</f>
        <v>24.699999999999996</v>
      </c>
      <c r="G113">
        <f>'Monthly Data (14-23) Used'!BC113</f>
        <v>852586</v>
      </c>
      <c r="H113">
        <f>'Monthly Data (14-23) Used'!CB113</f>
        <v>30</v>
      </c>
      <c r="I113">
        <f>'Monthly Data (14-23) Used'!CA113</f>
        <v>1</v>
      </c>
      <c r="J113">
        <f>'Monthly Data (14-23) Used'!CG113</f>
        <v>0</v>
      </c>
      <c r="L113" s="6">
        <f t="shared" si="26"/>
        <v>-3155056.29692131</v>
      </c>
      <c r="M113" s="6">
        <f t="shared" si="27"/>
        <v>451402.52663135558</v>
      </c>
      <c r="N113" s="6">
        <f t="shared" si="28"/>
        <v>182967.14741789672</v>
      </c>
      <c r="O113" s="6">
        <f t="shared" si="29"/>
        <v>5091262.3530139579</v>
      </c>
      <c r="P113" s="6">
        <f t="shared" si="30"/>
        <v>3737028.2982161101</v>
      </c>
      <c r="Q113" s="6">
        <f t="shared" si="31"/>
        <v>-115215.035448868</v>
      </c>
      <c r="R113" s="6">
        <f t="shared" si="32"/>
        <v>0</v>
      </c>
      <c r="S113" s="6">
        <f t="shared" si="33"/>
        <v>6192388.9929091427</v>
      </c>
      <c r="T113" s="6">
        <f t="shared" si="38"/>
        <v>209384.64727902412</v>
      </c>
      <c r="U113" s="14">
        <f t="shared" si="39"/>
        <v>3.499657282247421E-2</v>
      </c>
    </row>
    <row r="114" spans="1:21">
      <c r="A114" s="197">
        <v>45047</v>
      </c>
      <c r="B114">
        <f t="shared" si="42"/>
        <v>5</v>
      </c>
      <c r="C114">
        <f t="shared" si="43"/>
        <v>2023</v>
      </c>
      <c r="D114" s="6">
        <f>'Monthly Data (14-23) Used'!I114</f>
        <v>6178583.7201271262</v>
      </c>
      <c r="E114">
        <f>'Monthly Data (14-23) Used'!AC114</f>
        <v>122.5</v>
      </c>
      <c r="F114">
        <f>'Monthly Data (14-23) Used'!AH114</f>
        <v>62.000000000000007</v>
      </c>
      <c r="G114">
        <f>'Monthly Data (14-23) Used'!BC114</f>
        <v>852586</v>
      </c>
      <c r="H114">
        <f>'Monthly Data (14-23) Used'!CB114</f>
        <v>31</v>
      </c>
      <c r="I114">
        <f>'Monthly Data (14-23) Used'!CA114</f>
        <v>1</v>
      </c>
      <c r="J114">
        <f>'Monthly Data (14-23) Used'!CG114</f>
        <v>0</v>
      </c>
      <c r="L114" s="6">
        <f t="shared" si="26"/>
        <v>-3155056.29692131</v>
      </c>
      <c r="M114" s="6">
        <f t="shared" si="27"/>
        <v>209536.9818580563</v>
      </c>
      <c r="N114" s="6">
        <f t="shared" si="28"/>
        <v>459269.76274937653</v>
      </c>
      <c r="O114" s="6">
        <f t="shared" si="29"/>
        <v>5091262.3530139579</v>
      </c>
      <c r="P114" s="6">
        <f t="shared" si="30"/>
        <v>3861595.9081566473</v>
      </c>
      <c r="Q114" s="6">
        <f t="shared" si="31"/>
        <v>-115215.035448868</v>
      </c>
      <c r="R114" s="6">
        <f t="shared" si="32"/>
        <v>0</v>
      </c>
      <c r="S114" s="6">
        <f t="shared" si="33"/>
        <v>6351393.6734078601</v>
      </c>
      <c r="T114" s="6">
        <f t="shared" si="38"/>
        <v>172809.9532807339</v>
      </c>
      <c r="U114" s="14">
        <f t="shared" si="39"/>
        <v>2.7969185351943128E-2</v>
      </c>
    </row>
    <row r="115" spans="1:21">
      <c r="A115" s="197">
        <v>45078</v>
      </c>
      <c r="B115">
        <f t="shared" si="42"/>
        <v>6</v>
      </c>
      <c r="C115">
        <f t="shared" si="43"/>
        <v>2023</v>
      </c>
      <c r="D115" s="6">
        <f>'Monthly Data (14-23) Used'!I115</f>
        <v>6628058.2686011204</v>
      </c>
      <c r="E115">
        <f>'Monthly Data (14-23) Used'!AC115</f>
        <v>14.600000000000001</v>
      </c>
      <c r="F115">
        <f>'Monthly Data (14-23) Used'!AH115</f>
        <v>170.69999999999996</v>
      </c>
      <c r="G115">
        <f>'Monthly Data (14-23) Used'!BC115</f>
        <v>852586</v>
      </c>
      <c r="H115">
        <f>'Monthly Data (14-23) Used'!CB115</f>
        <v>30</v>
      </c>
      <c r="I115">
        <f>'Monthly Data (14-23) Used'!CA115</f>
        <v>0</v>
      </c>
      <c r="J115">
        <f>'Monthly Data (14-23) Used'!CG115</f>
        <v>0</v>
      </c>
      <c r="L115" s="6">
        <f t="shared" si="26"/>
        <v>-3155056.29692131</v>
      </c>
      <c r="M115" s="6">
        <f t="shared" si="27"/>
        <v>24973.387225531613</v>
      </c>
      <c r="N115" s="6">
        <f t="shared" si="28"/>
        <v>1264473.3629244927</v>
      </c>
      <c r="O115" s="6">
        <f t="shared" si="29"/>
        <v>5091262.3530139579</v>
      </c>
      <c r="P115" s="6">
        <f t="shared" si="30"/>
        <v>3737028.2982161101</v>
      </c>
      <c r="Q115" s="6">
        <f t="shared" si="31"/>
        <v>0</v>
      </c>
      <c r="R115" s="6">
        <f t="shared" si="32"/>
        <v>0</v>
      </c>
      <c r="S115" s="6">
        <f t="shared" si="33"/>
        <v>6962681.1044587819</v>
      </c>
      <c r="T115" s="6">
        <f t="shared" si="38"/>
        <v>334622.83585766144</v>
      </c>
      <c r="U115" s="14">
        <f t="shared" si="39"/>
        <v>5.0485801768348819E-2</v>
      </c>
    </row>
    <row r="116" spans="1:21">
      <c r="A116" s="197">
        <v>45108</v>
      </c>
      <c r="B116">
        <f t="shared" ref="B116:B121" si="44">MONTH(A116)</f>
        <v>7</v>
      </c>
      <c r="C116">
        <f t="shared" ref="C116:C121" si="45">YEAR(A116)</f>
        <v>2023</v>
      </c>
      <c r="D116" s="6">
        <f>'Monthly Data (14-23) Used'!I116</f>
        <v>7467103.0032031108</v>
      </c>
      <c r="E116">
        <f>'Monthly Data (14-23) Used'!AC116</f>
        <v>0</v>
      </c>
      <c r="F116">
        <f>'Monthly Data (14-23) Used'!AH116</f>
        <v>256.86447700859026</v>
      </c>
      <c r="G116">
        <f>'Monthly Data (14-23) Used'!BC116</f>
        <v>852629</v>
      </c>
      <c r="H116">
        <f>'Monthly Data (14-23) Used'!CB116</f>
        <v>31</v>
      </c>
      <c r="I116">
        <f>'Monthly Data (14-23) Used'!CA116</f>
        <v>0</v>
      </c>
      <c r="J116">
        <f>'Monthly Data (14-23) Used'!CG116</f>
        <v>0</v>
      </c>
      <c r="L116" s="6">
        <f t="shared" si="26"/>
        <v>-3155056.29692131</v>
      </c>
      <c r="M116" s="6">
        <f t="shared" si="27"/>
        <v>0</v>
      </c>
      <c r="N116" s="6">
        <f t="shared" si="28"/>
        <v>1902743.3453948051</v>
      </c>
      <c r="O116" s="6">
        <f t="shared" si="29"/>
        <v>5091519.1297862483</v>
      </c>
      <c r="P116" s="6">
        <f t="shared" si="30"/>
        <v>3861595.9081566473</v>
      </c>
      <c r="Q116" s="6">
        <f t="shared" si="31"/>
        <v>0</v>
      </c>
      <c r="R116" s="6">
        <f t="shared" si="32"/>
        <v>0</v>
      </c>
      <c r="S116" s="6">
        <f t="shared" ref="S116:S121" si="46">SUM(L116:R116)</f>
        <v>7700802.0864163907</v>
      </c>
      <c r="T116" s="6">
        <f t="shared" ref="T116:T121" si="47">S116-D116</f>
        <v>233699.08321327996</v>
      </c>
      <c r="U116" s="14">
        <f t="shared" ref="U116:U121" si="48">ABS(S116-D116)/D116</f>
        <v>3.1297155417975578E-2</v>
      </c>
    </row>
    <row r="117" spans="1:21">
      <c r="A117" s="197">
        <v>45139</v>
      </c>
      <c r="B117">
        <f t="shared" si="44"/>
        <v>8</v>
      </c>
      <c r="C117">
        <f t="shared" si="45"/>
        <v>2023</v>
      </c>
      <c r="D117" s="6">
        <f>'Monthly Data (14-23) Used'!I117</f>
        <v>7241241.0790991215</v>
      </c>
      <c r="E117">
        <f>'Monthly Data (14-23) Used'!AC117</f>
        <v>8.5710459828196122</v>
      </c>
      <c r="F117">
        <f>'Monthly Data (14-23) Used'!AH117</f>
        <v>199.61581606872156</v>
      </c>
      <c r="G117">
        <f>'Monthly Data (14-23) Used'!BC117</f>
        <v>852629</v>
      </c>
      <c r="H117">
        <f>'Monthly Data (14-23) Used'!CB117</f>
        <v>31</v>
      </c>
      <c r="I117">
        <f>'Monthly Data (14-23) Used'!CA117</f>
        <v>0</v>
      </c>
      <c r="J117">
        <f>'Monthly Data (14-23) Used'!CG117</f>
        <v>0</v>
      </c>
      <c r="L117" s="6">
        <f t="shared" si="26"/>
        <v>-3155056.29692131</v>
      </c>
      <c r="M117" s="6">
        <f t="shared" si="27"/>
        <v>14660.825360054199</v>
      </c>
      <c r="N117" s="6">
        <f t="shared" si="28"/>
        <v>1478669.491724273</v>
      </c>
      <c r="O117" s="6">
        <f t="shared" si="29"/>
        <v>5091519.1297862483</v>
      </c>
      <c r="P117" s="6">
        <f t="shared" si="30"/>
        <v>3861595.9081566473</v>
      </c>
      <c r="Q117" s="6">
        <f t="shared" si="31"/>
        <v>0</v>
      </c>
      <c r="R117" s="6">
        <f t="shared" si="32"/>
        <v>0</v>
      </c>
      <c r="S117" s="6">
        <f t="shared" si="46"/>
        <v>7291389.058105913</v>
      </c>
      <c r="T117" s="6">
        <f t="shared" si="47"/>
        <v>50147.979006791487</v>
      </c>
      <c r="U117" s="14">
        <f t="shared" si="48"/>
        <v>6.925329299080644E-3</v>
      </c>
    </row>
    <row r="118" spans="1:21">
      <c r="A118" s="197">
        <v>45170</v>
      </c>
      <c r="B118">
        <f t="shared" si="44"/>
        <v>9</v>
      </c>
      <c r="C118">
        <f t="shared" si="45"/>
        <v>2023</v>
      </c>
      <c r="D118" s="6">
        <f>'Monthly Data (14-23) Used'!I118</f>
        <v>6559154.6408421202</v>
      </c>
      <c r="E118">
        <f>'Monthly Data (14-23) Used'!AC118</f>
        <v>26.171045982819621</v>
      </c>
      <c r="F118">
        <f>'Monthly Data (14-23) Used'!AH118</f>
        <v>128.6289540171804</v>
      </c>
      <c r="G118">
        <f>'Monthly Data (14-23) Used'!BC118</f>
        <v>852629</v>
      </c>
      <c r="H118">
        <f>'Monthly Data (14-23) Used'!CB118</f>
        <v>30</v>
      </c>
      <c r="I118">
        <f>'Monthly Data (14-23) Used'!CA118</f>
        <v>0</v>
      </c>
      <c r="J118">
        <f>'Monthly Data (14-23) Used'!CG118</f>
        <v>0</v>
      </c>
      <c r="L118" s="6">
        <f t="shared" si="26"/>
        <v>-3155056.29692131</v>
      </c>
      <c r="M118" s="6">
        <f t="shared" si="27"/>
        <v>44765.730508640263</v>
      </c>
      <c r="N118" s="6">
        <f t="shared" si="28"/>
        <v>952828.85797049839</v>
      </c>
      <c r="O118" s="6">
        <f t="shared" si="29"/>
        <v>5091519.1297862483</v>
      </c>
      <c r="P118" s="6">
        <f t="shared" si="30"/>
        <v>3737028.2982161101</v>
      </c>
      <c r="Q118" s="6">
        <f t="shared" si="31"/>
        <v>0</v>
      </c>
      <c r="R118" s="6">
        <f t="shared" si="32"/>
        <v>0</v>
      </c>
      <c r="S118" s="6">
        <f t="shared" si="46"/>
        <v>6671085.7195601873</v>
      </c>
      <c r="T118" s="6">
        <f t="shared" si="47"/>
        <v>111931.07871806715</v>
      </c>
      <c r="U118" s="14">
        <f t="shared" si="48"/>
        <v>1.706486351474349E-2</v>
      </c>
    </row>
    <row r="119" spans="1:21">
      <c r="A119" s="197">
        <v>45200</v>
      </c>
      <c r="B119">
        <f t="shared" si="44"/>
        <v>10</v>
      </c>
      <c r="C119">
        <f t="shared" si="45"/>
        <v>2023</v>
      </c>
      <c r="D119" s="6">
        <f>'Monthly Data (14-23) Used'!I119</f>
        <v>6056406.6039701235</v>
      </c>
      <c r="E119">
        <f>'Monthly Data (14-23) Used'!AC119</f>
        <v>191.00000000000003</v>
      </c>
      <c r="F119">
        <f>'Monthly Data (14-23) Used'!AH119</f>
        <v>46.699999999999996</v>
      </c>
      <c r="G119">
        <f>'Monthly Data (14-23) Used'!BC119</f>
        <v>852090.84400000004</v>
      </c>
      <c r="H119">
        <f>'Monthly Data (14-23) Used'!CB119</f>
        <v>31</v>
      </c>
      <c r="I119">
        <f>'Monthly Data (14-23) Used'!CA119</f>
        <v>1</v>
      </c>
      <c r="J119">
        <f>'Monthly Data (14-23) Used'!CG119</f>
        <v>0</v>
      </c>
      <c r="L119" s="6">
        <f>$Y$9</f>
        <v>-3155056.29692131</v>
      </c>
      <c r="M119" s="6">
        <f>E119*$Y$10</f>
        <v>326706.64110113273</v>
      </c>
      <c r="N119" s="6">
        <f>F119*$Y$11</f>
        <v>345933.83742573997</v>
      </c>
      <c r="O119" s="6">
        <f>G119*$Y$12</f>
        <v>5088305.5027939584</v>
      </c>
      <c r="P119" s="6">
        <f>H119*$Y$13</f>
        <v>3861595.9081566473</v>
      </c>
      <c r="Q119" s="6">
        <f>I119*$Y$14</f>
        <v>-115215.035448868</v>
      </c>
      <c r="R119" s="6">
        <f>J119*$Y$15</f>
        <v>0</v>
      </c>
      <c r="S119" s="6">
        <f t="shared" si="46"/>
        <v>6352270.5571073005</v>
      </c>
      <c r="T119" s="6">
        <f t="shared" si="47"/>
        <v>295863.95313717704</v>
      </c>
      <c r="U119" s="14">
        <f t="shared" si="48"/>
        <v>4.8851401909381538E-2</v>
      </c>
    </row>
    <row r="120" spans="1:21">
      <c r="A120" s="197">
        <v>45231</v>
      </c>
      <c r="B120">
        <f t="shared" si="44"/>
        <v>11</v>
      </c>
      <c r="C120">
        <f t="shared" si="45"/>
        <v>2023</v>
      </c>
      <c r="D120" s="6">
        <f>'Monthly Data (14-23) Used'!I120</f>
        <v>6059588.0768571198</v>
      </c>
      <c r="E120">
        <f>'Monthly Data (14-23) Used'!AC120</f>
        <v>402.39999999999992</v>
      </c>
      <c r="F120">
        <f>'Monthly Data (14-23) Used'!AH120</f>
        <v>0</v>
      </c>
      <c r="G120">
        <f>'Monthly Data (14-23) Used'!BC120</f>
        <v>852090.84400000004</v>
      </c>
      <c r="H120">
        <f>'Monthly Data (14-23) Used'!CB120</f>
        <v>30</v>
      </c>
      <c r="I120">
        <f>'Monthly Data (14-23) Used'!CA120</f>
        <v>1</v>
      </c>
      <c r="J120">
        <f>'Monthly Data (14-23) Used'!CG120</f>
        <v>0</v>
      </c>
      <c r="L120" s="6">
        <f>$Y$9</f>
        <v>-3155056.29692131</v>
      </c>
      <c r="M120" s="6">
        <f>E120*$Y$10</f>
        <v>688307.60407903546</v>
      </c>
      <c r="N120" s="6">
        <f>F120*$Y$11</f>
        <v>0</v>
      </c>
      <c r="O120" s="6">
        <f>G120*$Y$12</f>
        <v>5088305.5027939584</v>
      </c>
      <c r="P120" s="6">
        <f>H120*$Y$13</f>
        <v>3737028.2982161101</v>
      </c>
      <c r="Q120" s="6">
        <f>I120*$Y$14</f>
        <v>-115215.035448868</v>
      </c>
      <c r="R120" s="6">
        <f>J120*$Y$15</f>
        <v>0</v>
      </c>
      <c r="S120" s="6">
        <f t="shared" si="46"/>
        <v>6243370.0727189258</v>
      </c>
      <c r="T120" s="6">
        <f t="shared" si="47"/>
        <v>183781.99586180598</v>
      </c>
      <c r="U120" s="14">
        <f t="shared" si="48"/>
        <v>3.0329123618766968E-2</v>
      </c>
    </row>
    <row r="121" spans="1:21">
      <c r="A121" s="197">
        <v>45261</v>
      </c>
      <c r="B121">
        <f t="shared" si="44"/>
        <v>12</v>
      </c>
      <c r="C121">
        <f t="shared" si="45"/>
        <v>2023</v>
      </c>
      <c r="D121" s="6">
        <f>'Monthly Data (14-23) Used'!I121</f>
        <v>6250104.4957341198</v>
      </c>
      <c r="E121">
        <f>'Monthly Data (14-23) Used'!AC121</f>
        <v>431.4</v>
      </c>
      <c r="F121">
        <f>'Monthly Data (14-23) Used'!AH121</f>
        <v>0</v>
      </c>
      <c r="G121">
        <f>'Monthly Data (14-23) Used'!BC121</f>
        <v>852090.84400000004</v>
      </c>
      <c r="H121">
        <f>'Monthly Data (14-23) Used'!CB121</f>
        <v>31</v>
      </c>
      <c r="I121">
        <f>'Monthly Data (14-23) Used'!CA121</f>
        <v>0</v>
      </c>
      <c r="J121">
        <f>'Monthly Data (14-23) Used'!CG121</f>
        <v>0</v>
      </c>
      <c r="L121" s="6">
        <f>$Y$9</f>
        <v>-3155056.29692131</v>
      </c>
      <c r="M121" s="6">
        <f>E121*$Y$10</f>
        <v>737912.27733522851</v>
      </c>
      <c r="N121" s="6">
        <f>F121*$Y$11</f>
        <v>0</v>
      </c>
      <c r="O121" s="6">
        <f>G121*$Y$12</f>
        <v>5088305.5027939584</v>
      </c>
      <c r="P121" s="6">
        <f>H121*$Y$13</f>
        <v>3861595.9081566473</v>
      </c>
      <c r="Q121" s="6">
        <f>I121*$Y$14</f>
        <v>0</v>
      </c>
      <c r="R121" s="6">
        <f>J121*$Y$15</f>
        <v>0</v>
      </c>
      <c r="S121" s="6">
        <f t="shared" si="46"/>
        <v>6532757.3913645241</v>
      </c>
      <c r="T121" s="6">
        <f t="shared" si="47"/>
        <v>282652.89563040435</v>
      </c>
      <c r="U121" s="14">
        <f t="shared" si="48"/>
        <v>4.5223707191347481E-2</v>
      </c>
    </row>
    <row r="122" spans="1:21">
      <c r="U122" s="15">
        <f>AVERAGE(U2:U121)</f>
        <v>2.9903358757483903E-2</v>
      </c>
    </row>
    <row r="134" spans="1:26">
      <c r="A134" s="17"/>
    </row>
    <row r="135" spans="1:26">
      <c r="A135" s="17"/>
    </row>
    <row r="136" spans="1:26">
      <c r="A136" s="17"/>
      <c r="X136">
        <v>1</v>
      </c>
      <c r="Y136" s="6">
        <f t="shared" ref="Y136:Y147" si="49">SUMIF($B$2:$B$73,$X136,T$2:T$73)</f>
        <v>-1114658.7211204851</v>
      </c>
      <c r="Z136" s="14">
        <f t="shared" ref="Z136:Z147" si="50">SUMIF($B$2:$B$73,$X136,U$2:U$73)</f>
        <v>0.18969924871563956</v>
      </c>
    </row>
    <row r="137" spans="1:26">
      <c r="A137" s="17"/>
      <c r="X137">
        <v>2</v>
      </c>
      <c r="Y137" s="6">
        <f t="shared" si="49"/>
        <v>-942112.91856159829</v>
      </c>
      <c r="Z137" s="14">
        <f t="shared" si="50"/>
        <v>0.2036054001772136</v>
      </c>
    </row>
    <row r="138" spans="1:26">
      <c r="A138" s="17"/>
      <c r="X138">
        <v>3</v>
      </c>
      <c r="Y138" s="6">
        <f t="shared" si="49"/>
        <v>-857986.11262770649</v>
      </c>
      <c r="Z138" s="14">
        <f t="shared" si="50"/>
        <v>0.16226164136943064</v>
      </c>
    </row>
    <row r="139" spans="1:26">
      <c r="A139" s="17"/>
      <c r="X139">
        <v>4</v>
      </c>
      <c r="Y139" s="6">
        <f t="shared" si="49"/>
        <v>-867621.67950441688</v>
      </c>
      <c r="Z139" s="14">
        <f t="shared" si="50"/>
        <v>0.19892795914033304</v>
      </c>
    </row>
    <row r="140" spans="1:26">
      <c r="A140" s="17"/>
      <c r="X140">
        <v>5</v>
      </c>
      <c r="Y140" s="6">
        <f t="shared" si="49"/>
        <v>-413338.25787784718</v>
      </c>
      <c r="Z140" s="14">
        <f t="shared" si="50"/>
        <v>0.21549307325329836</v>
      </c>
    </row>
    <row r="141" spans="1:26">
      <c r="A141" s="17"/>
      <c r="X141">
        <v>6</v>
      </c>
      <c r="Y141" s="6">
        <f t="shared" si="49"/>
        <v>352174.53080978524</v>
      </c>
      <c r="Z141" s="14">
        <f t="shared" si="50"/>
        <v>0.17092768169188835</v>
      </c>
    </row>
    <row r="142" spans="1:26">
      <c r="A142" s="17"/>
      <c r="X142">
        <v>7</v>
      </c>
      <c r="Y142" s="6">
        <f t="shared" si="49"/>
        <v>-394624.50960486662</v>
      </c>
      <c r="Z142" s="14">
        <f t="shared" si="50"/>
        <v>0.16365067101225331</v>
      </c>
    </row>
    <row r="143" spans="1:26">
      <c r="A143" s="17"/>
      <c r="X143">
        <v>8</v>
      </c>
      <c r="Y143" s="6">
        <f t="shared" si="49"/>
        <v>-758640.58460819535</v>
      </c>
      <c r="Z143" s="14">
        <f t="shared" si="50"/>
        <v>0.20853562564994449</v>
      </c>
    </row>
    <row r="144" spans="1:26">
      <c r="A144" s="17"/>
      <c r="X144">
        <v>9</v>
      </c>
      <c r="Y144" s="6">
        <f t="shared" si="49"/>
        <v>-797060.20929913968</v>
      </c>
      <c r="Z144" s="14">
        <f t="shared" si="50"/>
        <v>0.1990966125704384</v>
      </c>
    </row>
    <row r="145" spans="1:26">
      <c r="A145" s="17"/>
      <c r="X145">
        <v>10</v>
      </c>
      <c r="Y145" s="6">
        <f t="shared" si="49"/>
        <v>-197148.59716356546</v>
      </c>
      <c r="Z145" s="14">
        <f t="shared" si="50"/>
        <v>0.18998082370907457</v>
      </c>
    </row>
    <row r="146" spans="1:26">
      <c r="A146" s="17"/>
      <c r="X146">
        <v>11</v>
      </c>
      <c r="Y146" s="6">
        <f t="shared" si="49"/>
        <v>-300910.46836883295</v>
      </c>
      <c r="Z146" s="14">
        <f t="shared" si="50"/>
        <v>0.17396092045344705</v>
      </c>
    </row>
    <row r="147" spans="1:26">
      <c r="A147" s="17"/>
      <c r="X147">
        <v>12</v>
      </c>
      <c r="Y147" s="6">
        <f t="shared" si="49"/>
        <v>394553.54034230486</v>
      </c>
      <c r="Z147" s="14">
        <f t="shared" si="50"/>
        <v>0.16279965557027248</v>
      </c>
    </row>
    <row r="148" spans="1:26">
      <c r="A148" s="17"/>
      <c r="U148" s="14"/>
      <c r="Y148" s="6"/>
    </row>
    <row r="149" spans="1:26">
      <c r="A149" s="17"/>
      <c r="U149" s="14"/>
      <c r="X149">
        <v>2013</v>
      </c>
      <c r="Y149" s="6">
        <f t="shared" ref="Y149:Y156" si="51">SUMIF($C:$C,$X149,$T:$T)</f>
        <v>0</v>
      </c>
      <c r="Z149" s="14">
        <f t="shared" ref="Z149:Z156" si="52">SUMIF($C$2:$C$73,$X149,U$2:U$73)</f>
        <v>0</v>
      </c>
    </row>
    <row r="150" spans="1:26">
      <c r="A150" s="17"/>
      <c r="U150" s="14"/>
      <c r="X150">
        <f>X149+1</f>
        <v>2014</v>
      </c>
      <c r="Y150" s="6">
        <f t="shared" si="51"/>
        <v>2798311.270786006</v>
      </c>
      <c r="Z150" s="14">
        <f t="shared" si="52"/>
        <v>0.49259937554537531</v>
      </c>
    </row>
    <row r="151" spans="1:26">
      <c r="A151" s="17"/>
      <c r="U151" s="14"/>
      <c r="X151">
        <f t="shared" ref="X151:X158" si="53">X150+1</f>
        <v>2015</v>
      </c>
      <c r="Y151" s="6">
        <f t="shared" si="51"/>
        <v>113878.40200819168</v>
      </c>
      <c r="Z151" s="14">
        <f t="shared" si="52"/>
        <v>0.23607245463962523</v>
      </c>
    </row>
    <row r="152" spans="1:26">
      <c r="A152" s="17"/>
      <c r="U152" s="14"/>
      <c r="X152">
        <f t="shared" si="53"/>
        <v>2016</v>
      </c>
      <c r="Y152" s="6">
        <f t="shared" si="51"/>
        <v>-3468318.8479458895</v>
      </c>
      <c r="Z152" s="14">
        <f t="shared" si="52"/>
        <v>0.54103198306011002</v>
      </c>
    </row>
    <row r="153" spans="1:26">
      <c r="A153" s="17"/>
      <c r="U153" s="14"/>
      <c r="X153">
        <f t="shared" si="53"/>
        <v>2017</v>
      </c>
      <c r="Y153" s="6">
        <f t="shared" si="51"/>
        <v>-2965663.4873590935</v>
      </c>
      <c r="Z153" s="14">
        <f t="shared" si="52"/>
        <v>0.46158114087137508</v>
      </c>
    </row>
    <row r="154" spans="1:26">
      <c r="A154" s="17"/>
      <c r="U154" s="14"/>
      <c r="X154">
        <f t="shared" si="53"/>
        <v>2018</v>
      </c>
      <c r="Y154" s="6">
        <f t="shared" si="51"/>
        <v>-1619364.7850312563</v>
      </c>
      <c r="Z154" s="14">
        <f t="shared" si="52"/>
        <v>0.39045772749965546</v>
      </c>
    </row>
    <row r="155" spans="1:26">
      <c r="A155" s="17"/>
      <c r="U155" s="14"/>
      <c r="X155">
        <f t="shared" si="53"/>
        <v>2019</v>
      </c>
      <c r="Y155" s="6">
        <f t="shared" si="51"/>
        <v>-756216.54004252236</v>
      </c>
      <c r="Z155" s="14">
        <f t="shared" si="52"/>
        <v>0.11719663169709263</v>
      </c>
    </row>
    <row r="156" spans="1:26">
      <c r="A156" s="17"/>
      <c r="U156" s="14"/>
      <c r="X156">
        <f t="shared" si="53"/>
        <v>2020</v>
      </c>
      <c r="Y156" s="6">
        <f t="shared" si="51"/>
        <v>755165.2605069438</v>
      </c>
      <c r="Z156" s="14">
        <f t="shared" si="52"/>
        <v>0</v>
      </c>
    </row>
    <row r="157" spans="1:26">
      <c r="A157" s="17"/>
      <c r="U157" s="14"/>
      <c r="X157">
        <f t="shared" si="53"/>
        <v>2021</v>
      </c>
      <c r="Y157" s="6">
        <f>SUMIF($C:$C,$X157,T:T)</f>
        <v>3009647.6584693091</v>
      </c>
      <c r="Z157" s="14">
        <f>SUMIF($C:$C,$X157,U:U)</f>
        <v>0.52938206739773419</v>
      </c>
    </row>
    <row r="158" spans="1:26">
      <c r="A158" s="17"/>
      <c r="U158" s="14"/>
      <c r="X158">
        <f t="shared" si="53"/>
        <v>2022</v>
      </c>
      <c r="Y158" s="6">
        <f>SUMIF($C:$C,$X158,T:T)</f>
        <v>-870931.38543586805</v>
      </c>
      <c r="Z158" s="14">
        <f>SUMIF($C:$C,$X158,U:U)</f>
        <v>0.20941683935915753</v>
      </c>
    </row>
    <row r="159" spans="1:26">
      <c r="A159" s="17"/>
      <c r="U159" s="14"/>
    </row>
    <row r="160" spans="1:26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B6B1-6DDB-40B4-81B2-499D2FCA9620}">
  <sheetPr codeName="Sheet45">
    <tabColor theme="3" tint="0.79998168889431442"/>
  </sheetPr>
  <dimension ref="A1:AG168"/>
  <sheetViews>
    <sheetView topLeftCell="U1" workbookViewId="0">
      <selection activeCell="AD21" sqref="AD21"/>
    </sheetView>
  </sheetViews>
  <sheetFormatPr defaultRowHeight="14.45"/>
  <cols>
    <col min="1" max="1" width="12.28515625" customWidth="1"/>
    <col min="4" max="4" width="19.5703125" customWidth="1"/>
    <col min="5" max="5" width="12" bestFit="1" customWidth="1"/>
    <col min="7" max="7" width="11.5703125" bestFit="1" customWidth="1"/>
    <col min="12" max="12" width="14" bestFit="1" customWidth="1"/>
    <col min="13" max="13" width="14" customWidth="1"/>
    <col min="14" max="15" width="13.28515625" bestFit="1" customWidth="1"/>
    <col min="16" max="16" width="14.28515625" bestFit="1" customWidth="1"/>
    <col min="17" max="17" width="12.28515625" bestFit="1" customWidth="1"/>
    <col min="18" max="18" width="12.28515625" customWidth="1"/>
    <col min="19" max="19" width="13" customWidth="1"/>
    <col min="20" max="20" width="13.7109375" customWidth="1"/>
    <col min="22" max="22" width="12.28515625" bestFit="1" customWidth="1"/>
    <col min="23" max="23" width="13.7109375" customWidth="1"/>
    <col min="24" max="24" width="12.28515625" customWidth="1"/>
    <col min="25" max="25" width="12.5703125" customWidth="1"/>
    <col min="26" max="26" width="11" customWidth="1"/>
  </cols>
  <sheetData>
    <row r="1" spans="1:33">
      <c r="A1" t="s">
        <v>0</v>
      </c>
      <c r="B1" t="s">
        <v>151</v>
      </c>
      <c r="C1" t="s">
        <v>1</v>
      </c>
      <c r="D1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t="str">
        <f>'Monthly Data (14-23) Used'!BC1</f>
        <v>Total_OEA</v>
      </c>
      <c r="H1" t="str">
        <f>'Monthly Data (14-23) Used'!CC1</f>
        <v>Peak Days</v>
      </c>
      <c r="I1" t="str">
        <f>'Monthly Data (14-23) Used'!BU1</f>
        <v>Sept</v>
      </c>
      <c r="J1" t="str">
        <f>'Monthly Data (14-23) Used'!BZ1</f>
        <v>Fall</v>
      </c>
      <c r="L1" t="s">
        <v>221</v>
      </c>
      <c r="M1" t="str">
        <f t="shared" ref="M1:R1" si="0">E1</f>
        <v>HDD16</v>
      </c>
      <c r="N1" t="str">
        <f t="shared" si="0"/>
        <v>CDD12</v>
      </c>
      <c r="O1" t="str">
        <f t="shared" si="0"/>
        <v>Total_OEA</v>
      </c>
      <c r="P1" t="str">
        <f t="shared" si="0"/>
        <v>Peak Days</v>
      </c>
      <c r="Q1" t="str">
        <f t="shared" si="0"/>
        <v>Sept</v>
      </c>
      <c r="R1" t="str">
        <f t="shared" si="0"/>
        <v>Fall</v>
      </c>
      <c r="S1" t="s">
        <v>242</v>
      </c>
      <c r="T1" t="s">
        <v>248</v>
      </c>
      <c r="U1" t="s">
        <v>243</v>
      </c>
    </row>
    <row r="2" spans="1:33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Used'!M2</f>
        <v>14677049.996043535</v>
      </c>
      <c r="E2" s="64">
        <f>'Monthly Data (14-23) Used'!AE2</f>
        <v>747.69999999999982</v>
      </c>
      <c r="F2" s="64">
        <f>'Monthly Data (14-23) Used'!AJ2</f>
        <v>0</v>
      </c>
      <c r="G2" s="6">
        <f>'Monthly Data (14-23) Used'!BC2</f>
        <v>699057</v>
      </c>
      <c r="H2">
        <f>'Monthly Data (14-23) Used'!CC2</f>
        <v>22</v>
      </c>
      <c r="I2">
        <f>'Monthly Data (14-23) Used'!BU2</f>
        <v>0</v>
      </c>
      <c r="J2">
        <f>'Monthly Data (14-23) Used'!BZ2</f>
        <v>0</v>
      </c>
      <c r="L2" s="6">
        <f t="shared" ref="L2:L54" si="3">$X$9</f>
        <v>-4689965.23186938</v>
      </c>
      <c r="M2" s="6">
        <f t="shared" ref="M2:M33" si="4">E2*$X$10</f>
        <v>2951388.0371423843</v>
      </c>
      <c r="N2" s="6">
        <f t="shared" ref="N2:N33" si="5">F2*$X$11</f>
        <v>0</v>
      </c>
      <c r="O2" s="6">
        <f t="shared" ref="O2:O33" si="6">G2*$X$12</f>
        <v>11377125.068907786</v>
      </c>
      <c r="P2" s="6">
        <f t="shared" ref="P2:P33" si="7">H2*$X$13</f>
        <v>5034099.8114613146</v>
      </c>
      <c r="Q2" s="6">
        <f t="shared" ref="Q2:Q33" si="8">I2*$X$14</f>
        <v>0</v>
      </c>
      <c r="R2" s="6">
        <f t="shared" ref="R2:R33" si="9">J2*$X$15</f>
        <v>0</v>
      </c>
      <c r="S2" s="6">
        <f t="shared" ref="S2:S33" si="10">SUM(L2:R2)</f>
        <v>14672647.685642105</v>
      </c>
      <c r="T2" s="6">
        <f t="shared" ref="T2:T21" si="11">S2-D2</f>
        <v>-4402.3104014303535</v>
      </c>
      <c r="U2" s="14">
        <f t="shared" ref="U2:U21" si="12">ABS(S2-D2)/D2</f>
        <v>2.9994517989766857E-4</v>
      </c>
    </row>
    <row r="3" spans="1:33">
      <c r="A3" s="197">
        <v>41671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64">
        <f>'Monthly Data (14-23) Used'!AE3</f>
        <v>649.1</v>
      </c>
      <c r="F3" s="64">
        <f>'Monthly Data (14-23) Used'!AJ3</f>
        <v>0</v>
      </c>
      <c r="G3" s="6">
        <f>'Monthly Data (14-23) Used'!BC3</f>
        <v>699057</v>
      </c>
      <c r="H3">
        <f>'Monthly Data (14-23) Used'!CC3</f>
        <v>19</v>
      </c>
      <c r="I3">
        <f>'Monthly Data (14-23) Used'!BU3</f>
        <v>0</v>
      </c>
      <c r="J3">
        <f>'Monthly Data (14-23) Used'!BZ3</f>
        <v>0</v>
      </c>
      <c r="L3" s="6">
        <f t="shared" si="3"/>
        <v>-4689965.23186938</v>
      </c>
      <c r="M3" s="6">
        <f t="shared" si="4"/>
        <v>2562185.3349058744</v>
      </c>
      <c r="N3" s="6">
        <f t="shared" si="5"/>
        <v>0</v>
      </c>
      <c r="O3" s="6">
        <f t="shared" si="6"/>
        <v>11377125.068907786</v>
      </c>
      <c r="P3" s="6">
        <f t="shared" si="7"/>
        <v>4347631.6553529529</v>
      </c>
      <c r="Q3" s="6">
        <f t="shared" si="8"/>
        <v>0</v>
      </c>
      <c r="R3" s="6">
        <f t="shared" si="9"/>
        <v>0</v>
      </c>
      <c r="S3" s="6">
        <f t="shared" si="10"/>
        <v>13596976.827297233</v>
      </c>
      <c r="T3" s="6">
        <f t="shared" si="11"/>
        <v>118207.8312536981</v>
      </c>
      <c r="U3" s="14">
        <f t="shared" si="12"/>
        <v>8.7699278241504114E-3</v>
      </c>
      <c r="V3" s="16"/>
    </row>
    <row r="4" spans="1:33">
      <c r="A4" s="197">
        <v>41699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64">
        <f>'Monthly Data (14-23) Used'!AE4</f>
        <v>575.1</v>
      </c>
      <c r="F4" s="64">
        <f>'Monthly Data (14-23) Used'!AJ4</f>
        <v>0</v>
      </c>
      <c r="G4" s="6">
        <f>'Monthly Data (14-23) Used'!BC4</f>
        <v>699057</v>
      </c>
      <c r="H4">
        <f>'Monthly Data (14-23) Used'!CC4</f>
        <v>21</v>
      </c>
      <c r="I4">
        <f>'Monthly Data (14-23) Used'!BU4</f>
        <v>0</v>
      </c>
      <c r="J4">
        <f>'Monthly Data (14-23) Used'!BZ4</f>
        <v>0</v>
      </c>
      <c r="L4" s="6">
        <f t="shared" si="3"/>
        <v>-4689965.23186938</v>
      </c>
      <c r="M4" s="6">
        <f t="shared" si="4"/>
        <v>2270085.9437750243</v>
      </c>
      <c r="N4" s="6">
        <f t="shared" si="5"/>
        <v>0</v>
      </c>
      <c r="O4" s="6">
        <f t="shared" si="6"/>
        <v>11377125.068907786</v>
      </c>
      <c r="P4" s="6">
        <f t="shared" si="7"/>
        <v>4805277.092758527</v>
      </c>
      <c r="Q4" s="6">
        <f t="shared" si="8"/>
        <v>0</v>
      </c>
      <c r="R4" s="6">
        <f t="shared" si="9"/>
        <v>0</v>
      </c>
      <c r="S4" s="6">
        <f t="shared" si="10"/>
        <v>13762522.873571957</v>
      </c>
      <c r="T4" s="6">
        <f t="shared" si="11"/>
        <v>-358941.12247157842</v>
      </c>
      <c r="U4" s="14">
        <f t="shared" si="12"/>
        <v>2.5418123968743208E-2</v>
      </c>
      <c r="V4" s="16"/>
      <c r="W4" t="s">
        <v>253</v>
      </c>
    </row>
    <row r="5" spans="1:33">
      <c r="A5" s="197">
        <v>41730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64">
        <f>'Monthly Data (14-23) Used'!AE5</f>
        <v>223.7</v>
      </c>
      <c r="F5" s="64">
        <f>'Monthly Data (14-23) Used'!AJ5</f>
        <v>14.800000000000002</v>
      </c>
      <c r="G5" s="6">
        <f>'Monthly Data (14-23) Used'!BC5</f>
        <v>705966</v>
      </c>
      <c r="H5">
        <f>'Monthly Data (14-23) Used'!CC5</f>
        <v>20</v>
      </c>
      <c r="I5">
        <f>'Monthly Data (14-23) Used'!BU5</f>
        <v>0</v>
      </c>
      <c r="J5">
        <f>'Monthly Data (14-23) Used'!BZ5</f>
        <v>0</v>
      </c>
      <c r="L5" s="6">
        <f t="shared" si="3"/>
        <v>-4689965.23186938</v>
      </c>
      <c r="M5" s="6">
        <f t="shared" si="4"/>
        <v>883008.56481042062</v>
      </c>
      <c r="N5" s="6">
        <f t="shared" si="5"/>
        <v>225836.28718871955</v>
      </c>
      <c r="O5" s="6">
        <f t="shared" si="6"/>
        <v>11489568.771068102</v>
      </c>
      <c r="P5" s="6">
        <f t="shared" si="7"/>
        <v>4576454.3740557404</v>
      </c>
      <c r="Q5" s="6">
        <f t="shared" si="8"/>
        <v>0</v>
      </c>
      <c r="R5" s="6">
        <f t="shared" si="9"/>
        <v>0</v>
      </c>
      <c r="S5" s="6">
        <f t="shared" si="10"/>
        <v>12484902.765253603</v>
      </c>
      <c r="T5" s="6">
        <f t="shared" si="11"/>
        <v>341378.76921006851</v>
      </c>
      <c r="U5" s="14">
        <f t="shared" si="12"/>
        <v>2.8112001863815864E-2</v>
      </c>
      <c r="V5" s="16"/>
      <c r="W5" t="s">
        <v>254</v>
      </c>
    </row>
    <row r="6" spans="1:33">
      <c r="A6" s="197">
        <v>41760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64">
        <f>'Monthly Data (14-23) Used'!AE6</f>
        <v>67.800000000000011</v>
      </c>
      <c r="F6" s="64">
        <f>'Monthly Data (14-23) Used'!AJ6</f>
        <v>128.69999999999999</v>
      </c>
      <c r="G6" s="6">
        <f>'Monthly Data (14-23) Used'!BC6</f>
        <v>705966</v>
      </c>
      <c r="H6">
        <f>'Monthly Data (14-23) Used'!CC6</f>
        <v>22</v>
      </c>
      <c r="I6">
        <f>'Monthly Data (14-23) Used'!BU6</f>
        <v>0</v>
      </c>
      <c r="J6">
        <f>'Monthly Data (14-23) Used'!BZ6</f>
        <v>0</v>
      </c>
      <c r="L6" s="6">
        <f t="shared" si="3"/>
        <v>-4689965.23186938</v>
      </c>
      <c r="M6" s="6">
        <f t="shared" si="4"/>
        <v>267626.19890096795</v>
      </c>
      <c r="N6" s="6">
        <f t="shared" si="5"/>
        <v>1963860.1460262297</v>
      </c>
      <c r="O6" s="6">
        <f t="shared" si="6"/>
        <v>11489568.771068102</v>
      </c>
      <c r="P6" s="6">
        <f t="shared" si="7"/>
        <v>5034099.8114613146</v>
      </c>
      <c r="Q6" s="6">
        <f t="shared" si="8"/>
        <v>0</v>
      </c>
      <c r="R6" s="6">
        <f t="shared" si="9"/>
        <v>0</v>
      </c>
      <c r="S6" s="6">
        <f t="shared" si="10"/>
        <v>14065189.695587233</v>
      </c>
      <c r="T6" s="6">
        <f t="shared" si="11"/>
        <v>1241961.6995436978</v>
      </c>
      <c r="U6" s="14">
        <f t="shared" si="12"/>
        <v>9.685250078427142E-2</v>
      </c>
      <c r="V6" s="16"/>
      <c r="W6" t="s">
        <v>255</v>
      </c>
    </row>
    <row r="7" spans="1:33">
      <c r="A7" s="197">
        <v>41791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64">
        <f>'Monthly Data (14-23) Used'!AE7</f>
        <v>0</v>
      </c>
      <c r="F7" s="64">
        <f>'Monthly Data (14-23) Used'!AJ7</f>
        <v>280.50000000000006</v>
      </c>
      <c r="G7" s="6">
        <f>'Monthly Data (14-23) Used'!BC7</f>
        <v>705966</v>
      </c>
      <c r="H7">
        <f>'Monthly Data (14-23) Used'!CC7</f>
        <v>21</v>
      </c>
      <c r="I7">
        <f>'Monthly Data (14-23) Used'!BU7</f>
        <v>0</v>
      </c>
      <c r="J7">
        <f>'Monthly Data (14-23) Used'!BZ7</f>
        <v>0</v>
      </c>
      <c r="L7" s="6">
        <f t="shared" si="3"/>
        <v>-4689965.23186938</v>
      </c>
      <c r="M7" s="6">
        <f t="shared" si="4"/>
        <v>0</v>
      </c>
      <c r="N7" s="6">
        <f t="shared" si="5"/>
        <v>4280208.0105699887</v>
      </c>
      <c r="O7" s="6">
        <f t="shared" si="6"/>
        <v>11489568.771068102</v>
      </c>
      <c r="P7" s="6">
        <f t="shared" si="7"/>
        <v>4805277.092758527</v>
      </c>
      <c r="Q7" s="6">
        <f t="shared" si="8"/>
        <v>0</v>
      </c>
      <c r="R7" s="6">
        <f t="shared" si="9"/>
        <v>0</v>
      </c>
      <c r="S7" s="6">
        <f t="shared" si="10"/>
        <v>15885088.642527238</v>
      </c>
      <c r="T7" s="6">
        <f t="shared" si="11"/>
        <v>1313513.6464837026</v>
      </c>
      <c r="U7" s="14">
        <f t="shared" si="12"/>
        <v>9.0142187570001669E-2</v>
      </c>
      <c r="V7" s="16"/>
    </row>
    <row r="8" spans="1:33">
      <c r="A8" s="197">
        <v>41821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64">
        <f>'Monthly Data (14-23) Used'!AE8</f>
        <v>0</v>
      </c>
      <c r="F8" s="64">
        <f>'Monthly Data (14-23) Used'!AJ8</f>
        <v>266.09999999999997</v>
      </c>
      <c r="G8" s="6">
        <f>'Monthly Data (14-23) Used'!BC8</f>
        <v>713152</v>
      </c>
      <c r="H8">
        <f>'Monthly Data (14-23) Used'!CC8</f>
        <v>22</v>
      </c>
      <c r="I8">
        <f>'Monthly Data (14-23) Used'!BU8</f>
        <v>0</v>
      </c>
      <c r="J8">
        <f>'Monthly Data (14-23) Used'!BZ8</f>
        <v>0</v>
      </c>
      <c r="L8" s="6">
        <f t="shared" si="3"/>
        <v>-4689965.23186938</v>
      </c>
      <c r="M8" s="6">
        <f t="shared" si="4"/>
        <v>0</v>
      </c>
      <c r="N8" s="6">
        <f t="shared" si="5"/>
        <v>4060475.4068188011</v>
      </c>
      <c r="O8" s="6">
        <f t="shared" si="6"/>
        <v>11606520.637289558</v>
      </c>
      <c r="P8" s="6">
        <f t="shared" si="7"/>
        <v>5034099.8114613146</v>
      </c>
      <c r="Q8" s="6">
        <f t="shared" si="8"/>
        <v>0</v>
      </c>
      <c r="R8" s="6">
        <f t="shared" si="9"/>
        <v>0</v>
      </c>
      <c r="S8" s="6">
        <f t="shared" si="10"/>
        <v>16011130.623700293</v>
      </c>
      <c r="T8" s="6">
        <f t="shared" si="11"/>
        <v>1245636.6276567578</v>
      </c>
      <c r="U8" s="14">
        <f t="shared" si="12"/>
        <v>8.4361324314007405E-2</v>
      </c>
      <c r="V8" s="16"/>
      <c r="X8" t="s">
        <v>217</v>
      </c>
      <c r="Y8" t="s">
        <v>218</v>
      </c>
      <c r="Z8" t="s">
        <v>219</v>
      </c>
      <c r="AA8" t="s">
        <v>220</v>
      </c>
    </row>
    <row r="9" spans="1:33">
      <c r="A9" s="197">
        <v>41852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64">
        <f>'Monthly Data (14-23) Used'!AE9</f>
        <v>0</v>
      </c>
      <c r="F9" s="64">
        <f>'Monthly Data (14-23) Used'!AJ9</f>
        <v>278.00000000000006</v>
      </c>
      <c r="G9" s="6">
        <f>'Monthly Data (14-23) Used'!BC9</f>
        <v>713152</v>
      </c>
      <c r="H9">
        <f>'Monthly Data (14-23) Used'!CC9</f>
        <v>20</v>
      </c>
      <c r="I9">
        <f>'Monthly Data (14-23) Used'!BU9</f>
        <v>0</v>
      </c>
      <c r="J9">
        <f>'Monthly Data (14-23) Used'!BZ9</f>
        <v>0</v>
      </c>
      <c r="L9" s="6">
        <f t="shared" si="3"/>
        <v>-4689965.23186938</v>
      </c>
      <c r="M9" s="6">
        <f t="shared" si="4"/>
        <v>0</v>
      </c>
      <c r="N9" s="6">
        <f t="shared" si="5"/>
        <v>4242059.9890854079</v>
      </c>
      <c r="O9" s="6">
        <f t="shared" si="6"/>
        <v>11606520.637289558</v>
      </c>
      <c r="P9" s="6">
        <f t="shared" si="7"/>
        <v>4576454.3740557404</v>
      </c>
      <c r="Q9" s="6">
        <f t="shared" si="8"/>
        <v>0</v>
      </c>
      <c r="R9" s="6">
        <f t="shared" si="9"/>
        <v>0</v>
      </c>
      <c r="S9" s="6">
        <f t="shared" si="10"/>
        <v>15735069.768561326</v>
      </c>
      <c r="T9" s="6">
        <f t="shared" si="11"/>
        <v>-40217.227482208982</v>
      </c>
      <c r="U9" s="14">
        <f t="shared" si="12"/>
        <v>2.5493816684473329E-3</v>
      </c>
      <c r="V9" s="16"/>
      <c r="W9" t="s">
        <v>221</v>
      </c>
      <c r="X9" s="6">
        <v>-4689965.23186938</v>
      </c>
      <c r="Y9" s="6">
        <v>2465916.44720787</v>
      </c>
      <c r="Z9" s="105">
        <v>-1.90191571055855</v>
      </c>
      <c r="AA9" s="105">
        <v>5.9728245860705097E-2</v>
      </c>
    </row>
    <row r="10" spans="1:33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64">
        <f>'Monthly Data (14-23) Used'!AE10</f>
        <v>41.7</v>
      </c>
      <c r="F10" s="64">
        <f>'Monthly Data (14-23) Used'!AJ10</f>
        <v>138.6</v>
      </c>
      <c r="G10" s="6">
        <f>'Monthly Data (14-23) Used'!BC10</f>
        <v>713152</v>
      </c>
      <c r="H10">
        <f>'Monthly Data (14-23) Used'!CC10</f>
        <v>21</v>
      </c>
      <c r="I10">
        <f>'Monthly Data (14-23) Used'!BU10</f>
        <v>1</v>
      </c>
      <c r="J10">
        <f>'Monthly Data (14-23) Used'!BZ10</f>
        <v>0</v>
      </c>
      <c r="L10" s="6">
        <f t="shared" si="3"/>
        <v>-4689965.23186938</v>
      </c>
      <c r="M10" s="6">
        <f t="shared" si="4"/>
        <v>164601.95419130329</v>
      </c>
      <c r="N10" s="6">
        <f t="shared" si="5"/>
        <v>2114926.3111051708</v>
      </c>
      <c r="O10" s="6">
        <f t="shared" si="6"/>
        <v>11606520.637289558</v>
      </c>
      <c r="P10" s="6">
        <f t="shared" si="7"/>
        <v>4805277.092758527</v>
      </c>
      <c r="Q10" s="6">
        <f t="shared" si="8"/>
        <v>1564224.56108409</v>
      </c>
      <c r="R10" s="6">
        <f t="shared" si="9"/>
        <v>0</v>
      </c>
      <c r="S10" s="6">
        <f t="shared" si="10"/>
        <v>15565585.324559268</v>
      </c>
      <c r="T10" s="6">
        <f t="shared" si="11"/>
        <v>140025.32851573266</v>
      </c>
      <c r="U10" s="14">
        <f t="shared" si="12"/>
        <v>9.0774875305432937E-3</v>
      </c>
      <c r="V10" s="16"/>
      <c r="W10" t="s">
        <v>30</v>
      </c>
      <c r="X10" s="6">
        <v>3947.2890693358099</v>
      </c>
      <c r="Y10" s="6">
        <v>680.30913363443995</v>
      </c>
      <c r="Z10" s="105">
        <v>5.8021991388650997</v>
      </c>
      <c r="AA10" s="105">
        <v>6.0748460030362197E-8</v>
      </c>
      <c r="AG10" s="18"/>
    </row>
    <row r="11" spans="1:33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64">
        <f>'Monthly Data (14-23) Used'!AE11</f>
        <v>159.9</v>
      </c>
      <c r="F11" s="64">
        <f>'Monthly Data (14-23) Used'!AJ11</f>
        <v>32.199999999999996</v>
      </c>
      <c r="G11" s="6">
        <f>'Monthly Data (14-23) Used'!BC11</f>
        <v>716976</v>
      </c>
      <c r="H11">
        <f>'Monthly Data (14-23) Used'!CC11</f>
        <v>22</v>
      </c>
      <c r="I11">
        <f>'Monthly Data (14-23) Used'!BU11</f>
        <v>0</v>
      </c>
      <c r="J11">
        <f>'Monthly Data (14-23) Used'!BZ11</f>
        <v>1</v>
      </c>
      <c r="L11" s="6">
        <f t="shared" si="3"/>
        <v>-4689965.23186938</v>
      </c>
      <c r="M11" s="6">
        <f t="shared" si="4"/>
        <v>631171.52218679606</v>
      </c>
      <c r="N11" s="6">
        <f t="shared" si="5"/>
        <v>491346.51672140323</v>
      </c>
      <c r="O11" s="6">
        <f t="shared" si="6"/>
        <v>11668756.086277984</v>
      </c>
      <c r="P11" s="6">
        <f t="shared" si="7"/>
        <v>5034099.8114613146</v>
      </c>
      <c r="Q11" s="6">
        <f t="shared" si="8"/>
        <v>0</v>
      </c>
      <c r="R11" s="6">
        <f t="shared" si="9"/>
        <v>1139330.72171186</v>
      </c>
      <c r="S11" s="6">
        <f t="shared" si="10"/>
        <v>14274739.426489979</v>
      </c>
      <c r="T11" s="6">
        <f t="shared" si="11"/>
        <v>251116.43044644408</v>
      </c>
      <c r="U11" s="14">
        <f t="shared" si="12"/>
        <v>1.7906672941599415E-2</v>
      </c>
      <c r="V11" s="16"/>
      <c r="W11" t="s">
        <v>35</v>
      </c>
      <c r="X11" s="6">
        <v>15259.2085938324</v>
      </c>
      <c r="Y11" s="6">
        <v>1218.6844542321101</v>
      </c>
      <c r="Z11" s="105">
        <v>12.521049678480701</v>
      </c>
      <c r="AA11" s="105">
        <v>4.3331405569901797E-23</v>
      </c>
      <c r="AG11" s="18"/>
    </row>
    <row r="12" spans="1:33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64">
        <f>'Monthly Data (14-23) Used'!AE12</f>
        <v>419.30000000000007</v>
      </c>
      <c r="F12" s="64">
        <f>'Monthly Data (14-23) Used'!AJ12</f>
        <v>0</v>
      </c>
      <c r="G12" s="6">
        <f>'Monthly Data (14-23) Used'!BC12</f>
        <v>716976</v>
      </c>
      <c r="H12">
        <f>'Monthly Data (14-23) Used'!CC12</f>
        <v>20</v>
      </c>
      <c r="I12">
        <f>'Monthly Data (14-23) Used'!BU12</f>
        <v>0</v>
      </c>
      <c r="J12">
        <f>'Monthly Data (14-23) Used'!BZ12</f>
        <v>1</v>
      </c>
      <c r="L12" s="6">
        <f t="shared" si="3"/>
        <v>-4689965.23186938</v>
      </c>
      <c r="M12" s="6">
        <f t="shared" si="4"/>
        <v>1655098.3067725054</v>
      </c>
      <c r="N12" s="6">
        <f t="shared" si="5"/>
        <v>0</v>
      </c>
      <c r="O12" s="6">
        <f t="shared" si="6"/>
        <v>11668756.086277984</v>
      </c>
      <c r="P12" s="6">
        <f t="shared" si="7"/>
        <v>4576454.3740557404</v>
      </c>
      <c r="Q12" s="6">
        <f t="shared" si="8"/>
        <v>0</v>
      </c>
      <c r="R12" s="6">
        <f t="shared" si="9"/>
        <v>1139330.72171186</v>
      </c>
      <c r="S12" s="6">
        <f t="shared" si="10"/>
        <v>14349674.256948709</v>
      </c>
      <c r="T12" s="6">
        <f t="shared" si="11"/>
        <v>234584.26090517454</v>
      </c>
      <c r="U12" s="14">
        <f t="shared" si="12"/>
        <v>1.6619395340088414E-2</v>
      </c>
      <c r="V12" s="16"/>
      <c r="W12" t="s">
        <v>54</v>
      </c>
      <c r="X12" s="64">
        <v>16.2749605095261</v>
      </c>
      <c r="Y12" s="64">
        <v>2.83883033416893</v>
      </c>
      <c r="Z12" s="105">
        <v>5.7329810498486697</v>
      </c>
      <c r="AA12" s="105">
        <v>8.3413886060426594E-8</v>
      </c>
      <c r="AG12" s="18"/>
    </row>
    <row r="13" spans="1:33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64">
        <f>'Monthly Data (14-23) Used'!AE13</f>
        <v>483.2</v>
      </c>
      <c r="F13" s="64">
        <f>'Monthly Data (14-23) Used'!AJ13</f>
        <v>0</v>
      </c>
      <c r="G13" s="6">
        <f>'Monthly Data (14-23) Used'!BC13</f>
        <v>716976</v>
      </c>
      <c r="H13">
        <f>'Monthly Data (14-23) Used'!CC13</f>
        <v>21</v>
      </c>
      <c r="I13">
        <f>'Monthly Data (14-23) Used'!BU13</f>
        <v>0</v>
      </c>
      <c r="J13">
        <f>'Monthly Data (14-23) Used'!BZ13</f>
        <v>0</v>
      </c>
      <c r="L13" s="6">
        <f t="shared" si="3"/>
        <v>-4689965.23186938</v>
      </c>
      <c r="M13" s="6">
        <f t="shared" si="4"/>
        <v>1907330.0783030633</v>
      </c>
      <c r="N13" s="6">
        <f t="shared" si="5"/>
        <v>0</v>
      </c>
      <c r="O13" s="6">
        <f t="shared" si="6"/>
        <v>11668756.086277984</v>
      </c>
      <c r="P13" s="6">
        <f t="shared" si="7"/>
        <v>4805277.092758527</v>
      </c>
      <c r="Q13" s="6">
        <f t="shared" si="8"/>
        <v>0</v>
      </c>
      <c r="R13" s="6">
        <f t="shared" si="9"/>
        <v>0</v>
      </c>
      <c r="S13" s="6">
        <f t="shared" si="10"/>
        <v>13691398.025470195</v>
      </c>
      <c r="T13" s="6">
        <f t="shared" si="11"/>
        <v>-501936.97057333961</v>
      </c>
      <c r="U13" s="14">
        <f t="shared" si="12"/>
        <v>3.5364272788126053E-2</v>
      </c>
      <c r="V13" s="16"/>
      <c r="W13" t="s">
        <v>256</v>
      </c>
      <c r="X13" s="6">
        <v>228822.71870278701</v>
      </c>
      <c r="Y13" s="6">
        <v>47454.677771270697</v>
      </c>
      <c r="Z13" s="105">
        <v>4.8219212404244303</v>
      </c>
      <c r="AA13" s="105">
        <v>4.4708263240126299E-6</v>
      </c>
    </row>
    <row r="14" spans="1:33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64">
        <f>'Monthly Data (14-23) Used'!AE14</f>
        <v>704.90000000000009</v>
      </c>
      <c r="F14" s="64">
        <f>'Monthly Data (14-23) Used'!AJ14</f>
        <v>0</v>
      </c>
      <c r="G14" s="6">
        <f>'Monthly Data (14-23) Used'!BC14</f>
        <v>718587</v>
      </c>
      <c r="H14">
        <f>'Monthly Data (14-23) Used'!CC14</f>
        <v>21</v>
      </c>
      <c r="I14">
        <f>'Monthly Data (14-23) Used'!BU14</f>
        <v>0</v>
      </c>
      <c r="J14">
        <f>'Monthly Data (14-23) Used'!BZ14</f>
        <v>0</v>
      </c>
      <c r="L14" s="6">
        <f t="shared" si="3"/>
        <v>-4689965.23186938</v>
      </c>
      <c r="M14" s="6">
        <f t="shared" si="4"/>
        <v>2782444.0649748128</v>
      </c>
      <c r="N14" s="6">
        <f t="shared" si="5"/>
        <v>0</v>
      </c>
      <c r="O14" s="6">
        <f t="shared" si="6"/>
        <v>11694975.047658831</v>
      </c>
      <c r="P14" s="6">
        <f t="shared" si="7"/>
        <v>4805277.092758527</v>
      </c>
      <c r="Q14" s="6">
        <f t="shared" si="8"/>
        <v>0</v>
      </c>
      <c r="R14" s="6">
        <f t="shared" si="9"/>
        <v>0</v>
      </c>
      <c r="S14" s="6">
        <f t="shared" si="10"/>
        <v>14592730.973522792</v>
      </c>
      <c r="T14" s="6">
        <f t="shared" si="11"/>
        <v>-445906.61322412081</v>
      </c>
      <c r="U14" s="14">
        <f t="shared" si="12"/>
        <v>2.9650732032872749E-2</v>
      </c>
      <c r="V14" s="16"/>
      <c r="W14" t="s">
        <v>72</v>
      </c>
      <c r="X14" s="6">
        <v>1564224.56108409</v>
      </c>
      <c r="Y14" s="6">
        <v>244561.33319117699</v>
      </c>
      <c r="Z14" s="105">
        <v>6.3960420098843498</v>
      </c>
      <c r="AA14" s="105">
        <v>3.72170242585152E-9</v>
      </c>
    </row>
    <row r="15" spans="1:33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64">
        <f>'Monthly Data (14-23) Used'!AE15</f>
        <v>755.10000000000014</v>
      </c>
      <c r="F15" s="64">
        <f>'Monthly Data (14-23) Used'!AJ15</f>
        <v>0</v>
      </c>
      <c r="G15" s="6">
        <f>'Monthly Data (14-23) Used'!BC15</f>
        <v>718587</v>
      </c>
      <c r="H15">
        <f>'Monthly Data (14-23) Used'!CC15</f>
        <v>19</v>
      </c>
      <c r="I15">
        <f>'Monthly Data (14-23) Used'!BU15</f>
        <v>0</v>
      </c>
      <c r="J15">
        <f>'Monthly Data (14-23) Used'!BZ15</f>
        <v>0</v>
      </c>
      <c r="L15" s="6">
        <f t="shared" si="3"/>
        <v>-4689965.23186938</v>
      </c>
      <c r="M15" s="6">
        <f t="shared" si="4"/>
        <v>2980597.9762554704</v>
      </c>
      <c r="N15" s="6">
        <f t="shared" si="5"/>
        <v>0</v>
      </c>
      <c r="O15" s="6">
        <f t="shared" si="6"/>
        <v>11694975.047658831</v>
      </c>
      <c r="P15" s="6">
        <f t="shared" si="7"/>
        <v>4347631.6553529529</v>
      </c>
      <c r="Q15" s="6">
        <f t="shared" si="8"/>
        <v>0</v>
      </c>
      <c r="R15" s="6">
        <f t="shared" si="9"/>
        <v>0</v>
      </c>
      <c r="S15" s="6">
        <f t="shared" si="10"/>
        <v>14333239.447397873</v>
      </c>
      <c r="T15" s="6">
        <f t="shared" si="11"/>
        <v>965872.86065096036</v>
      </c>
      <c r="U15" s="14">
        <f t="shared" si="12"/>
        <v>7.2256031461617562E-2</v>
      </c>
      <c r="V15" s="16"/>
      <c r="W15" t="s">
        <v>77</v>
      </c>
      <c r="X15" s="6">
        <v>1139330.72171186</v>
      </c>
      <c r="Y15" s="64">
        <v>247781.440583282</v>
      </c>
      <c r="Z15" s="75">
        <v>4.5981277654607604</v>
      </c>
      <c r="AA15" s="192">
        <v>1.1187788117597399E-5</v>
      </c>
    </row>
    <row r="16" spans="1:33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64">
        <f>'Monthly Data (14-23) Used'!AE16</f>
        <v>503.3</v>
      </c>
      <c r="F16" s="64">
        <f>'Monthly Data (14-23) Used'!AJ16</f>
        <v>0</v>
      </c>
      <c r="G16" s="6">
        <f>'Monthly Data (14-23) Used'!BC16</f>
        <v>718587</v>
      </c>
      <c r="H16">
        <f>'Monthly Data (14-23) Used'!CC16</f>
        <v>22</v>
      </c>
      <c r="I16">
        <f>'Monthly Data (14-23) Used'!BU16</f>
        <v>0</v>
      </c>
      <c r="J16">
        <f>'Monthly Data (14-23) Used'!BZ16</f>
        <v>0</v>
      </c>
      <c r="L16" s="6">
        <f t="shared" si="3"/>
        <v>-4689965.23186938</v>
      </c>
      <c r="M16" s="6">
        <f t="shared" si="4"/>
        <v>1986670.5885967133</v>
      </c>
      <c r="N16" s="6">
        <f t="shared" si="5"/>
        <v>0</v>
      </c>
      <c r="O16" s="6">
        <f t="shared" si="6"/>
        <v>11694975.047658831</v>
      </c>
      <c r="P16" s="6">
        <f t="shared" si="7"/>
        <v>5034099.8114613146</v>
      </c>
      <c r="Q16" s="6">
        <f t="shared" si="8"/>
        <v>0</v>
      </c>
      <c r="R16" s="6">
        <f t="shared" si="9"/>
        <v>0</v>
      </c>
      <c r="S16" s="6">
        <f t="shared" si="10"/>
        <v>14025780.215847479</v>
      </c>
      <c r="T16" s="6">
        <f t="shared" si="11"/>
        <v>131560.62910056673</v>
      </c>
      <c r="U16" s="14">
        <f t="shared" si="12"/>
        <v>9.4687310992304062E-3</v>
      </c>
      <c r="V16" s="16"/>
    </row>
    <row r="17" spans="1:32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64">
        <f>'Monthly Data (14-23) Used'!AE17</f>
        <v>223.19999999999996</v>
      </c>
      <c r="F17" s="64">
        <f>'Monthly Data (14-23) Used'!AJ17</f>
        <v>7</v>
      </c>
      <c r="G17" s="6">
        <f>'Monthly Data (14-23) Used'!BC17</f>
        <v>723726</v>
      </c>
      <c r="H17">
        <f>'Monthly Data (14-23) Used'!CC17</f>
        <v>20</v>
      </c>
      <c r="I17">
        <f>'Monthly Data (14-23) Used'!BU17</f>
        <v>0</v>
      </c>
      <c r="J17">
        <f>'Monthly Data (14-23) Used'!BZ17</f>
        <v>0</v>
      </c>
      <c r="L17" s="6">
        <f t="shared" si="3"/>
        <v>-4689965.23186938</v>
      </c>
      <c r="M17" s="6">
        <f t="shared" si="4"/>
        <v>881034.92027575267</v>
      </c>
      <c r="N17" s="6">
        <f t="shared" si="5"/>
        <v>106814.4601568268</v>
      </c>
      <c r="O17" s="6">
        <f t="shared" si="6"/>
        <v>11778612.069717286</v>
      </c>
      <c r="P17" s="6">
        <f t="shared" si="7"/>
        <v>4576454.3740557404</v>
      </c>
      <c r="Q17" s="6">
        <f t="shared" si="8"/>
        <v>0</v>
      </c>
      <c r="R17" s="6">
        <f t="shared" si="9"/>
        <v>0</v>
      </c>
      <c r="S17" s="6">
        <f t="shared" si="10"/>
        <v>12652950.592336226</v>
      </c>
      <c r="T17" s="6">
        <f t="shared" si="11"/>
        <v>-543044.99441068619</v>
      </c>
      <c r="U17" s="14">
        <f t="shared" si="12"/>
        <v>4.115225644331684E-2</v>
      </c>
      <c r="V17" s="16"/>
      <c r="W17" t="s">
        <v>223</v>
      </c>
      <c r="X17" s="193"/>
      <c r="Z17" s="193"/>
    </row>
    <row r="18" spans="1:32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64">
        <f>'Monthly Data (14-23) Used'!AE18</f>
        <v>50.9</v>
      </c>
      <c r="F18" s="64">
        <f>'Monthly Data (14-23) Used'!AJ18</f>
        <v>159.69999999999999</v>
      </c>
      <c r="G18" s="6">
        <f>'Monthly Data (14-23) Used'!BC18</f>
        <v>723726</v>
      </c>
      <c r="H18">
        <f>'Monthly Data (14-23) Used'!CC18</f>
        <v>20</v>
      </c>
      <c r="I18">
        <f>'Monthly Data (14-23) Used'!BU18</f>
        <v>0</v>
      </c>
      <c r="J18">
        <f>'Monthly Data (14-23) Used'!BZ18</f>
        <v>0</v>
      </c>
      <c r="L18" s="6">
        <f t="shared" si="3"/>
        <v>-4689965.23186938</v>
      </c>
      <c r="M18" s="6">
        <f t="shared" si="4"/>
        <v>200917.01362919272</v>
      </c>
      <c r="N18" s="6">
        <f t="shared" si="5"/>
        <v>2436895.612435034</v>
      </c>
      <c r="O18" s="6">
        <f t="shared" si="6"/>
        <v>11778612.069717286</v>
      </c>
      <c r="P18" s="6">
        <f t="shared" si="7"/>
        <v>4576454.3740557404</v>
      </c>
      <c r="Q18" s="6">
        <f t="shared" si="8"/>
        <v>0</v>
      </c>
      <c r="R18" s="6">
        <f t="shared" si="9"/>
        <v>0</v>
      </c>
      <c r="S18" s="6">
        <f t="shared" si="10"/>
        <v>14302913.837967873</v>
      </c>
      <c r="T18" s="6">
        <f t="shared" si="11"/>
        <v>530792.25122096017</v>
      </c>
      <c r="U18" s="14">
        <f t="shared" si="12"/>
        <v>3.8541066303956269E-2</v>
      </c>
      <c r="V18" s="16"/>
      <c r="W18" t="s">
        <v>226</v>
      </c>
      <c r="X18" s="193">
        <v>62519724798321</v>
      </c>
      <c r="Y18" t="s">
        <v>227</v>
      </c>
      <c r="Z18" s="193">
        <v>743822.49285034195</v>
      </c>
    </row>
    <row r="19" spans="1:32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64">
        <f>'Monthly Data (14-23) Used'!AE19</f>
        <v>7.9</v>
      </c>
      <c r="F19" s="64">
        <f>'Monthly Data (14-23) Used'!AJ19</f>
        <v>225.4</v>
      </c>
      <c r="G19" s="6">
        <f>'Monthly Data (14-23) Used'!BC19</f>
        <v>723726</v>
      </c>
      <c r="H19">
        <f>'Monthly Data (14-23) Used'!CC19</f>
        <v>22</v>
      </c>
      <c r="I19">
        <f>'Monthly Data (14-23) Used'!BU19</f>
        <v>0</v>
      </c>
      <c r="J19">
        <f>'Monthly Data (14-23) Used'!BZ19</f>
        <v>0</v>
      </c>
      <c r="L19" s="6">
        <f t="shared" si="3"/>
        <v>-4689965.23186938</v>
      </c>
      <c r="M19" s="6">
        <f t="shared" si="4"/>
        <v>31183.583647752901</v>
      </c>
      <c r="N19" s="6">
        <f t="shared" si="5"/>
        <v>3439425.617049823</v>
      </c>
      <c r="O19" s="6">
        <f t="shared" si="6"/>
        <v>11778612.069717286</v>
      </c>
      <c r="P19" s="6">
        <f t="shared" si="7"/>
        <v>5034099.8114613146</v>
      </c>
      <c r="Q19" s="6">
        <f t="shared" si="8"/>
        <v>0</v>
      </c>
      <c r="R19" s="6">
        <f t="shared" si="9"/>
        <v>0</v>
      </c>
      <c r="S19" s="6">
        <f t="shared" si="10"/>
        <v>15593355.850006796</v>
      </c>
      <c r="T19" s="6">
        <f t="shared" si="11"/>
        <v>1128570.263259884</v>
      </c>
      <c r="U19" s="14">
        <f t="shared" si="12"/>
        <v>7.8021914427401903E-2</v>
      </c>
      <c r="V19" s="16"/>
      <c r="W19" t="s">
        <v>228</v>
      </c>
      <c r="X19" s="192">
        <v>0.85366726299066598</v>
      </c>
      <c r="Y19" t="s">
        <v>229</v>
      </c>
      <c r="Z19" s="192">
        <v>0.84589738314946195</v>
      </c>
    </row>
    <row r="20" spans="1:32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64">
        <f>'Monthly Data (14-23) Used'!AE20</f>
        <v>0.19999999999999929</v>
      </c>
      <c r="F20" s="64">
        <f>'Monthly Data (14-23) Used'!AJ20</f>
        <v>303.60000000000002</v>
      </c>
      <c r="G20" s="6">
        <f>'Monthly Data (14-23) Used'!BC20</f>
        <v>730341</v>
      </c>
      <c r="H20">
        <f>'Monthly Data (14-23) Used'!CC20</f>
        <v>22</v>
      </c>
      <c r="I20">
        <f>'Monthly Data (14-23) Used'!BU20</f>
        <v>0</v>
      </c>
      <c r="J20">
        <f>'Monthly Data (14-23) Used'!BZ20</f>
        <v>0</v>
      </c>
      <c r="L20" s="6">
        <f t="shared" si="3"/>
        <v>-4689965.23186938</v>
      </c>
      <c r="M20" s="6">
        <f t="shared" si="4"/>
        <v>789.45781386715919</v>
      </c>
      <c r="N20" s="6">
        <f t="shared" si="5"/>
        <v>4632695.7290875167</v>
      </c>
      <c r="O20" s="6">
        <f t="shared" si="6"/>
        <v>11886270.933487801</v>
      </c>
      <c r="P20" s="6">
        <f t="shared" si="7"/>
        <v>5034099.8114613146</v>
      </c>
      <c r="Q20" s="6">
        <f t="shared" si="8"/>
        <v>0</v>
      </c>
      <c r="R20" s="6">
        <f t="shared" si="9"/>
        <v>0</v>
      </c>
      <c r="S20" s="6">
        <f t="shared" si="10"/>
        <v>16863890.699981119</v>
      </c>
      <c r="T20" s="6">
        <f t="shared" si="11"/>
        <v>54637.113234207034</v>
      </c>
      <c r="U20" s="14">
        <f t="shared" si="12"/>
        <v>3.2504187620374242E-3</v>
      </c>
      <c r="V20" s="16"/>
      <c r="W20" t="s">
        <v>257</v>
      </c>
      <c r="X20" s="75">
        <v>52.903039035104698</v>
      </c>
      <c r="Y20" t="s">
        <v>231</v>
      </c>
      <c r="Z20" s="105">
        <v>1.41502064571364E-30</v>
      </c>
      <c r="AF20" s="18"/>
    </row>
    <row r="21" spans="1:32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64">
        <f>'Monthly Data (14-23) Used'!AE21</f>
        <v>2.0999999999999996</v>
      </c>
      <c r="F21" s="64">
        <f>'Monthly Data (14-23) Used'!AJ21</f>
        <v>280.3</v>
      </c>
      <c r="G21" s="6">
        <f>'Monthly Data (14-23) Used'!BC21</f>
        <v>730341</v>
      </c>
      <c r="H21">
        <f>'Monthly Data (14-23) Used'!CC21</f>
        <v>20</v>
      </c>
      <c r="I21">
        <f>'Monthly Data (14-23) Used'!BU21</f>
        <v>0</v>
      </c>
      <c r="J21">
        <f>'Monthly Data (14-23) Used'!BZ21</f>
        <v>0</v>
      </c>
      <c r="L21" s="6">
        <f t="shared" si="3"/>
        <v>-4689965.23186938</v>
      </c>
      <c r="M21" s="6">
        <f t="shared" si="4"/>
        <v>8289.3070456051992</v>
      </c>
      <c r="N21" s="6">
        <f t="shared" si="5"/>
        <v>4277156.1688512219</v>
      </c>
      <c r="O21" s="6">
        <f t="shared" si="6"/>
        <v>11886270.933487801</v>
      </c>
      <c r="P21" s="6">
        <f t="shared" si="7"/>
        <v>4576454.3740557404</v>
      </c>
      <c r="Q21" s="6">
        <f t="shared" si="8"/>
        <v>0</v>
      </c>
      <c r="R21" s="6">
        <f t="shared" si="9"/>
        <v>0</v>
      </c>
      <c r="S21" s="6">
        <f t="shared" si="10"/>
        <v>16058205.551570989</v>
      </c>
      <c r="T21" s="6">
        <f t="shared" si="11"/>
        <v>-804630.03517592326</v>
      </c>
      <c r="U21" s="14">
        <f t="shared" si="12"/>
        <v>4.7716176264465858E-2</v>
      </c>
      <c r="V21" s="16"/>
      <c r="W21" t="s">
        <v>232</v>
      </c>
      <c r="X21" s="75">
        <v>-3.4653999143158899E-2</v>
      </c>
      <c r="Y21" t="s">
        <v>233</v>
      </c>
      <c r="Z21" s="105">
        <v>2.0644896093157898</v>
      </c>
    </row>
    <row r="22" spans="1:32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64">
        <f>'Monthly Data (14-23) Used'!AE22</f>
        <v>7.2999999999999972</v>
      </c>
      <c r="F22" s="64">
        <f>'Monthly Data (14-23) Used'!AJ22</f>
        <v>227.30000000000007</v>
      </c>
      <c r="G22" s="6">
        <f>'Monthly Data (14-23) Used'!BC22</f>
        <v>730341</v>
      </c>
      <c r="H22">
        <f>'Monthly Data (14-23) Used'!CC22</f>
        <v>21</v>
      </c>
      <c r="I22">
        <f>'Monthly Data (14-23) Used'!BU22</f>
        <v>1</v>
      </c>
      <c r="J22">
        <f>'Monthly Data (14-23) Used'!BZ22</f>
        <v>0</v>
      </c>
      <c r="L22" s="6">
        <f t="shared" si="3"/>
        <v>-4689965.23186938</v>
      </c>
      <c r="M22" s="6">
        <f t="shared" si="4"/>
        <v>28815.210206151402</v>
      </c>
      <c r="N22" s="6">
        <f t="shared" si="5"/>
        <v>3468418.1133781057</v>
      </c>
      <c r="O22" s="6">
        <f t="shared" si="6"/>
        <v>11886270.933487801</v>
      </c>
      <c r="P22" s="6">
        <f t="shared" si="7"/>
        <v>4805277.092758527</v>
      </c>
      <c r="Q22" s="6">
        <f t="shared" si="8"/>
        <v>1564224.56108409</v>
      </c>
      <c r="R22" s="6">
        <f t="shared" si="9"/>
        <v>0</v>
      </c>
      <c r="S22" s="6">
        <f t="shared" si="10"/>
        <v>17063040.679045293</v>
      </c>
      <c r="T22" s="6">
        <f t="shared" ref="T22:T53" si="13">S22-D22</f>
        <v>-401442.90770161897</v>
      </c>
      <c r="U22" s="14">
        <f t="shared" ref="U22:U53" si="14">ABS(S22-D22)/D22</f>
        <v>2.2986245525533758E-2</v>
      </c>
      <c r="V22" s="16"/>
      <c r="X22" s="195"/>
      <c r="Z22" s="105"/>
    </row>
    <row r="23" spans="1:32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64">
        <f>'Monthly Data (14-23) Used'!AE23</f>
        <v>138.6</v>
      </c>
      <c r="F23" s="64">
        <f>'Monthly Data (14-23) Used'!AJ23</f>
        <v>45.4</v>
      </c>
      <c r="G23" s="6">
        <f>'Monthly Data (14-23) Used'!BC23</f>
        <v>737784</v>
      </c>
      <c r="H23">
        <f>'Monthly Data (14-23) Used'!CC23</f>
        <v>21</v>
      </c>
      <c r="I23">
        <f>'Monthly Data (14-23) Used'!BU23</f>
        <v>0</v>
      </c>
      <c r="J23">
        <f>'Monthly Data (14-23) Used'!BZ23</f>
        <v>1</v>
      </c>
      <c r="L23" s="6">
        <f t="shared" si="3"/>
        <v>-4689965.23186938</v>
      </c>
      <c r="M23" s="6">
        <f t="shared" si="4"/>
        <v>547094.26500994328</v>
      </c>
      <c r="N23" s="6">
        <f t="shared" si="5"/>
        <v>692768.07015999092</v>
      </c>
      <c r="O23" s="6">
        <f t="shared" si="6"/>
        <v>12007405.464560203</v>
      </c>
      <c r="P23" s="6">
        <f t="shared" si="7"/>
        <v>4805277.092758527</v>
      </c>
      <c r="Q23" s="6">
        <f t="shared" si="8"/>
        <v>0</v>
      </c>
      <c r="R23" s="6">
        <f t="shared" si="9"/>
        <v>1139330.72171186</v>
      </c>
      <c r="S23" s="6">
        <f t="shared" si="10"/>
        <v>14501910.382331144</v>
      </c>
      <c r="T23" s="6">
        <f t="shared" si="13"/>
        <v>-989621.20441576838</v>
      </c>
      <c r="U23" s="14">
        <f t="shared" si="14"/>
        <v>6.3881430888498764E-2</v>
      </c>
      <c r="V23" s="16"/>
      <c r="W23" t="s">
        <v>247</v>
      </c>
    </row>
    <row r="24" spans="1:32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64">
        <f>'Monthly Data (14-23) Used'!AE24</f>
        <v>266.09999999999997</v>
      </c>
      <c r="F24" s="64">
        <f>'Monthly Data (14-23) Used'!AJ24</f>
        <v>15.199999999999998</v>
      </c>
      <c r="G24" s="6">
        <f>'Monthly Data (14-23) Used'!BC24</f>
        <v>737784</v>
      </c>
      <c r="H24">
        <f>'Monthly Data (14-23) Used'!CC24</f>
        <v>21</v>
      </c>
      <c r="I24">
        <f>'Monthly Data (14-23) Used'!BU24</f>
        <v>0</v>
      </c>
      <c r="J24">
        <f>'Monthly Data (14-23) Used'!BZ24</f>
        <v>1</v>
      </c>
      <c r="L24" s="6">
        <f t="shared" si="3"/>
        <v>-4689965.23186938</v>
      </c>
      <c r="M24" s="6">
        <f t="shared" si="4"/>
        <v>1050373.6213502588</v>
      </c>
      <c r="N24" s="6">
        <f t="shared" si="5"/>
        <v>231939.97062625244</v>
      </c>
      <c r="O24" s="6">
        <f t="shared" si="6"/>
        <v>12007405.464560203</v>
      </c>
      <c r="P24" s="6">
        <f t="shared" si="7"/>
        <v>4805277.092758527</v>
      </c>
      <c r="Q24" s="6">
        <f t="shared" si="8"/>
        <v>0</v>
      </c>
      <c r="R24" s="6">
        <f t="shared" si="9"/>
        <v>1139330.72171186</v>
      </c>
      <c r="S24" s="6">
        <f t="shared" si="10"/>
        <v>14544361.639137723</v>
      </c>
      <c r="T24" s="6">
        <f t="shared" si="13"/>
        <v>-330538.9476091899</v>
      </c>
      <c r="U24" s="14">
        <f t="shared" si="14"/>
        <v>2.2221254231688119E-2</v>
      </c>
      <c r="V24" s="16"/>
      <c r="W24" t="s">
        <v>224</v>
      </c>
      <c r="X24" s="6">
        <v>15734301.292447999</v>
      </c>
      <c r="Y24" t="s">
        <v>225</v>
      </c>
      <c r="Z24" s="6">
        <v>1861094.1616274901</v>
      </c>
    </row>
    <row r="25" spans="1:32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64">
        <f>'Monthly Data (14-23) Used'!AE25</f>
        <v>355.3</v>
      </c>
      <c r="F25" s="64">
        <f>'Monthly Data (14-23) Used'!AJ25</f>
        <v>0.80000000000000071</v>
      </c>
      <c r="G25" s="6">
        <f>'Monthly Data (14-23) Used'!BC25</f>
        <v>737784</v>
      </c>
      <c r="H25">
        <f>'Monthly Data (14-23) Used'!CC25</f>
        <v>21</v>
      </c>
      <c r="I25">
        <f>'Monthly Data (14-23) Used'!BU25</f>
        <v>0</v>
      </c>
      <c r="J25">
        <f>'Monthly Data (14-23) Used'!BZ25</f>
        <v>0</v>
      </c>
      <c r="L25" s="6">
        <f t="shared" si="3"/>
        <v>-4689965.23186938</v>
      </c>
      <c r="M25" s="6">
        <f t="shared" si="4"/>
        <v>1402471.8063350134</v>
      </c>
      <c r="N25" s="6">
        <f t="shared" si="5"/>
        <v>12207.366875065931</v>
      </c>
      <c r="O25" s="6">
        <f t="shared" si="6"/>
        <v>12007405.464560203</v>
      </c>
      <c r="P25" s="6">
        <f t="shared" si="7"/>
        <v>4805277.092758527</v>
      </c>
      <c r="Q25" s="6">
        <f t="shared" si="8"/>
        <v>0</v>
      </c>
      <c r="R25" s="6">
        <f t="shared" si="9"/>
        <v>0</v>
      </c>
      <c r="S25" s="6">
        <f t="shared" si="10"/>
        <v>13537396.49865943</v>
      </c>
      <c r="T25" s="6">
        <f t="shared" si="13"/>
        <v>-472728.08808748238</v>
      </c>
      <c r="U25" s="14">
        <f t="shared" si="14"/>
        <v>3.3741890385090977E-2</v>
      </c>
      <c r="V25" s="16"/>
    </row>
    <row r="26" spans="1:32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64">
        <f>'Monthly Data (14-23) Used'!AE26</f>
        <v>582.9</v>
      </c>
      <c r="F26" s="64">
        <f>'Monthly Data (14-23) Used'!AJ26</f>
        <v>0</v>
      </c>
      <c r="G26" s="6">
        <f>'Monthly Data (14-23) Used'!BC26</f>
        <v>743287</v>
      </c>
      <c r="H26">
        <f>'Monthly Data (14-23) Used'!CC26</f>
        <v>20</v>
      </c>
      <c r="I26">
        <f>'Monthly Data (14-23) Used'!BU26</f>
        <v>0</v>
      </c>
      <c r="J26">
        <f>'Monthly Data (14-23) Used'!BZ26</f>
        <v>0</v>
      </c>
      <c r="L26" s="6">
        <f t="shared" si="3"/>
        <v>-4689965.23186938</v>
      </c>
      <c r="M26" s="6">
        <f t="shared" si="4"/>
        <v>2300874.7985158437</v>
      </c>
      <c r="N26" s="6">
        <f t="shared" si="5"/>
        <v>0</v>
      </c>
      <c r="O26" s="6">
        <f t="shared" si="6"/>
        <v>12096966.572244126</v>
      </c>
      <c r="P26" s="6">
        <f t="shared" si="7"/>
        <v>4576454.3740557404</v>
      </c>
      <c r="Q26" s="6">
        <f t="shared" si="8"/>
        <v>0</v>
      </c>
      <c r="R26" s="6">
        <f t="shared" si="9"/>
        <v>0</v>
      </c>
      <c r="S26" s="6">
        <f t="shared" si="10"/>
        <v>14284330.51294633</v>
      </c>
      <c r="T26" s="6">
        <f t="shared" si="13"/>
        <v>-675774.47728803195</v>
      </c>
      <c r="U26" s="14">
        <f t="shared" si="14"/>
        <v>4.5171773709420028E-2</v>
      </c>
      <c r="V26" s="16"/>
    </row>
    <row r="27" spans="1:32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64">
        <f>'Monthly Data (14-23) Used'!AE27</f>
        <v>492.2</v>
      </c>
      <c r="F27" s="64">
        <f>'Monthly Data (14-23) Used'!AJ27</f>
        <v>0</v>
      </c>
      <c r="G27" s="6">
        <f>'Monthly Data (14-23) Used'!BC27</f>
        <v>743287</v>
      </c>
      <c r="H27">
        <f>'Monthly Data (14-23) Used'!CC27</f>
        <v>20</v>
      </c>
      <c r="I27">
        <f>'Monthly Data (14-23) Used'!BU27</f>
        <v>0</v>
      </c>
      <c r="J27">
        <f>'Monthly Data (14-23) Used'!BZ27</f>
        <v>0</v>
      </c>
      <c r="L27" s="6">
        <f t="shared" si="3"/>
        <v>-4689965.23186938</v>
      </c>
      <c r="M27" s="6">
        <f t="shared" si="4"/>
        <v>1942855.6799270855</v>
      </c>
      <c r="N27" s="6">
        <f t="shared" si="5"/>
        <v>0</v>
      </c>
      <c r="O27" s="6">
        <f t="shared" si="6"/>
        <v>12096966.572244126</v>
      </c>
      <c r="P27" s="6">
        <f t="shared" si="7"/>
        <v>4576454.3740557404</v>
      </c>
      <c r="Q27" s="6">
        <f t="shared" si="8"/>
        <v>0</v>
      </c>
      <c r="R27" s="6">
        <f t="shared" si="9"/>
        <v>0</v>
      </c>
      <c r="S27" s="6">
        <f t="shared" si="10"/>
        <v>13926311.394357573</v>
      </c>
      <c r="T27" s="6">
        <f t="shared" si="13"/>
        <v>-633232.59587678872</v>
      </c>
      <c r="U27" s="14">
        <f t="shared" si="14"/>
        <v>4.3492611877234744E-2</v>
      </c>
      <c r="V27" s="16"/>
    </row>
    <row r="28" spans="1:32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64">
        <f>'Monthly Data (14-23) Used'!AE28</f>
        <v>342.4</v>
      </c>
      <c r="F28" s="64">
        <f>'Monthly Data (14-23) Used'!AJ28</f>
        <v>6.1</v>
      </c>
      <c r="G28" s="6">
        <f>'Monthly Data (14-23) Used'!BC28</f>
        <v>743287</v>
      </c>
      <c r="H28">
        <f>'Monthly Data (14-23) Used'!CC28</f>
        <v>21</v>
      </c>
      <c r="I28">
        <f>'Monthly Data (14-23) Used'!BU28</f>
        <v>0</v>
      </c>
      <c r="J28">
        <f>'Monthly Data (14-23) Used'!BZ28</f>
        <v>0</v>
      </c>
      <c r="L28" s="6">
        <f t="shared" si="3"/>
        <v>-4689965.23186938</v>
      </c>
      <c r="M28" s="6">
        <f t="shared" si="4"/>
        <v>1351551.7773405812</v>
      </c>
      <c r="N28" s="6">
        <f t="shared" si="5"/>
        <v>93081.17242237764</v>
      </c>
      <c r="O28" s="6">
        <f t="shared" si="6"/>
        <v>12096966.572244126</v>
      </c>
      <c r="P28" s="6">
        <f t="shared" si="7"/>
        <v>4805277.092758527</v>
      </c>
      <c r="Q28" s="6">
        <f t="shared" si="8"/>
        <v>0</v>
      </c>
      <c r="R28" s="6">
        <f t="shared" si="9"/>
        <v>0</v>
      </c>
      <c r="S28" s="6">
        <f t="shared" si="10"/>
        <v>13656911.382896231</v>
      </c>
      <c r="T28" s="6">
        <f t="shared" si="13"/>
        <v>-994125.60733813047</v>
      </c>
      <c r="U28" s="14">
        <f t="shared" si="14"/>
        <v>6.7853600260566138E-2</v>
      </c>
      <c r="V28" s="16"/>
    </row>
    <row r="29" spans="1:32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64">
        <f>'Monthly Data (14-23) Used'!AE29</f>
        <v>272.10000000000002</v>
      </c>
      <c r="F29" s="64">
        <f>'Monthly Data (14-23) Used'!AJ29</f>
        <v>9.4</v>
      </c>
      <c r="G29" s="6">
        <f>'Monthly Data (14-23) Used'!BC29</f>
        <v>740632</v>
      </c>
      <c r="H29">
        <f>'Monthly Data (14-23) Used'!CC29</f>
        <v>21</v>
      </c>
      <c r="I29">
        <f>'Monthly Data (14-23) Used'!BU29</f>
        <v>0</v>
      </c>
      <c r="J29">
        <f>'Monthly Data (14-23) Used'!BZ29</f>
        <v>0</v>
      </c>
      <c r="L29" s="6">
        <f t="shared" si="3"/>
        <v>-4689965.23186938</v>
      </c>
      <c r="M29" s="6">
        <f t="shared" si="4"/>
        <v>1074057.355766274</v>
      </c>
      <c r="N29" s="6">
        <f t="shared" si="5"/>
        <v>143436.56078202455</v>
      </c>
      <c r="O29" s="6">
        <f t="shared" si="6"/>
        <v>12053756.552091334</v>
      </c>
      <c r="P29" s="6">
        <f t="shared" si="7"/>
        <v>4805277.092758527</v>
      </c>
      <c r="Q29" s="6">
        <f t="shared" si="8"/>
        <v>0</v>
      </c>
      <c r="R29" s="6">
        <f t="shared" si="9"/>
        <v>0</v>
      </c>
      <c r="S29" s="6">
        <f t="shared" si="10"/>
        <v>13386562.329528781</v>
      </c>
      <c r="T29" s="6">
        <f t="shared" si="13"/>
        <v>-945769.66070558131</v>
      </c>
      <c r="U29" s="14">
        <f t="shared" si="14"/>
        <v>6.5988539851714392E-2</v>
      </c>
      <c r="V29" s="16"/>
    </row>
    <row r="30" spans="1:32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64">
        <f>'Monthly Data (14-23) Used'!AE30</f>
        <v>82.399999999999991</v>
      </c>
      <c r="F30" s="64">
        <f>'Monthly Data (14-23) Used'!AJ30</f>
        <v>116.89999999999998</v>
      </c>
      <c r="G30" s="6">
        <f>'Monthly Data (14-23) Used'!BC30</f>
        <v>740632</v>
      </c>
      <c r="H30">
        <f>'Monthly Data (14-23) Used'!CC30</f>
        <v>21</v>
      </c>
      <c r="I30">
        <f>'Monthly Data (14-23) Used'!BU30</f>
        <v>0</v>
      </c>
      <c r="J30">
        <f>'Monthly Data (14-23) Used'!BZ30</f>
        <v>0</v>
      </c>
      <c r="L30" s="6">
        <f t="shared" si="3"/>
        <v>-4689965.23186938</v>
      </c>
      <c r="M30" s="6">
        <f t="shared" si="4"/>
        <v>325256.61931327073</v>
      </c>
      <c r="N30" s="6">
        <f t="shared" si="5"/>
        <v>1783801.4846190072</v>
      </c>
      <c r="O30" s="6">
        <f t="shared" si="6"/>
        <v>12053756.552091334</v>
      </c>
      <c r="P30" s="6">
        <f t="shared" si="7"/>
        <v>4805277.092758527</v>
      </c>
      <c r="Q30" s="6">
        <f t="shared" si="8"/>
        <v>0</v>
      </c>
      <c r="R30" s="6">
        <f t="shared" si="9"/>
        <v>0</v>
      </c>
      <c r="S30" s="6">
        <f t="shared" si="10"/>
        <v>14278126.51691276</v>
      </c>
      <c r="T30" s="6">
        <f t="shared" si="13"/>
        <v>-533829.47332160175</v>
      </c>
      <c r="U30" s="14">
        <f t="shared" si="14"/>
        <v>3.6040444197482063E-2</v>
      </c>
      <c r="V30" s="16"/>
    </row>
    <row r="31" spans="1:32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64">
        <f>'Monthly Data (14-23) Used'!AE31</f>
        <v>0.90000000000000036</v>
      </c>
      <c r="F31" s="64">
        <f>'Monthly Data (14-23) Used'!AJ31</f>
        <v>274.49999999999989</v>
      </c>
      <c r="G31" s="6">
        <f>'Monthly Data (14-23) Used'!BC31</f>
        <v>740632</v>
      </c>
      <c r="H31">
        <f>'Monthly Data (14-23) Used'!CC31</f>
        <v>22</v>
      </c>
      <c r="I31">
        <f>'Monthly Data (14-23) Used'!BU31</f>
        <v>0</v>
      </c>
      <c r="J31">
        <f>'Monthly Data (14-23) Used'!BZ31</f>
        <v>0</v>
      </c>
      <c r="L31" s="6">
        <f t="shared" si="3"/>
        <v>-4689965.23186938</v>
      </c>
      <c r="M31" s="6">
        <f t="shared" si="4"/>
        <v>3552.5601624022302</v>
      </c>
      <c r="N31" s="6">
        <f t="shared" si="5"/>
        <v>4188652.759006992</v>
      </c>
      <c r="O31" s="6">
        <f t="shared" si="6"/>
        <v>12053756.552091334</v>
      </c>
      <c r="P31" s="6">
        <f t="shared" si="7"/>
        <v>5034099.8114613146</v>
      </c>
      <c r="Q31" s="6">
        <f t="shared" si="8"/>
        <v>0</v>
      </c>
      <c r="R31" s="6">
        <f t="shared" si="9"/>
        <v>0</v>
      </c>
      <c r="S31" s="6">
        <f t="shared" si="10"/>
        <v>16590096.450852662</v>
      </c>
      <c r="T31" s="6">
        <f t="shared" si="13"/>
        <v>47465.460618300363</v>
      </c>
      <c r="U31" s="14">
        <f t="shared" si="14"/>
        <v>2.8692812314027151E-3</v>
      </c>
      <c r="V31" s="16"/>
    </row>
    <row r="32" spans="1:32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64">
        <f>'Monthly Data (14-23) Used'!AE32</f>
        <v>0</v>
      </c>
      <c r="F32" s="64">
        <f>'Monthly Data (14-23) Used'!AJ32</f>
        <v>364.29999999999995</v>
      </c>
      <c r="G32" s="6">
        <f>'Monthly Data (14-23) Used'!BC32</f>
        <v>746606</v>
      </c>
      <c r="H32">
        <f>'Monthly Data (14-23) Used'!CC32</f>
        <v>20</v>
      </c>
      <c r="I32">
        <f>'Monthly Data (14-23) Used'!BU32</f>
        <v>0</v>
      </c>
      <c r="J32">
        <f>'Monthly Data (14-23) Used'!BZ32</f>
        <v>0</v>
      </c>
      <c r="L32" s="6">
        <f t="shared" si="3"/>
        <v>-4689965.23186938</v>
      </c>
      <c r="M32" s="6">
        <f t="shared" si="4"/>
        <v>0</v>
      </c>
      <c r="N32" s="6">
        <f t="shared" si="5"/>
        <v>5558929.6907331422</v>
      </c>
      <c r="O32" s="6">
        <f t="shared" si="6"/>
        <v>12150983.166175243</v>
      </c>
      <c r="P32" s="6">
        <f t="shared" si="7"/>
        <v>4576454.3740557404</v>
      </c>
      <c r="Q32" s="6">
        <f t="shared" si="8"/>
        <v>0</v>
      </c>
      <c r="R32" s="6">
        <f t="shared" si="9"/>
        <v>0</v>
      </c>
      <c r="S32" s="6">
        <f t="shared" si="10"/>
        <v>17596401.999094743</v>
      </c>
      <c r="T32" s="6">
        <f t="shared" si="13"/>
        <v>-913695.99113962054</v>
      </c>
      <c r="U32" s="14">
        <f t="shared" si="14"/>
        <v>4.9362028856987802E-2</v>
      </c>
      <c r="V32" s="16"/>
    </row>
    <row r="33" spans="1:22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64">
        <f>'Monthly Data (14-23) Used'!AE33</f>
        <v>0</v>
      </c>
      <c r="F33" s="64">
        <f>'Monthly Data (14-23) Used'!AJ33</f>
        <v>360.9</v>
      </c>
      <c r="G33" s="6">
        <f>'Monthly Data (14-23) Used'!BC33</f>
        <v>746606</v>
      </c>
      <c r="H33">
        <f>'Monthly Data (14-23) Used'!CC33</f>
        <v>22</v>
      </c>
      <c r="I33">
        <f>'Monthly Data (14-23) Used'!BU33</f>
        <v>0</v>
      </c>
      <c r="J33">
        <f>'Monthly Data (14-23) Used'!BZ33</f>
        <v>0</v>
      </c>
      <c r="L33" s="6">
        <f t="shared" si="3"/>
        <v>-4689965.23186938</v>
      </c>
      <c r="M33" s="6">
        <f t="shared" si="4"/>
        <v>0</v>
      </c>
      <c r="N33" s="6">
        <f t="shared" si="5"/>
        <v>5507048.3815141125</v>
      </c>
      <c r="O33" s="6">
        <f t="shared" si="6"/>
        <v>12150983.166175243</v>
      </c>
      <c r="P33" s="6">
        <f t="shared" si="7"/>
        <v>5034099.8114613146</v>
      </c>
      <c r="Q33" s="6">
        <f t="shared" si="8"/>
        <v>0</v>
      </c>
      <c r="R33" s="6">
        <f t="shared" si="9"/>
        <v>0</v>
      </c>
      <c r="S33" s="6">
        <f t="shared" si="10"/>
        <v>18002166.12728129</v>
      </c>
      <c r="T33" s="6">
        <f t="shared" si="13"/>
        <v>-2685559.8629530743</v>
      </c>
      <c r="U33" s="14">
        <f t="shared" si="14"/>
        <v>0.12981416440940838</v>
      </c>
      <c r="V33" s="16"/>
    </row>
    <row r="34" spans="1:22">
      <c r="A34" s="197">
        <v>42614</v>
      </c>
      <c r="B34">
        <f t="shared" ref="B34:B61" si="15">MONTH(A34)</f>
        <v>9</v>
      </c>
      <c r="C34">
        <f t="shared" ref="C34:C61" si="16">YEAR(A34)</f>
        <v>2016</v>
      </c>
      <c r="D34" s="6">
        <f>'Monthly Data (14-23) Used'!M34</f>
        <v>19809166.990234364</v>
      </c>
      <c r="E34" s="64">
        <f>'Monthly Data (14-23) Used'!AE34</f>
        <v>3.5999999999999979</v>
      </c>
      <c r="F34" s="64">
        <f>'Monthly Data (14-23) Used'!AJ34</f>
        <v>221.29999999999998</v>
      </c>
      <c r="G34" s="6">
        <f>'Monthly Data (14-23) Used'!BC34</f>
        <v>746606</v>
      </c>
      <c r="H34">
        <f>'Monthly Data (14-23) Used'!CC34</f>
        <v>21</v>
      </c>
      <c r="I34">
        <f>'Monthly Data (14-23) Used'!BU34</f>
        <v>1</v>
      </c>
      <c r="J34">
        <f>'Monthly Data (14-23) Used'!BZ34</f>
        <v>0</v>
      </c>
      <c r="L34" s="6">
        <f t="shared" si="3"/>
        <v>-4689965.23186938</v>
      </c>
      <c r="M34" s="6">
        <f t="shared" ref="M34:M54" si="17">E34*$X$10</f>
        <v>14210.240649608908</v>
      </c>
      <c r="N34" s="6">
        <f t="shared" ref="N34:N54" si="18">F34*$X$11</f>
        <v>3376862.8618151098</v>
      </c>
      <c r="O34" s="6">
        <f t="shared" ref="O34:O54" si="19">G34*$X$12</f>
        <v>12150983.166175243</v>
      </c>
      <c r="P34" s="6">
        <f t="shared" ref="P34:P54" si="20">H34*$X$13</f>
        <v>4805277.092758527</v>
      </c>
      <c r="Q34" s="6">
        <f t="shared" ref="Q34:Q54" si="21">I34*$X$14</f>
        <v>1564224.56108409</v>
      </c>
      <c r="R34" s="6">
        <f t="shared" ref="R34:R54" si="22">J34*$X$15</f>
        <v>0</v>
      </c>
      <c r="S34" s="6">
        <f t="shared" ref="S34:S54" si="23">SUM(L34:R34)</f>
        <v>17221592.690613199</v>
      </c>
      <c r="T34" s="6">
        <f t="shared" si="13"/>
        <v>-2587574.2996211648</v>
      </c>
      <c r="U34" s="14">
        <f t="shared" si="14"/>
        <v>0.13062509397274513</v>
      </c>
      <c r="V34" s="16"/>
    </row>
    <row r="35" spans="1:22">
      <c r="A35" s="197">
        <v>42644</v>
      </c>
      <c r="B35">
        <f t="shared" si="15"/>
        <v>10</v>
      </c>
      <c r="C35">
        <f t="shared" si="16"/>
        <v>2016</v>
      </c>
      <c r="D35" s="6">
        <f>'Monthly Data (14-23) Used'!M35</f>
        <v>17394767.990234364</v>
      </c>
      <c r="E35" s="64">
        <f>'Monthly Data (14-23) Used'!AE35</f>
        <v>127</v>
      </c>
      <c r="F35" s="64">
        <f>'Monthly Data (14-23) Used'!AJ35</f>
        <v>82.799999999999983</v>
      </c>
      <c r="G35" s="6">
        <f>'Monthly Data (14-23) Used'!BC35</f>
        <v>745380</v>
      </c>
      <c r="H35">
        <f>'Monthly Data (14-23) Used'!CC35</f>
        <v>20</v>
      </c>
      <c r="I35">
        <f>'Monthly Data (14-23) Used'!BU35</f>
        <v>0</v>
      </c>
      <c r="J35">
        <f>'Monthly Data (14-23) Used'!BZ35</f>
        <v>1</v>
      </c>
      <c r="L35" s="6">
        <f t="shared" si="3"/>
        <v>-4689965.23186938</v>
      </c>
      <c r="M35" s="6">
        <f t="shared" si="17"/>
        <v>501305.71180564788</v>
      </c>
      <c r="N35" s="6">
        <f t="shared" si="18"/>
        <v>1263462.4715693225</v>
      </c>
      <c r="O35" s="6">
        <f t="shared" si="19"/>
        <v>12131030.064590564</v>
      </c>
      <c r="P35" s="6">
        <f t="shared" si="20"/>
        <v>4576454.3740557404</v>
      </c>
      <c r="Q35" s="6">
        <f t="shared" si="21"/>
        <v>0</v>
      </c>
      <c r="R35" s="6">
        <f t="shared" si="22"/>
        <v>1139330.72171186</v>
      </c>
      <c r="S35" s="6">
        <f t="shared" si="23"/>
        <v>14921618.111863755</v>
      </c>
      <c r="T35" s="6">
        <f t="shared" si="13"/>
        <v>-2473149.8783706091</v>
      </c>
      <c r="U35" s="14">
        <f t="shared" si="14"/>
        <v>0.1421778019551089</v>
      </c>
      <c r="V35" s="16"/>
    </row>
    <row r="36" spans="1:22">
      <c r="A36" s="197">
        <v>42675</v>
      </c>
      <c r="B36">
        <f t="shared" si="15"/>
        <v>11</v>
      </c>
      <c r="C36">
        <f t="shared" si="16"/>
        <v>2016</v>
      </c>
      <c r="D36" s="6">
        <f>'Monthly Data (14-23) Used'!M36</f>
        <v>16436231.990234362</v>
      </c>
      <c r="E36" s="64">
        <f>'Monthly Data (14-23) Used'!AE36</f>
        <v>255.4</v>
      </c>
      <c r="F36" s="64">
        <f>'Monthly Data (14-23) Used'!AJ36</f>
        <v>11.600000000000001</v>
      </c>
      <c r="G36" s="6">
        <f>'Monthly Data (14-23) Used'!BC36</f>
        <v>745380</v>
      </c>
      <c r="H36">
        <f>'Monthly Data (14-23) Used'!CC36</f>
        <v>22</v>
      </c>
      <c r="I36">
        <f>'Monthly Data (14-23) Used'!BU36</f>
        <v>0</v>
      </c>
      <c r="J36">
        <f>'Monthly Data (14-23) Used'!BZ36</f>
        <v>1</v>
      </c>
      <c r="L36" s="6">
        <f t="shared" si="3"/>
        <v>-4689965.23186938</v>
      </c>
      <c r="M36" s="6">
        <f t="shared" si="17"/>
        <v>1008137.6283083658</v>
      </c>
      <c r="N36" s="6">
        <f t="shared" si="18"/>
        <v>177006.81968845587</v>
      </c>
      <c r="O36" s="6">
        <f t="shared" si="19"/>
        <v>12131030.064590564</v>
      </c>
      <c r="P36" s="6">
        <f t="shared" si="20"/>
        <v>5034099.8114613146</v>
      </c>
      <c r="Q36" s="6">
        <f t="shared" si="21"/>
        <v>0</v>
      </c>
      <c r="R36" s="6">
        <f t="shared" si="22"/>
        <v>1139330.72171186</v>
      </c>
      <c r="S36" s="6">
        <f t="shared" si="23"/>
        <v>14799639.81389118</v>
      </c>
      <c r="T36" s="6">
        <f t="shared" si="13"/>
        <v>-1636592.1763431821</v>
      </c>
      <c r="U36" s="14">
        <f t="shared" si="14"/>
        <v>9.9572224176171786E-2</v>
      </c>
      <c r="V36" s="16"/>
    </row>
    <row r="37" spans="1:22">
      <c r="A37" s="197">
        <v>42705</v>
      </c>
      <c r="B37">
        <f t="shared" si="15"/>
        <v>12</v>
      </c>
      <c r="C37">
        <f t="shared" si="16"/>
        <v>2016</v>
      </c>
      <c r="D37" s="6">
        <f>'Monthly Data (14-23) Used'!M37</f>
        <v>16007365.990234362</v>
      </c>
      <c r="E37" s="64">
        <f>'Monthly Data (14-23) Used'!AE37</f>
        <v>561.20000000000005</v>
      </c>
      <c r="F37" s="64">
        <f>'Monthly Data (14-23) Used'!AJ37</f>
        <v>0</v>
      </c>
      <c r="G37" s="6">
        <f>'Monthly Data (14-23) Used'!BC37</f>
        <v>745380</v>
      </c>
      <c r="H37">
        <f>'Monthly Data (14-23) Used'!CC37</f>
        <v>20</v>
      </c>
      <c r="I37">
        <f>'Monthly Data (14-23) Used'!BU37</f>
        <v>0</v>
      </c>
      <c r="J37">
        <f>'Monthly Data (14-23) Used'!BZ37</f>
        <v>0</v>
      </c>
      <c r="L37" s="6">
        <f t="shared" si="3"/>
        <v>-4689965.23186938</v>
      </c>
      <c r="M37" s="6">
        <f t="shared" si="17"/>
        <v>2215218.6257112566</v>
      </c>
      <c r="N37" s="6">
        <f t="shared" si="18"/>
        <v>0</v>
      </c>
      <c r="O37" s="6">
        <f t="shared" si="19"/>
        <v>12131030.064590564</v>
      </c>
      <c r="P37" s="6">
        <f t="shared" si="20"/>
        <v>4576454.3740557404</v>
      </c>
      <c r="Q37" s="6">
        <f t="shared" si="21"/>
        <v>0</v>
      </c>
      <c r="R37" s="6">
        <f t="shared" si="22"/>
        <v>0</v>
      </c>
      <c r="S37" s="6">
        <f t="shared" si="23"/>
        <v>14232737.832488179</v>
      </c>
      <c r="T37" s="6">
        <f t="shared" si="13"/>
        <v>-1774628.1577461828</v>
      </c>
      <c r="U37" s="14">
        <f t="shared" si="14"/>
        <v>0.11086322127130928</v>
      </c>
      <c r="V37" s="16"/>
    </row>
    <row r="38" spans="1:22">
      <c r="A38" s="197">
        <v>42736</v>
      </c>
      <c r="B38">
        <f t="shared" si="15"/>
        <v>1</v>
      </c>
      <c r="C38">
        <f t="shared" si="16"/>
        <v>2017</v>
      </c>
      <c r="D38" s="6">
        <f>'Monthly Data (14-23) Used'!M38</f>
        <v>14446532.461887022</v>
      </c>
      <c r="E38" s="64">
        <f>'Monthly Data (14-23) Used'!AE38</f>
        <v>522.19999999999993</v>
      </c>
      <c r="F38" s="64">
        <f>'Monthly Data (14-23) Used'!AJ38</f>
        <v>0</v>
      </c>
      <c r="G38" s="6">
        <f>'Monthly Data (14-23) Used'!BC38</f>
        <v>756702</v>
      </c>
      <c r="H38">
        <f>'Monthly Data (14-23) Used'!CC38</f>
        <v>22</v>
      </c>
      <c r="I38">
        <f>'Monthly Data (14-23) Used'!BU38</f>
        <v>0</v>
      </c>
      <c r="J38">
        <f>'Monthly Data (14-23) Used'!BZ38</f>
        <v>0</v>
      </c>
      <c r="L38" s="6">
        <f t="shared" si="3"/>
        <v>-4689965.23186938</v>
      </c>
      <c r="M38" s="6">
        <f t="shared" si="17"/>
        <v>2061274.3520071597</v>
      </c>
      <c r="N38" s="6">
        <f t="shared" si="18"/>
        <v>0</v>
      </c>
      <c r="O38" s="6">
        <f t="shared" si="19"/>
        <v>12315295.167479418</v>
      </c>
      <c r="P38" s="6">
        <f t="shared" si="20"/>
        <v>5034099.8114613146</v>
      </c>
      <c r="Q38" s="6">
        <f t="shared" si="21"/>
        <v>0</v>
      </c>
      <c r="R38" s="6">
        <f t="shared" si="22"/>
        <v>0</v>
      </c>
      <c r="S38" s="6">
        <f t="shared" si="23"/>
        <v>14720704.099078514</v>
      </c>
      <c r="T38" s="6">
        <f t="shared" si="13"/>
        <v>274171.6371914912</v>
      </c>
      <c r="U38" s="14">
        <f t="shared" si="14"/>
        <v>1.8978369924742382E-2</v>
      </c>
      <c r="V38" s="16"/>
    </row>
    <row r="39" spans="1:22">
      <c r="A39" s="197">
        <v>42767</v>
      </c>
      <c r="B39">
        <f t="shared" si="15"/>
        <v>2</v>
      </c>
      <c r="C39">
        <f t="shared" si="16"/>
        <v>2017</v>
      </c>
      <c r="D39" s="6">
        <f>'Monthly Data (14-23) Used'!M39</f>
        <v>12489324.461887022</v>
      </c>
      <c r="E39" s="64">
        <f>'Monthly Data (14-23) Used'!AE39</f>
        <v>384.69999999999987</v>
      </c>
      <c r="F39" s="64">
        <f>'Monthly Data (14-23) Used'!AJ39</f>
        <v>0</v>
      </c>
      <c r="G39" s="6">
        <f>'Monthly Data (14-23) Used'!BC39</f>
        <v>756702</v>
      </c>
      <c r="H39">
        <f>'Monthly Data (14-23) Used'!CC39</f>
        <v>19</v>
      </c>
      <c r="I39">
        <f>'Monthly Data (14-23) Used'!BU39</f>
        <v>0</v>
      </c>
      <c r="J39">
        <f>'Monthly Data (14-23) Used'!BZ39</f>
        <v>0</v>
      </c>
      <c r="L39" s="6">
        <f t="shared" si="3"/>
        <v>-4689965.23186938</v>
      </c>
      <c r="M39" s="6">
        <f t="shared" si="17"/>
        <v>1518522.1049734857</v>
      </c>
      <c r="N39" s="6">
        <f t="shared" si="18"/>
        <v>0</v>
      </c>
      <c r="O39" s="6">
        <f t="shared" si="19"/>
        <v>12315295.167479418</v>
      </c>
      <c r="P39" s="6">
        <f t="shared" si="20"/>
        <v>4347631.6553529529</v>
      </c>
      <c r="Q39" s="6">
        <f t="shared" si="21"/>
        <v>0</v>
      </c>
      <c r="R39" s="6">
        <f t="shared" si="22"/>
        <v>0</v>
      </c>
      <c r="S39" s="6">
        <f t="shared" si="23"/>
        <v>13491483.695936479</v>
      </c>
      <c r="T39" s="6">
        <f t="shared" si="13"/>
        <v>1002159.2340494562</v>
      </c>
      <c r="U39" s="14">
        <f t="shared" si="14"/>
        <v>8.0241268221326933E-2</v>
      </c>
      <c r="V39" s="16"/>
    </row>
    <row r="40" spans="1:22">
      <c r="A40" s="197">
        <v>42795</v>
      </c>
      <c r="B40">
        <f t="shared" si="15"/>
        <v>3</v>
      </c>
      <c r="C40">
        <f t="shared" si="16"/>
        <v>2017</v>
      </c>
      <c r="D40" s="6">
        <f>'Monthly Data (14-23) Used'!M40</f>
        <v>14870617.461887022</v>
      </c>
      <c r="E40" s="64">
        <f>'Monthly Data (14-23) Used'!AE40</f>
        <v>445.30000000000013</v>
      </c>
      <c r="F40" s="64">
        <f>'Monthly Data (14-23) Used'!AJ40</f>
        <v>1</v>
      </c>
      <c r="G40" s="6">
        <f>'Monthly Data (14-23) Used'!BC40</f>
        <v>756702</v>
      </c>
      <c r="H40">
        <f>'Monthly Data (14-23) Used'!CC40</f>
        <v>23</v>
      </c>
      <c r="I40">
        <f>'Monthly Data (14-23) Used'!BU40</f>
        <v>0</v>
      </c>
      <c r="J40">
        <f>'Monthly Data (14-23) Used'!BZ40</f>
        <v>0</v>
      </c>
      <c r="L40" s="6">
        <f t="shared" si="3"/>
        <v>-4689965.23186938</v>
      </c>
      <c r="M40" s="6">
        <f t="shared" si="17"/>
        <v>1757727.8225752367</v>
      </c>
      <c r="N40" s="6">
        <f t="shared" si="18"/>
        <v>15259.2085938324</v>
      </c>
      <c r="O40" s="6">
        <f t="shared" si="19"/>
        <v>12315295.167479418</v>
      </c>
      <c r="P40" s="6">
        <f t="shared" si="20"/>
        <v>5262922.5301641012</v>
      </c>
      <c r="Q40" s="6">
        <f t="shared" si="21"/>
        <v>0</v>
      </c>
      <c r="R40" s="6">
        <f t="shared" si="22"/>
        <v>0</v>
      </c>
      <c r="S40" s="6">
        <f t="shared" si="23"/>
        <v>14661239.496943209</v>
      </c>
      <c r="T40" s="6">
        <f t="shared" si="13"/>
        <v>-209377.96494381316</v>
      </c>
      <c r="U40" s="14">
        <f t="shared" si="14"/>
        <v>1.4079977881244208E-2</v>
      </c>
      <c r="V40" s="16"/>
    </row>
    <row r="41" spans="1:22">
      <c r="A41" s="197">
        <v>42826</v>
      </c>
      <c r="B41">
        <f t="shared" si="15"/>
        <v>4</v>
      </c>
      <c r="C41">
        <f t="shared" si="16"/>
        <v>2017</v>
      </c>
      <c r="D41" s="6">
        <f>'Monthly Data (14-23) Used'!M41</f>
        <v>12959068.461887022</v>
      </c>
      <c r="E41" s="64">
        <f>'Monthly Data (14-23) Used'!AE41</f>
        <v>147.39999999999995</v>
      </c>
      <c r="F41" s="64">
        <f>'Monthly Data (14-23) Used'!AJ41</f>
        <v>40.300000000000004</v>
      </c>
      <c r="G41" s="6">
        <f>'Monthly Data (14-23) Used'!BC41</f>
        <v>764644</v>
      </c>
      <c r="H41">
        <f>'Monthly Data (14-23) Used'!CC41</f>
        <v>19</v>
      </c>
      <c r="I41">
        <f>'Monthly Data (14-23) Used'!BU41</f>
        <v>0</v>
      </c>
      <c r="J41">
        <f>'Monthly Data (14-23) Used'!BZ41</f>
        <v>0</v>
      </c>
      <c r="L41" s="6">
        <f t="shared" si="3"/>
        <v>-4689965.23186938</v>
      </c>
      <c r="M41" s="6">
        <f t="shared" si="17"/>
        <v>581830.40882009815</v>
      </c>
      <c r="N41" s="6">
        <f t="shared" si="18"/>
        <v>614946.10633144574</v>
      </c>
      <c r="O41" s="6">
        <f t="shared" si="19"/>
        <v>12444550.903846076</v>
      </c>
      <c r="P41" s="6">
        <f t="shared" si="20"/>
        <v>4347631.6553529529</v>
      </c>
      <c r="Q41" s="6">
        <f t="shared" si="21"/>
        <v>0</v>
      </c>
      <c r="R41" s="6">
        <f t="shared" si="22"/>
        <v>0</v>
      </c>
      <c r="S41" s="6">
        <f t="shared" si="23"/>
        <v>13298993.842481192</v>
      </c>
      <c r="T41" s="6">
        <f t="shared" si="13"/>
        <v>339925.38059416972</v>
      </c>
      <c r="U41" s="14">
        <f t="shared" si="14"/>
        <v>2.6230695639420352E-2</v>
      </c>
      <c r="V41" s="16"/>
    </row>
    <row r="42" spans="1:22">
      <c r="A42" s="197">
        <v>42856</v>
      </c>
      <c r="B42">
        <f t="shared" si="15"/>
        <v>5</v>
      </c>
      <c r="C42">
        <f t="shared" si="16"/>
        <v>2017</v>
      </c>
      <c r="D42" s="6">
        <f>'Monthly Data (14-23) Used'!M42</f>
        <v>14186076.461887022</v>
      </c>
      <c r="E42" s="64">
        <f>'Monthly Data (14-23) Used'!AE42</f>
        <v>93.700000000000017</v>
      </c>
      <c r="F42" s="64">
        <f>'Monthly Data (14-23) Used'!AJ42</f>
        <v>100.50000000000001</v>
      </c>
      <c r="G42" s="6">
        <f>'Monthly Data (14-23) Used'!BC42</f>
        <v>764644</v>
      </c>
      <c r="H42">
        <f>'Monthly Data (14-23) Used'!CC42</f>
        <v>22</v>
      </c>
      <c r="I42">
        <f>'Monthly Data (14-23) Used'!BU42</f>
        <v>0</v>
      </c>
      <c r="J42">
        <f>'Monthly Data (14-23) Used'!BZ42</f>
        <v>0</v>
      </c>
      <c r="L42" s="6">
        <f t="shared" si="3"/>
        <v>-4689965.23186938</v>
      </c>
      <c r="M42" s="6">
        <f t="shared" si="17"/>
        <v>369860.98579676548</v>
      </c>
      <c r="N42" s="6">
        <f t="shared" si="18"/>
        <v>1533550.4636801565</v>
      </c>
      <c r="O42" s="6">
        <f t="shared" si="19"/>
        <v>12444550.903846076</v>
      </c>
      <c r="P42" s="6">
        <f t="shared" si="20"/>
        <v>5034099.8114613146</v>
      </c>
      <c r="Q42" s="6">
        <f t="shared" si="21"/>
        <v>0</v>
      </c>
      <c r="R42" s="6">
        <f t="shared" si="22"/>
        <v>0</v>
      </c>
      <c r="S42" s="6">
        <f t="shared" si="23"/>
        <v>14692096.932914931</v>
      </c>
      <c r="T42" s="6">
        <f t="shared" si="13"/>
        <v>506020.47102790885</v>
      </c>
      <c r="U42" s="14">
        <f t="shared" si="14"/>
        <v>3.5670220190015693E-2</v>
      </c>
      <c r="V42" s="16"/>
    </row>
    <row r="43" spans="1:22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Used'!M43</f>
        <v>15543861.461887022</v>
      </c>
      <c r="E43" s="64">
        <f>'Monthly Data (14-23) Used'!AE43</f>
        <v>0</v>
      </c>
      <c r="F43" s="64">
        <f>'Monthly Data (14-23) Used'!AJ43</f>
        <v>273.3</v>
      </c>
      <c r="G43" s="6">
        <f>'Monthly Data (14-23) Used'!BC43</f>
        <v>764644</v>
      </c>
      <c r="H43">
        <f>'Monthly Data (14-23) Used'!CC43</f>
        <v>22</v>
      </c>
      <c r="I43">
        <f>'Monthly Data (14-23) Used'!BU43</f>
        <v>0</v>
      </c>
      <c r="J43">
        <f>'Monthly Data (14-23) Used'!BZ43</f>
        <v>0</v>
      </c>
      <c r="L43" s="6">
        <f t="shared" si="3"/>
        <v>-4689965.23186938</v>
      </c>
      <c r="M43" s="6">
        <f t="shared" si="17"/>
        <v>0</v>
      </c>
      <c r="N43" s="6">
        <f t="shared" si="18"/>
        <v>4170341.7086943951</v>
      </c>
      <c r="O43" s="6">
        <f t="shared" si="19"/>
        <v>12444550.903846076</v>
      </c>
      <c r="P43" s="6">
        <f t="shared" si="20"/>
        <v>5034099.8114613146</v>
      </c>
      <c r="Q43" s="6">
        <f t="shared" si="21"/>
        <v>0</v>
      </c>
      <c r="R43" s="6">
        <f t="shared" si="22"/>
        <v>0</v>
      </c>
      <c r="S43" s="6">
        <f t="shared" si="23"/>
        <v>16959027.192132406</v>
      </c>
      <c r="T43" s="6">
        <f t="shared" si="13"/>
        <v>1415165.7302453835</v>
      </c>
      <c r="U43" s="14">
        <f t="shared" si="14"/>
        <v>9.1043382863088287E-2</v>
      </c>
      <c r="V43" s="16"/>
    </row>
    <row r="44" spans="1:22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Used'!M44</f>
        <v>17365234.461887024</v>
      </c>
      <c r="E44" s="64">
        <f>'Monthly Data (14-23) Used'!AE44</f>
        <v>0</v>
      </c>
      <c r="F44" s="64">
        <f>'Monthly Data (14-23) Used'!AJ44</f>
        <v>323</v>
      </c>
      <c r="G44" s="6">
        <f>'Monthly Data (14-23) Used'!BC44</f>
        <v>765060</v>
      </c>
      <c r="H44">
        <f>'Monthly Data (14-23) Used'!CC44</f>
        <v>20</v>
      </c>
      <c r="I44">
        <f>'Monthly Data (14-23) Used'!BU44</f>
        <v>0</v>
      </c>
      <c r="J44">
        <f>'Monthly Data (14-23) Used'!BZ44</f>
        <v>0</v>
      </c>
      <c r="L44" s="6">
        <f t="shared" si="3"/>
        <v>-4689965.23186938</v>
      </c>
      <c r="M44" s="6">
        <f t="shared" si="17"/>
        <v>0</v>
      </c>
      <c r="N44" s="6">
        <f t="shared" si="18"/>
        <v>4928724.3758078655</v>
      </c>
      <c r="O44" s="6">
        <f t="shared" si="19"/>
        <v>12451321.287418038</v>
      </c>
      <c r="P44" s="6">
        <f t="shared" si="20"/>
        <v>4576454.3740557404</v>
      </c>
      <c r="Q44" s="6">
        <f t="shared" si="21"/>
        <v>0</v>
      </c>
      <c r="R44" s="6">
        <f t="shared" si="22"/>
        <v>0</v>
      </c>
      <c r="S44" s="6">
        <f t="shared" si="23"/>
        <v>17266534.805412263</v>
      </c>
      <c r="T44" s="6">
        <f t="shared" si="13"/>
        <v>-98699.656474761665</v>
      </c>
      <c r="U44" s="14">
        <f t="shared" si="14"/>
        <v>5.6837502938060702E-3</v>
      </c>
      <c r="V44" s="16"/>
    </row>
    <row r="45" spans="1:22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Used'!M45</f>
        <v>16941793.461887024</v>
      </c>
      <c r="E45" s="64">
        <f>'Monthly Data (14-23) Used'!AE45</f>
        <v>0.5</v>
      </c>
      <c r="F45" s="64">
        <f>'Monthly Data (14-23) Used'!AJ45</f>
        <v>259.89999999999998</v>
      </c>
      <c r="G45" s="6">
        <f>'Monthly Data (14-23) Used'!BC45</f>
        <v>765060</v>
      </c>
      <c r="H45">
        <f>'Monthly Data (14-23) Used'!CC45</f>
        <v>22</v>
      </c>
      <c r="I45">
        <f>'Monthly Data (14-23) Used'!BU45</f>
        <v>0</v>
      </c>
      <c r="J45">
        <f>'Monthly Data (14-23) Used'!BZ45</f>
        <v>0</v>
      </c>
      <c r="L45" s="6">
        <f t="shared" si="3"/>
        <v>-4689965.23186938</v>
      </c>
      <c r="M45" s="6">
        <f t="shared" si="17"/>
        <v>1973.644534667905</v>
      </c>
      <c r="N45" s="6">
        <f t="shared" si="18"/>
        <v>3965868.3135370403</v>
      </c>
      <c r="O45" s="6">
        <f t="shared" si="19"/>
        <v>12451321.287418038</v>
      </c>
      <c r="P45" s="6">
        <f t="shared" si="20"/>
        <v>5034099.8114613146</v>
      </c>
      <c r="Q45" s="6">
        <f t="shared" si="21"/>
        <v>0</v>
      </c>
      <c r="R45" s="6">
        <f t="shared" si="22"/>
        <v>0</v>
      </c>
      <c r="S45" s="6">
        <f t="shared" si="23"/>
        <v>16763297.82508168</v>
      </c>
      <c r="T45" s="6">
        <f t="shared" si="13"/>
        <v>-178495.63680534437</v>
      </c>
      <c r="U45" s="14">
        <f t="shared" si="14"/>
        <v>1.0535817073139022E-2</v>
      </c>
      <c r="V45" s="16"/>
    </row>
    <row r="46" spans="1:22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Used'!M46</f>
        <v>17044512.461887024</v>
      </c>
      <c r="E46" s="64">
        <f>'Monthly Data (14-23) Used'!AE46</f>
        <v>22.1</v>
      </c>
      <c r="F46" s="64">
        <f>'Monthly Data (14-23) Used'!AJ46</f>
        <v>189.50000000000003</v>
      </c>
      <c r="G46" s="6">
        <f>'Monthly Data (14-23) Used'!BC46</f>
        <v>765060</v>
      </c>
      <c r="H46">
        <f>'Monthly Data (14-23) Used'!CC46</f>
        <v>20</v>
      </c>
      <c r="I46">
        <f>'Monthly Data (14-23) Used'!BU46</f>
        <v>1</v>
      </c>
      <c r="J46">
        <f>'Monthly Data (14-23) Used'!BZ46</f>
        <v>0</v>
      </c>
      <c r="L46" s="6">
        <f t="shared" si="3"/>
        <v>-4689965.23186938</v>
      </c>
      <c r="M46" s="6">
        <f t="shared" si="17"/>
        <v>87235.088432321412</v>
      </c>
      <c r="N46" s="6">
        <f t="shared" si="18"/>
        <v>2891620.0285312403</v>
      </c>
      <c r="O46" s="6">
        <f t="shared" si="19"/>
        <v>12451321.287418038</v>
      </c>
      <c r="P46" s="6">
        <f t="shared" si="20"/>
        <v>4576454.3740557404</v>
      </c>
      <c r="Q46" s="6">
        <f t="shared" si="21"/>
        <v>1564224.56108409</v>
      </c>
      <c r="R46" s="6">
        <f t="shared" si="22"/>
        <v>0</v>
      </c>
      <c r="S46" s="6">
        <f t="shared" si="23"/>
        <v>16880890.10765205</v>
      </c>
      <c r="T46" s="6">
        <f t="shared" si="13"/>
        <v>-163622.35423497483</v>
      </c>
      <c r="U46" s="14">
        <f t="shared" si="14"/>
        <v>9.5997086804828421E-3</v>
      </c>
      <c r="V46" s="16"/>
    </row>
    <row r="47" spans="1:22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Used'!M47</f>
        <v>15614935.461887022</v>
      </c>
      <c r="E47" s="64">
        <f>'Monthly Data (14-23) Used'!AE47</f>
        <v>105.10000000000001</v>
      </c>
      <c r="F47" s="64">
        <f>'Monthly Data (14-23) Used'!AJ47</f>
        <v>91.399999999999991</v>
      </c>
      <c r="G47" s="6">
        <f>'Monthly Data (14-23) Used'!BC47</f>
        <v>771453</v>
      </c>
      <c r="H47">
        <f>'Monthly Data (14-23) Used'!CC47</f>
        <v>21</v>
      </c>
      <c r="I47">
        <f>'Monthly Data (14-23) Used'!BU47</f>
        <v>0</v>
      </c>
      <c r="J47">
        <f>'Monthly Data (14-23) Used'!BZ47</f>
        <v>1</v>
      </c>
      <c r="L47" s="6">
        <f t="shared" si="3"/>
        <v>-4689965.23186938</v>
      </c>
      <c r="M47" s="6">
        <f t="shared" si="17"/>
        <v>414860.08118719363</v>
      </c>
      <c r="N47" s="6">
        <f t="shared" si="18"/>
        <v>1394691.6654762812</v>
      </c>
      <c r="O47" s="6">
        <f t="shared" si="19"/>
        <v>12555367.109955437</v>
      </c>
      <c r="P47" s="6">
        <f t="shared" si="20"/>
        <v>4805277.092758527</v>
      </c>
      <c r="Q47" s="6">
        <f t="shared" si="21"/>
        <v>0</v>
      </c>
      <c r="R47" s="6">
        <f t="shared" si="22"/>
        <v>1139330.72171186</v>
      </c>
      <c r="S47" s="6">
        <f t="shared" si="23"/>
        <v>15619561.439219918</v>
      </c>
      <c r="T47" s="6">
        <f t="shared" si="13"/>
        <v>4625.9773328956217</v>
      </c>
      <c r="U47" s="14">
        <f t="shared" si="14"/>
        <v>2.9625337512196063E-4</v>
      </c>
      <c r="V47" s="16"/>
    </row>
    <row r="48" spans="1:22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Used'!M48</f>
        <v>14960151.461887022</v>
      </c>
      <c r="E48" s="64">
        <f>'Monthly Data (14-23) Used'!AE48</f>
        <v>354.93552299140981</v>
      </c>
      <c r="F48" s="64">
        <f>'Monthly Data (14-23) Used'!AJ48</f>
        <v>0.40000000000000036</v>
      </c>
      <c r="G48" s="6">
        <f>'Monthly Data (14-23) Used'!BC48</f>
        <v>771453</v>
      </c>
      <c r="H48">
        <f>'Monthly Data (14-23) Used'!CC48</f>
        <v>22</v>
      </c>
      <c r="I48">
        <f>'Monthly Data (14-23) Used'!BU48</f>
        <v>0</v>
      </c>
      <c r="J48">
        <f>'Monthly Data (14-23) Used'!BZ48</f>
        <v>1</v>
      </c>
      <c r="L48" s="6">
        <f t="shared" si="3"/>
        <v>-4689965.23186938</v>
      </c>
      <c r="M48" s="6">
        <f t="shared" si="17"/>
        <v>1401033.1102229811</v>
      </c>
      <c r="N48" s="6">
        <f t="shared" si="18"/>
        <v>6103.6834375329654</v>
      </c>
      <c r="O48" s="6">
        <f t="shared" si="19"/>
        <v>12555367.109955437</v>
      </c>
      <c r="P48" s="6">
        <f t="shared" si="20"/>
        <v>5034099.8114613146</v>
      </c>
      <c r="Q48" s="6">
        <f t="shared" si="21"/>
        <v>0</v>
      </c>
      <c r="R48" s="6">
        <f t="shared" si="22"/>
        <v>1139330.72171186</v>
      </c>
      <c r="S48" s="6">
        <f t="shared" si="23"/>
        <v>15445969.204919744</v>
      </c>
      <c r="T48" s="6">
        <f t="shared" si="13"/>
        <v>485817.7430327218</v>
      </c>
      <c r="U48" s="14">
        <f t="shared" si="14"/>
        <v>3.2474119280837974E-2</v>
      </c>
      <c r="V48" s="16"/>
    </row>
    <row r="49" spans="1:22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Used'!M49</f>
        <v>13081358.461887022</v>
      </c>
      <c r="E49" s="64">
        <f>'Monthly Data (14-23) Used'!AE49</f>
        <v>610.00000000000011</v>
      </c>
      <c r="F49" s="64">
        <f>'Monthly Data (14-23) Used'!AJ49</f>
        <v>0</v>
      </c>
      <c r="G49" s="6">
        <f>'Monthly Data (14-23) Used'!BC49</f>
        <v>771453</v>
      </c>
      <c r="H49">
        <f>'Monthly Data (14-23) Used'!CC49</f>
        <v>19</v>
      </c>
      <c r="I49">
        <f>'Monthly Data (14-23) Used'!BU49</f>
        <v>0</v>
      </c>
      <c r="J49">
        <f>'Monthly Data (14-23) Used'!BZ49</f>
        <v>0</v>
      </c>
      <c r="L49" s="6">
        <f t="shared" si="3"/>
        <v>-4689965.23186938</v>
      </c>
      <c r="M49" s="6">
        <f t="shared" si="17"/>
        <v>2407846.3322948446</v>
      </c>
      <c r="N49" s="6">
        <f t="shared" si="18"/>
        <v>0</v>
      </c>
      <c r="O49" s="6">
        <f t="shared" si="19"/>
        <v>12555367.109955437</v>
      </c>
      <c r="P49" s="6">
        <f t="shared" si="20"/>
        <v>4347631.6553529529</v>
      </c>
      <c r="Q49" s="6">
        <f t="shared" si="21"/>
        <v>0</v>
      </c>
      <c r="R49" s="6">
        <f t="shared" si="22"/>
        <v>0</v>
      </c>
      <c r="S49" s="6">
        <f t="shared" si="23"/>
        <v>14620879.865733854</v>
      </c>
      <c r="T49" s="6">
        <f t="shared" si="13"/>
        <v>1539521.403846832</v>
      </c>
      <c r="U49" s="14">
        <f t="shared" si="14"/>
        <v>0.11768819028484537</v>
      </c>
      <c r="V49" s="16"/>
    </row>
    <row r="50" spans="1:22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Used'!M50</f>
        <v>15580080.174657103</v>
      </c>
      <c r="E50" s="64">
        <f>'Monthly Data (14-23) Used'!AE50</f>
        <v>643.6</v>
      </c>
      <c r="F50" s="64">
        <f>'Monthly Data (14-23) Used'!AJ50</f>
        <v>0</v>
      </c>
      <c r="G50" s="6">
        <f>'Monthly Data (14-23) Used'!BC50</f>
        <v>779459</v>
      </c>
      <c r="H50">
        <f>'Monthly Data (14-23) Used'!CC50</f>
        <v>22</v>
      </c>
      <c r="I50">
        <f>'Monthly Data (14-23) Used'!BU50</f>
        <v>0</v>
      </c>
      <c r="J50">
        <f>'Monthly Data (14-23) Used'!BZ50</f>
        <v>0</v>
      </c>
      <c r="L50" s="6">
        <f t="shared" si="3"/>
        <v>-4689965.23186938</v>
      </c>
      <c r="M50" s="6">
        <f t="shared" si="17"/>
        <v>2540475.2450245274</v>
      </c>
      <c r="N50" s="6">
        <f t="shared" si="18"/>
        <v>0</v>
      </c>
      <c r="O50" s="6">
        <f t="shared" si="19"/>
        <v>12685664.443794705</v>
      </c>
      <c r="P50" s="6">
        <f t="shared" si="20"/>
        <v>5034099.8114613146</v>
      </c>
      <c r="Q50" s="6">
        <f t="shared" si="21"/>
        <v>0</v>
      </c>
      <c r="R50" s="6">
        <f t="shared" si="22"/>
        <v>0</v>
      </c>
      <c r="S50" s="6">
        <f t="shared" si="23"/>
        <v>15570274.268411167</v>
      </c>
      <c r="T50" s="6">
        <f t="shared" si="13"/>
        <v>-9805.9062459357083</v>
      </c>
      <c r="U50" s="14">
        <f t="shared" si="14"/>
        <v>6.2938740597023423E-4</v>
      </c>
      <c r="V50" s="16"/>
    </row>
    <row r="51" spans="1:22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Used'!M51</f>
        <v>11579961.174657103</v>
      </c>
      <c r="E51" s="64">
        <f>'Monthly Data (14-23) Used'!AE51</f>
        <v>488.49999999999994</v>
      </c>
      <c r="F51" s="64">
        <f>'Monthly Data (14-23) Used'!AJ51</f>
        <v>1</v>
      </c>
      <c r="G51" s="6">
        <f>'Monthly Data (14-23) Used'!BC51</f>
        <v>779459</v>
      </c>
      <c r="H51">
        <f>'Monthly Data (14-23) Used'!CC51</f>
        <v>19</v>
      </c>
      <c r="I51">
        <f>'Monthly Data (14-23) Used'!BU51</f>
        <v>0</v>
      </c>
      <c r="J51">
        <f>'Monthly Data (14-23) Used'!BZ51</f>
        <v>0</v>
      </c>
      <c r="L51" s="6">
        <f t="shared" si="3"/>
        <v>-4689965.23186938</v>
      </c>
      <c r="M51" s="6">
        <f t="shared" si="17"/>
        <v>1928250.7103705429</v>
      </c>
      <c r="N51" s="6">
        <f t="shared" si="18"/>
        <v>15259.2085938324</v>
      </c>
      <c r="O51" s="6">
        <f t="shared" si="19"/>
        <v>12685664.443794705</v>
      </c>
      <c r="P51" s="6">
        <f t="shared" si="20"/>
        <v>4347631.6553529529</v>
      </c>
      <c r="Q51" s="6">
        <f t="shared" si="21"/>
        <v>0</v>
      </c>
      <c r="R51" s="6">
        <f t="shared" si="22"/>
        <v>0</v>
      </c>
      <c r="S51" s="6">
        <f t="shared" si="23"/>
        <v>14286840.786242653</v>
      </c>
      <c r="T51" s="6">
        <f t="shared" si="13"/>
        <v>2706879.61158555</v>
      </c>
      <c r="U51" s="14">
        <f t="shared" si="14"/>
        <v>0.23375549976018845</v>
      </c>
      <c r="V51" s="16"/>
    </row>
    <row r="52" spans="1:22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Used'!M52</f>
        <v>14641672.174657103</v>
      </c>
      <c r="E52" s="64">
        <f>'Monthly Data (14-23) Used'!AE52</f>
        <v>472.40000000000003</v>
      </c>
      <c r="F52" s="64">
        <f>'Monthly Data (14-23) Used'!AJ52</f>
        <v>0</v>
      </c>
      <c r="G52" s="6">
        <f>'Monthly Data (14-23) Used'!BC52</f>
        <v>779459</v>
      </c>
      <c r="H52">
        <f>'Monthly Data (14-23) Used'!CC52</f>
        <v>21</v>
      </c>
      <c r="I52">
        <f>'Monthly Data (14-23) Used'!BU52</f>
        <v>0</v>
      </c>
      <c r="J52">
        <f>'Monthly Data (14-23) Used'!BZ52</f>
        <v>0</v>
      </c>
      <c r="L52" s="6">
        <f t="shared" si="3"/>
        <v>-4689965.23186938</v>
      </c>
      <c r="M52" s="6">
        <f t="shared" si="17"/>
        <v>1864699.3563542368</v>
      </c>
      <c r="N52" s="6">
        <f t="shared" si="18"/>
        <v>0</v>
      </c>
      <c r="O52" s="6">
        <f t="shared" si="19"/>
        <v>12685664.443794705</v>
      </c>
      <c r="P52" s="6">
        <f t="shared" si="20"/>
        <v>4805277.092758527</v>
      </c>
      <c r="Q52" s="6">
        <f t="shared" si="21"/>
        <v>0</v>
      </c>
      <c r="R52" s="6">
        <f t="shared" si="22"/>
        <v>0</v>
      </c>
      <c r="S52" s="6">
        <f t="shared" si="23"/>
        <v>14665675.661038088</v>
      </c>
      <c r="T52" s="6">
        <f t="shared" si="13"/>
        <v>24003.486380985007</v>
      </c>
      <c r="U52" s="14">
        <f t="shared" si="14"/>
        <v>1.6393951520463645E-3</v>
      </c>
      <c r="V52" s="16"/>
    </row>
    <row r="53" spans="1:22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Used'!M53</f>
        <v>13663498.174657103</v>
      </c>
      <c r="E53" s="64">
        <f>'Monthly Data (14-23) Used'!AE53</f>
        <v>335.59999999999997</v>
      </c>
      <c r="F53" s="64">
        <f>'Monthly Data (14-23) Used'!AJ53</f>
        <v>2.2999999999999989</v>
      </c>
      <c r="G53" s="6">
        <f>'Monthly Data (14-23) Used'!BC53</f>
        <v>784896</v>
      </c>
      <c r="H53">
        <f>'Monthly Data (14-23) Used'!CC53</f>
        <v>21</v>
      </c>
      <c r="I53">
        <f>'Monthly Data (14-23) Used'!BU53</f>
        <v>0</v>
      </c>
      <c r="J53">
        <f>'Monthly Data (14-23) Used'!BZ53</f>
        <v>0</v>
      </c>
      <c r="L53" s="6">
        <f t="shared" si="3"/>
        <v>-4689965.23186938</v>
      </c>
      <c r="M53" s="6">
        <f t="shared" si="17"/>
        <v>1324710.2116690977</v>
      </c>
      <c r="N53" s="6">
        <f t="shared" si="18"/>
        <v>35096.179765814501</v>
      </c>
      <c r="O53" s="6">
        <f t="shared" si="19"/>
        <v>12774151.404084997</v>
      </c>
      <c r="P53" s="6">
        <f t="shared" si="20"/>
        <v>4805277.092758527</v>
      </c>
      <c r="Q53" s="6">
        <f t="shared" si="21"/>
        <v>0</v>
      </c>
      <c r="R53" s="6">
        <f t="shared" si="22"/>
        <v>0</v>
      </c>
      <c r="S53" s="6">
        <f t="shared" si="23"/>
        <v>14249269.656409057</v>
      </c>
      <c r="T53" s="6">
        <f t="shared" si="13"/>
        <v>585771.48175195418</v>
      </c>
      <c r="U53" s="14">
        <f t="shared" si="14"/>
        <v>4.2871267245341044E-2</v>
      </c>
      <c r="V53" s="16"/>
    </row>
    <row r="54" spans="1:22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Used'!M54</f>
        <v>14444843.174657103</v>
      </c>
      <c r="E54" s="64">
        <f>'Monthly Data (14-23) Used'!AE54</f>
        <v>33.099999999999994</v>
      </c>
      <c r="F54" s="64">
        <f>'Monthly Data (14-23) Used'!AJ54</f>
        <v>182.1</v>
      </c>
      <c r="G54" s="6">
        <f>'Monthly Data (14-23) Used'!BC54</f>
        <v>784896</v>
      </c>
      <c r="H54">
        <f>'Monthly Data (14-23) Used'!CC54</f>
        <v>22</v>
      </c>
      <c r="I54">
        <f>'Monthly Data (14-23) Used'!BU54</f>
        <v>0</v>
      </c>
      <c r="J54">
        <f>'Monthly Data (14-23) Used'!BZ54</f>
        <v>0</v>
      </c>
      <c r="L54" s="6">
        <f t="shared" si="3"/>
        <v>-4689965.23186938</v>
      </c>
      <c r="M54" s="6">
        <f t="shared" si="17"/>
        <v>130655.26819501529</v>
      </c>
      <c r="N54" s="6">
        <f t="shared" si="18"/>
        <v>2778701.8849368799</v>
      </c>
      <c r="O54" s="6">
        <f t="shared" si="19"/>
        <v>12774151.404084997</v>
      </c>
      <c r="P54" s="6">
        <f t="shared" si="20"/>
        <v>5034099.8114613146</v>
      </c>
      <c r="Q54" s="6">
        <f t="shared" si="21"/>
        <v>0</v>
      </c>
      <c r="R54" s="6">
        <f t="shared" si="22"/>
        <v>0</v>
      </c>
      <c r="S54" s="6">
        <f t="shared" si="23"/>
        <v>16027643.136808828</v>
      </c>
      <c r="T54" s="6">
        <f t="shared" ref="T54:T85" si="24">S54-D54</f>
        <v>1582799.9621517248</v>
      </c>
      <c r="U54" s="14">
        <f t="shared" ref="U54:U85" si="25">ABS(S54-D54)/D54</f>
        <v>0.10957543415415433</v>
      </c>
      <c r="V54" s="16"/>
    </row>
    <row r="55" spans="1:22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Used'!M55</f>
        <v>15625564.174657103</v>
      </c>
      <c r="E55" s="64">
        <f>'Monthly Data (14-23) Used'!AE55</f>
        <v>2.5</v>
      </c>
      <c r="F55" s="64">
        <f>'Monthly Data (14-23) Used'!AJ55</f>
        <v>266.29999999999995</v>
      </c>
      <c r="G55" s="6">
        <f>'Monthly Data (14-23) Used'!BC55</f>
        <v>784896</v>
      </c>
      <c r="H55">
        <f>'Monthly Data (14-23) Used'!CC55</f>
        <v>21</v>
      </c>
      <c r="I55">
        <f>'Monthly Data (14-23) Used'!BU55</f>
        <v>0</v>
      </c>
      <c r="J55">
        <f>'Monthly Data (14-23) Used'!BZ55</f>
        <v>0</v>
      </c>
      <c r="L55" s="6">
        <f t="shared" ref="L55:L118" si="26">$X$9</f>
        <v>-4689965.23186938</v>
      </c>
      <c r="M55" s="6">
        <f t="shared" ref="M55:M118" si="27">E55*$X$10</f>
        <v>9868.2226733395255</v>
      </c>
      <c r="N55" s="6">
        <f t="shared" ref="N55:N118" si="28">F55*$X$11</f>
        <v>4063527.2485375674</v>
      </c>
      <c r="O55" s="6">
        <f t="shared" ref="O55:O118" si="29">G55*$X$12</f>
        <v>12774151.404084997</v>
      </c>
      <c r="P55" s="6">
        <f t="shared" ref="P55:P118" si="30">H55*$X$13</f>
        <v>4805277.092758527</v>
      </c>
      <c r="Q55" s="6">
        <f t="shared" ref="Q55:Q118" si="31">I55*$X$14</f>
        <v>0</v>
      </c>
      <c r="R55" s="6">
        <f t="shared" ref="R55:R118" si="32">J55*$X$15</f>
        <v>0</v>
      </c>
      <c r="S55" s="6">
        <f t="shared" ref="S55:S115" si="33">SUM(L55:R55)</f>
        <v>16962858.736185052</v>
      </c>
      <c r="T55" s="6">
        <f t="shared" si="24"/>
        <v>1337294.5615279488</v>
      </c>
      <c r="U55" s="14">
        <f t="shared" si="25"/>
        <v>8.5583761749664644E-2</v>
      </c>
      <c r="V55" s="16"/>
    </row>
    <row r="56" spans="1:22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Used'!M56</f>
        <v>17089508.174657103</v>
      </c>
      <c r="E56" s="64">
        <f>'Monthly Data (14-23) Used'!AE56</f>
        <v>0</v>
      </c>
      <c r="F56" s="64">
        <f>'Monthly Data (14-23) Used'!AJ56</f>
        <v>349.10000000000008</v>
      </c>
      <c r="G56" s="6">
        <f>'Monthly Data (14-23) Used'!BC56</f>
        <v>794140</v>
      </c>
      <c r="H56">
        <f>'Monthly Data (14-23) Used'!CC56</f>
        <v>21</v>
      </c>
      <c r="I56">
        <f>'Monthly Data (14-23) Used'!BU56</f>
        <v>0</v>
      </c>
      <c r="J56">
        <f>'Monthly Data (14-23) Used'!BZ56</f>
        <v>0</v>
      </c>
      <c r="L56" s="6">
        <f t="shared" si="26"/>
        <v>-4689965.23186938</v>
      </c>
      <c r="M56" s="6">
        <f t="shared" si="27"/>
        <v>0</v>
      </c>
      <c r="N56" s="6">
        <f t="shared" si="28"/>
        <v>5326989.7201068923</v>
      </c>
      <c r="O56" s="6">
        <f t="shared" si="29"/>
        <v>12924597.139035057</v>
      </c>
      <c r="P56" s="6">
        <f t="shared" si="30"/>
        <v>4805277.092758527</v>
      </c>
      <c r="Q56" s="6">
        <f t="shared" si="31"/>
        <v>0</v>
      </c>
      <c r="R56" s="6">
        <f t="shared" si="32"/>
        <v>0</v>
      </c>
      <c r="S56" s="6">
        <f t="shared" si="33"/>
        <v>18366898.720031098</v>
      </c>
      <c r="T56" s="6">
        <f t="shared" si="24"/>
        <v>1277390.5453739949</v>
      </c>
      <c r="U56" s="14">
        <f t="shared" si="25"/>
        <v>7.4747063070445874E-2</v>
      </c>
      <c r="V56" s="16"/>
    </row>
    <row r="57" spans="1:22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Used'!M57</f>
        <v>17969716.174657103</v>
      </c>
      <c r="E57" s="64">
        <f>'Monthly Data (14-23) Used'!AE57</f>
        <v>0</v>
      </c>
      <c r="F57" s="64">
        <f>'Monthly Data (14-23) Used'!AJ57</f>
        <v>345.79999999999995</v>
      </c>
      <c r="G57" s="6">
        <f>'Monthly Data (14-23) Used'!BC57</f>
        <v>794140</v>
      </c>
      <c r="H57">
        <f>'Monthly Data (14-23) Used'!CC57</f>
        <v>22</v>
      </c>
      <c r="I57">
        <f>'Monthly Data (14-23) Used'!BU57</f>
        <v>0</v>
      </c>
      <c r="J57">
        <f>'Monthly Data (14-23) Used'!BZ57</f>
        <v>0</v>
      </c>
      <c r="L57" s="6">
        <f t="shared" si="26"/>
        <v>-4689965.23186938</v>
      </c>
      <c r="M57" s="6">
        <f t="shared" si="27"/>
        <v>0</v>
      </c>
      <c r="N57" s="6">
        <f t="shared" si="28"/>
        <v>5276634.3317472432</v>
      </c>
      <c r="O57" s="6">
        <f t="shared" si="29"/>
        <v>12924597.139035057</v>
      </c>
      <c r="P57" s="6">
        <f t="shared" si="30"/>
        <v>5034099.8114613146</v>
      </c>
      <c r="Q57" s="6">
        <f t="shared" si="31"/>
        <v>0</v>
      </c>
      <c r="R57" s="6">
        <f t="shared" si="32"/>
        <v>0</v>
      </c>
      <c r="S57" s="6">
        <f t="shared" si="33"/>
        <v>18545366.050374236</v>
      </c>
      <c r="T57" s="6">
        <f t="shared" si="24"/>
        <v>575649.87571713328</v>
      </c>
      <c r="U57" s="14">
        <f t="shared" si="25"/>
        <v>3.2034444513318411E-2</v>
      </c>
      <c r="V57" s="16"/>
    </row>
    <row r="58" spans="1:22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Used'!M58</f>
        <v>18103668.174657103</v>
      </c>
      <c r="E58" s="64">
        <f>'Monthly Data (14-23) Used'!AE58</f>
        <v>21.2</v>
      </c>
      <c r="F58" s="64">
        <f>'Monthly Data (14-23) Used'!AJ58</f>
        <v>224.19999999999996</v>
      </c>
      <c r="G58" s="6">
        <f>'Monthly Data (14-23) Used'!BC58</f>
        <v>794140</v>
      </c>
      <c r="H58">
        <f>'Monthly Data (14-23) Used'!CC58</f>
        <v>19</v>
      </c>
      <c r="I58">
        <f>'Monthly Data (14-23) Used'!BU58</f>
        <v>1</v>
      </c>
      <c r="J58">
        <f>'Monthly Data (14-23) Used'!BZ58</f>
        <v>0</v>
      </c>
      <c r="L58" s="6">
        <f t="shared" si="26"/>
        <v>-4689965.23186938</v>
      </c>
      <c r="M58" s="6">
        <f t="shared" si="27"/>
        <v>83682.528269919174</v>
      </c>
      <c r="N58" s="6">
        <f t="shared" si="28"/>
        <v>3421114.5667372234</v>
      </c>
      <c r="O58" s="6">
        <f t="shared" si="29"/>
        <v>12924597.139035057</v>
      </c>
      <c r="P58" s="6">
        <f t="shared" si="30"/>
        <v>4347631.6553529529</v>
      </c>
      <c r="Q58" s="6">
        <f t="shared" si="31"/>
        <v>1564224.56108409</v>
      </c>
      <c r="R58" s="6">
        <f t="shared" si="32"/>
        <v>0</v>
      </c>
      <c r="S58" s="6">
        <f t="shared" si="33"/>
        <v>17651285.218609866</v>
      </c>
      <c r="T58" s="6">
        <f t="shared" si="24"/>
        <v>-452382.95604723692</v>
      </c>
      <c r="U58" s="14">
        <f t="shared" si="25"/>
        <v>2.4988469280524988E-2</v>
      </c>
      <c r="V58" s="16"/>
    </row>
    <row r="59" spans="1:22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Used'!M59</f>
        <v>16238325.174657103</v>
      </c>
      <c r="E59" s="64">
        <f>'Monthly Data (14-23) Used'!AE59</f>
        <v>192.49999999999997</v>
      </c>
      <c r="F59" s="64">
        <f>'Monthly Data (14-23) Used'!AJ59</f>
        <v>67.3</v>
      </c>
      <c r="G59" s="6">
        <f>'Monthly Data (14-23) Used'!BC59</f>
        <v>799632</v>
      </c>
      <c r="H59">
        <f>'Monthly Data (14-23) Used'!CC59</f>
        <v>22</v>
      </c>
      <c r="I59">
        <f>'Monthly Data (14-23) Used'!BU59</f>
        <v>0</v>
      </c>
      <c r="J59">
        <f>'Monthly Data (14-23) Used'!BZ59</f>
        <v>1</v>
      </c>
      <c r="L59" s="6">
        <f t="shared" si="26"/>
        <v>-4689965.23186938</v>
      </c>
      <c r="M59" s="6">
        <f t="shared" si="27"/>
        <v>759853.14584714326</v>
      </c>
      <c r="N59" s="6">
        <f t="shared" si="28"/>
        <v>1026944.7383649205</v>
      </c>
      <c r="O59" s="6">
        <f t="shared" si="29"/>
        <v>13013979.222153375</v>
      </c>
      <c r="P59" s="6">
        <f t="shared" si="30"/>
        <v>5034099.8114613146</v>
      </c>
      <c r="Q59" s="6">
        <f t="shared" si="31"/>
        <v>0</v>
      </c>
      <c r="R59" s="6">
        <f t="shared" si="32"/>
        <v>1139330.72171186</v>
      </c>
      <c r="S59" s="6">
        <f t="shared" si="33"/>
        <v>16284242.407669231</v>
      </c>
      <c r="T59" s="6">
        <f t="shared" si="24"/>
        <v>45917.233012128621</v>
      </c>
      <c r="U59" s="14">
        <f t="shared" si="25"/>
        <v>2.8277074463190898E-3</v>
      </c>
      <c r="V59" s="16"/>
    </row>
    <row r="60" spans="1:22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Used'!M60</f>
        <v>15711352.174657103</v>
      </c>
      <c r="E60" s="64">
        <f>'Monthly Data (14-23) Used'!AE60</f>
        <v>425.73552299140994</v>
      </c>
      <c r="F60" s="64">
        <f>'Monthly Data (14-23) Used'!AJ60</f>
        <v>0</v>
      </c>
      <c r="G60" s="6">
        <f>'Monthly Data (14-23) Used'!BC60</f>
        <v>799632</v>
      </c>
      <c r="H60">
        <f>'Monthly Data (14-23) Used'!CC60</f>
        <v>22</v>
      </c>
      <c r="I60">
        <f>'Monthly Data (14-23) Used'!BU60</f>
        <v>0</v>
      </c>
      <c r="J60">
        <f>'Monthly Data (14-23) Used'!BZ60</f>
        <v>1</v>
      </c>
      <c r="L60" s="6">
        <f t="shared" si="26"/>
        <v>-4689965.23186938</v>
      </c>
      <c r="M60" s="6">
        <f t="shared" si="27"/>
        <v>1680501.1763319569</v>
      </c>
      <c r="N60" s="6">
        <f t="shared" si="28"/>
        <v>0</v>
      </c>
      <c r="O60" s="6">
        <f t="shared" si="29"/>
        <v>13013979.222153375</v>
      </c>
      <c r="P60" s="6">
        <f t="shared" si="30"/>
        <v>5034099.8114613146</v>
      </c>
      <c r="Q60" s="6">
        <f t="shared" si="31"/>
        <v>0</v>
      </c>
      <c r="R60" s="6">
        <f t="shared" si="32"/>
        <v>1139330.72171186</v>
      </c>
      <c r="S60" s="6">
        <f t="shared" si="33"/>
        <v>16177945.699789125</v>
      </c>
      <c r="T60" s="6">
        <f t="shared" si="24"/>
        <v>466593.5251320228</v>
      </c>
      <c r="U60" s="14">
        <f t="shared" si="25"/>
        <v>2.9697859225932991E-2</v>
      </c>
      <c r="V60" s="16"/>
    </row>
    <row r="61" spans="1:22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Used'!M61</f>
        <v>14656942.174657103</v>
      </c>
      <c r="E61" s="64">
        <f>'Monthly Data (14-23) Used'!AE61</f>
        <v>471.79999999999995</v>
      </c>
      <c r="F61" s="64">
        <f>'Monthly Data (14-23) Used'!AJ61</f>
        <v>0</v>
      </c>
      <c r="G61" s="6">
        <f>'Monthly Data (14-23) Used'!BC61</f>
        <v>799632</v>
      </c>
      <c r="H61">
        <f>'Monthly Data (14-23) Used'!CC61</f>
        <v>19</v>
      </c>
      <c r="I61">
        <f>'Monthly Data (14-23) Used'!BU61</f>
        <v>0</v>
      </c>
      <c r="J61">
        <f>'Monthly Data (14-23) Used'!BZ61</f>
        <v>0</v>
      </c>
      <c r="L61" s="6">
        <f t="shared" si="26"/>
        <v>-4689965.23186938</v>
      </c>
      <c r="M61" s="6">
        <f t="shared" si="27"/>
        <v>1862330.982912635</v>
      </c>
      <c r="N61" s="6">
        <f t="shared" si="28"/>
        <v>0</v>
      </c>
      <c r="O61" s="6">
        <f t="shared" si="29"/>
        <v>13013979.222153375</v>
      </c>
      <c r="P61" s="6">
        <f t="shared" si="30"/>
        <v>4347631.6553529529</v>
      </c>
      <c r="Q61" s="6">
        <f t="shared" si="31"/>
        <v>0</v>
      </c>
      <c r="R61" s="6">
        <f t="shared" si="32"/>
        <v>0</v>
      </c>
      <c r="S61" s="6">
        <f t="shared" si="33"/>
        <v>14533976.628549583</v>
      </c>
      <c r="T61" s="6">
        <f t="shared" si="24"/>
        <v>-122965.54610751942</v>
      </c>
      <c r="U61" s="14">
        <f t="shared" si="25"/>
        <v>8.3895770783714765E-3</v>
      </c>
      <c r="V61" s="16"/>
    </row>
    <row r="62" spans="1:22">
      <c r="A62" s="197">
        <v>43466</v>
      </c>
      <c r="B62">
        <f t="shared" ref="B62:B73" si="34">MONTH(A62)</f>
        <v>1</v>
      </c>
      <c r="C62">
        <f t="shared" ref="C62:C73" si="35">YEAR(A62)</f>
        <v>2019</v>
      </c>
      <c r="D62" s="6">
        <f>'Monthly Data (14-23) Used'!M62</f>
        <v>16080001.374472635</v>
      </c>
      <c r="E62" s="64">
        <f>'Monthly Data (14-23) Used'!AE62</f>
        <v>649.79999999999995</v>
      </c>
      <c r="F62" s="64">
        <f>'Monthly Data (14-23) Used'!AJ62</f>
        <v>0</v>
      </c>
      <c r="G62" s="6">
        <f>'Monthly Data (14-23) Used'!BC62</f>
        <v>800724</v>
      </c>
      <c r="H62">
        <f>'Monthly Data (14-23) Used'!CC62</f>
        <v>22</v>
      </c>
      <c r="I62">
        <f>'Monthly Data (14-23) Used'!BU62</f>
        <v>0</v>
      </c>
      <c r="J62">
        <f>'Monthly Data (14-23) Used'!BZ62</f>
        <v>0</v>
      </c>
      <c r="L62" s="6">
        <f t="shared" si="26"/>
        <v>-4689965.23186938</v>
      </c>
      <c r="M62" s="6">
        <f t="shared" si="27"/>
        <v>2564948.4372544093</v>
      </c>
      <c r="N62" s="6">
        <f t="shared" si="28"/>
        <v>0</v>
      </c>
      <c r="O62" s="6">
        <f t="shared" si="29"/>
        <v>13031751.479029777</v>
      </c>
      <c r="P62" s="6">
        <f t="shared" si="30"/>
        <v>5034099.8114613146</v>
      </c>
      <c r="Q62" s="6">
        <f t="shared" si="31"/>
        <v>0</v>
      </c>
      <c r="R62" s="6">
        <f t="shared" si="32"/>
        <v>0</v>
      </c>
      <c r="S62" s="6">
        <f t="shared" si="33"/>
        <v>15940834.49587612</v>
      </c>
      <c r="T62" s="6">
        <f t="shared" si="24"/>
        <v>-139166.87859651446</v>
      </c>
      <c r="U62" s="14">
        <f t="shared" si="25"/>
        <v>8.6546558893611184E-3</v>
      </c>
      <c r="V62" s="16"/>
    </row>
    <row r="63" spans="1:22">
      <c r="A63" s="197">
        <v>43497</v>
      </c>
      <c r="B63">
        <f t="shared" si="34"/>
        <v>2</v>
      </c>
      <c r="C63">
        <f t="shared" si="35"/>
        <v>2019</v>
      </c>
      <c r="D63" s="6">
        <f>'Monthly Data (14-23) Used'!M63</f>
        <v>14838000.374472635</v>
      </c>
      <c r="E63" s="64">
        <f>'Monthly Data (14-23) Used'!AE63</f>
        <v>524.90000000000009</v>
      </c>
      <c r="F63" s="64">
        <f>'Monthly Data (14-23) Used'!AJ63</f>
        <v>0</v>
      </c>
      <c r="G63" s="6">
        <f>'Monthly Data (14-23) Used'!BC63</f>
        <v>800724</v>
      </c>
      <c r="H63">
        <f>'Monthly Data (14-23) Used'!CC63</f>
        <v>19</v>
      </c>
      <c r="I63">
        <f>'Monthly Data (14-23) Used'!BU63</f>
        <v>0</v>
      </c>
      <c r="J63">
        <f>'Monthly Data (14-23) Used'!BZ63</f>
        <v>0</v>
      </c>
      <c r="L63" s="6">
        <f t="shared" si="26"/>
        <v>-4689965.23186938</v>
      </c>
      <c r="M63" s="6">
        <f t="shared" si="27"/>
        <v>2071932.0324943671</v>
      </c>
      <c r="N63" s="6">
        <f t="shared" si="28"/>
        <v>0</v>
      </c>
      <c r="O63" s="6">
        <f t="shared" si="29"/>
        <v>13031751.479029777</v>
      </c>
      <c r="P63" s="6">
        <f t="shared" si="30"/>
        <v>4347631.6553529529</v>
      </c>
      <c r="Q63" s="6">
        <f t="shared" si="31"/>
        <v>0</v>
      </c>
      <c r="R63" s="6">
        <f t="shared" si="32"/>
        <v>0</v>
      </c>
      <c r="S63" s="6">
        <f t="shared" si="33"/>
        <v>14761349.935007717</v>
      </c>
      <c r="T63" s="6">
        <f t="shared" si="24"/>
        <v>-76650.439464917406</v>
      </c>
      <c r="U63" s="14">
        <f t="shared" si="25"/>
        <v>5.1658200249669207E-3</v>
      </c>
      <c r="V63" s="16"/>
    </row>
    <row r="64" spans="1:22">
      <c r="A64" s="197">
        <v>43525</v>
      </c>
      <c r="B64">
        <f t="shared" si="34"/>
        <v>3</v>
      </c>
      <c r="C64">
        <f t="shared" si="35"/>
        <v>2019</v>
      </c>
      <c r="D64" s="6">
        <f>'Monthly Data (14-23) Used'!M64</f>
        <v>15694211.374472635</v>
      </c>
      <c r="E64" s="64">
        <f>'Monthly Data (14-23) Used'!AE64</f>
        <v>487.4</v>
      </c>
      <c r="F64" s="64">
        <f>'Monthly Data (14-23) Used'!AJ64</f>
        <v>0</v>
      </c>
      <c r="G64" s="6">
        <f>'Monthly Data (14-23) Used'!BC64</f>
        <v>800724</v>
      </c>
      <c r="H64">
        <f>'Monthly Data (14-23) Used'!CC64</f>
        <v>22</v>
      </c>
      <c r="I64">
        <f>'Monthly Data (14-23) Used'!BU64</f>
        <v>0</v>
      </c>
      <c r="J64">
        <f>'Monthly Data (14-23) Used'!BZ64</f>
        <v>0</v>
      </c>
      <c r="L64" s="6">
        <f t="shared" si="26"/>
        <v>-4689965.23186938</v>
      </c>
      <c r="M64" s="6">
        <f t="shared" si="27"/>
        <v>1923908.6923942736</v>
      </c>
      <c r="N64" s="6">
        <f t="shared" si="28"/>
        <v>0</v>
      </c>
      <c r="O64" s="6">
        <f t="shared" si="29"/>
        <v>13031751.479029777</v>
      </c>
      <c r="P64" s="6">
        <f t="shared" si="30"/>
        <v>5034099.8114613146</v>
      </c>
      <c r="Q64" s="6">
        <f t="shared" si="31"/>
        <v>0</v>
      </c>
      <c r="R64" s="6">
        <f t="shared" si="32"/>
        <v>0</v>
      </c>
      <c r="S64" s="6">
        <f t="shared" si="33"/>
        <v>15299794.751015984</v>
      </c>
      <c r="T64" s="6">
        <f t="shared" si="24"/>
        <v>-394416.62345665134</v>
      </c>
      <c r="U64" s="14">
        <f t="shared" si="25"/>
        <v>2.5131343910544515E-2</v>
      </c>
      <c r="V64" s="16"/>
    </row>
    <row r="65" spans="1:22">
      <c r="A65" s="197">
        <v>43556</v>
      </c>
      <c r="B65">
        <f t="shared" si="34"/>
        <v>4</v>
      </c>
      <c r="C65">
        <f t="shared" si="35"/>
        <v>2019</v>
      </c>
      <c r="D65" s="6">
        <f>'Monthly Data (14-23) Used'!M65</f>
        <v>14423362.374472635</v>
      </c>
      <c r="E65" s="64">
        <f>'Monthly Data (14-23) Used'!AE65</f>
        <v>218.8</v>
      </c>
      <c r="F65" s="64">
        <f>'Monthly Data (14-23) Used'!AJ65</f>
        <v>11.399999999999999</v>
      </c>
      <c r="G65" s="6">
        <f>'Monthly Data (14-23) Used'!BC65</f>
        <v>806630</v>
      </c>
      <c r="H65">
        <f>'Monthly Data (14-23) Used'!CC65</f>
        <v>21</v>
      </c>
      <c r="I65">
        <f>'Monthly Data (14-23) Used'!BU65</f>
        <v>0</v>
      </c>
      <c r="J65">
        <f>'Monthly Data (14-23) Used'!BZ65</f>
        <v>0</v>
      </c>
      <c r="L65" s="6">
        <f t="shared" si="26"/>
        <v>-4689965.23186938</v>
      </c>
      <c r="M65" s="6">
        <f t="shared" si="27"/>
        <v>863666.84837067523</v>
      </c>
      <c r="N65" s="6">
        <f t="shared" si="28"/>
        <v>173954.97796968932</v>
      </c>
      <c r="O65" s="6">
        <f t="shared" si="29"/>
        <v>13127871.395799037</v>
      </c>
      <c r="P65" s="6">
        <f t="shared" si="30"/>
        <v>4805277.092758527</v>
      </c>
      <c r="Q65" s="6">
        <f t="shared" si="31"/>
        <v>0</v>
      </c>
      <c r="R65" s="6">
        <f t="shared" si="32"/>
        <v>0</v>
      </c>
      <c r="S65" s="6">
        <f t="shared" si="33"/>
        <v>14280805.083028549</v>
      </c>
      <c r="T65" s="6">
        <f t="shared" si="24"/>
        <v>-142557.29144408554</v>
      </c>
      <c r="U65" s="14">
        <f t="shared" si="25"/>
        <v>9.8837765940341556E-3</v>
      </c>
      <c r="V65" s="16"/>
    </row>
    <row r="66" spans="1:22">
      <c r="A66" s="197">
        <v>43586</v>
      </c>
      <c r="B66">
        <f t="shared" si="34"/>
        <v>5</v>
      </c>
      <c r="C66">
        <f t="shared" si="35"/>
        <v>2019</v>
      </c>
      <c r="D66" s="6">
        <f>'Monthly Data (14-23) Used'!M66</f>
        <v>14808434.374472635</v>
      </c>
      <c r="E66" s="64">
        <f>'Monthly Data (14-23) Used'!AE66</f>
        <v>89.4</v>
      </c>
      <c r="F66" s="64">
        <f>'Monthly Data (14-23) Used'!AJ66</f>
        <v>83.399999999999991</v>
      </c>
      <c r="G66" s="6">
        <f>'Monthly Data (14-23) Used'!BC66</f>
        <v>806630</v>
      </c>
      <c r="H66">
        <f>'Monthly Data (14-23) Used'!CC66</f>
        <v>20</v>
      </c>
      <c r="I66">
        <f>'Monthly Data (14-23) Used'!BU66</f>
        <v>0</v>
      </c>
      <c r="J66">
        <f>'Monthly Data (14-23) Used'!BZ66</f>
        <v>0</v>
      </c>
      <c r="L66" s="6">
        <f t="shared" si="26"/>
        <v>-4689965.23186938</v>
      </c>
      <c r="M66" s="6">
        <f t="shared" si="27"/>
        <v>352887.64279862144</v>
      </c>
      <c r="N66" s="6">
        <f t="shared" si="28"/>
        <v>1272617.9967256221</v>
      </c>
      <c r="O66" s="6">
        <f t="shared" si="29"/>
        <v>13127871.395799037</v>
      </c>
      <c r="P66" s="6">
        <f t="shared" si="30"/>
        <v>4576454.3740557404</v>
      </c>
      <c r="Q66" s="6">
        <f t="shared" si="31"/>
        <v>0</v>
      </c>
      <c r="R66" s="6">
        <f t="shared" si="32"/>
        <v>0</v>
      </c>
      <c r="S66" s="6">
        <f t="shared" si="33"/>
        <v>14639866.177509639</v>
      </c>
      <c r="T66" s="6">
        <f t="shared" si="24"/>
        <v>-168568.19696299545</v>
      </c>
      <c r="U66" s="14">
        <f t="shared" si="25"/>
        <v>1.1383255832472067E-2</v>
      </c>
      <c r="V66" s="16"/>
    </row>
    <row r="67" spans="1:22">
      <c r="A67" s="197">
        <v>43617</v>
      </c>
      <c r="B67">
        <f t="shared" si="34"/>
        <v>6</v>
      </c>
      <c r="C67">
        <f t="shared" si="35"/>
        <v>2019</v>
      </c>
      <c r="D67" s="6">
        <f>'Monthly Data (14-23) Used'!M67</f>
        <v>15415733.374472635</v>
      </c>
      <c r="E67" s="64">
        <f>'Monthly Data (14-23) Used'!AE67</f>
        <v>7.1</v>
      </c>
      <c r="F67" s="64">
        <f>'Monthly Data (14-23) Used'!AJ67</f>
        <v>216.00000000000003</v>
      </c>
      <c r="G67" s="6">
        <f>'Monthly Data (14-23) Used'!BC67</f>
        <v>806630</v>
      </c>
      <c r="H67">
        <f>'Monthly Data (14-23) Used'!CC67</f>
        <v>22</v>
      </c>
      <c r="I67">
        <f>'Monthly Data (14-23) Used'!BU67</f>
        <v>0</v>
      </c>
      <c r="J67">
        <f>'Monthly Data (14-23) Used'!BZ67</f>
        <v>0</v>
      </c>
      <c r="L67" s="6">
        <f t="shared" si="26"/>
        <v>-4689965.23186938</v>
      </c>
      <c r="M67" s="6">
        <f t="shared" si="27"/>
        <v>28025.752392284248</v>
      </c>
      <c r="N67" s="6">
        <f t="shared" si="28"/>
        <v>3295989.0562677989</v>
      </c>
      <c r="O67" s="6">
        <f t="shared" si="29"/>
        <v>13127871.395799037</v>
      </c>
      <c r="P67" s="6">
        <f t="shared" si="30"/>
        <v>5034099.8114613146</v>
      </c>
      <c r="Q67" s="6">
        <f t="shared" si="31"/>
        <v>0</v>
      </c>
      <c r="R67" s="6">
        <f t="shared" si="32"/>
        <v>0</v>
      </c>
      <c r="S67" s="6">
        <f t="shared" si="33"/>
        <v>16796020.784051053</v>
      </c>
      <c r="T67" s="6">
        <f t="shared" si="24"/>
        <v>1380287.4095784184</v>
      </c>
      <c r="U67" s="14">
        <f t="shared" si="25"/>
        <v>8.9537576711340688E-2</v>
      </c>
      <c r="V67" s="16"/>
    </row>
    <row r="68" spans="1:22">
      <c r="A68" s="197">
        <v>43647</v>
      </c>
      <c r="B68">
        <f t="shared" si="34"/>
        <v>7</v>
      </c>
      <c r="C68">
        <f t="shared" si="35"/>
        <v>2019</v>
      </c>
      <c r="D68" s="6">
        <f>'Monthly Data (14-23) Used'!M68</f>
        <v>18581661.374472633</v>
      </c>
      <c r="E68" s="64">
        <f>'Monthly Data (14-23) Used'!AE68</f>
        <v>0</v>
      </c>
      <c r="F68" s="64">
        <f>'Monthly Data (14-23) Used'!AJ68</f>
        <v>376.46447700859022</v>
      </c>
      <c r="G68" s="6">
        <f>'Monthly Data (14-23) Used'!BC68</f>
        <v>810347</v>
      </c>
      <c r="H68">
        <f>'Monthly Data (14-23) Used'!CC68</f>
        <v>22</v>
      </c>
      <c r="I68">
        <f>'Monthly Data (14-23) Used'!BU68</f>
        <v>0</v>
      </c>
      <c r="J68">
        <f>'Monthly Data (14-23) Used'!BZ68</f>
        <v>0</v>
      </c>
      <c r="L68" s="6">
        <f t="shared" si="26"/>
        <v>-4689965.23186938</v>
      </c>
      <c r="M68" s="6">
        <f t="shared" si="27"/>
        <v>0</v>
      </c>
      <c r="N68" s="6">
        <f t="shared" si="28"/>
        <v>5744549.9828420999</v>
      </c>
      <c r="O68" s="6">
        <f t="shared" si="29"/>
        <v>13188365.424012946</v>
      </c>
      <c r="P68" s="6">
        <f t="shared" si="30"/>
        <v>5034099.8114613146</v>
      </c>
      <c r="Q68" s="6">
        <f t="shared" si="31"/>
        <v>0</v>
      </c>
      <c r="R68" s="6">
        <f t="shared" si="32"/>
        <v>0</v>
      </c>
      <c r="S68" s="6">
        <f t="shared" si="33"/>
        <v>19277049.98644698</v>
      </c>
      <c r="T68" s="6">
        <f t="shared" si="24"/>
        <v>695388.61197434738</v>
      </c>
      <c r="U68" s="14">
        <f t="shared" si="25"/>
        <v>3.7423382008762024E-2</v>
      </c>
      <c r="V68" s="16"/>
    </row>
    <row r="69" spans="1:22">
      <c r="A69" s="197">
        <v>43678</v>
      </c>
      <c r="B69">
        <f t="shared" si="34"/>
        <v>8</v>
      </c>
      <c r="C69">
        <f t="shared" si="35"/>
        <v>2019</v>
      </c>
      <c r="D69" s="6">
        <f>'Monthly Data (14-23) Used'!M69</f>
        <v>18671585.374472633</v>
      </c>
      <c r="E69" s="64">
        <f>'Monthly Data (14-23) Used'!AE69</f>
        <v>0</v>
      </c>
      <c r="F69" s="64">
        <f>'Monthly Data (14-23) Used'!AJ69</f>
        <v>309.96447700859011</v>
      </c>
      <c r="G69" s="6">
        <f>'Monthly Data (14-23) Used'!BC69</f>
        <v>810347</v>
      </c>
      <c r="H69">
        <f>'Monthly Data (14-23) Used'!CC69</f>
        <v>20</v>
      </c>
      <c r="I69">
        <f>'Monthly Data (14-23) Used'!BU69</f>
        <v>0</v>
      </c>
      <c r="J69">
        <f>'Monthly Data (14-23) Used'!BZ69</f>
        <v>0</v>
      </c>
      <c r="L69" s="6">
        <f t="shared" si="26"/>
        <v>-4689965.23186938</v>
      </c>
      <c r="M69" s="6">
        <f t="shared" si="27"/>
        <v>0</v>
      </c>
      <c r="N69" s="6">
        <f t="shared" si="28"/>
        <v>4729812.6113522435</v>
      </c>
      <c r="O69" s="6">
        <f t="shared" si="29"/>
        <v>13188365.424012946</v>
      </c>
      <c r="P69" s="6">
        <f t="shared" si="30"/>
        <v>4576454.3740557404</v>
      </c>
      <c r="Q69" s="6">
        <f t="shared" si="31"/>
        <v>0</v>
      </c>
      <c r="R69" s="6">
        <f t="shared" si="32"/>
        <v>0</v>
      </c>
      <c r="S69" s="6">
        <f t="shared" si="33"/>
        <v>17804667.177551549</v>
      </c>
      <c r="T69" s="6">
        <f t="shared" si="24"/>
        <v>-866918.19692108408</v>
      </c>
      <c r="U69" s="14">
        <f t="shared" si="25"/>
        <v>4.6429811905866064E-2</v>
      </c>
      <c r="V69" s="16"/>
    </row>
    <row r="70" spans="1:22">
      <c r="A70" s="197">
        <v>43709</v>
      </c>
      <c r="B70">
        <f t="shared" si="34"/>
        <v>9</v>
      </c>
      <c r="C70">
        <f t="shared" si="35"/>
        <v>2019</v>
      </c>
      <c r="D70" s="6">
        <f>'Monthly Data (14-23) Used'!M70</f>
        <v>18603631.374472633</v>
      </c>
      <c r="E70" s="64">
        <f>'Monthly Data (14-23) Used'!AE70</f>
        <v>2.0999999999999996</v>
      </c>
      <c r="F70" s="64">
        <f>'Monthly Data (14-23) Used'!AJ70</f>
        <v>216.19999999999996</v>
      </c>
      <c r="G70" s="6">
        <f>'Monthly Data (14-23) Used'!BC70</f>
        <v>810347</v>
      </c>
      <c r="H70">
        <f>'Monthly Data (14-23) Used'!CC70</f>
        <v>21</v>
      </c>
      <c r="I70">
        <f>'Monthly Data (14-23) Used'!BU70</f>
        <v>1</v>
      </c>
      <c r="J70">
        <f>'Monthly Data (14-23) Used'!BZ70</f>
        <v>0</v>
      </c>
      <c r="L70" s="6">
        <f t="shared" si="26"/>
        <v>-4689965.23186938</v>
      </c>
      <c r="M70" s="6">
        <f t="shared" si="27"/>
        <v>8289.3070456051992</v>
      </c>
      <c r="N70" s="6">
        <f t="shared" si="28"/>
        <v>3299040.8979865643</v>
      </c>
      <c r="O70" s="6">
        <f t="shared" si="29"/>
        <v>13188365.424012946</v>
      </c>
      <c r="P70" s="6">
        <f t="shared" si="30"/>
        <v>4805277.092758527</v>
      </c>
      <c r="Q70" s="6">
        <f t="shared" si="31"/>
        <v>1564224.56108409</v>
      </c>
      <c r="R70" s="6">
        <f t="shared" si="32"/>
        <v>0</v>
      </c>
      <c r="S70" s="6">
        <f t="shared" si="33"/>
        <v>18175232.051018354</v>
      </c>
      <c r="T70" s="6">
        <f t="shared" si="24"/>
        <v>-428399.32345427945</v>
      </c>
      <c r="U70" s="14">
        <f t="shared" si="25"/>
        <v>2.302772586873102E-2</v>
      </c>
      <c r="V70" s="16"/>
    </row>
    <row r="71" spans="1:22">
      <c r="A71" s="197">
        <v>43739</v>
      </c>
      <c r="B71">
        <f t="shared" si="34"/>
        <v>10</v>
      </c>
      <c r="C71">
        <f t="shared" si="35"/>
        <v>2019</v>
      </c>
      <c r="D71" s="6">
        <f>'Monthly Data (14-23) Used'!M71</f>
        <v>16969281.374472633</v>
      </c>
      <c r="E71" s="64">
        <f>'Monthly Data (14-23) Used'!AE71</f>
        <v>147.70000000000002</v>
      </c>
      <c r="F71" s="64">
        <f>'Monthly Data (14-23) Used'!AJ71</f>
        <v>44.8</v>
      </c>
      <c r="G71" s="6">
        <f>'Monthly Data (14-23) Used'!BC71</f>
        <v>811397</v>
      </c>
      <c r="H71">
        <f>'Monthly Data (14-23) Used'!CC71</f>
        <v>21</v>
      </c>
      <c r="I71">
        <f>'Monthly Data (14-23) Used'!BU71</f>
        <v>0</v>
      </c>
      <c r="J71">
        <f>'Monthly Data (14-23) Used'!BZ71</f>
        <v>1</v>
      </c>
      <c r="L71" s="6">
        <f t="shared" si="26"/>
        <v>-4689965.23186938</v>
      </c>
      <c r="M71" s="6">
        <f t="shared" si="27"/>
        <v>583014.5955408992</v>
      </c>
      <c r="N71" s="6">
        <f t="shared" si="28"/>
        <v>683612.54500369146</v>
      </c>
      <c r="O71" s="6">
        <f t="shared" si="29"/>
        <v>13205454.132547949</v>
      </c>
      <c r="P71" s="6">
        <f t="shared" si="30"/>
        <v>4805277.092758527</v>
      </c>
      <c r="Q71" s="6">
        <f t="shared" si="31"/>
        <v>0</v>
      </c>
      <c r="R71" s="6">
        <f t="shared" si="32"/>
        <v>1139330.72171186</v>
      </c>
      <c r="S71" s="6">
        <f t="shared" si="33"/>
        <v>15726723.855693545</v>
      </c>
      <c r="T71" s="6">
        <f t="shared" si="24"/>
        <v>-1242557.5187790878</v>
      </c>
      <c r="U71" s="14">
        <f t="shared" si="25"/>
        <v>7.3223932785291782E-2</v>
      </c>
      <c r="V71" s="16"/>
    </row>
    <row r="72" spans="1:22">
      <c r="A72" s="197">
        <v>43770</v>
      </c>
      <c r="B72">
        <f t="shared" si="34"/>
        <v>11</v>
      </c>
      <c r="C72">
        <f t="shared" si="35"/>
        <v>2019</v>
      </c>
      <c r="D72" s="6">
        <f>'Monthly Data (14-23) Used'!M72</f>
        <v>16215950.374472635</v>
      </c>
      <c r="E72" s="64">
        <f>'Monthly Data (14-23) Used'!AE72</f>
        <v>435.2</v>
      </c>
      <c r="F72" s="64">
        <f>'Monthly Data (14-23) Used'!AJ72</f>
        <v>0</v>
      </c>
      <c r="G72" s="6">
        <f>'Monthly Data (14-23) Used'!BC72</f>
        <v>811397</v>
      </c>
      <c r="H72">
        <f>'Monthly Data (14-23) Used'!CC72</f>
        <v>21</v>
      </c>
      <c r="I72">
        <f>'Monthly Data (14-23) Used'!BU72</f>
        <v>0</v>
      </c>
      <c r="J72">
        <f>'Monthly Data (14-23) Used'!BZ72</f>
        <v>1</v>
      </c>
      <c r="L72" s="6">
        <f t="shared" si="26"/>
        <v>-4689965.23186938</v>
      </c>
      <c r="M72" s="6">
        <f t="shared" si="27"/>
        <v>1717860.2029749444</v>
      </c>
      <c r="N72" s="6">
        <f t="shared" si="28"/>
        <v>0</v>
      </c>
      <c r="O72" s="6">
        <f t="shared" si="29"/>
        <v>13205454.132547949</v>
      </c>
      <c r="P72" s="6">
        <f t="shared" si="30"/>
        <v>4805277.092758527</v>
      </c>
      <c r="Q72" s="6">
        <f t="shared" si="31"/>
        <v>0</v>
      </c>
      <c r="R72" s="6">
        <f t="shared" si="32"/>
        <v>1139330.72171186</v>
      </c>
      <c r="S72" s="6">
        <f t="shared" si="33"/>
        <v>16177956.918123901</v>
      </c>
      <c r="T72" s="6">
        <f t="shared" si="24"/>
        <v>-37993.456348733976</v>
      </c>
      <c r="U72" s="14">
        <f t="shared" si="25"/>
        <v>2.3429682177952258E-3</v>
      </c>
      <c r="V72" s="16"/>
    </row>
    <row r="73" spans="1:22">
      <c r="A73" s="197">
        <v>43800</v>
      </c>
      <c r="B73">
        <f t="shared" si="34"/>
        <v>12</v>
      </c>
      <c r="C73">
        <f t="shared" si="35"/>
        <v>2019</v>
      </c>
      <c r="D73" s="6">
        <f>'Monthly Data (14-23) Used'!M73</f>
        <v>15098518.374472635</v>
      </c>
      <c r="E73" s="64">
        <f>'Monthly Data (14-23) Used'!AE73</f>
        <v>465.90000000000009</v>
      </c>
      <c r="F73" s="64">
        <f>'Monthly Data (14-23) Used'!AJ73</f>
        <v>0</v>
      </c>
      <c r="G73" s="6">
        <f>'Monthly Data (14-23) Used'!BC73</f>
        <v>811397</v>
      </c>
      <c r="H73">
        <f>'Monthly Data (14-23) Used'!CC73</f>
        <v>21</v>
      </c>
      <c r="I73">
        <f>'Monthly Data (14-23) Used'!BU73</f>
        <v>0</v>
      </c>
      <c r="J73">
        <f>'Monthly Data (14-23) Used'!BZ73</f>
        <v>0</v>
      </c>
      <c r="L73" s="6">
        <f t="shared" si="26"/>
        <v>-4689965.23186938</v>
      </c>
      <c r="M73" s="6">
        <f t="shared" si="27"/>
        <v>1839041.9774035541</v>
      </c>
      <c r="N73" s="6">
        <f t="shared" si="28"/>
        <v>0</v>
      </c>
      <c r="O73" s="6">
        <f t="shared" si="29"/>
        <v>13205454.132547949</v>
      </c>
      <c r="P73" s="6">
        <f t="shared" si="30"/>
        <v>4805277.092758527</v>
      </c>
      <c r="Q73" s="6">
        <f t="shared" si="31"/>
        <v>0</v>
      </c>
      <c r="R73" s="6">
        <f t="shared" si="32"/>
        <v>0</v>
      </c>
      <c r="S73" s="6">
        <f t="shared" si="33"/>
        <v>15159807.97084065</v>
      </c>
      <c r="T73" s="6">
        <f t="shared" si="24"/>
        <v>61289.596368014812</v>
      </c>
      <c r="U73" s="14">
        <f t="shared" si="25"/>
        <v>4.0593119700829952E-3</v>
      </c>
      <c r="V73" s="16"/>
    </row>
    <row r="74" spans="1:22">
      <c r="A74" s="197">
        <v>43831</v>
      </c>
      <c r="B74">
        <f t="shared" ref="B74:B97" si="36">MONTH(A74)</f>
        <v>1</v>
      </c>
      <c r="C74">
        <f t="shared" ref="C74:C97" si="37">YEAR(A74)</f>
        <v>2020</v>
      </c>
      <c r="D74" s="6">
        <f>'Monthly Data (14-23) Used'!M74</f>
        <v>15271808.375952736</v>
      </c>
      <c r="E74" s="64">
        <f>'Monthly Data (14-23) Used'!AE74</f>
        <v>499.2000000000001</v>
      </c>
      <c r="F74" s="64">
        <f>'Monthly Data (14-23) Used'!AJ74</f>
        <v>0</v>
      </c>
      <c r="G74" s="6">
        <f>'Monthly Data (14-23) Used'!BC74</f>
        <v>800126</v>
      </c>
      <c r="H74">
        <f>'Monthly Data (14-23) Used'!CC74</f>
        <v>22</v>
      </c>
      <c r="I74">
        <f>'Monthly Data (14-23) Used'!BU74</f>
        <v>0</v>
      </c>
      <c r="J74">
        <f>'Monthly Data (14-23) Used'!BZ74</f>
        <v>0</v>
      </c>
      <c r="L74" s="6">
        <f t="shared" si="26"/>
        <v>-4689965.23186938</v>
      </c>
      <c r="M74" s="6">
        <f t="shared" si="27"/>
        <v>1970486.7034124366</v>
      </c>
      <c r="N74" s="6">
        <f t="shared" si="28"/>
        <v>0</v>
      </c>
      <c r="O74" s="6">
        <f t="shared" si="29"/>
        <v>13022019.05264508</v>
      </c>
      <c r="P74" s="6">
        <f t="shared" si="30"/>
        <v>5034099.8114613146</v>
      </c>
      <c r="Q74" s="6">
        <f t="shared" si="31"/>
        <v>0</v>
      </c>
      <c r="R74" s="6">
        <f t="shared" si="32"/>
        <v>0</v>
      </c>
      <c r="S74" s="6">
        <f t="shared" si="33"/>
        <v>15336640.335649451</v>
      </c>
      <c r="T74" s="6">
        <f t="shared" si="24"/>
        <v>64831.959696715698</v>
      </c>
      <c r="U74" s="14">
        <f t="shared" si="25"/>
        <v>4.245205158467105E-3</v>
      </c>
      <c r="V74" s="16"/>
    </row>
    <row r="75" spans="1:22">
      <c r="A75" s="197">
        <v>43862</v>
      </c>
      <c r="B75">
        <f t="shared" si="36"/>
        <v>2</v>
      </c>
      <c r="C75">
        <f t="shared" si="37"/>
        <v>2020</v>
      </c>
      <c r="D75" s="6">
        <f>'Monthly Data (14-23) Used'!M75</f>
        <v>14811034.375952736</v>
      </c>
      <c r="E75" s="64">
        <f>'Monthly Data (14-23) Used'!AE75</f>
        <v>511.29999999999995</v>
      </c>
      <c r="F75" s="64">
        <f>'Monthly Data (14-23) Used'!AJ75</f>
        <v>0</v>
      </c>
      <c r="G75" s="6">
        <f>'Monthly Data (14-23) Used'!BC75</f>
        <v>800126</v>
      </c>
      <c r="H75">
        <f>'Monthly Data (14-23) Used'!CC75</f>
        <v>19</v>
      </c>
      <c r="I75">
        <f>'Monthly Data (14-23) Used'!BU75</f>
        <v>0</v>
      </c>
      <c r="J75">
        <f>'Monthly Data (14-23) Used'!BZ75</f>
        <v>0</v>
      </c>
      <c r="L75" s="6">
        <f t="shared" si="26"/>
        <v>-4689965.23186938</v>
      </c>
      <c r="M75" s="6">
        <f t="shared" si="27"/>
        <v>2018248.9011513994</v>
      </c>
      <c r="N75" s="6">
        <f t="shared" si="28"/>
        <v>0</v>
      </c>
      <c r="O75" s="6">
        <f t="shared" si="29"/>
        <v>13022019.05264508</v>
      </c>
      <c r="P75" s="6">
        <f t="shared" si="30"/>
        <v>4347631.6553529529</v>
      </c>
      <c r="Q75" s="6">
        <f t="shared" si="31"/>
        <v>0</v>
      </c>
      <c r="R75" s="6">
        <f t="shared" si="32"/>
        <v>0</v>
      </c>
      <c r="S75" s="6">
        <f t="shared" si="33"/>
        <v>14697934.377280053</v>
      </c>
      <c r="T75" s="6">
        <f t="shared" si="24"/>
        <v>-113099.99867268279</v>
      </c>
      <c r="U75" s="14">
        <f t="shared" si="25"/>
        <v>7.6361985126651571E-3</v>
      </c>
      <c r="V75" s="16"/>
    </row>
    <row r="76" spans="1:22">
      <c r="A76" s="197">
        <v>43891</v>
      </c>
      <c r="B76">
        <f t="shared" si="36"/>
        <v>3</v>
      </c>
      <c r="C76">
        <f t="shared" si="37"/>
        <v>2020</v>
      </c>
      <c r="D76" s="6">
        <f>'Monthly Data (14-23) Used'!M76</f>
        <v>14069415.375952736</v>
      </c>
      <c r="E76" s="64">
        <f>'Monthly Data (14-23) Used'!AE76</f>
        <v>360.20000000000005</v>
      </c>
      <c r="F76" s="64">
        <f>'Monthly Data (14-23) Used'!AJ76</f>
        <v>0.69999999999999929</v>
      </c>
      <c r="G76" s="6">
        <f>'Monthly Data (14-23) Used'!BC76</f>
        <v>800126</v>
      </c>
      <c r="H76">
        <f>'Monthly Data (14-23) Used'!CC76</f>
        <v>22</v>
      </c>
      <c r="I76">
        <f>'Monthly Data (14-23) Used'!BU76</f>
        <v>0</v>
      </c>
      <c r="J76">
        <f>'Monthly Data (14-23) Used'!BZ76</f>
        <v>0</v>
      </c>
      <c r="L76" s="6">
        <f t="shared" si="26"/>
        <v>-4689965.23186938</v>
      </c>
      <c r="M76" s="6">
        <f t="shared" si="27"/>
        <v>1421813.522774759</v>
      </c>
      <c r="N76" s="6">
        <f t="shared" si="28"/>
        <v>10681.44601568267</v>
      </c>
      <c r="O76" s="6">
        <f t="shared" si="29"/>
        <v>13022019.05264508</v>
      </c>
      <c r="P76" s="6">
        <f t="shared" si="30"/>
        <v>5034099.8114613146</v>
      </c>
      <c r="Q76" s="6">
        <f t="shared" si="31"/>
        <v>0</v>
      </c>
      <c r="R76" s="6">
        <f t="shared" si="32"/>
        <v>0</v>
      </c>
      <c r="S76" s="6">
        <f t="shared" si="33"/>
        <v>14798648.601027455</v>
      </c>
      <c r="T76" s="6">
        <f t="shared" si="24"/>
        <v>729233.22507471964</v>
      </c>
      <c r="U76" s="14">
        <f t="shared" si="25"/>
        <v>5.1831096430709961E-2</v>
      </c>
      <c r="V76" s="16"/>
    </row>
    <row r="77" spans="1:22">
      <c r="A77" s="197">
        <v>43922</v>
      </c>
      <c r="B77">
        <f t="shared" si="36"/>
        <v>4</v>
      </c>
      <c r="C77">
        <f t="shared" si="37"/>
        <v>2020</v>
      </c>
      <c r="D77" s="6">
        <f>'Monthly Data (14-23) Used'!M77</f>
        <v>12021064.375952736</v>
      </c>
      <c r="E77" s="64">
        <f>'Monthly Data (14-23) Used'!AE77</f>
        <v>276.5</v>
      </c>
      <c r="F77" s="64">
        <f>'Monthly Data (14-23) Used'!AJ77</f>
        <v>9.4000000000000021</v>
      </c>
      <c r="G77" s="6">
        <f>'Monthly Data (14-23) Used'!BC77</f>
        <v>706539</v>
      </c>
      <c r="H77">
        <f>'Monthly Data (14-23) Used'!CC77</f>
        <v>21</v>
      </c>
      <c r="I77">
        <f>'Monthly Data (14-23) Used'!BU77</f>
        <v>0</v>
      </c>
      <c r="J77">
        <f>'Monthly Data (14-23) Used'!BZ77</f>
        <v>0</v>
      </c>
      <c r="L77" s="6">
        <f t="shared" si="26"/>
        <v>-4689965.23186938</v>
      </c>
      <c r="M77" s="6">
        <f t="shared" si="27"/>
        <v>1091425.4276713515</v>
      </c>
      <c r="N77" s="6">
        <f t="shared" si="28"/>
        <v>143436.56078202458</v>
      </c>
      <c r="O77" s="6">
        <f t="shared" si="29"/>
        <v>11498894.32344006</v>
      </c>
      <c r="P77" s="6">
        <f t="shared" si="30"/>
        <v>4805277.092758527</v>
      </c>
      <c r="Q77" s="6">
        <f t="shared" si="31"/>
        <v>0</v>
      </c>
      <c r="R77" s="6">
        <f t="shared" si="32"/>
        <v>0</v>
      </c>
      <c r="S77" s="6">
        <f t="shared" si="33"/>
        <v>12849068.172782583</v>
      </c>
      <c r="T77" s="6">
        <f t="shared" si="24"/>
        <v>828003.79682984762</v>
      </c>
      <c r="U77" s="14">
        <f t="shared" si="25"/>
        <v>6.8879407923828184E-2</v>
      </c>
      <c r="V77" s="16"/>
    </row>
    <row r="78" spans="1:22">
      <c r="A78" s="197">
        <v>43952</v>
      </c>
      <c r="B78">
        <f t="shared" si="36"/>
        <v>5</v>
      </c>
      <c r="C78">
        <f t="shared" si="37"/>
        <v>2020</v>
      </c>
      <c r="D78" s="6">
        <f>'Monthly Data (14-23) Used'!M78</f>
        <v>12781316.375952736</v>
      </c>
      <c r="E78" s="64">
        <f>'Monthly Data (14-23) Used'!AE78</f>
        <v>115.20000000000002</v>
      </c>
      <c r="F78" s="64">
        <f>'Monthly Data (14-23) Used'!AJ78</f>
        <v>104.19999999999999</v>
      </c>
      <c r="G78" s="6">
        <f>'Monthly Data (14-23) Used'!BC78</f>
        <v>706539</v>
      </c>
      <c r="H78">
        <f>'Monthly Data (14-23) Used'!CC78</f>
        <v>20</v>
      </c>
      <c r="I78">
        <f>'Monthly Data (14-23) Used'!BU78</f>
        <v>0</v>
      </c>
      <c r="J78">
        <f>'Monthly Data (14-23) Used'!BZ78</f>
        <v>0</v>
      </c>
      <c r="L78" s="6">
        <f t="shared" si="26"/>
        <v>-4689965.23186938</v>
      </c>
      <c r="M78" s="6">
        <f t="shared" si="27"/>
        <v>454727.70078748534</v>
      </c>
      <c r="N78" s="6">
        <f t="shared" si="28"/>
        <v>1590009.5354773358</v>
      </c>
      <c r="O78" s="6">
        <f t="shared" si="29"/>
        <v>11498894.32344006</v>
      </c>
      <c r="P78" s="6">
        <f t="shared" si="30"/>
        <v>4576454.3740557404</v>
      </c>
      <c r="Q78" s="6">
        <f t="shared" si="31"/>
        <v>0</v>
      </c>
      <c r="R78" s="6">
        <f t="shared" si="32"/>
        <v>0</v>
      </c>
      <c r="S78" s="6">
        <f t="shared" si="33"/>
        <v>13430120.70189124</v>
      </c>
      <c r="T78" s="6">
        <f t="shared" si="24"/>
        <v>648804.32593850419</v>
      </c>
      <c r="U78" s="14">
        <f t="shared" si="25"/>
        <v>5.0761933032124125E-2</v>
      </c>
      <c r="V78" s="16"/>
    </row>
    <row r="79" spans="1:22">
      <c r="A79" s="197">
        <v>43983</v>
      </c>
      <c r="B79">
        <f t="shared" si="36"/>
        <v>6</v>
      </c>
      <c r="C79">
        <f t="shared" si="37"/>
        <v>2020</v>
      </c>
      <c r="D79" s="6">
        <f>'Monthly Data (14-23) Used'!M79</f>
        <v>15526321.375952736</v>
      </c>
      <c r="E79" s="64">
        <f>'Monthly Data (14-23) Used'!AE79</f>
        <v>4.4000000000000004</v>
      </c>
      <c r="F79" s="64">
        <f>'Monthly Data (14-23) Used'!AJ79</f>
        <v>280.5</v>
      </c>
      <c r="G79" s="6">
        <f>'Monthly Data (14-23) Used'!BC79</f>
        <v>706539</v>
      </c>
      <c r="H79">
        <f>'Monthly Data (14-23) Used'!CC79</f>
        <v>22</v>
      </c>
      <c r="I79">
        <f>'Monthly Data (14-23) Used'!BU79</f>
        <v>0</v>
      </c>
      <c r="J79">
        <f>'Monthly Data (14-23) Used'!BZ79</f>
        <v>0</v>
      </c>
      <c r="L79" s="6">
        <f t="shared" si="26"/>
        <v>-4689965.23186938</v>
      </c>
      <c r="M79" s="6">
        <f t="shared" si="27"/>
        <v>17368.071905077566</v>
      </c>
      <c r="N79" s="6">
        <f t="shared" si="28"/>
        <v>4280208.0105699878</v>
      </c>
      <c r="O79" s="6">
        <f t="shared" si="29"/>
        <v>11498894.32344006</v>
      </c>
      <c r="P79" s="6">
        <f t="shared" si="30"/>
        <v>5034099.8114613146</v>
      </c>
      <c r="Q79" s="6">
        <f t="shared" si="31"/>
        <v>0</v>
      </c>
      <c r="R79" s="6">
        <f t="shared" si="32"/>
        <v>0</v>
      </c>
      <c r="S79" s="6">
        <f t="shared" si="33"/>
        <v>16140604.98550706</v>
      </c>
      <c r="T79" s="6">
        <f t="shared" si="24"/>
        <v>614283.6095543243</v>
      </c>
      <c r="U79" s="14">
        <f t="shared" si="25"/>
        <v>3.9564014854525077E-2</v>
      </c>
      <c r="V79" s="16"/>
    </row>
    <row r="80" spans="1:22">
      <c r="A80" s="197">
        <v>44013</v>
      </c>
      <c r="B80">
        <f t="shared" si="36"/>
        <v>7</v>
      </c>
      <c r="C80">
        <f t="shared" si="37"/>
        <v>2020</v>
      </c>
      <c r="D80" s="6">
        <f>'Monthly Data (14-23) Used'!M80</f>
        <v>18470477.375952736</v>
      </c>
      <c r="E80" s="64">
        <f>'Monthly Data (14-23) Used'!AE80</f>
        <v>0</v>
      </c>
      <c r="F80" s="64">
        <f>'Monthly Data (14-23) Used'!AJ80</f>
        <v>391.69999999999993</v>
      </c>
      <c r="G80" s="6">
        <f>'Monthly Data (14-23) Used'!BC80</f>
        <v>777225</v>
      </c>
      <c r="H80">
        <f>'Monthly Data (14-23) Used'!CC80</f>
        <v>22</v>
      </c>
      <c r="I80">
        <f>'Monthly Data (14-23) Used'!BU80</f>
        <v>0</v>
      </c>
      <c r="J80">
        <f>'Monthly Data (14-23) Used'!BZ80</f>
        <v>0</v>
      </c>
      <c r="L80" s="6">
        <f t="shared" si="26"/>
        <v>-4689965.23186938</v>
      </c>
      <c r="M80" s="6">
        <f t="shared" si="27"/>
        <v>0</v>
      </c>
      <c r="N80" s="6">
        <f t="shared" si="28"/>
        <v>5977032.0062041497</v>
      </c>
      <c r="O80" s="6">
        <f t="shared" si="29"/>
        <v>12649306.182016423</v>
      </c>
      <c r="P80" s="6">
        <f t="shared" si="30"/>
        <v>5034099.8114613146</v>
      </c>
      <c r="Q80" s="6">
        <f t="shared" si="31"/>
        <v>0</v>
      </c>
      <c r="R80" s="6">
        <f t="shared" si="32"/>
        <v>0</v>
      </c>
      <c r="S80" s="6">
        <f t="shared" si="33"/>
        <v>18970472.767812505</v>
      </c>
      <c r="T80" s="6">
        <f t="shared" si="24"/>
        <v>499995.39185976982</v>
      </c>
      <c r="U80" s="14">
        <f t="shared" si="25"/>
        <v>2.7069976681313539E-2</v>
      </c>
      <c r="V80" s="16"/>
    </row>
    <row r="81" spans="1:22">
      <c r="A81" s="197">
        <v>44044</v>
      </c>
      <c r="B81">
        <f t="shared" si="36"/>
        <v>8</v>
      </c>
      <c r="C81">
        <f t="shared" si="37"/>
        <v>2020</v>
      </c>
      <c r="D81" s="6">
        <f>'Monthly Data (14-23) Used'!M81</f>
        <v>18218385.375952736</v>
      </c>
      <c r="E81" s="64">
        <f>'Monthly Data (14-23) Used'!AE81</f>
        <v>0</v>
      </c>
      <c r="F81" s="64">
        <f>'Monthly Data (14-23) Used'!AJ81</f>
        <v>306.05790803436071</v>
      </c>
      <c r="G81" s="6">
        <f>'Monthly Data (14-23) Used'!BC81</f>
        <v>777225</v>
      </c>
      <c r="H81">
        <f>'Monthly Data (14-23) Used'!CC81</f>
        <v>20</v>
      </c>
      <c r="I81">
        <f>'Monthly Data (14-23) Used'!BU81</f>
        <v>0</v>
      </c>
      <c r="J81">
        <f>'Monthly Data (14-23) Used'!BZ81</f>
        <v>0</v>
      </c>
      <c r="L81" s="6">
        <f t="shared" si="26"/>
        <v>-4689965.23186938</v>
      </c>
      <c r="M81" s="6">
        <f t="shared" si="27"/>
        <v>0</v>
      </c>
      <c r="N81" s="6">
        <f t="shared" si="28"/>
        <v>4670201.4604882831</v>
      </c>
      <c r="O81" s="6">
        <f t="shared" si="29"/>
        <v>12649306.182016423</v>
      </c>
      <c r="P81" s="6">
        <f t="shared" si="30"/>
        <v>4576454.3740557404</v>
      </c>
      <c r="Q81" s="6">
        <f t="shared" si="31"/>
        <v>0</v>
      </c>
      <c r="R81" s="6">
        <f t="shared" si="32"/>
        <v>0</v>
      </c>
      <c r="S81" s="6">
        <f t="shared" si="33"/>
        <v>17205996.784691066</v>
      </c>
      <c r="T81" s="6">
        <f t="shared" si="24"/>
        <v>-1012388.59126167</v>
      </c>
      <c r="U81" s="14">
        <f t="shared" si="25"/>
        <v>5.5569611157636783E-2</v>
      </c>
      <c r="V81" s="16"/>
    </row>
    <row r="82" spans="1:22">
      <c r="A82" s="197">
        <v>44075</v>
      </c>
      <c r="B82">
        <f t="shared" si="36"/>
        <v>9</v>
      </c>
      <c r="C82">
        <f t="shared" si="37"/>
        <v>2020</v>
      </c>
      <c r="D82" s="6">
        <f>'Monthly Data (14-23) Used'!M82</f>
        <v>17753847.375952736</v>
      </c>
      <c r="E82" s="64">
        <f>'Monthly Data (14-23) Used'!AE82</f>
        <v>31.4</v>
      </c>
      <c r="F82" s="64">
        <f>'Monthly Data (14-23) Used'!AJ82</f>
        <v>147.12895401718038</v>
      </c>
      <c r="G82" s="6">
        <f>'Monthly Data (14-23) Used'!BC82</f>
        <v>777225</v>
      </c>
      <c r="H82">
        <f>'Monthly Data (14-23) Used'!CC82</f>
        <v>21</v>
      </c>
      <c r="I82">
        <f>'Monthly Data (14-23) Used'!BU82</f>
        <v>1</v>
      </c>
      <c r="J82">
        <f>'Monthly Data (14-23) Used'!BZ82</f>
        <v>0</v>
      </c>
      <c r="L82" s="6">
        <f t="shared" si="26"/>
        <v>-4689965.23186938</v>
      </c>
      <c r="M82" s="6">
        <f t="shared" si="27"/>
        <v>123944.87677714443</v>
      </c>
      <c r="N82" s="6">
        <f t="shared" si="28"/>
        <v>2245071.399540531</v>
      </c>
      <c r="O82" s="6">
        <f t="shared" si="29"/>
        <v>12649306.182016423</v>
      </c>
      <c r="P82" s="6">
        <f t="shared" si="30"/>
        <v>4805277.092758527</v>
      </c>
      <c r="Q82" s="6">
        <f t="shared" si="31"/>
        <v>1564224.56108409</v>
      </c>
      <c r="R82" s="6">
        <f t="shared" si="32"/>
        <v>0</v>
      </c>
      <c r="S82" s="6">
        <f t="shared" si="33"/>
        <v>16697858.880307335</v>
      </c>
      <c r="T82" s="6">
        <f t="shared" si="24"/>
        <v>-1055988.4956454001</v>
      </c>
      <c r="U82" s="14">
        <f t="shared" si="25"/>
        <v>5.9479417237511989E-2</v>
      </c>
      <c r="V82" s="16"/>
    </row>
    <row r="83" spans="1:22">
      <c r="A83" s="197">
        <v>44105</v>
      </c>
      <c r="B83">
        <f t="shared" si="36"/>
        <v>10</v>
      </c>
      <c r="C83">
        <f t="shared" si="37"/>
        <v>2020</v>
      </c>
      <c r="D83" s="6">
        <f>'Monthly Data (14-23) Used'!M83</f>
        <v>16343960.375952736</v>
      </c>
      <c r="E83" s="64">
        <f>'Monthly Data (14-23) Used'!AE83</f>
        <v>181.8</v>
      </c>
      <c r="F83" s="64">
        <f>'Monthly Data (14-23) Used'!AJ83</f>
        <v>31.000000000000004</v>
      </c>
      <c r="G83" s="6">
        <f>'Monthly Data (14-23) Used'!BC83</f>
        <v>795879</v>
      </c>
      <c r="H83">
        <f>'Monthly Data (14-23) Used'!CC83</f>
        <v>21</v>
      </c>
      <c r="I83">
        <f>'Monthly Data (14-23) Used'!BU83</f>
        <v>0</v>
      </c>
      <c r="J83">
        <f>'Monthly Data (14-23) Used'!BZ83</f>
        <v>1</v>
      </c>
      <c r="L83" s="6">
        <f t="shared" si="26"/>
        <v>-4689965.23186938</v>
      </c>
      <c r="M83" s="6">
        <f t="shared" si="27"/>
        <v>717617.15280525025</v>
      </c>
      <c r="N83" s="6">
        <f t="shared" si="28"/>
        <v>473035.46640880447</v>
      </c>
      <c r="O83" s="6">
        <f t="shared" si="29"/>
        <v>12952899.295361122</v>
      </c>
      <c r="P83" s="6">
        <f t="shared" si="30"/>
        <v>4805277.092758527</v>
      </c>
      <c r="Q83" s="6">
        <f t="shared" si="31"/>
        <v>0</v>
      </c>
      <c r="R83" s="6">
        <f t="shared" si="32"/>
        <v>1139330.72171186</v>
      </c>
      <c r="S83" s="6">
        <f t="shared" si="33"/>
        <v>15398194.497176185</v>
      </c>
      <c r="T83" s="6">
        <f t="shared" si="24"/>
        <v>-945765.87877655029</v>
      </c>
      <c r="U83" s="14">
        <f t="shared" si="25"/>
        <v>5.786638348487913E-2</v>
      </c>
      <c r="V83" s="16"/>
    </row>
    <row r="84" spans="1:22">
      <c r="A84" s="197">
        <v>44136</v>
      </c>
      <c r="B84">
        <f t="shared" si="36"/>
        <v>11</v>
      </c>
      <c r="C84">
        <f t="shared" si="37"/>
        <v>2020</v>
      </c>
      <c r="D84" s="6">
        <f>'Monthly Data (14-23) Used'!M84</f>
        <v>15290197.375952736</v>
      </c>
      <c r="E84" s="64">
        <f>'Monthly Data (14-23) Used'!AE84</f>
        <v>272.63552299140974</v>
      </c>
      <c r="F84" s="64">
        <f>'Monthly Data (14-23) Used'!AJ84</f>
        <v>18.199999999999996</v>
      </c>
      <c r="G84" s="6">
        <f>'Monthly Data (14-23) Used'!BC84</f>
        <v>795879</v>
      </c>
      <c r="H84">
        <f>'Monthly Data (14-23) Used'!CC84</f>
        <v>21</v>
      </c>
      <c r="I84">
        <f>'Monthly Data (14-23) Used'!BU84</f>
        <v>0</v>
      </c>
      <c r="J84">
        <f>'Monthly Data (14-23) Used'!BZ84</f>
        <v>1</v>
      </c>
      <c r="L84" s="6">
        <f t="shared" si="26"/>
        <v>-4689965.23186938</v>
      </c>
      <c r="M84" s="6">
        <f t="shared" si="27"/>
        <v>1076171.2198166435</v>
      </c>
      <c r="N84" s="6">
        <f t="shared" si="28"/>
        <v>277717.59640774963</v>
      </c>
      <c r="O84" s="6">
        <f t="shared" si="29"/>
        <v>12952899.295361122</v>
      </c>
      <c r="P84" s="6">
        <f t="shared" si="30"/>
        <v>4805277.092758527</v>
      </c>
      <c r="Q84" s="6">
        <f t="shared" si="31"/>
        <v>0</v>
      </c>
      <c r="R84" s="6">
        <f t="shared" si="32"/>
        <v>1139330.72171186</v>
      </c>
      <c r="S84" s="6">
        <f t="shared" si="33"/>
        <v>15561430.694186524</v>
      </c>
      <c r="T84" s="6">
        <f t="shared" si="24"/>
        <v>271233.31823378801</v>
      </c>
      <c r="U84" s="14">
        <f t="shared" si="25"/>
        <v>1.7739033157306603E-2</v>
      </c>
      <c r="V84" s="16"/>
    </row>
    <row r="85" spans="1:22">
      <c r="A85" s="197">
        <v>44166</v>
      </c>
      <c r="B85">
        <f t="shared" si="36"/>
        <v>12</v>
      </c>
      <c r="C85">
        <f t="shared" si="37"/>
        <v>2020</v>
      </c>
      <c r="D85" s="6">
        <f>'Monthly Data (14-23) Used'!M85</f>
        <v>15350534.375952736</v>
      </c>
      <c r="E85" s="64">
        <f>'Monthly Data (14-23) Used'!AE85</f>
        <v>485.40000000000003</v>
      </c>
      <c r="F85" s="64">
        <f>'Monthly Data (14-23) Used'!AJ85</f>
        <v>0</v>
      </c>
      <c r="G85" s="6">
        <f>'Monthly Data (14-23) Used'!BC85</f>
        <v>795879</v>
      </c>
      <c r="H85">
        <f>'Monthly Data (14-23) Used'!CC85</f>
        <v>21</v>
      </c>
      <c r="I85">
        <f>'Monthly Data (14-23) Used'!BU85</f>
        <v>0</v>
      </c>
      <c r="J85">
        <f>'Monthly Data (14-23) Used'!BZ85</f>
        <v>0</v>
      </c>
      <c r="L85" s="6">
        <f t="shared" si="26"/>
        <v>-4689965.23186938</v>
      </c>
      <c r="M85" s="6">
        <f t="shared" si="27"/>
        <v>1916014.1142556022</v>
      </c>
      <c r="N85" s="6">
        <f t="shared" si="28"/>
        <v>0</v>
      </c>
      <c r="O85" s="6">
        <f t="shared" si="29"/>
        <v>12952899.295361122</v>
      </c>
      <c r="P85" s="6">
        <f t="shared" si="30"/>
        <v>4805277.092758527</v>
      </c>
      <c r="Q85" s="6">
        <f t="shared" si="31"/>
        <v>0</v>
      </c>
      <c r="R85" s="6">
        <f t="shared" si="32"/>
        <v>0</v>
      </c>
      <c r="S85" s="6">
        <f t="shared" si="33"/>
        <v>14984225.270505872</v>
      </c>
      <c r="T85" s="6">
        <f t="shared" si="24"/>
        <v>-366309.10544686392</v>
      </c>
      <c r="U85" s="14">
        <f t="shared" si="25"/>
        <v>2.386295463568374E-2</v>
      </c>
      <c r="V85" s="16"/>
    </row>
    <row r="86" spans="1:22">
      <c r="A86" s="197">
        <v>44197</v>
      </c>
      <c r="B86">
        <f t="shared" si="36"/>
        <v>1</v>
      </c>
      <c r="C86">
        <f t="shared" si="37"/>
        <v>2021</v>
      </c>
      <c r="D86" s="6">
        <f>'Monthly Data (14-23) Used'!M86</f>
        <v>14829539.657323709</v>
      </c>
      <c r="E86" s="64">
        <f>'Monthly Data (14-23) Used'!AE86</f>
        <v>548.79999999999995</v>
      </c>
      <c r="F86" s="64">
        <f>'Monthly Data (14-23) Used'!AJ86</f>
        <v>0</v>
      </c>
      <c r="G86" s="6">
        <f>'Monthly Data (14-23) Used'!BC86</f>
        <v>805455</v>
      </c>
      <c r="H86">
        <f>'Monthly Data (14-23) Used'!CC86</f>
        <v>20</v>
      </c>
      <c r="I86">
        <f>'Monthly Data (14-23) Used'!BU86</f>
        <v>0</v>
      </c>
      <c r="J86">
        <f>'Monthly Data (14-23) Used'!BZ86</f>
        <v>0</v>
      </c>
      <c r="L86" s="6">
        <f t="shared" si="26"/>
        <v>-4689965.23186938</v>
      </c>
      <c r="M86" s="6">
        <f t="shared" si="27"/>
        <v>2166272.2412514924</v>
      </c>
      <c r="N86" s="6">
        <f t="shared" si="28"/>
        <v>0</v>
      </c>
      <c r="O86" s="6">
        <f t="shared" si="29"/>
        <v>13108748.317200344</v>
      </c>
      <c r="P86" s="6">
        <f t="shared" si="30"/>
        <v>4576454.3740557404</v>
      </c>
      <c r="Q86" s="6">
        <f t="shared" si="31"/>
        <v>0</v>
      </c>
      <c r="R86" s="6">
        <f t="shared" si="32"/>
        <v>0</v>
      </c>
      <c r="S86" s="6">
        <f t="shared" si="33"/>
        <v>15161509.700638197</v>
      </c>
      <c r="T86" s="6">
        <f t="shared" ref="T86:T115" si="38">S86-D86</f>
        <v>331970.0433144886</v>
      </c>
      <c r="U86" s="14">
        <f t="shared" ref="U86:U115" si="39">ABS(S86-D86)/D86</f>
        <v>2.2385728147032671E-2</v>
      </c>
      <c r="V86" s="16"/>
    </row>
    <row r="87" spans="1:22">
      <c r="A87" s="197">
        <v>44228</v>
      </c>
      <c r="B87">
        <f t="shared" si="36"/>
        <v>2</v>
      </c>
      <c r="C87">
        <f t="shared" si="37"/>
        <v>2021</v>
      </c>
      <c r="D87" s="6">
        <f>'Monthly Data (14-23) Used'!M87</f>
        <v>14463352.657323709</v>
      </c>
      <c r="E87" s="64">
        <f>'Monthly Data (14-23) Used'!AE87</f>
        <v>598.80000000000018</v>
      </c>
      <c r="F87" s="64">
        <f>'Monthly Data (14-23) Used'!AJ87</f>
        <v>0</v>
      </c>
      <c r="G87" s="6">
        <f>'Monthly Data (14-23) Used'!BC87</f>
        <v>805455</v>
      </c>
      <c r="H87">
        <f>'Monthly Data (14-23) Used'!CC87</f>
        <v>19</v>
      </c>
      <c r="I87">
        <f>'Monthly Data (14-23) Used'!BU87</f>
        <v>0</v>
      </c>
      <c r="J87">
        <f>'Monthly Data (14-23) Used'!BZ87</f>
        <v>0</v>
      </c>
      <c r="L87" s="6">
        <f t="shared" si="26"/>
        <v>-4689965.23186938</v>
      </c>
      <c r="M87" s="6">
        <f t="shared" si="27"/>
        <v>2363636.6947182836</v>
      </c>
      <c r="N87" s="6">
        <f t="shared" si="28"/>
        <v>0</v>
      </c>
      <c r="O87" s="6">
        <f t="shared" si="29"/>
        <v>13108748.317200344</v>
      </c>
      <c r="P87" s="6">
        <f t="shared" si="30"/>
        <v>4347631.6553529529</v>
      </c>
      <c r="Q87" s="6">
        <f t="shared" si="31"/>
        <v>0</v>
      </c>
      <c r="R87" s="6">
        <f t="shared" si="32"/>
        <v>0</v>
      </c>
      <c r="S87" s="6">
        <f t="shared" si="33"/>
        <v>15130051.4354022</v>
      </c>
      <c r="T87" s="6">
        <f t="shared" si="38"/>
        <v>666698.77807849087</v>
      </c>
      <c r="U87" s="14">
        <f t="shared" si="39"/>
        <v>4.6095728554395664E-2</v>
      </c>
      <c r="V87" s="16"/>
    </row>
    <row r="88" spans="1:22">
      <c r="A88" s="197">
        <v>44256</v>
      </c>
      <c r="B88">
        <f t="shared" si="36"/>
        <v>3</v>
      </c>
      <c r="C88">
        <f t="shared" si="37"/>
        <v>2021</v>
      </c>
      <c r="D88" s="6">
        <f>'Monthly Data (14-23) Used'!M88</f>
        <v>14987614.657323709</v>
      </c>
      <c r="E88" s="64">
        <f>'Monthly Data (14-23) Used'!AE88</f>
        <v>336.49999999999994</v>
      </c>
      <c r="F88" s="64">
        <f>'Monthly Data (14-23) Used'!AJ88</f>
        <v>4.7999999999999989</v>
      </c>
      <c r="G88" s="6">
        <f>'Monthly Data (14-23) Used'!BC88</f>
        <v>805455</v>
      </c>
      <c r="H88">
        <f>'Monthly Data (14-23) Used'!CC88</f>
        <v>23</v>
      </c>
      <c r="I88">
        <f>'Monthly Data (14-23) Used'!BU88</f>
        <v>0</v>
      </c>
      <c r="J88">
        <f>'Monthly Data (14-23) Used'!BZ88</f>
        <v>0</v>
      </c>
      <c r="L88" s="6">
        <f t="shared" si="26"/>
        <v>-4689965.23186938</v>
      </c>
      <c r="M88" s="6">
        <f t="shared" si="27"/>
        <v>1328262.7718314999</v>
      </c>
      <c r="N88" s="6">
        <f t="shared" si="28"/>
        <v>73244.201250395505</v>
      </c>
      <c r="O88" s="6">
        <f t="shared" si="29"/>
        <v>13108748.317200344</v>
      </c>
      <c r="P88" s="6">
        <f t="shared" si="30"/>
        <v>5262922.5301641012</v>
      </c>
      <c r="Q88" s="6">
        <f t="shared" si="31"/>
        <v>0</v>
      </c>
      <c r="R88" s="6">
        <f t="shared" si="32"/>
        <v>0</v>
      </c>
      <c r="S88" s="6">
        <f t="shared" si="33"/>
        <v>15083212.588576961</v>
      </c>
      <c r="T88" s="6">
        <f t="shared" si="38"/>
        <v>95597.931253252551</v>
      </c>
      <c r="U88" s="14">
        <f t="shared" si="39"/>
        <v>6.378462046096078E-3</v>
      </c>
      <c r="V88" s="16"/>
    </row>
    <row r="89" spans="1:22">
      <c r="A89" s="197">
        <v>44287</v>
      </c>
      <c r="B89">
        <f t="shared" si="36"/>
        <v>4</v>
      </c>
      <c r="C89">
        <f t="shared" si="37"/>
        <v>2021</v>
      </c>
      <c r="D89" s="6">
        <f>'Monthly Data (14-23) Used'!M89</f>
        <v>13569451.657323709</v>
      </c>
      <c r="E89" s="64">
        <f>'Monthly Data (14-23) Used'!AE89</f>
        <v>201.20000000000002</v>
      </c>
      <c r="F89" s="64">
        <f>'Monthly Data (14-23) Used'!AJ89</f>
        <v>33.499999999999993</v>
      </c>
      <c r="G89" s="6">
        <f>'Monthly Data (14-23) Used'!BC89</f>
        <v>795824</v>
      </c>
      <c r="H89">
        <f>'Monthly Data (14-23) Used'!CC89</f>
        <v>21</v>
      </c>
      <c r="I89">
        <f>'Monthly Data (14-23) Used'!BU89</f>
        <v>0</v>
      </c>
      <c r="J89">
        <f>'Monthly Data (14-23) Used'!BZ89</f>
        <v>0</v>
      </c>
      <c r="L89" s="6">
        <f t="shared" si="26"/>
        <v>-4689965.23186938</v>
      </c>
      <c r="M89" s="6">
        <f t="shared" si="27"/>
        <v>794194.56075036502</v>
      </c>
      <c r="N89" s="6">
        <f t="shared" si="28"/>
        <v>511183.48789338529</v>
      </c>
      <c r="O89" s="6">
        <f t="shared" si="29"/>
        <v>12952004.172533099</v>
      </c>
      <c r="P89" s="6">
        <f t="shared" si="30"/>
        <v>4805277.092758527</v>
      </c>
      <c r="Q89" s="6">
        <f t="shared" si="31"/>
        <v>0</v>
      </c>
      <c r="R89" s="6">
        <f t="shared" si="32"/>
        <v>0</v>
      </c>
      <c r="S89" s="6">
        <f t="shared" si="33"/>
        <v>14372694.082065996</v>
      </c>
      <c r="T89" s="6">
        <f t="shared" si="38"/>
        <v>803242.42474228702</v>
      </c>
      <c r="U89" s="14">
        <f t="shared" si="39"/>
        <v>5.9194906693872243E-2</v>
      </c>
      <c r="V89" s="16"/>
    </row>
    <row r="90" spans="1:22">
      <c r="A90" s="197">
        <v>44317</v>
      </c>
      <c r="B90">
        <f t="shared" si="36"/>
        <v>5</v>
      </c>
      <c r="C90">
        <f t="shared" si="37"/>
        <v>2021</v>
      </c>
      <c r="D90" s="6">
        <f>'Monthly Data (14-23) Used'!M90</f>
        <v>14542473.657323709</v>
      </c>
      <c r="E90" s="64">
        <f>'Monthly Data (14-23) Used'!AE90</f>
        <v>103.23552299140981</v>
      </c>
      <c r="F90" s="64">
        <f>'Monthly Data (14-23) Used'!AJ90</f>
        <v>119.5289540171804</v>
      </c>
      <c r="G90" s="6">
        <f>'Monthly Data (14-23) Used'!BC90</f>
        <v>795824</v>
      </c>
      <c r="H90">
        <f>'Monthly Data (14-23) Used'!CC90</f>
        <v>20</v>
      </c>
      <c r="I90">
        <f>'Monthly Data (14-23) Used'!BU90</f>
        <v>0</v>
      </c>
      <c r="J90">
        <f>'Monthly Data (14-23) Used'!BZ90</f>
        <v>0</v>
      </c>
      <c r="L90" s="6">
        <f t="shared" si="26"/>
        <v>-4689965.23186938</v>
      </c>
      <c r="M90" s="6">
        <f t="shared" si="27"/>
        <v>407500.4514711576</v>
      </c>
      <c r="N90" s="6">
        <f t="shared" si="28"/>
        <v>1823917.2423507569</v>
      </c>
      <c r="O90" s="6">
        <f t="shared" si="29"/>
        <v>12952004.172533099</v>
      </c>
      <c r="P90" s="6">
        <f t="shared" si="30"/>
        <v>4576454.3740557404</v>
      </c>
      <c r="Q90" s="6">
        <f t="shared" si="31"/>
        <v>0</v>
      </c>
      <c r="R90" s="6">
        <f t="shared" si="32"/>
        <v>0</v>
      </c>
      <c r="S90" s="6">
        <f t="shared" si="33"/>
        <v>15069911.008541372</v>
      </c>
      <c r="T90" s="6">
        <f t="shared" si="38"/>
        <v>527437.35121766292</v>
      </c>
      <c r="U90" s="14">
        <f t="shared" si="39"/>
        <v>3.6268750671041523E-2</v>
      </c>
      <c r="V90" s="16"/>
    </row>
    <row r="91" spans="1:22">
      <c r="A91" s="197">
        <v>44348</v>
      </c>
      <c r="B91">
        <f t="shared" si="36"/>
        <v>6</v>
      </c>
      <c r="C91">
        <f t="shared" si="37"/>
        <v>2021</v>
      </c>
      <c r="D91" s="6">
        <f>'Monthly Data (14-23) Used'!M91</f>
        <v>16882499.657323711</v>
      </c>
      <c r="E91" s="64">
        <f>'Monthly Data (14-23) Used'!AE91</f>
        <v>1.9000000000000004</v>
      </c>
      <c r="F91" s="64">
        <f>'Monthly Data (14-23) Used'!AJ91</f>
        <v>308.09999999999997</v>
      </c>
      <c r="G91" s="6">
        <f>'Monthly Data (14-23) Used'!BC91</f>
        <v>795824</v>
      </c>
      <c r="H91">
        <f>'Monthly Data (14-23) Used'!CC91</f>
        <v>22</v>
      </c>
      <c r="I91">
        <f>'Monthly Data (14-23) Used'!BU91</f>
        <v>0</v>
      </c>
      <c r="J91">
        <f>'Monthly Data (14-23) Used'!BZ91</f>
        <v>0</v>
      </c>
      <c r="L91" s="6">
        <f t="shared" si="26"/>
        <v>-4689965.23186938</v>
      </c>
      <c r="M91" s="6">
        <f t="shared" si="27"/>
        <v>7499.8492317380405</v>
      </c>
      <c r="N91" s="6">
        <f t="shared" si="28"/>
        <v>4701362.1677597621</v>
      </c>
      <c r="O91" s="6">
        <f t="shared" si="29"/>
        <v>12952004.172533099</v>
      </c>
      <c r="P91" s="6">
        <f t="shared" si="30"/>
        <v>5034099.8114613146</v>
      </c>
      <c r="Q91" s="6">
        <f t="shared" si="31"/>
        <v>0</v>
      </c>
      <c r="R91" s="6">
        <f t="shared" si="32"/>
        <v>0</v>
      </c>
      <c r="S91" s="6">
        <f t="shared" si="33"/>
        <v>18005000.769116532</v>
      </c>
      <c r="T91" s="6">
        <f t="shared" si="38"/>
        <v>1122501.1117928214</v>
      </c>
      <c r="U91" s="14">
        <f t="shared" si="39"/>
        <v>6.6489035070459779E-2</v>
      </c>
      <c r="V91" s="16"/>
    </row>
    <row r="92" spans="1:22">
      <c r="A92" s="197">
        <v>44378</v>
      </c>
      <c r="B92">
        <f t="shared" si="36"/>
        <v>7</v>
      </c>
      <c r="C92">
        <f t="shared" si="37"/>
        <v>2021</v>
      </c>
      <c r="D92" s="6">
        <f>'Monthly Data (14-23) Used'!M92</f>
        <v>17823956.657323711</v>
      </c>
      <c r="E92" s="64">
        <f>'Monthly Data (14-23) Used'!AE92</f>
        <v>0</v>
      </c>
      <c r="F92" s="64">
        <f>'Monthly Data (14-23) Used'!AJ92</f>
        <v>316.40000000000003</v>
      </c>
      <c r="G92" s="6">
        <f>'Monthly Data (14-23) Used'!BC92</f>
        <v>810982</v>
      </c>
      <c r="H92">
        <f>'Monthly Data (14-23) Used'!CC92</f>
        <v>21</v>
      </c>
      <c r="I92">
        <f>'Monthly Data (14-23) Used'!BU92</f>
        <v>0</v>
      </c>
      <c r="J92">
        <f>'Monthly Data (14-23) Used'!BZ92</f>
        <v>0</v>
      </c>
      <c r="L92" s="6">
        <f t="shared" si="26"/>
        <v>-4689965.23186938</v>
      </c>
      <c r="M92" s="6">
        <f t="shared" si="27"/>
        <v>0</v>
      </c>
      <c r="N92" s="6">
        <f t="shared" si="28"/>
        <v>4828013.599088572</v>
      </c>
      <c r="O92" s="6">
        <f t="shared" si="29"/>
        <v>13198700.023936495</v>
      </c>
      <c r="P92" s="6">
        <f t="shared" si="30"/>
        <v>4805277.092758527</v>
      </c>
      <c r="Q92" s="6">
        <f t="shared" si="31"/>
        <v>0</v>
      </c>
      <c r="R92" s="6">
        <f t="shared" si="32"/>
        <v>0</v>
      </c>
      <c r="S92" s="6">
        <f t="shared" si="33"/>
        <v>18142025.483914211</v>
      </c>
      <c r="T92" s="6">
        <f t="shared" si="38"/>
        <v>318068.82659050077</v>
      </c>
      <c r="U92" s="14">
        <f t="shared" si="39"/>
        <v>1.7845017955640564E-2</v>
      </c>
      <c r="V92" s="16"/>
    </row>
    <row r="93" spans="1:22">
      <c r="A93" s="197">
        <v>44409</v>
      </c>
      <c r="B93">
        <f t="shared" si="36"/>
        <v>8</v>
      </c>
      <c r="C93">
        <f t="shared" si="37"/>
        <v>2021</v>
      </c>
      <c r="D93" s="6">
        <f>'Monthly Data (14-23) Used'!M93</f>
        <v>20016862.657323711</v>
      </c>
      <c r="E93" s="64">
        <f>'Monthly Data (14-23) Used'!AE93</f>
        <v>0</v>
      </c>
      <c r="F93" s="64">
        <f>'Monthly Data (14-23) Used'!AJ93</f>
        <v>348.29343102577053</v>
      </c>
      <c r="G93" s="6">
        <f>'Monthly Data (14-23) Used'!BC93</f>
        <v>810982</v>
      </c>
      <c r="H93">
        <f>'Monthly Data (14-23) Used'!CC93</f>
        <v>20</v>
      </c>
      <c r="I93">
        <f>'Monthly Data (14-23) Used'!BU93</f>
        <v>0</v>
      </c>
      <c r="J93">
        <f>'Monthly Data (14-23) Used'!BZ93</f>
        <v>0</v>
      </c>
      <c r="L93" s="6">
        <f t="shared" si="26"/>
        <v>-4689965.23186938</v>
      </c>
      <c r="M93" s="6">
        <f t="shared" si="27"/>
        <v>0</v>
      </c>
      <c r="N93" s="6">
        <f t="shared" si="28"/>
        <v>5314682.1158838095</v>
      </c>
      <c r="O93" s="6">
        <f t="shared" si="29"/>
        <v>13198700.023936495</v>
      </c>
      <c r="P93" s="6">
        <f t="shared" si="30"/>
        <v>4576454.3740557404</v>
      </c>
      <c r="Q93" s="6">
        <f t="shared" si="31"/>
        <v>0</v>
      </c>
      <c r="R93" s="6">
        <f t="shared" si="32"/>
        <v>0</v>
      </c>
      <c r="S93" s="6">
        <f t="shared" si="33"/>
        <v>18399871.282006666</v>
      </c>
      <c r="T93" s="6">
        <f t="shared" si="38"/>
        <v>-1616991.3753170446</v>
      </c>
      <c r="U93" s="14">
        <f t="shared" si="39"/>
        <v>8.0781459262569522E-2</v>
      </c>
      <c r="V93" s="16"/>
    </row>
    <row r="94" spans="1:22">
      <c r="A94" s="197">
        <v>44440</v>
      </c>
      <c r="B94">
        <f t="shared" si="36"/>
        <v>9</v>
      </c>
      <c r="C94">
        <f t="shared" si="37"/>
        <v>2021</v>
      </c>
      <c r="D94" s="6">
        <f>'Monthly Data (14-23) Used'!M94</f>
        <v>18514000.657323711</v>
      </c>
      <c r="E94" s="64">
        <f>'Monthly Data (14-23) Used'!AE94</f>
        <v>13.3</v>
      </c>
      <c r="F94" s="64">
        <f>'Monthly Data (14-23) Used'!AJ94</f>
        <v>198.1</v>
      </c>
      <c r="G94" s="6">
        <f>'Monthly Data (14-23) Used'!BC94</f>
        <v>810982</v>
      </c>
      <c r="H94">
        <f>'Monthly Data (14-23) Used'!CC94</f>
        <v>20</v>
      </c>
      <c r="I94">
        <f>'Monthly Data (14-23) Used'!BU94</f>
        <v>1</v>
      </c>
      <c r="J94">
        <f>'Monthly Data (14-23) Used'!BZ94</f>
        <v>0</v>
      </c>
      <c r="L94" s="6">
        <f t="shared" si="26"/>
        <v>-4689965.23186938</v>
      </c>
      <c r="M94" s="6">
        <f t="shared" si="27"/>
        <v>52498.944622166273</v>
      </c>
      <c r="N94" s="6">
        <f t="shared" si="28"/>
        <v>3022849.2224381985</v>
      </c>
      <c r="O94" s="6">
        <f t="shared" si="29"/>
        <v>13198700.023936495</v>
      </c>
      <c r="P94" s="6">
        <f t="shared" si="30"/>
        <v>4576454.3740557404</v>
      </c>
      <c r="Q94" s="6">
        <f t="shared" si="31"/>
        <v>1564224.56108409</v>
      </c>
      <c r="R94" s="6">
        <f t="shared" si="32"/>
        <v>0</v>
      </c>
      <c r="S94" s="6">
        <f t="shared" si="33"/>
        <v>17724761.894267313</v>
      </c>
      <c r="T94" s="6">
        <f t="shared" si="38"/>
        <v>-789238.76305639744</v>
      </c>
      <c r="U94" s="14">
        <f t="shared" si="39"/>
        <v>4.2629293239448647E-2</v>
      </c>
      <c r="V94" s="16"/>
    </row>
    <row r="95" spans="1:22">
      <c r="A95" s="197">
        <v>44470</v>
      </c>
      <c r="B95">
        <f t="shared" si="36"/>
        <v>10</v>
      </c>
      <c r="C95">
        <f t="shared" si="37"/>
        <v>2021</v>
      </c>
      <c r="D95" s="6">
        <f>'Monthly Data (14-23) Used'!M95</f>
        <v>16453533.657323709</v>
      </c>
      <c r="E95" s="64">
        <f>'Monthly Data (14-23) Used'!AE95</f>
        <v>86.1</v>
      </c>
      <c r="F95" s="64">
        <f>'Monthly Data (14-23) Used'!AJ95</f>
        <v>117.19999999999999</v>
      </c>
      <c r="G95" s="6">
        <f>'Monthly Data (14-23) Used'!BC95</f>
        <v>826374</v>
      </c>
      <c r="H95">
        <f>'Monthly Data (14-23) Used'!CC95</f>
        <v>20</v>
      </c>
      <c r="I95">
        <f>'Monthly Data (14-23) Used'!BU95</f>
        <v>0</v>
      </c>
      <c r="J95">
        <f>'Monthly Data (14-23) Used'!BZ95</f>
        <v>1</v>
      </c>
      <c r="L95" s="6">
        <f t="shared" si="26"/>
        <v>-4689965.23186938</v>
      </c>
      <c r="M95" s="6">
        <f t="shared" si="27"/>
        <v>339861.58886981319</v>
      </c>
      <c r="N95" s="6">
        <f t="shared" si="28"/>
        <v>1788379.247197157</v>
      </c>
      <c r="O95" s="6">
        <f t="shared" si="29"/>
        <v>13449204.216099121</v>
      </c>
      <c r="P95" s="6">
        <f t="shared" si="30"/>
        <v>4576454.3740557404</v>
      </c>
      <c r="Q95" s="6">
        <f t="shared" si="31"/>
        <v>0</v>
      </c>
      <c r="R95" s="6">
        <f t="shared" si="32"/>
        <v>1139330.72171186</v>
      </c>
      <c r="S95" s="6">
        <f t="shared" si="33"/>
        <v>16603264.916064311</v>
      </c>
      <c r="T95" s="6">
        <f t="shared" si="38"/>
        <v>149731.25874060206</v>
      </c>
      <c r="U95" s="14">
        <f t="shared" si="39"/>
        <v>9.1002493360418345E-3</v>
      </c>
      <c r="V95" s="16"/>
    </row>
    <row r="96" spans="1:22">
      <c r="A96" s="197">
        <v>44501</v>
      </c>
      <c r="B96">
        <f t="shared" si="36"/>
        <v>11</v>
      </c>
      <c r="C96">
        <f t="shared" si="37"/>
        <v>2021</v>
      </c>
      <c r="D96" s="6">
        <f>'Monthly Data (14-23) Used'!M96</f>
        <v>16096655.657323709</v>
      </c>
      <c r="E96" s="64">
        <f>'Monthly Data (14-23) Used'!AE96</f>
        <v>362.90000000000003</v>
      </c>
      <c r="F96" s="64">
        <f>'Monthly Data (14-23) Used'!AJ96</f>
        <v>1.0999999999999996</v>
      </c>
      <c r="G96" s="6">
        <f>'Monthly Data (14-23) Used'!BC96</f>
        <v>826374</v>
      </c>
      <c r="H96">
        <f>'Monthly Data (14-23) Used'!CC96</f>
        <v>22</v>
      </c>
      <c r="I96">
        <f>'Monthly Data (14-23) Used'!BU96</f>
        <v>0</v>
      </c>
      <c r="J96">
        <f>'Monthly Data (14-23) Used'!BZ96</f>
        <v>1</v>
      </c>
      <c r="L96" s="6">
        <f t="shared" si="26"/>
        <v>-4689965.23186938</v>
      </c>
      <c r="M96" s="6">
        <f t="shared" si="27"/>
        <v>1432471.2032619657</v>
      </c>
      <c r="N96" s="6">
        <f t="shared" si="28"/>
        <v>16785.129453215635</v>
      </c>
      <c r="O96" s="6">
        <f t="shared" si="29"/>
        <v>13449204.216099121</v>
      </c>
      <c r="P96" s="6">
        <f t="shared" si="30"/>
        <v>5034099.8114613146</v>
      </c>
      <c r="Q96" s="6">
        <f t="shared" si="31"/>
        <v>0</v>
      </c>
      <c r="R96" s="6">
        <f t="shared" si="32"/>
        <v>1139330.72171186</v>
      </c>
      <c r="S96" s="6">
        <f t="shared" si="33"/>
        <v>16381925.850118097</v>
      </c>
      <c r="T96" s="6">
        <f t="shared" si="38"/>
        <v>285270.19279438816</v>
      </c>
      <c r="U96" s="14">
        <f t="shared" si="39"/>
        <v>1.7722326852695952E-2</v>
      </c>
      <c r="V96" s="16"/>
    </row>
    <row r="97" spans="1:22">
      <c r="A97" s="197">
        <v>44531</v>
      </c>
      <c r="B97">
        <f t="shared" si="36"/>
        <v>12</v>
      </c>
      <c r="C97">
        <f t="shared" si="37"/>
        <v>2021</v>
      </c>
      <c r="D97" s="6">
        <f>'Monthly Data (14-23) Used'!M97</f>
        <v>15063042.657323709</v>
      </c>
      <c r="E97" s="64">
        <f>'Monthly Data (14-23) Used'!AE97</f>
        <v>421.4</v>
      </c>
      <c r="F97" s="64">
        <f>'Monthly Data (14-23) Used'!AJ97</f>
        <v>0</v>
      </c>
      <c r="G97" s="6">
        <f>'Monthly Data (14-23) Used'!BC97</f>
        <v>826374</v>
      </c>
      <c r="H97">
        <f>'Monthly Data (14-23) Used'!CC97</f>
        <v>21</v>
      </c>
      <c r="I97">
        <f>'Monthly Data (14-23) Used'!BU97</f>
        <v>0</v>
      </c>
      <c r="J97">
        <f>'Monthly Data (14-23) Used'!BZ97</f>
        <v>0</v>
      </c>
      <c r="L97" s="6">
        <f t="shared" si="26"/>
        <v>-4689965.23186938</v>
      </c>
      <c r="M97" s="6">
        <f t="shared" si="27"/>
        <v>1663387.6138181102</v>
      </c>
      <c r="N97" s="6">
        <f t="shared" si="28"/>
        <v>0</v>
      </c>
      <c r="O97" s="6">
        <f t="shared" si="29"/>
        <v>13449204.216099121</v>
      </c>
      <c r="P97" s="6">
        <f t="shared" si="30"/>
        <v>4805277.092758527</v>
      </c>
      <c r="Q97" s="6">
        <f t="shared" si="31"/>
        <v>0</v>
      </c>
      <c r="R97" s="6">
        <f t="shared" si="32"/>
        <v>0</v>
      </c>
      <c r="S97" s="6">
        <f t="shared" si="33"/>
        <v>15227903.690806378</v>
      </c>
      <c r="T97" s="6">
        <f t="shared" si="38"/>
        <v>164861.03348266892</v>
      </c>
      <c r="U97" s="14">
        <f t="shared" si="39"/>
        <v>1.0944736547135306E-2</v>
      </c>
      <c r="V97" s="16"/>
    </row>
    <row r="98" spans="1:22">
      <c r="A98" s="197">
        <v>44562</v>
      </c>
      <c r="B98">
        <f t="shared" ref="B98:B109" si="40">MONTH(A98)</f>
        <v>1</v>
      </c>
      <c r="C98">
        <f t="shared" ref="C98:C109" si="41">YEAR(A98)</f>
        <v>2022</v>
      </c>
      <c r="D98" s="6">
        <f>'Monthly Data (14-23) Used'!M98</f>
        <v>15923178.882654494</v>
      </c>
      <c r="E98" s="64">
        <f>'Monthly Data (14-23) Used'!AE98</f>
        <v>704.2</v>
      </c>
      <c r="F98" s="64">
        <f>'Monthly Data (14-23) Used'!AJ98</f>
        <v>0</v>
      </c>
      <c r="G98" s="6">
        <f>'Monthly Data (14-23) Used'!BC98</f>
        <v>833713</v>
      </c>
      <c r="H98">
        <f>'Monthly Data (14-23) Used'!CC98</f>
        <v>20</v>
      </c>
      <c r="I98">
        <f>'Monthly Data (14-23) Used'!BU98</f>
        <v>0</v>
      </c>
      <c r="J98">
        <f>'Monthly Data (14-23) Used'!BZ98</f>
        <v>0</v>
      </c>
      <c r="L98" s="6">
        <f t="shared" si="26"/>
        <v>-4689965.23186938</v>
      </c>
      <c r="M98" s="6">
        <f t="shared" si="27"/>
        <v>2779680.9626262775</v>
      </c>
      <c r="N98" s="6">
        <f t="shared" si="28"/>
        <v>0</v>
      </c>
      <c r="O98" s="6">
        <f t="shared" si="29"/>
        <v>13568646.151278533</v>
      </c>
      <c r="P98" s="6">
        <f t="shared" si="30"/>
        <v>4576454.3740557404</v>
      </c>
      <c r="Q98" s="6">
        <f t="shared" si="31"/>
        <v>0</v>
      </c>
      <c r="R98" s="6">
        <f t="shared" si="32"/>
        <v>0</v>
      </c>
      <c r="S98" s="6">
        <f t="shared" si="33"/>
        <v>16234816.25609117</v>
      </c>
      <c r="T98" s="6">
        <f t="shared" si="38"/>
        <v>311637.37343667634</v>
      </c>
      <c r="U98" s="14">
        <f t="shared" si="39"/>
        <v>1.9571303929528199E-2</v>
      </c>
      <c r="V98" s="16"/>
    </row>
    <row r="99" spans="1:22">
      <c r="A99" s="197">
        <v>44593</v>
      </c>
      <c r="B99">
        <f t="shared" si="40"/>
        <v>2</v>
      </c>
      <c r="C99">
        <f t="shared" si="41"/>
        <v>2022</v>
      </c>
      <c r="D99" s="6">
        <f>'Monthly Data (14-23) Used'!M99</f>
        <v>14626504.882654494</v>
      </c>
      <c r="E99" s="64">
        <f>'Monthly Data (14-23) Used'!AE99</f>
        <v>551.30000000000007</v>
      </c>
      <c r="F99" s="64">
        <f>'Monthly Data (14-23) Used'!AJ99</f>
        <v>0</v>
      </c>
      <c r="G99" s="6">
        <f>'Monthly Data (14-23) Used'!BC99</f>
        <v>833713</v>
      </c>
      <c r="H99">
        <f>'Monthly Data (14-23) Used'!CC99</f>
        <v>19</v>
      </c>
      <c r="I99">
        <f>'Monthly Data (14-23) Used'!BU99</f>
        <v>0</v>
      </c>
      <c r="J99">
        <f>'Monthly Data (14-23) Used'!BZ99</f>
        <v>0</v>
      </c>
      <c r="L99" s="6">
        <f t="shared" si="26"/>
        <v>-4689965.23186938</v>
      </c>
      <c r="M99" s="6">
        <f t="shared" si="27"/>
        <v>2176140.4639248322</v>
      </c>
      <c r="N99" s="6">
        <f t="shared" si="28"/>
        <v>0</v>
      </c>
      <c r="O99" s="6">
        <f t="shared" si="29"/>
        <v>13568646.151278533</v>
      </c>
      <c r="P99" s="6">
        <f t="shared" si="30"/>
        <v>4347631.6553529529</v>
      </c>
      <c r="Q99" s="6">
        <f t="shared" si="31"/>
        <v>0</v>
      </c>
      <c r="R99" s="6">
        <f t="shared" si="32"/>
        <v>0</v>
      </c>
      <c r="S99" s="6">
        <f t="shared" si="33"/>
        <v>15402453.038686939</v>
      </c>
      <c r="T99" s="6">
        <f t="shared" si="38"/>
        <v>775948.15603244491</v>
      </c>
      <c r="U99" s="14">
        <f t="shared" si="39"/>
        <v>5.3050825351491755E-2</v>
      </c>
      <c r="V99" s="16"/>
    </row>
    <row r="100" spans="1:22">
      <c r="A100" s="197">
        <v>44621</v>
      </c>
      <c r="B100">
        <f t="shared" si="40"/>
        <v>3</v>
      </c>
      <c r="C100">
        <f t="shared" si="41"/>
        <v>2022</v>
      </c>
      <c r="D100" s="6">
        <f>'Monthly Data (14-23) Used'!M100</f>
        <v>15391912.882654494</v>
      </c>
      <c r="E100" s="64">
        <f>'Monthly Data (14-23) Used'!AE100</f>
        <v>403.93552299140981</v>
      </c>
      <c r="F100" s="64">
        <f>'Monthly Data (14-23) Used'!AJ100</f>
        <v>0</v>
      </c>
      <c r="G100" s="6">
        <f>'Monthly Data (14-23) Used'!BC100</f>
        <v>833713</v>
      </c>
      <c r="H100">
        <f>'Monthly Data (14-23) Used'!CC100</f>
        <v>23</v>
      </c>
      <c r="I100">
        <f>'Monthly Data (14-23) Used'!BU100</f>
        <v>0</v>
      </c>
      <c r="J100">
        <f>'Monthly Data (14-23) Used'!BZ100</f>
        <v>0</v>
      </c>
      <c r="L100" s="6">
        <f t="shared" si="26"/>
        <v>-4689965.23186938</v>
      </c>
      <c r="M100" s="6">
        <f t="shared" si="27"/>
        <v>1594450.2746204357</v>
      </c>
      <c r="N100" s="6">
        <f t="shared" si="28"/>
        <v>0</v>
      </c>
      <c r="O100" s="6">
        <f t="shared" si="29"/>
        <v>13568646.151278533</v>
      </c>
      <c r="P100" s="6">
        <f t="shared" si="30"/>
        <v>5262922.5301641012</v>
      </c>
      <c r="Q100" s="6">
        <f t="shared" si="31"/>
        <v>0</v>
      </c>
      <c r="R100" s="6">
        <f t="shared" si="32"/>
        <v>0</v>
      </c>
      <c r="S100" s="6">
        <f t="shared" si="33"/>
        <v>15736053.724193688</v>
      </c>
      <c r="T100" s="6">
        <f t="shared" si="38"/>
        <v>344140.84153919481</v>
      </c>
      <c r="U100" s="14">
        <f t="shared" si="39"/>
        <v>2.2358549204564118E-2</v>
      </c>
      <c r="V100" s="16"/>
    </row>
    <row r="101" spans="1:22">
      <c r="A101" s="197">
        <v>44652</v>
      </c>
      <c r="B101">
        <f t="shared" si="40"/>
        <v>4</v>
      </c>
      <c r="C101">
        <f t="shared" si="41"/>
        <v>2022</v>
      </c>
      <c r="D101" s="6">
        <f>'Monthly Data (14-23) Used'!M101</f>
        <v>14498959.882654494</v>
      </c>
      <c r="E101" s="64">
        <f>'Monthly Data (14-23) Used'!AE101</f>
        <v>275.80000000000007</v>
      </c>
      <c r="F101" s="64">
        <f>'Monthly Data (14-23) Used'!AJ101</f>
        <v>16.2</v>
      </c>
      <c r="G101" s="6">
        <f>'Monthly Data (14-23) Used'!BC101</f>
        <v>840190</v>
      </c>
      <c r="H101">
        <f>'Monthly Data (14-23) Used'!CC101</f>
        <v>20</v>
      </c>
      <c r="I101">
        <f>'Monthly Data (14-23) Used'!BU101</f>
        <v>0</v>
      </c>
      <c r="J101">
        <f>'Monthly Data (14-23) Used'!BZ101</f>
        <v>0</v>
      </c>
      <c r="L101" s="6">
        <f t="shared" si="26"/>
        <v>-4689965.23186938</v>
      </c>
      <c r="M101" s="6">
        <f t="shared" si="27"/>
        <v>1088662.3253228166</v>
      </c>
      <c r="N101" s="6">
        <f t="shared" si="28"/>
        <v>247199.17922008486</v>
      </c>
      <c r="O101" s="6">
        <f t="shared" si="29"/>
        <v>13674059.070498733</v>
      </c>
      <c r="P101" s="6">
        <f t="shared" si="30"/>
        <v>4576454.3740557404</v>
      </c>
      <c r="Q101" s="6">
        <f t="shared" si="31"/>
        <v>0</v>
      </c>
      <c r="R101" s="6">
        <f t="shared" si="32"/>
        <v>0</v>
      </c>
      <c r="S101" s="6">
        <f t="shared" si="33"/>
        <v>14896409.717227995</v>
      </c>
      <c r="T101" s="6">
        <f t="shared" si="38"/>
        <v>397449.83457350172</v>
      </c>
      <c r="U101" s="14">
        <f t="shared" si="39"/>
        <v>2.7412299764273569E-2</v>
      </c>
      <c r="V101" s="16"/>
    </row>
    <row r="102" spans="1:22">
      <c r="A102" s="197">
        <v>44682</v>
      </c>
      <c r="B102">
        <f t="shared" si="40"/>
        <v>5</v>
      </c>
      <c r="C102">
        <f t="shared" si="41"/>
        <v>2022</v>
      </c>
      <c r="D102" s="6">
        <f>'Monthly Data (14-23) Used'!M102</f>
        <v>15865841.882654494</v>
      </c>
      <c r="E102" s="64">
        <f>'Monthly Data (14-23) Used'!AE102</f>
        <v>60.899999999999991</v>
      </c>
      <c r="F102" s="64">
        <f>'Monthly Data (14-23) Used'!AJ102</f>
        <v>148.6</v>
      </c>
      <c r="G102" s="6">
        <f>'Monthly Data (14-23) Used'!BC102</f>
        <v>840190</v>
      </c>
      <c r="H102">
        <f>'Monthly Data (14-23) Used'!CC102</f>
        <v>21</v>
      </c>
      <c r="I102">
        <f>'Monthly Data (14-23) Used'!BU102</f>
        <v>0</v>
      </c>
      <c r="J102">
        <f>'Monthly Data (14-23) Used'!BZ102</f>
        <v>0</v>
      </c>
      <c r="L102" s="6">
        <f t="shared" si="26"/>
        <v>-4689965.23186938</v>
      </c>
      <c r="M102" s="6">
        <f t="shared" si="27"/>
        <v>240389.90432255078</v>
      </c>
      <c r="N102" s="6">
        <f t="shared" si="28"/>
        <v>2267518.3970434945</v>
      </c>
      <c r="O102" s="6">
        <f t="shared" si="29"/>
        <v>13674059.070498733</v>
      </c>
      <c r="P102" s="6">
        <f t="shared" si="30"/>
        <v>4805277.092758527</v>
      </c>
      <c r="Q102" s="6">
        <f t="shared" si="31"/>
        <v>0</v>
      </c>
      <c r="R102" s="6">
        <f t="shared" si="32"/>
        <v>0</v>
      </c>
      <c r="S102" s="6">
        <f t="shared" si="33"/>
        <v>16297279.232753925</v>
      </c>
      <c r="T102" s="6">
        <f t="shared" si="38"/>
        <v>431437.35009943135</v>
      </c>
      <c r="U102" s="14">
        <f t="shared" si="39"/>
        <v>2.7192843171537275E-2</v>
      </c>
      <c r="V102" s="16"/>
    </row>
    <row r="103" spans="1:22">
      <c r="A103" s="197">
        <v>44713</v>
      </c>
      <c r="B103">
        <f t="shared" si="40"/>
        <v>6</v>
      </c>
      <c r="C103">
        <f t="shared" si="41"/>
        <v>2022</v>
      </c>
      <c r="D103" s="6">
        <f>'Monthly Data (14-23) Used'!M103</f>
        <v>17673474.882654496</v>
      </c>
      <c r="E103" s="64">
        <f>'Monthly Data (14-23) Used'!AE103</f>
        <v>0.33552299140980679</v>
      </c>
      <c r="F103" s="64">
        <f>'Monthly Data (14-23) Used'!AJ103</f>
        <v>267.3644770085902</v>
      </c>
      <c r="G103" s="6">
        <f>'Monthly Data (14-23) Used'!BC103</f>
        <v>840190</v>
      </c>
      <c r="H103">
        <f>'Monthly Data (14-23) Used'!CC103</f>
        <v>22</v>
      </c>
      <c r="I103">
        <f>'Monthly Data (14-23) Used'!BU103</f>
        <v>0</v>
      </c>
      <c r="J103">
        <f>'Monthly Data (14-23) Used'!BZ103</f>
        <v>0</v>
      </c>
      <c r="L103" s="6">
        <f t="shared" si="26"/>
        <v>-4689965.23186938</v>
      </c>
      <c r="M103" s="6">
        <f t="shared" si="27"/>
        <v>1324.4062365027833</v>
      </c>
      <c r="N103" s="6">
        <f t="shared" si="28"/>
        <v>4079770.3252549847</v>
      </c>
      <c r="O103" s="6">
        <f t="shared" si="29"/>
        <v>13674059.070498733</v>
      </c>
      <c r="P103" s="6">
        <f t="shared" si="30"/>
        <v>5034099.8114613146</v>
      </c>
      <c r="Q103" s="6">
        <f t="shared" si="31"/>
        <v>0</v>
      </c>
      <c r="R103" s="6">
        <f t="shared" si="32"/>
        <v>0</v>
      </c>
      <c r="S103" s="6">
        <f t="shared" si="33"/>
        <v>18099288.381582156</v>
      </c>
      <c r="T103" s="6">
        <f t="shared" si="38"/>
        <v>425813.49892766029</v>
      </c>
      <c r="U103" s="14">
        <f t="shared" si="39"/>
        <v>2.4093366004982523E-2</v>
      </c>
      <c r="V103" s="16"/>
    </row>
    <row r="104" spans="1:22">
      <c r="A104" s="197">
        <v>44743</v>
      </c>
      <c r="B104">
        <f t="shared" si="40"/>
        <v>7</v>
      </c>
      <c r="C104">
        <f t="shared" si="41"/>
        <v>2022</v>
      </c>
      <c r="D104" s="6">
        <f>'Monthly Data (14-23) Used'!M104</f>
        <v>18461407.882654496</v>
      </c>
      <c r="E104" s="64">
        <f>'Monthly Data (14-23) Used'!AE104</f>
        <v>0</v>
      </c>
      <c r="F104" s="64">
        <f>'Monthly Data (14-23) Used'!AJ104</f>
        <v>342.59999999999997</v>
      </c>
      <c r="G104" s="6">
        <f>'Monthly Data (14-23) Used'!BC104</f>
        <v>842100</v>
      </c>
      <c r="H104">
        <f>'Monthly Data (14-23) Used'!CC104</f>
        <v>20</v>
      </c>
      <c r="I104">
        <f>'Monthly Data (14-23) Used'!BU104</f>
        <v>0</v>
      </c>
      <c r="J104">
        <f>'Monthly Data (14-23) Used'!BZ104</f>
        <v>0</v>
      </c>
      <c r="L104" s="6">
        <f t="shared" si="26"/>
        <v>-4689965.23186938</v>
      </c>
      <c r="M104" s="6">
        <f t="shared" si="27"/>
        <v>0</v>
      </c>
      <c r="N104" s="6">
        <f t="shared" si="28"/>
        <v>5227804.8642469794</v>
      </c>
      <c r="O104" s="6">
        <f t="shared" si="29"/>
        <v>13705144.245071929</v>
      </c>
      <c r="P104" s="6">
        <f t="shared" si="30"/>
        <v>4576454.3740557404</v>
      </c>
      <c r="Q104" s="6">
        <f t="shared" si="31"/>
        <v>0</v>
      </c>
      <c r="R104" s="6">
        <f t="shared" si="32"/>
        <v>0</v>
      </c>
      <c r="S104" s="6">
        <f t="shared" si="33"/>
        <v>18819438.251505267</v>
      </c>
      <c r="T104" s="6">
        <f t="shared" si="38"/>
        <v>358030.36885077134</v>
      </c>
      <c r="U104" s="14">
        <f t="shared" si="39"/>
        <v>1.9393448816390678E-2</v>
      </c>
      <c r="V104" s="16"/>
    </row>
    <row r="105" spans="1:22">
      <c r="A105" s="197">
        <v>44774</v>
      </c>
      <c r="B105">
        <f t="shared" si="40"/>
        <v>8</v>
      </c>
      <c r="C105">
        <f t="shared" si="41"/>
        <v>2022</v>
      </c>
      <c r="D105" s="6">
        <f>'Monthly Data (14-23) Used'!M105</f>
        <v>19870185.882654496</v>
      </c>
      <c r="E105" s="64">
        <f>'Monthly Data (14-23) Used'!AE105</f>
        <v>0</v>
      </c>
      <c r="F105" s="64">
        <f>'Monthly Data (14-23) Used'!AJ105</f>
        <v>322.92895401718039</v>
      </c>
      <c r="G105" s="6">
        <f>'Monthly Data (14-23) Used'!BC105</f>
        <v>842100</v>
      </c>
      <c r="H105">
        <f>'Monthly Data (14-23) Used'!CC105</f>
        <v>22</v>
      </c>
      <c r="I105">
        <f>'Monthly Data (14-23) Used'!BU105</f>
        <v>0</v>
      </c>
      <c r="J105">
        <f>'Monthly Data (14-23) Used'!BZ105</f>
        <v>0</v>
      </c>
      <c r="L105" s="6">
        <f t="shared" si="26"/>
        <v>-4689965.23186938</v>
      </c>
      <c r="M105" s="6">
        <f t="shared" si="27"/>
        <v>0</v>
      </c>
      <c r="N105" s="6">
        <f t="shared" si="28"/>
        <v>4927640.2703362666</v>
      </c>
      <c r="O105" s="6">
        <f t="shared" si="29"/>
        <v>13705144.245071929</v>
      </c>
      <c r="P105" s="6">
        <f t="shared" si="30"/>
        <v>5034099.8114613146</v>
      </c>
      <c r="Q105" s="6">
        <f t="shared" si="31"/>
        <v>0</v>
      </c>
      <c r="R105" s="6">
        <f t="shared" si="32"/>
        <v>0</v>
      </c>
      <c r="S105" s="6">
        <f t="shared" si="33"/>
        <v>18976919.095000129</v>
      </c>
      <c r="T105" s="6">
        <f t="shared" si="38"/>
        <v>-893266.78765436634</v>
      </c>
      <c r="U105" s="14">
        <f t="shared" si="39"/>
        <v>4.4955129908177446E-2</v>
      </c>
      <c r="V105" s="16"/>
    </row>
    <row r="106" spans="1:22">
      <c r="A106" s="197">
        <v>44805</v>
      </c>
      <c r="B106">
        <f t="shared" si="40"/>
        <v>9</v>
      </c>
      <c r="C106">
        <f t="shared" si="41"/>
        <v>2022</v>
      </c>
      <c r="D106" s="6">
        <f>'Monthly Data (14-23) Used'!M106</f>
        <v>18388065.882654496</v>
      </c>
      <c r="E106" s="64">
        <f>'Monthly Data (14-23) Used'!AE106</f>
        <v>27.5</v>
      </c>
      <c r="F106" s="64">
        <f>'Monthly Data (14-23) Used'!AJ106</f>
        <v>193.00000000000003</v>
      </c>
      <c r="G106" s="6">
        <f>'Monthly Data (14-23) Used'!BC106</f>
        <v>842100</v>
      </c>
      <c r="H106">
        <f>'Monthly Data (14-23) Used'!CC106</f>
        <v>20</v>
      </c>
      <c r="I106">
        <f>'Monthly Data (14-23) Used'!BU106</f>
        <v>1</v>
      </c>
      <c r="J106">
        <f>'Monthly Data (14-23) Used'!BZ106</f>
        <v>0</v>
      </c>
      <c r="L106" s="6">
        <f t="shared" si="26"/>
        <v>-4689965.23186938</v>
      </c>
      <c r="M106" s="6">
        <f t="shared" si="27"/>
        <v>108550.44940673477</v>
      </c>
      <c r="N106" s="6">
        <f t="shared" si="28"/>
        <v>2945027.2586096535</v>
      </c>
      <c r="O106" s="6">
        <f t="shared" si="29"/>
        <v>13705144.245071929</v>
      </c>
      <c r="P106" s="6">
        <f t="shared" si="30"/>
        <v>4576454.3740557404</v>
      </c>
      <c r="Q106" s="6">
        <f t="shared" si="31"/>
        <v>1564224.56108409</v>
      </c>
      <c r="R106" s="6">
        <f t="shared" si="32"/>
        <v>0</v>
      </c>
      <c r="S106" s="6">
        <f t="shared" si="33"/>
        <v>18209435.656358767</v>
      </c>
      <c r="T106" s="6">
        <f t="shared" si="38"/>
        <v>-178630.22629572824</v>
      </c>
      <c r="U106" s="14">
        <f t="shared" si="39"/>
        <v>9.714465209972439E-3</v>
      </c>
      <c r="V106" s="16"/>
    </row>
    <row r="107" spans="1:22">
      <c r="A107" s="197">
        <v>44835</v>
      </c>
      <c r="B107">
        <f t="shared" si="40"/>
        <v>10</v>
      </c>
      <c r="C107">
        <f t="shared" si="41"/>
        <v>2022</v>
      </c>
      <c r="D107" s="6">
        <f>'Monthly Data (14-23) Used'!M107</f>
        <v>16579131.882654494</v>
      </c>
      <c r="E107" s="64">
        <f>'Monthly Data (14-23) Used'!AE107</f>
        <v>155.24209196563922</v>
      </c>
      <c r="F107" s="64">
        <f>'Monthly Data (14-23) Used'!AJ107</f>
        <v>47.328954017180394</v>
      </c>
      <c r="G107" s="6">
        <f>'Monthly Data (14-23) Used'!BC107</f>
        <v>841987</v>
      </c>
      <c r="H107">
        <f>'Monthly Data (14-23) Used'!CC107</f>
        <v>20</v>
      </c>
      <c r="I107">
        <f>'Monthly Data (14-23) Used'!BU107</f>
        <v>0</v>
      </c>
      <c r="J107">
        <f>'Monthly Data (14-23) Used'!BZ107</f>
        <v>1</v>
      </c>
      <c r="L107" s="6">
        <f t="shared" si="26"/>
        <v>-4689965.23186938</v>
      </c>
      <c r="M107" s="6">
        <f t="shared" si="27"/>
        <v>612785.4127167922</v>
      </c>
      <c r="N107" s="6">
        <f t="shared" si="28"/>
        <v>722202.3818760576</v>
      </c>
      <c r="O107" s="6">
        <f t="shared" si="29"/>
        <v>13703305.174534352</v>
      </c>
      <c r="P107" s="6">
        <f t="shared" si="30"/>
        <v>4576454.3740557404</v>
      </c>
      <c r="Q107" s="6">
        <f t="shared" si="31"/>
        <v>0</v>
      </c>
      <c r="R107" s="6">
        <f t="shared" si="32"/>
        <v>1139330.72171186</v>
      </c>
      <c r="S107" s="6">
        <f t="shared" si="33"/>
        <v>16064112.833025422</v>
      </c>
      <c r="T107" s="6">
        <f t="shared" si="38"/>
        <v>-515019.04962907173</v>
      </c>
      <c r="U107" s="14">
        <f t="shared" si="39"/>
        <v>3.1064295360838382E-2</v>
      </c>
      <c r="V107" s="16"/>
    </row>
    <row r="108" spans="1:22">
      <c r="A108" s="197">
        <v>44866</v>
      </c>
      <c r="B108">
        <f t="shared" si="40"/>
        <v>11</v>
      </c>
      <c r="C108">
        <f t="shared" si="41"/>
        <v>2022</v>
      </c>
      <c r="D108" s="6">
        <f>'Monthly Data (14-23) Used'!M108</f>
        <v>16193570.882654494</v>
      </c>
      <c r="E108" s="64">
        <f>'Monthly Data (14-23) Used'!AE108</f>
        <v>310.89999999999998</v>
      </c>
      <c r="F108" s="64">
        <f>'Monthly Data (14-23) Used'!AJ108</f>
        <v>15.099999999999996</v>
      </c>
      <c r="G108" s="6">
        <f>'Monthly Data (14-23) Used'!BC108</f>
        <v>841987</v>
      </c>
      <c r="H108">
        <f>'Monthly Data (14-23) Used'!CC108</f>
        <v>22</v>
      </c>
      <c r="I108">
        <f>'Monthly Data (14-23) Used'!BU108</f>
        <v>0</v>
      </c>
      <c r="J108">
        <f>'Monthly Data (14-23) Used'!BZ108</f>
        <v>1</v>
      </c>
      <c r="L108" s="6">
        <f t="shared" si="26"/>
        <v>-4689965.23186938</v>
      </c>
      <c r="M108" s="6">
        <f t="shared" si="27"/>
        <v>1227212.1716565031</v>
      </c>
      <c r="N108" s="6">
        <f t="shared" si="28"/>
        <v>230414.04976686917</v>
      </c>
      <c r="O108" s="6">
        <f t="shared" si="29"/>
        <v>13703305.174534352</v>
      </c>
      <c r="P108" s="6">
        <f t="shared" si="30"/>
        <v>5034099.8114613146</v>
      </c>
      <c r="Q108" s="6">
        <f t="shared" si="31"/>
        <v>0</v>
      </c>
      <c r="R108" s="6">
        <f t="shared" si="32"/>
        <v>1139330.72171186</v>
      </c>
      <c r="S108" s="6">
        <f t="shared" si="33"/>
        <v>16644396.69726152</v>
      </c>
      <c r="T108" s="6">
        <f t="shared" si="38"/>
        <v>450825.81460702606</v>
      </c>
      <c r="U108" s="14">
        <f t="shared" si="39"/>
        <v>2.7839802466911208E-2</v>
      </c>
      <c r="V108" s="16"/>
    </row>
    <row r="109" spans="1:22">
      <c r="A109" s="197">
        <v>44896</v>
      </c>
      <c r="B109">
        <f t="shared" si="40"/>
        <v>12</v>
      </c>
      <c r="C109">
        <f t="shared" si="41"/>
        <v>2022</v>
      </c>
      <c r="D109" s="6">
        <f>'Monthly Data (14-23) Used'!M109</f>
        <v>15808158.882654494</v>
      </c>
      <c r="E109" s="64">
        <f>'Monthly Data (14-23) Used'!AE109</f>
        <v>494.09999999999997</v>
      </c>
      <c r="F109" s="64">
        <f>'Monthly Data (14-23) Used'!AJ109</f>
        <v>0</v>
      </c>
      <c r="G109" s="6">
        <f>'Monthly Data (14-23) Used'!BC109</f>
        <v>841987</v>
      </c>
      <c r="H109">
        <f>'Monthly Data (14-23) Used'!CC109</f>
        <v>20</v>
      </c>
      <c r="I109">
        <f>'Monthly Data (14-23) Used'!BU109</f>
        <v>0</v>
      </c>
      <c r="J109">
        <f>'Monthly Data (14-23) Used'!BZ109</f>
        <v>0</v>
      </c>
      <c r="L109" s="6">
        <f t="shared" si="26"/>
        <v>-4689965.23186938</v>
      </c>
      <c r="M109" s="6">
        <f t="shared" si="27"/>
        <v>1950355.5291588237</v>
      </c>
      <c r="N109" s="6">
        <f t="shared" si="28"/>
        <v>0</v>
      </c>
      <c r="O109" s="6">
        <f t="shared" si="29"/>
        <v>13703305.174534352</v>
      </c>
      <c r="P109" s="6">
        <f t="shared" si="30"/>
        <v>4576454.3740557404</v>
      </c>
      <c r="Q109" s="6">
        <f t="shared" si="31"/>
        <v>0</v>
      </c>
      <c r="R109" s="6">
        <f t="shared" si="32"/>
        <v>0</v>
      </c>
      <c r="S109" s="6">
        <f t="shared" si="33"/>
        <v>15540149.845879536</v>
      </c>
      <c r="T109" s="6">
        <f t="shared" si="38"/>
        <v>-268009.03677495755</v>
      </c>
      <c r="U109" s="14">
        <f t="shared" si="39"/>
        <v>1.6953842554620988E-2</v>
      </c>
      <c r="V109" s="16"/>
    </row>
    <row r="110" spans="1:22">
      <c r="A110" s="197">
        <v>44927</v>
      </c>
      <c r="B110">
        <f t="shared" ref="B110:B121" si="42">MONTH(A110)</f>
        <v>1</v>
      </c>
      <c r="C110">
        <f t="shared" ref="C110:C121" si="43">YEAR(A110)</f>
        <v>2023</v>
      </c>
      <c r="D110" s="6">
        <f>'Monthly Data (14-23) Used'!M110</f>
        <v>15830251.327624639</v>
      </c>
      <c r="E110" s="64">
        <f>'Monthly Data (14-23) Used'!AE110</f>
        <v>486.7000000000001</v>
      </c>
      <c r="F110" s="64">
        <f>'Monthly Data (14-23) Used'!AJ110</f>
        <v>0</v>
      </c>
      <c r="G110" s="6">
        <f>'Monthly Data (14-23) Used'!BC110</f>
        <v>848873</v>
      </c>
      <c r="H110">
        <f>'Monthly Data (14-23) Used'!CC110</f>
        <v>21</v>
      </c>
      <c r="I110">
        <f>'Monthly Data (14-23) Used'!BU110</f>
        <v>0</v>
      </c>
      <c r="J110">
        <f>'Monthly Data (14-23) Used'!BZ110</f>
        <v>0</v>
      </c>
      <c r="L110" s="6">
        <f t="shared" si="26"/>
        <v>-4689965.23186938</v>
      </c>
      <c r="M110" s="6">
        <f t="shared" si="27"/>
        <v>1921145.5900457392</v>
      </c>
      <c r="N110" s="6">
        <f t="shared" si="28"/>
        <v>0</v>
      </c>
      <c r="O110" s="6">
        <f t="shared" si="29"/>
        <v>13815374.552602949</v>
      </c>
      <c r="P110" s="6">
        <f t="shared" si="30"/>
        <v>4805277.092758527</v>
      </c>
      <c r="Q110" s="6">
        <f t="shared" si="31"/>
        <v>0</v>
      </c>
      <c r="R110" s="6">
        <f t="shared" si="32"/>
        <v>0</v>
      </c>
      <c r="S110" s="6">
        <f t="shared" si="33"/>
        <v>15851832.003537836</v>
      </c>
      <c r="T110" s="6">
        <f t="shared" si="38"/>
        <v>21580.675913196057</v>
      </c>
      <c r="U110" s="14">
        <f t="shared" si="39"/>
        <v>1.3632554194219658E-3</v>
      </c>
      <c r="V110" s="16"/>
    </row>
    <row r="111" spans="1:22">
      <c r="A111" s="197">
        <v>44958</v>
      </c>
      <c r="B111">
        <f t="shared" si="42"/>
        <v>2</v>
      </c>
      <c r="C111">
        <f t="shared" si="43"/>
        <v>2023</v>
      </c>
      <c r="D111" s="6">
        <f>'Monthly Data (14-23) Used'!M111</f>
        <v>14554219.660621656</v>
      </c>
      <c r="E111" s="64">
        <f>'Monthly Data (14-23) Used'!AE111</f>
        <v>435.23552299140994</v>
      </c>
      <c r="F111" s="64">
        <f>'Monthly Data (14-23) Used'!AJ111</f>
        <v>0</v>
      </c>
      <c r="G111" s="6">
        <f>'Monthly Data (14-23) Used'!BC111</f>
        <v>848873</v>
      </c>
      <c r="H111">
        <f>'Monthly Data (14-23) Used'!CC111</f>
        <v>19</v>
      </c>
      <c r="I111">
        <f>'Monthly Data (14-23) Used'!BU111</f>
        <v>0</v>
      </c>
      <c r="J111">
        <f>'Monthly Data (14-23) Used'!BZ111</f>
        <v>0</v>
      </c>
      <c r="L111" s="6">
        <f t="shared" si="26"/>
        <v>-4689965.23186938</v>
      </c>
      <c r="M111" s="6">
        <f t="shared" si="27"/>
        <v>1718000.4224906471</v>
      </c>
      <c r="N111" s="6">
        <f t="shared" si="28"/>
        <v>0</v>
      </c>
      <c r="O111" s="6">
        <f t="shared" si="29"/>
        <v>13815374.552602949</v>
      </c>
      <c r="P111" s="6">
        <f t="shared" si="30"/>
        <v>4347631.6553529529</v>
      </c>
      <c r="Q111" s="6">
        <f t="shared" si="31"/>
        <v>0</v>
      </c>
      <c r="R111" s="6">
        <f t="shared" si="32"/>
        <v>0</v>
      </c>
      <c r="S111" s="6">
        <f t="shared" si="33"/>
        <v>15191041.398577169</v>
      </c>
      <c r="T111" s="6">
        <f t="shared" si="38"/>
        <v>636821.73795551248</v>
      </c>
      <c r="U111" s="14">
        <f t="shared" si="39"/>
        <v>4.3755127571594714E-2</v>
      </c>
      <c r="V111" s="16"/>
    </row>
    <row r="112" spans="1:22">
      <c r="A112" s="197">
        <v>44986</v>
      </c>
      <c r="B112">
        <f t="shared" si="42"/>
        <v>3</v>
      </c>
      <c r="C112">
        <f t="shared" si="43"/>
        <v>2023</v>
      </c>
      <c r="D112" s="6">
        <f>'Monthly Data (14-23) Used'!M112</f>
        <v>15953101.46062164</v>
      </c>
      <c r="E112" s="64">
        <f>'Monthly Data (14-23) Used'!AE112</f>
        <v>418.09999999999997</v>
      </c>
      <c r="F112" s="64">
        <f>'Monthly Data (14-23) Used'!AJ112</f>
        <v>0</v>
      </c>
      <c r="G112" s="6">
        <f>'Monthly Data (14-23) Used'!BC112</f>
        <v>848873</v>
      </c>
      <c r="H112">
        <f>'Monthly Data (14-23) Used'!CC112</f>
        <v>23</v>
      </c>
      <c r="I112">
        <f>'Monthly Data (14-23) Used'!BU112</f>
        <v>0</v>
      </c>
      <c r="J112">
        <f>'Monthly Data (14-23) Used'!BZ112</f>
        <v>0</v>
      </c>
      <c r="L112" s="6">
        <f t="shared" si="26"/>
        <v>-4689965.23186938</v>
      </c>
      <c r="M112" s="6">
        <f t="shared" si="27"/>
        <v>1650361.5598893019</v>
      </c>
      <c r="N112" s="6">
        <f t="shared" si="28"/>
        <v>0</v>
      </c>
      <c r="O112" s="6">
        <f t="shared" si="29"/>
        <v>13815374.552602949</v>
      </c>
      <c r="P112" s="6">
        <f t="shared" si="30"/>
        <v>5262922.5301641012</v>
      </c>
      <c r="Q112" s="6">
        <f t="shared" si="31"/>
        <v>0</v>
      </c>
      <c r="R112" s="6">
        <f t="shared" si="32"/>
        <v>0</v>
      </c>
      <c r="S112" s="6">
        <f t="shared" si="33"/>
        <v>16038693.410786971</v>
      </c>
      <c r="T112" s="6">
        <f t="shared" si="38"/>
        <v>85591.950165331364</v>
      </c>
      <c r="U112" s="14">
        <f t="shared" si="39"/>
        <v>5.3652232060709361E-3</v>
      </c>
      <c r="V112" s="16"/>
    </row>
    <row r="113" spans="1:26">
      <c r="A113" s="197">
        <v>45017</v>
      </c>
      <c r="B113">
        <f t="shared" si="42"/>
        <v>4</v>
      </c>
      <c r="C113">
        <f t="shared" si="43"/>
        <v>2023</v>
      </c>
      <c r="D113" s="6">
        <f>'Monthly Data (14-23) Used'!M113</f>
        <v>14624468.130621644</v>
      </c>
      <c r="E113" s="64">
        <f>'Monthly Data (14-23) Used'!AE113</f>
        <v>211.8</v>
      </c>
      <c r="F113" s="64">
        <f>'Monthly Data (14-23) Used'!AJ113</f>
        <v>39.199999999999996</v>
      </c>
      <c r="G113" s="6">
        <f>'Monthly Data (14-23) Used'!BC113</f>
        <v>852586</v>
      </c>
      <c r="H113">
        <f>'Monthly Data (14-23) Used'!CC113</f>
        <v>19</v>
      </c>
      <c r="I113">
        <f>'Monthly Data (14-23) Used'!BU113</f>
        <v>0</v>
      </c>
      <c r="J113">
        <f>'Monthly Data (14-23) Used'!BZ113</f>
        <v>0</v>
      </c>
      <c r="L113" s="6">
        <f t="shared" si="26"/>
        <v>-4689965.23186938</v>
      </c>
      <c r="M113" s="6">
        <f t="shared" si="27"/>
        <v>836035.82488532458</v>
      </c>
      <c r="N113" s="6">
        <f t="shared" si="28"/>
        <v>598160.97687822999</v>
      </c>
      <c r="O113" s="6">
        <f t="shared" si="29"/>
        <v>13875803.48097482</v>
      </c>
      <c r="P113" s="6">
        <f t="shared" si="30"/>
        <v>4347631.6553529529</v>
      </c>
      <c r="Q113" s="6">
        <f t="shared" si="31"/>
        <v>0</v>
      </c>
      <c r="R113" s="6">
        <f t="shared" si="32"/>
        <v>0</v>
      </c>
      <c r="S113" s="6">
        <f t="shared" si="33"/>
        <v>14967666.706221946</v>
      </c>
      <c r="T113" s="6">
        <f t="shared" si="38"/>
        <v>343198.57560030185</v>
      </c>
      <c r="U113" s="14">
        <f t="shared" si="39"/>
        <v>2.3467422714791984E-2</v>
      </c>
      <c r="V113" s="16"/>
    </row>
    <row r="114" spans="1:26">
      <c r="A114" s="197">
        <v>45047</v>
      </c>
      <c r="B114">
        <f t="shared" si="42"/>
        <v>5</v>
      </c>
      <c r="C114">
        <f t="shared" si="43"/>
        <v>2023</v>
      </c>
      <c r="D114" s="6">
        <f>'Monthly Data (14-23) Used'!M114</f>
        <v>15802234.27025165</v>
      </c>
      <c r="E114" s="64">
        <f>'Monthly Data (14-23) Used'!AE114</f>
        <v>80.299999999999983</v>
      </c>
      <c r="F114" s="64">
        <f>'Monthly Data (14-23) Used'!AJ114</f>
        <v>104.60000000000002</v>
      </c>
      <c r="G114" s="6">
        <f>'Monthly Data (14-23) Used'!BC114</f>
        <v>852586</v>
      </c>
      <c r="H114">
        <f>'Monthly Data (14-23) Used'!CC114</f>
        <v>22</v>
      </c>
      <c r="I114">
        <f>'Monthly Data (14-23) Used'!BU114</f>
        <v>0</v>
      </c>
      <c r="J114">
        <f>'Monthly Data (14-23) Used'!BZ114</f>
        <v>0</v>
      </c>
      <c r="L114" s="6">
        <f t="shared" si="26"/>
        <v>-4689965.23186938</v>
      </c>
      <c r="M114" s="6">
        <f t="shared" si="27"/>
        <v>316967.31226766546</v>
      </c>
      <c r="N114" s="6">
        <f t="shared" si="28"/>
        <v>1596113.2189148695</v>
      </c>
      <c r="O114" s="6">
        <f t="shared" si="29"/>
        <v>13875803.48097482</v>
      </c>
      <c r="P114" s="6">
        <f t="shared" si="30"/>
        <v>5034099.8114613146</v>
      </c>
      <c r="Q114" s="6">
        <f t="shared" si="31"/>
        <v>0</v>
      </c>
      <c r="R114" s="6">
        <f t="shared" si="32"/>
        <v>0</v>
      </c>
      <c r="S114" s="6">
        <f t="shared" si="33"/>
        <v>16133018.591749288</v>
      </c>
      <c r="T114" s="6">
        <f t="shared" si="38"/>
        <v>330784.32149763778</v>
      </c>
      <c r="U114" s="14">
        <f t="shared" si="39"/>
        <v>2.0932756459657906E-2</v>
      </c>
      <c r="V114" s="16"/>
    </row>
    <row r="115" spans="1:26">
      <c r="A115" s="197">
        <v>45078</v>
      </c>
      <c r="B115">
        <f t="shared" si="42"/>
        <v>6</v>
      </c>
      <c r="C115">
        <f t="shared" si="43"/>
        <v>2023</v>
      </c>
      <c r="D115" s="6">
        <f>'Monthly Data (14-23) Used'!M115</f>
        <v>17314216.540621646</v>
      </c>
      <c r="E115" s="64">
        <f>'Monthly Data (14-23) Used'!AE115</f>
        <v>3.5</v>
      </c>
      <c r="F115" s="64">
        <f>'Monthly Data (14-23) Used'!AJ115</f>
        <v>230.59999999999994</v>
      </c>
      <c r="G115" s="6">
        <f>'Monthly Data (14-23) Used'!BC115</f>
        <v>852586</v>
      </c>
      <c r="H115">
        <f>'Monthly Data (14-23) Used'!CC115</f>
        <v>22</v>
      </c>
      <c r="I115">
        <f>'Monthly Data (14-23) Used'!BU115</f>
        <v>0</v>
      </c>
      <c r="J115">
        <f>'Monthly Data (14-23) Used'!BZ115</f>
        <v>0</v>
      </c>
      <c r="L115" s="6">
        <f t="shared" si="26"/>
        <v>-4689965.23186938</v>
      </c>
      <c r="M115" s="6">
        <f t="shared" si="27"/>
        <v>13815.511742675335</v>
      </c>
      <c r="N115" s="6">
        <f t="shared" si="28"/>
        <v>3518773.5017377506</v>
      </c>
      <c r="O115" s="6">
        <f t="shared" si="29"/>
        <v>13875803.48097482</v>
      </c>
      <c r="P115" s="6">
        <f t="shared" si="30"/>
        <v>5034099.8114613146</v>
      </c>
      <c r="Q115" s="6">
        <f t="shared" si="31"/>
        <v>0</v>
      </c>
      <c r="R115" s="6">
        <f t="shared" si="32"/>
        <v>0</v>
      </c>
      <c r="S115" s="6">
        <f t="shared" si="33"/>
        <v>17752527.074047178</v>
      </c>
      <c r="T115" s="6">
        <f t="shared" si="38"/>
        <v>438310.53342553228</v>
      </c>
      <c r="U115" s="14">
        <f t="shared" si="39"/>
        <v>2.5315065940014821E-2</v>
      </c>
      <c r="V115" s="16"/>
    </row>
    <row r="116" spans="1:26">
      <c r="A116" s="197">
        <v>45108</v>
      </c>
      <c r="B116">
        <f t="shared" si="42"/>
        <v>7</v>
      </c>
      <c r="C116">
        <f t="shared" si="43"/>
        <v>2023</v>
      </c>
      <c r="D116" s="6">
        <f>'Monthly Data (14-23) Used'!M116</f>
        <v>20499379.560621645</v>
      </c>
      <c r="E116" s="64">
        <f>'Monthly Data (14-23) Used'!AE116</f>
        <v>0</v>
      </c>
      <c r="F116" s="64">
        <f>'Monthly Data (14-23) Used'!AJ116</f>
        <v>318.86447700859026</v>
      </c>
      <c r="G116" s="6">
        <f>'Monthly Data (14-23) Used'!BC116</f>
        <v>852629</v>
      </c>
      <c r="H116">
        <f>'Monthly Data (14-23) Used'!CC116</f>
        <v>20</v>
      </c>
      <c r="I116">
        <f>'Monthly Data (14-23) Used'!BU116</f>
        <v>0</v>
      </c>
      <c r="J116">
        <f>'Monthly Data (14-23) Used'!BZ116</f>
        <v>0</v>
      </c>
      <c r="L116" s="6">
        <f t="shared" si="26"/>
        <v>-4689965.23186938</v>
      </c>
      <c r="M116" s="6">
        <f t="shared" si="27"/>
        <v>0</v>
      </c>
      <c r="N116" s="6">
        <f t="shared" si="28"/>
        <v>4865619.5678373538</v>
      </c>
      <c r="O116" s="6">
        <f t="shared" si="29"/>
        <v>13876503.304276729</v>
      </c>
      <c r="P116" s="6">
        <f t="shared" si="30"/>
        <v>4576454.3740557404</v>
      </c>
      <c r="Q116" s="6">
        <f t="shared" si="31"/>
        <v>0</v>
      </c>
      <c r="R116" s="6">
        <f t="shared" si="32"/>
        <v>0</v>
      </c>
      <c r="S116" s="6">
        <f t="shared" ref="S116:S121" si="44">SUM(L116:R116)</f>
        <v>18628612.014300443</v>
      </c>
      <c r="T116" s="6">
        <f t="shared" ref="T116:T121" si="45">S116-D116</f>
        <v>-1870767.5463212021</v>
      </c>
      <c r="U116" s="14">
        <f t="shared" ref="U116:U121" si="46">ABS(S116-D116)/D116</f>
        <v>9.125971548499251E-2</v>
      </c>
      <c r="V116" s="16"/>
    </row>
    <row r="117" spans="1:26">
      <c r="A117" s="197">
        <v>45139</v>
      </c>
      <c r="B117">
        <f t="shared" si="42"/>
        <v>8</v>
      </c>
      <c r="C117">
        <f t="shared" si="43"/>
        <v>2023</v>
      </c>
      <c r="D117" s="6">
        <f>'Monthly Data (14-23) Used'!M117</f>
        <v>19294498.600621633</v>
      </c>
      <c r="E117" s="64">
        <f>'Monthly Data (14-23) Used'!AE117</f>
        <v>2.3999999999999986</v>
      </c>
      <c r="F117" s="64">
        <f>'Monthly Data (14-23) Used'!AJ117</f>
        <v>261.61581606872153</v>
      </c>
      <c r="G117" s="6">
        <f>'Monthly Data (14-23) Used'!BC117</f>
        <v>852629</v>
      </c>
      <c r="H117">
        <f>'Monthly Data (14-23) Used'!CC117</f>
        <v>22</v>
      </c>
      <c r="I117">
        <f>'Monthly Data (14-23) Used'!BU117</f>
        <v>0</v>
      </c>
      <c r="J117">
        <f>'Monthly Data (14-23) Used'!BZ117</f>
        <v>0</v>
      </c>
      <c r="L117" s="6">
        <f t="shared" si="26"/>
        <v>-4689965.23186938</v>
      </c>
      <c r="M117" s="6">
        <f t="shared" si="27"/>
        <v>9473.493766405938</v>
      </c>
      <c r="N117" s="6">
        <f t="shared" si="28"/>
        <v>3992050.308838312</v>
      </c>
      <c r="O117" s="6">
        <f t="shared" si="29"/>
        <v>13876503.304276729</v>
      </c>
      <c r="P117" s="6">
        <f t="shared" si="30"/>
        <v>5034099.8114613146</v>
      </c>
      <c r="Q117" s="6">
        <f t="shared" si="31"/>
        <v>0</v>
      </c>
      <c r="R117" s="6">
        <f t="shared" si="32"/>
        <v>0</v>
      </c>
      <c r="S117" s="6">
        <f t="shared" si="44"/>
        <v>18222161.686473381</v>
      </c>
      <c r="T117" s="6">
        <f t="shared" si="45"/>
        <v>-1072336.9141482525</v>
      </c>
      <c r="U117" s="14">
        <f t="shared" si="46"/>
        <v>5.5577340274274023E-2</v>
      </c>
      <c r="V117" s="16"/>
    </row>
    <row r="118" spans="1:26">
      <c r="A118" s="197">
        <v>45170</v>
      </c>
      <c r="B118">
        <f t="shared" si="42"/>
        <v>9</v>
      </c>
      <c r="C118">
        <f t="shared" si="43"/>
        <v>2023</v>
      </c>
      <c r="D118" s="6">
        <f>'Monthly Data (14-23) Used'!M118</f>
        <v>18423022.120621648</v>
      </c>
      <c r="E118" s="64">
        <f>'Monthly Data (14-23) Used'!AE118</f>
        <v>5.4355229914098082</v>
      </c>
      <c r="F118" s="64">
        <f>'Monthly Data (14-23) Used'!AJ118</f>
        <v>188.62895401718038</v>
      </c>
      <c r="G118" s="6">
        <f>'Monthly Data (14-23) Used'!BC118</f>
        <v>852629</v>
      </c>
      <c r="H118">
        <f>'Monthly Data (14-23) Used'!CC118</f>
        <v>20</v>
      </c>
      <c r="I118">
        <f>'Monthly Data (14-23) Used'!BU118</f>
        <v>1</v>
      </c>
      <c r="J118">
        <f>'Monthly Data (14-23) Used'!BZ118</f>
        <v>0</v>
      </c>
      <c r="L118" s="6">
        <f t="shared" si="26"/>
        <v>-4689965.23186938</v>
      </c>
      <c r="M118" s="6">
        <f t="shared" si="27"/>
        <v>21455.580490115419</v>
      </c>
      <c r="N118" s="6">
        <f t="shared" si="28"/>
        <v>2878328.5561845754</v>
      </c>
      <c r="O118" s="6">
        <f t="shared" si="29"/>
        <v>13876503.304276729</v>
      </c>
      <c r="P118" s="6">
        <f t="shared" si="30"/>
        <v>4576454.3740557404</v>
      </c>
      <c r="Q118" s="6">
        <f t="shared" si="31"/>
        <v>1564224.56108409</v>
      </c>
      <c r="R118" s="6">
        <f t="shared" si="32"/>
        <v>0</v>
      </c>
      <c r="S118" s="6">
        <f t="shared" si="44"/>
        <v>18227001.144221872</v>
      </c>
      <c r="T118" s="6">
        <f t="shared" si="45"/>
        <v>-196020.97639977559</v>
      </c>
      <c r="U118" s="14">
        <f t="shared" si="46"/>
        <v>1.0640001141851816E-2</v>
      </c>
      <c r="V118" s="16"/>
    </row>
    <row r="119" spans="1:26">
      <c r="A119" s="197">
        <v>45200</v>
      </c>
      <c r="B119">
        <f t="shared" si="42"/>
        <v>10</v>
      </c>
      <c r="C119">
        <f t="shared" si="43"/>
        <v>2023</v>
      </c>
      <c r="D119" s="6">
        <f>'Monthly Data (14-23) Used'!M119</f>
        <v>17248949.170621652</v>
      </c>
      <c r="E119" s="64">
        <f>'Monthly Data (14-23) Used'!AE119</f>
        <v>144.19999999999999</v>
      </c>
      <c r="F119" s="64">
        <f>'Monthly Data (14-23) Used'!AJ119</f>
        <v>68.799999999999983</v>
      </c>
      <c r="G119" s="6">
        <f>'Monthly Data (14-23) Used'!BC119</f>
        <v>852090.84400000004</v>
      </c>
      <c r="H119">
        <f>'Monthly Data (14-23) Used'!CC119</f>
        <v>21</v>
      </c>
      <c r="I119">
        <f>'Monthly Data (14-23) Used'!BU119</f>
        <v>0</v>
      </c>
      <c r="J119">
        <f>'Monthly Data (14-23) Used'!BZ119</f>
        <v>1</v>
      </c>
      <c r="L119" s="6">
        <f>$X$9</f>
        <v>-4689965.23186938</v>
      </c>
      <c r="M119" s="6">
        <f>E119*$X$10</f>
        <v>569199.08379822376</v>
      </c>
      <c r="N119" s="6">
        <f>F119*$X$11</f>
        <v>1049833.5512556687</v>
      </c>
      <c r="O119" s="6">
        <f>G119*$X$12</f>
        <v>13867744.836628765</v>
      </c>
      <c r="P119" s="6">
        <f>H119*$X$13</f>
        <v>4805277.092758527</v>
      </c>
      <c r="Q119" s="6">
        <f>I119*$X$14</f>
        <v>0</v>
      </c>
      <c r="R119" s="6">
        <f>J119*$X$15</f>
        <v>1139330.72171186</v>
      </c>
      <c r="S119" s="6">
        <f t="shared" si="44"/>
        <v>16741420.054283664</v>
      </c>
      <c r="T119" s="6">
        <f t="shared" si="45"/>
        <v>-507529.11633798853</v>
      </c>
      <c r="U119" s="14">
        <f t="shared" si="46"/>
        <v>2.9423770185514272E-2</v>
      </c>
      <c r="V119" s="16"/>
    </row>
    <row r="120" spans="1:26">
      <c r="A120" s="197">
        <v>45231</v>
      </c>
      <c r="B120">
        <f t="shared" si="42"/>
        <v>11</v>
      </c>
      <c r="C120">
        <f t="shared" si="43"/>
        <v>2023</v>
      </c>
      <c r="D120" s="6">
        <f>'Monthly Data (14-23) Used'!M120</f>
        <v>16474136.860621652</v>
      </c>
      <c r="E120" s="64">
        <f>'Monthly Data (14-23) Used'!AE120</f>
        <v>342.39999999999992</v>
      </c>
      <c r="F120" s="64">
        <f>'Monthly Data (14-23) Used'!AJ120</f>
        <v>0</v>
      </c>
      <c r="G120" s="6">
        <f>'Monthly Data (14-23) Used'!BC120</f>
        <v>852090.84400000004</v>
      </c>
      <c r="H120">
        <f>'Monthly Data (14-23) Used'!CC120</f>
        <v>22</v>
      </c>
      <c r="I120">
        <f>'Monthly Data (14-23) Used'!BU120</f>
        <v>0</v>
      </c>
      <c r="J120">
        <f>'Monthly Data (14-23) Used'!BZ120</f>
        <v>1</v>
      </c>
      <c r="L120" s="6">
        <f>$X$9</f>
        <v>-4689965.23186938</v>
      </c>
      <c r="M120" s="6">
        <f>E120*$X$10</f>
        <v>1351551.7773405809</v>
      </c>
      <c r="N120" s="6">
        <f>F120*$X$11</f>
        <v>0</v>
      </c>
      <c r="O120" s="6">
        <f>G120*$X$12</f>
        <v>13867744.836628765</v>
      </c>
      <c r="P120" s="6">
        <f>H120*$X$13</f>
        <v>5034099.8114613146</v>
      </c>
      <c r="Q120" s="6">
        <f>I120*$X$14</f>
        <v>0</v>
      </c>
      <c r="R120" s="6">
        <f>J120*$X$15</f>
        <v>1139330.72171186</v>
      </c>
      <c r="S120" s="6">
        <f t="shared" si="44"/>
        <v>16702761.915273141</v>
      </c>
      <c r="T120" s="6">
        <f t="shared" si="45"/>
        <v>228625.05465148948</v>
      </c>
      <c r="U120" s="14">
        <f t="shared" si="46"/>
        <v>1.3877816882654107E-2</v>
      </c>
      <c r="V120" s="16"/>
    </row>
    <row r="121" spans="1:26">
      <c r="A121" s="197">
        <v>45261</v>
      </c>
      <c r="B121">
        <f t="shared" si="42"/>
        <v>12</v>
      </c>
      <c r="C121">
        <f t="shared" si="43"/>
        <v>2023</v>
      </c>
      <c r="D121" s="6">
        <f>'Monthly Data (14-23) Used'!M121</f>
        <v>15393750.390621644</v>
      </c>
      <c r="E121" s="64">
        <f>'Monthly Data (14-23) Used'!AE121</f>
        <v>369.40000000000003</v>
      </c>
      <c r="F121" s="64">
        <f>'Monthly Data (14-23) Used'!AJ121</f>
        <v>0</v>
      </c>
      <c r="G121" s="6">
        <f>'Monthly Data (14-23) Used'!BC121</f>
        <v>852090.84400000004</v>
      </c>
      <c r="H121">
        <f>'Monthly Data (14-23) Used'!CC121</f>
        <v>19</v>
      </c>
      <c r="I121">
        <f>'Monthly Data (14-23) Used'!BU121</f>
        <v>0</v>
      </c>
      <c r="J121">
        <f>'Monthly Data (14-23) Used'!BZ121</f>
        <v>0</v>
      </c>
      <c r="L121" s="6">
        <f>$X$9</f>
        <v>-4689965.23186938</v>
      </c>
      <c r="M121" s="6">
        <f>E121*$X$10</f>
        <v>1458128.5822126484</v>
      </c>
      <c r="N121" s="6">
        <f>F121*$X$11</f>
        <v>0</v>
      </c>
      <c r="O121" s="6">
        <f>G121*$X$12</f>
        <v>13867744.836628765</v>
      </c>
      <c r="P121" s="6">
        <f>H121*$X$13</f>
        <v>4347631.6553529529</v>
      </c>
      <c r="Q121" s="6">
        <f>I121*$X$14</f>
        <v>0</v>
      </c>
      <c r="R121" s="6">
        <f>J121*$X$15</f>
        <v>0</v>
      </c>
      <c r="S121" s="6">
        <f t="shared" si="44"/>
        <v>14983539.842324987</v>
      </c>
      <c r="T121" s="6">
        <f t="shared" si="45"/>
        <v>-410210.54829665646</v>
      </c>
      <c r="U121" s="14">
        <f t="shared" si="46"/>
        <v>2.6647862794148568E-2</v>
      </c>
      <c r="V121" s="16"/>
    </row>
    <row r="122" spans="1:26">
      <c r="A122" s="17"/>
      <c r="U122" s="15">
        <f>AVERAGE(U2:U121)</f>
        <v>3.9827364944499233E-2</v>
      </c>
      <c r="V122" s="16"/>
    </row>
    <row r="123" spans="1:26">
      <c r="V123" s="16"/>
    </row>
    <row r="124" spans="1:26">
      <c r="V124" s="16"/>
    </row>
    <row r="125" spans="1:26">
      <c r="V125" s="16"/>
      <c r="W125">
        <v>1</v>
      </c>
      <c r="Y125" s="6">
        <f t="shared" ref="Y125:Y136" si="47">SUMIF($B:$B,$W125,$T:$T)</f>
        <v>-270864.49620346539</v>
      </c>
      <c r="Z125" s="14">
        <f t="shared" ref="Z125:Z136" si="48">SUMIF($B:$B,$W125,$U:$U)</f>
        <v>0.15095035679671415</v>
      </c>
    </row>
    <row r="126" spans="1:26">
      <c r="V126" s="16"/>
      <c r="W126">
        <v>2</v>
      </c>
      <c r="Y126" s="6">
        <f t="shared" si="47"/>
        <v>6049605.175591724</v>
      </c>
      <c r="Z126" s="14">
        <f t="shared" si="48"/>
        <v>0.59421903915963237</v>
      </c>
    </row>
    <row r="127" spans="1:26">
      <c r="V127" s="16"/>
      <c r="W127">
        <v>3</v>
      </c>
      <c r="Y127" s="6">
        <f t="shared" si="47"/>
        <v>-546733.2546961233</v>
      </c>
      <c r="Z127" s="14">
        <f t="shared" si="48"/>
        <v>0.22952450315981593</v>
      </c>
    </row>
    <row r="128" spans="1:26">
      <c r="V128" s="16"/>
      <c r="W128">
        <v>4</v>
      </c>
      <c r="Y128" s="6">
        <f t="shared" si="47"/>
        <v>2007598.3167417776</v>
      </c>
      <c r="Z128" s="14">
        <f t="shared" si="48"/>
        <v>0.39319257473440861</v>
      </c>
    </row>
    <row r="129" spans="1:26">
      <c r="V129" s="16"/>
      <c r="W129">
        <v>5</v>
      </c>
      <c r="Y129" s="6">
        <f t="shared" si="47"/>
        <v>5097640.0624129307</v>
      </c>
      <c r="Z129" s="14">
        <f t="shared" si="48"/>
        <v>0.46321920479671269</v>
      </c>
    </row>
    <row r="130" spans="1:26">
      <c r="V130" s="16"/>
      <c r="W130">
        <v>6</v>
      </c>
      <c r="Y130" s="6">
        <f t="shared" si="47"/>
        <v>9223205.8254139759</v>
      </c>
      <c r="Z130" s="14">
        <f t="shared" si="48"/>
        <v>0.59265958642288219</v>
      </c>
    </row>
    <row r="131" spans="1:26">
      <c r="V131" s="16"/>
      <c r="W131">
        <v>7</v>
      </c>
      <c r="Y131" s="6">
        <f t="shared" si="47"/>
        <v>1565984.2916047648</v>
      </c>
      <c r="Z131" s="14">
        <f t="shared" si="48"/>
        <v>0.41039612624438393</v>
      </c>
    </row>
    <row r="132" spans="1:26">
      <c r="V132" s="16"/>
      <c r="W132">
        <v>8</v>
      </c>
      <c r="Y132" s="6">
        <f t="shared" si="47"/>
        <v>-8595154.752001835</v>
      </c>
      <c r="Z132" s="14">
        <f t="shared" si="48"/>
        <v>0.50596333643730285</v>
      </c>
    </row>
    <row r="133" spans="1:26">
      <c r="V133" s="16"/>
      <c r="W133">
        <v>9</v>
      </c>
      <c r="Y133" s="6">
        <f t="shared" si="47"/>
        <v>-6113274.9739408437</v>
      </c>
      <c r="Z133" s="14">
        <f t="shared" si="48"/>
        <v>0.34276790768734589</v>
      </c>
    </row>
    <row r="134" spans="1:26">
      <c r="V134" s="16"/>
      <c r="W134">
        <v>10</v>
      </c>
      <c r="Y134" s="6">
        <f t="shared" si="47"/>
        <v>-6222251.7467770055</v>
      </c>
      <c r="Z134" s="14">
        <f t="shared" si="48"/>
        <v>0.42776849775921355</v>
      </c>
    </row>
    <row r="135" spans="1:26">
      <c r="A135" s="17"/>
      <c r="V135" s="16"/>
      <c r="W135">
        <v>11</v>
      </c>
      <c r="Y135" s="6">
        <f t="shared" si="47"/>
        <v>417825.32905550487</v>
      </c>
      <c r="Z135" s="14">
        <f t="shared" si="48"/>
        <v>0.28010679983208236</v>
      </c>
    </row>
    <row r="136" spans="1:26">
      <c r="A136" s="17"/>
      <c r="V136" s="16"/>
      <c r="W136">
        <v>12</v>
      </c>
      <c r="Y136" s="6">
        <f t="shared" si="47"/>
        <v>-2151115.4193354864</v>
      </c>
      <c r="Z136" s="14">
        <f t="shared" si="48"/>
        <v>0.38851586030941471</v>
      </c>
    </row>
    <row r="137" spans="1:26">
      <c r="A137" s="17"/>
      <c r="Y137" s="6"/>
      <c r="Z137" s="67"/>
    </row>
    <row r="138" spans="1:26">
      <c r="A138" s="17"/>
      <c r="W138">
        <v>2013</v>
      </c>
      <c r="Y138" s="6">
        <f t="shared" ref="Y138:Y148" si="49">SUMIF($C:$C,$W138,$T:$T)</f>
        <v>0</v>
      </c>
      <c r="Z138" s="14">
        <f t="shared" ref="Z138:Z148" si="50">SUMIF($C:$C,$W138,$U:$U)</f>
        <v>0</v>
      </c>
    </row>
    <row r="139" spans="1:26">
      <c r="A139" s="17"/>
      <c r="W139">
        <f>W138+1</f>
        <v>2014</v>
      </c>
      <c r="Y139" s="6">
        <f t="shared" si="49"/>
        <v>3980926.9630867187</v>
      </c>
      <c r="Z139" s="14">
        <f t="shared" si="50"/>
        <v>0.41547322177369211</v>
      </c>
    </row>
    <row r="140" spans="1:26">
      <c r="A140" s="17"/>
      <c r="W140">
        <f t="shared" ref="W140:W147" si="51">W139+1</f>
        <v>2015</v>
      </c>
      <c r="Y140" s="6">
        <f t="shared" si="49"/>
        <v>-1176479.6731582116</v>
      </c>
      <c r="Z140" s="14">
        <f t="shared" si="50"/>
        <v>0.46288814782571053</v>
      </c>
    </row>
    <row r="141" spans="1:26">
      <c r="A141" s="17"/>
      <c r="W141">
        <f t="shared" si="51"/>
        <v>2016</v>
      </c>
      <c r="Y141" s="6">
        <f t="shared" si="49"/>
        <v>-15806466.720085667</v>
      </c>
      <c r="Z141" s="14">
        <f t="shared" si="50"/>
        <v>0.92383078576955147</v>
      </c>
    </row>
    <row r="142" spans="1:26">
      <c r="A142" s="17"/>
      <c r="W142">
        <f t="shared" si="51"/>
        <v>2017</v>
      </c>
      <c r="Y142" s="6">
        <f t="shared" si="49"/>
        <v>4917211.9648619648</v>
      </c>
      <c r="Z142" s="14">
        <f t="shared" si="50"/>
        <v>0.44252175370807112</v>
      </c>
    </row>
    <row r="143" spans="1:26">
      <c r="A143" s="17"/>
      <c r="W143">
        <f t="shared" si="51"/>
        <v>2018</v>
      </c>
      <c r="Y143" s="6">
        <f t="shared" si="49"/>
        <v>8017145.8742327504</v>
      </c>
      <c r="Z143" s="14">
        <f t="shared" si="50"/>
        <v>0.64673986608227807</v>
      </c>
    </row>
    <row r="144" spans="1:26">
      <c r="A144" s="17"/>
      <c r="W144">
        <f t="shared" si="51"/>
        <v>2019</v>
      </c>
      <c r="Y144" s="6">
        <f t="shared" si="49"/>
        <v>-1360262.307507569</v>
      </c>
      <c r="Z144" s="14">
        <f t="shared" si="50"/>
        <v>0.33626356171924854</v>
      </c>
    </row>
    <row r="145" spans="1:26">
      <c r="A145" s="17"/>
      <c r="W145">
        <f t="shared" si="51"/>
        <v>2020</v>
      </c>
      <c r="Y145" s="6">
        <f t="shared" si="49"/>
        <v>162833.55738450214</v>
      </c>
      <c r="Z145" s="14">
        <f t="shared" si="50"/>
        <v>0.46450523226665136</v>
      </c>
    </row>
    <row r="146" spans="1:26">
      <c r="A146" s="17"/>
      <c r="W146">
        <f t="shared" si="51"/>
        <v>2021</v>
      </c>
      <c r="Y146" s="6">
        <f t="shared" si="49"/>
        <v>2059148.8136337213</v>
      </c>
      <c r="Z146" s="14">
        <f t="shared" si="50"/>
        <v>0.4158356943764297</v>
      </c>
    </row>
    <row r="147" spans="1:26">
      <c r="A147" s="17"/>
      <c r="W147">
        <f t="shared" si="51"/>
        <v>2022</v>
      </c>
      <c r="Y147" s="6">
        <f t="shared" si="49"/>
        <v>1640358.1377125829</v>
      </c>
      <c r="Z147" s="14">
        <f t="shared" si="50"/>
        <v>0.32360017174328859</v>
      </c>
    </row>
    <row r="148" spans="1:26">
      <c r="A148" s="17"/>
      <c r="U148" s="14"/>
      <c r="W148">
        <f>W147+1</f>
        <v>2023</v>
      </c>
      <c r="Y148" s="6">
        <f t="shared" si="49"/>
        <v>-1971952.2522948738</v>
      </c>
      <c r="Z148" s="14">
        <f t="shared" si="50"/>
        <v>0.34762535807498762</v>
      </c>
    </row>
    <row r="149" spans="1:26">
      <c r="A149" s="17"/>
      <c r="U149" s="14"/>
    </row>
    <row r="150" spans="1:26">
      <c r="A150" s="17"/>
      <c r="U150" s="14"/>
    </row>
    <row r="151" spans="1:26">
      <c r="A151" s="17"/>
      <c r="U151" s="14"/>
    </row>
    <row r="152" spans="1:26">
      <c r="A152" s="17"/>
      <c r="U152" s="14"/>
    </row>
    <row r="153" spans="1:26">
      <c r="A153" s="17"/>
      <c r="U153" s="14"/>
    </row>
    <row r="154" spans="1:26">
      <c r="A154" s="17"/>
      <c r="U154" s="14"/>
    </row>
    <row r="155" spans="1:26">
      <c r="A155" s="17"/>
      <c r="U155" s="14"/>
    </row>
    <row r="156" spans="1:26">
      <c r="A156" s="17"/>
      <c r="U156" s="14"/>
    </row>
    <row r="157" spans="1:26">
      <c r="A157" s="17"/>
      <c r="U157" s="14"/>
    </row>
    <row r="158" spans="1:26">
      <c r="A158" s="17"/>
      <c r="U158" s="14"/>
    </row>
    <row r="159" spans="1:26">
      <c r="A159" s="17"/>
      <c r="U159" s="14"/>
    </row>
    <row r="160" spans="1:26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  <row r="166" spans="1:21">
      <c r="A166" s="17"/>
      <c r="U166" s="14"/>
    </row>
    <row r="167" spans="1:21">
      <c r="A167" s="17"/>
      <c r="U167" s="14"/>
    </row>
    <row r="168" spans="1:21">
      <c r="A168" s="17"/>
      <c r="U168" s="1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9b33060-b025-4716-bba2-7e72678e101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34C3FEE4C1CD4AAA8A429EE39E1F5E" ma:contentTypeVersion="12" ma:contentTypeDescription="Create a new document." ma:contentTypeScope="" ma:versionID="f931dab9aebf671ee6d0d1a35878afc3">
  <xsd:schema xmlns:xsd="http://www.w3.org/2001/XMLSchema" xmlns:xs="http://www.w3.org/2001/XMLSchema" xmlns:p="http://schemas.microsoft.com/office/2006/metadata/properties" xmlns:ns2="f72ef0e6-8e98-476f-8aa4-4b41ba5fbbe0" xmlns:ns3="a9b33060-b025-4716-bba2-7e72678e1018" targetNamespace="http://schemas.microsoft.com/office/2006/metadata/properties" ma:root="true" ma:fieldsID="003981ab435d64a275691633d1dbd69a" ns2:_="" ns3:_="">
    <xsd:import namespace="f72ef0e6-8e98-476f-8aa4-4b41ba5fbbe0"/>
    <xsd:import namespace="a9b33060-b025-4716-bba2-7e72678e101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2ef0e6-8e98-476f-8aa4-4b41ba5fbbe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33060-b025-4716-bba2-7e72678e10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161d661d-de4f-4d4c-a587-147a1912a4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52E068-4198-4EB9-8105-635292C6C50F}"/>
</file>

<file path=customXml/itemProps2.xml><?xml version="1.0" encoding="utf-8"?>
<ds:datastoreItem xmlns:ds="http://schemas.openxmlformats.org/officeDocument/2006/customXml" ds:itemID="{3A8110DF-9392-4E56-B56B-216400EB4755}"/>
</file>

<file path=customXml/itemProps3.xml><?xml version="1.0" encoding="utf-8"?>
<ds:datastoreItem xmlns:ds="http://schemas.openxmlformats.org/officeDocument/2006/customXml" ds:itemID="{B44940D4-2D76-4F14-90F5-09B1AE92ED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Amanda Panetta</cp:lastModifiedBy>
  <cp:revision/>
  <dcterms:created xsi:type="dcterms:W3CDTF">2012-06-22T18:05:52Z</dcterms:created>
  <dcterms:modified xsi:type="dcterms:W3CDTF">2024-07-30T18:38:16Z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0x0101002C34C3FEE4C1CD4AAA8A429EE39E1F5E</vt:lpwstr>
  </property>
  <property fmtid="{D5CDD505-2E9C-101B-9397-08002B2CF9AE}" pid="3" name="MediaServiceImageTags">
    <vt:lpwstr/>
  </property>
</Properties>
</file>